
<file path=[Content_Types].xml><?xml version="1.0" encoding="utf-8"?>
<Types xmlns="http://schemas.openxmlformats.org/package/2006/content-types">
  <Override PartName="/xl/worksheets/sheet24.xml" ContentType="application/vnd.openxmlformats-officedocument.spreadsheetml.worksheet+xml"/>
  <Override PartName="/xl/pivotTables/pivotTable6.xml" ContentType="application/vnd.openxmlformats-officedocument.spreadsheetml.pivotTable+xml"/>
  <Override PartName="/xl/worksheets/sheet13.xml" ContentType="application/vnd.openxmlformats-officedocument.spreadsheetml.worksheet+xml"/>
  <Override PartName="/xl/pivotCache/pivotCacheDefinition12.xml" ContentType="application/vnd.openxmlformats-officedocument.spreadsheetml.pivotCacheDefinition+xml"/>
  <Override PartName="/xl/pivotCache/pivotCacheDefinition23.xml" ContentType="application/vnd.openxmlformats-officedocument.spreadsheetml.pivotCacheDefinition+xml"/>
  <Override PartName="/xl/pivotCache/pivotCacheRecords16.xml" ContentType="application/vnd.openxmlformats-officedocument.spreadsheetml.pivotCacheRecords+xml"/>
  <Override PartName="/xl/styles.xml" ContentType="application/vnd.openxmlformats-officedocument.spreadsheetml.styles+xml"/>
  <Override PartName="/xl/charts/chart4.xml" ContentType="application/vnd.openxmlformats-officedocument.drawingml.chart+xml"/>
  <Override PartName="/xl/drawings/drawing6.xml" ContentType="application/vnd.openxmlformats-officedocument.drawing+xml"/>
  <Override PartName="/xl/pivotTables/pivotTable38.xml" ContentType="application/vnd.openxmlformats-officedocument.spreadsheetml.pivotTable+xml"/>
  <Override PartName="/xl/pivotTables/pivotTable49.xml" ContentType="application/vnd.openxmlformats-officedocument.spreadsheetml.pivotTable+xml"/>
  <Override PartName="/xl/worksheets/sheet7.xml" ContentType="application/vnd.openxmlformats-officedocument.spreadsheetml.worksheet+xml"/>
  <Override PartName="/xl/worksheets/sheet20.xml" ContentType="application/vnd.openxmlformats-officedocument.spreadsheetml.worksheet+xml"/>
  <Override PartName="/xl/pivotCache/pivotCacheDefinition6.xml" ContentType="application/vnd.openxmlformats-officedocument.spreadsheetml.pivotCacheDefinition+xml"/>
  <Override PartName="/xl/pivotCache/pivotCacheDefinition30.xml" ContentType="application/vnd.openxmlformats-officedocument.spreadsheetml.pivotCacheDefinition+xml"/>
  <Override PartName="/xl/pivotTables/pivotTable2.xml" ContentType="application/vnd.openxmlformats-officedocument.spreadsheetml.pivotTable+xml"/>
  <Override PartName="/xl/pivotTables/pivotTable27.xml" ContentType="application/vnd.openxmlformats-officedocument.spreadsheetml.pivotTable+xml"/>
  <Override PartName="/xl/pivotTables/pivotTable56.xml" ContentType="application/vnd.openxmlformats-officedocument.spreadsheetml.pivotTable+xml"/>
  <Default Extension="xml" ContentType="application/xml"/>
  <Override PartName="/xl/pivotCache/pivotCacheRecords12.xml" ContentType="application/vnd.openxmlformats-officedocument.spreadsheetml.pivotCacheRecords+xml"/>
  <Override PartName="/xl/drawings/drawing2.xml" ContentType="application/vnd.openxmlformats-officedocument.drawing+xml"/>
  <Override PartName="/xl/pivotTables/pivotTable16.xml" ContentType="application/vnd.openxmlformats-officedocument.spreadsheetml.pivotTable+xml"/>
  <Override PartName="/xl/comments4.xml" ContentType="application/vnd.openxmlformats-officedocument.spreadsheetml.comments+xml"/>
  <Override PartName="/xl/pivotTables/pivotTable34.xml" ContentType="application/vnd.openxmlformats-officedocument.spreadsheetml.pivotTable+xml"/>
  <Override PartName="/xl/pivotTables/pivotTable45.xml" ContentType="application/vnd.openxmlformats-officedocument.spreadsheetml.pivotTable+xml"/>
  <Override PartName="/xl/worksheets/sheet3.xml" ContentType="application/vnd.openxmlformats-officedocument.spreadsheetml.worksheet+xml"/>
  <Override PartName="/xl/pivotCache/pivotCacheDefinition2.xml" ContentType="application/vnd.openxmlformats-officedocument.spreadsheetml.pivotCacheDefinition+xml"/>
  <Override PartName="/xl/pivotCache/pivotCacheRecords8.xml" ContentType="application/vnd.openxmlformats-officedocument.spreadsheetml.pivotCacheRecords+xml"/>
  <Override PartName="/xl/pivotTables/pivotTable23.xml" ContentType="application/vnd.openxmlformats-officedocument.spreadsheetml.pivotTable+xml"/>
  <Override PartName="/xl/pivotTables/pivotTable41.xml" ContentType="application/vnd.openxmlformats-officedocument.spreadsheetml.pivotTable+xml"/>
  <Override PartName="/xl/pivotTables/pivotTable52.xml" ContentType="application/vnd.openxmlformats-officedocument.spreadsheetml.pivotTable+xml"/>
  <Override PartName="/xl/pivotTables/pivotTable12.xml" ContentType="application/vnd.openxmlformats-officedocument.spreadsheetml.pivotTable+xml"/>
  <Override PartName="/xl/charts/chart16.xml" ContentType="application/vnd.openxmlformats-officedocument.drawingml.chart+xml"/>
  <Override PartName="/xl/pivotTables/pivotTable30.xml" ContentType="application/vnd.openxmlformats-officedocument.spreadsheetml.pivotTable+xml"/>
  <Override PartName="/xl/pivotCache/pivotCacheRecords4.xml" ContentType="application/vnd.openxmlformats-officedocument.spreadsheetml.pivotCacheRecords+xml"/>
  <Override PartName="/xl/pivotCache/pivotCacheDefinition28.xml" ContentType="application/vnd.openxmlformats-officedocument.spreadsheetml.pivotCacheDefinition+xml"/>
  <Override PartName="/xl/sharedStrings.xml" ContentType="application/vnd.openxmlformats-officedocument.spreadsheetml.sharedStrings+xml"/>
  <Override PartName="/xl/charts/chart23.xml" ContentType="application/vnd.openxmlformats-officedocument.drawingml.chart+xml"/>
  <Override PartName="/xl/worksheets/sheet18.xml" ContentType="application/vnd.openxmlformats-officedocument.spreadsheetml.worksheet+xml"/>
  <Override PartName="/xl/pivotCache/pivotCacheDefinition17.xml" ContentType="application/vnd.openxmlformats-officedocument.spreadsheetml.pivotCacheDefinition+xml"/>
  <Override PartName="/xl/pivotTables/pivotTable7.xml" ContentType="application/vnd.openxmlformats-officedocument.spreadsheetml.pivotTable+xml"/>
  <Override PartName="/xl/charts/chart9.xml" ContentType="application/vnd.openxmlformats-officedocument.drawingml.chart+xml"/>
  <Override PartName="/xl/charts/chart12.xml" ContentType="application/vnd.openxmlformats-officedocument.drawingml.chart+xml"/>
  <Override PartName="/xl/worksheets/sheet25.xml" ContentType="application/vnd.openxmlformats-officedocument.spreadsheetml.worksheet+xml"/>
  <Override PartName="/xl/pivotCache/pivotCacheDefinition24.xml" ContentType="application/vnd.openxmlformats-officedocument.spreadsheetml.pivotCacheDefinition+xml"/>
  <Default Extension="bin" ContentType="application/vnd.openxmlformats-officedocument.spreadsheetml.printerSettings"/>
  <Default Extension="png" ContentType="image/png"/>
  <Override PartName="/xl/worksheets/sheet14.xml" ContentType="application/vnd.openxmlformats-officedocument.spreadsheetml.worksheet+xml"/>
  <Override PartName="/xl/pivotCache/pivotCacheDefinition13.xml" ContentType="application/vnd.openxmlformats-officedocument.spreadsheetml.pivotCacheDefinition+xml"/>
  <Override PartName="/xl/pivotCache/pivotCacheDefinition31.xml" ContentType="application/vnd.openxmlformats-officedocument.spreadsheetml.pivotCacheDefinition+xml"/>
  <Override PartName="/xl/pivotCache/pivotCacheRecords17.xml" ContentType="application/vnd.openxmlformats-officedocument.spreadsheetml.pivotCacheRecords+xml"/>
  <Override PartName="/xl/pivotTables/pivotTable3.xml" ContentType="application/vnd.openxmlformats-officedocument.spreadsheetml.pivotTable+xml"/>
  <Override PartName="/xl/charts/chart5.xml" ContentType="application/vnd.openxmlformats-officedocument.drawingml.chart+xml"/>
  <Override PartName="/xl/drawings/drawing7.xml" ContentType="application/vnd.openxmlformats-officedocument.drawing+xml"/>
  <Override PartName="/xl/pivotTables/pivotTable39.xml" ContentType="application/vnd.openxmlformats-officedocument.spreadsheetml.pivotTable+xml"/>
  <Override PartName="/xl/pivotTables/pivotTable57.xml" ContentType="application/vnd.openxmlformats-officedocument.spreadsheetml.pivotTable+xml"/>
  <Override PartName="/xl/worksheets/sheet8.xml" ContentType="application/vnd.openxmlformats-officedocument.spreadsheetml.worksheet+xml"/>
  <Override PartName="/xl/worksheets/sheet21.xml" ContentType="application/vnd.openxmlformats-officedocument.spreadsheetml.worksheet+xml"/>
  <Override PartName="/xl/pivotCache/pivotCacheDefinition7.xml" ContentType="application/vnd.openxmlformats-officedocument.spreadsheetml.pivotCacheDefinition+xml"/>
  <Override PartName="/xl/pivotCache/pivotCacheDefinition20.xml" ContentType="application/vnd.openxmlformats-officedocument.spreadsheetml.pivotCacheDefinition+xml"/>
  <Override PartName="/xl/pivotTables/pivotTable17.xml" ContentType="application/vnd.openxmlformats-officedocument.spreadsheetml.pivotTable+xml"/>
  <Override PartName="/xl/pivotTables/pivotTable28.xml" ContentType="application/vnd.openxmlformats-officedocument.spreadsheetml.pivotTable+xml"/>
  <Override PartName="/xl/pivotTables/pivotTable46.xml" ContentType="application/vnd.openxmlformats-officedocument.spreadsheetml.pivotTable+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pivotCache/pivotCacheRecords9.xml" ContentType="application/vnd.openxmlformats-officedocument.spreadsheetml.pivotCacheRecords+xml"/>
  <Override PartName="/xl/pivotCache/pivotCacheRecords13.xml" ContentType="application/vnd.openxmlformats-officedocument.spreadsheetml.pivotCacheRecords+xml"/>
  <Override PartName="/xl/charts/chart1.xml" ContentType="application/vnd.openxmlformats-officedocument.drawingml.chart+xml"/>
  <Override PartName="/xl/drawings/drawing3.xml" ContentType="application/vnd.openxmlformats-officedocument.drawing+xml"/>
  <Override PartName="/xl/comments5.xml" ContentType="application/vnd.openxmlformats-officedocument.spreadsheetml.comments+xml"/>
  <Override PartName="/xl/pivotTables/pivotTable35.xml" ContentType="application/vnd.openxmlformats-officedocument.spreadsheetml.pivotTable+xml"/>
  <Override PartName="/xl/pivotTables/pivotTable53.xml" ContentType="application/vnd.openxmlformats-officedocument.spreadsheetml.pivotTable+xml"/>
  <Override PartName="/docProps/app.xml" ContentType="application/vnd.openxmlformats-officedocument.extended-properties+xml"/>
  <Override PartName="/xl/pivotCache/pivotCacheDefinition3.xml" ContentType="application/vnd.openxmlformats-officedocument.spreadsheetml.pivotCacheDefinition+xml"/>
  <Override PartName="/xl/pivotTables/pivotTable13.xml" ContentType="application/vnd.openxmlformats-officedocument.spreadsheetml.pivotTable+xml"/>
  <Override PartName="/xl/pivotTables/pivotTable24.xml" ContentType="application/vnd.openxmlformats-officedocument.spreadsheetml.pivotTable+xml"/>
  <Override PartName="/xl/pivotTables/pivotTable42.xml" ContentType="application/vnd.openxmlformats-officedocument.spreadsheetml.pivotTable+xml"/>
  <Override PartName="/xl/pivotTables/pivotTable60.xml" ContentType="application/vnd.openxmlformats-officedocument.spreadsheetml.pivotTable+xml"/>
  <Override PartName="/xl/pivotCache/pivotCacheRecords5.xml" ContentType="application/vnd.openxmlformats-officedocument.spreadsheetml.pivotCacheRecords+xml"/>
  <Default Extension="vml" ContentType="application/vnd.openxmlformats-officedocument.vmlDrawing"/>
  <Override PartName="/xl/comments1.xml" ContentType="application/vnd.openxmlformats-officedocument.spreadsheetml.comments+xml"/>
  <Override PartName="/xl/charts/chart17.xml" ContentType="application/vnd.openxmlformats-officedocument.drawingml.chart+xml"/>
  <Override PartName="/xl/pivotTables/pivotTable31.xml" ContentType="application/vnd.openxmlformats-officedocument.spreadsheetml.pivotTable+xml"/>
  <Override PartName="/xl/calcChain.xml" ContentType="application/vnd.openxmlformats-officedocument.spreadsheetml.calcChain+xml"/>
  <Override PartName="/xl/worksheets/sheet19.xml" ContentType="application/vnd.openxmlformats-officedocument.spreadsheetml.worksheet+xml"/>
  <Override PartName="/xl/pivotCache/pivotCacheDefinition18.xml" ContentType="application/vnd.openxmlformats-officedocument.spreadsheetml.pivotCacheDefinition+xml"/>
  <Override PartName="/xl/pivotCache/pivotCacheDefinition29.xml" ContentType="application/vnd.openxmlformats-officedocument.spreadsheetml.pivotCacheDefinition+xml"/>
  <Override PartName="/xl/charts/chart13.xml" ContentType="application/vnd.openxmlformats-officedocument.drawingml.chart+xml"/>
  <Override PartName="/xl/pivotTables/pivotTable20.xml" ContentType="application/vnd.openxmlformats-officedocument.spreadsheetml.pivotTable+xml"/>
  <Override PartName="/xl/chartsheets/sheet1.xml" ContentType="application/vnd.openxmlformats-officedocument.spreadsheetml.chartsheet+xml"/>
  <Override PartName="/xl/worksheets/sheet26.xml" ContentType="application/vnd.openxmlformats-officedocument.spreadsheetml.worksheet+xml"/>
  <Override PartName="/xl/pivotCache/pivotCacheRecords1.xml" ContentType="application/vnd.openxmlformats-officedocument.spreadsheetml.pivotCacheRecords+xml"/>
  <Override PartName="/xl/pivotTables/pivotTable8.xml" ContentType="application/vnd.openxmlformats-officedocument.spreadsheetml.pivotTable+xml"/>
  <Override PartName="/docProps/core.xml" ContentType="application/vnd.openxmlformats-package.core-properties+xml"/>
  <Override PartName="/xl/worksheets/sheet15.xml" ContentType="application/vnd.openxmlformats-officedocument.spreadsheetml.worksheet+xml"/>
  <Override PartName="/xl/pivotCache/pivotCacheDefinition14.xml" ContentType="application/vnd.openxmlformats-officedocument.spreadsheetml.pivotCacheDefinition+xml"/>
  <Override PartName="/xl/pivotCache/pivotCacheDefinition25.xml" ContentType="application/vnd.openxmlformats-officedocument.spreadsheetml.pivotCacheDefinition+xml"/>
  <Override PartName="/xl/pivotCache/pivotCacheRecords18.xml" ContentType="application/vnd.openxmlformats-officedocument.spreadsheetml.pivotCacheRecords+xml"/>
  <Override PartName="/xl/charts/chart6.xml" ContentType="application/vnd.openxmlformats-officedocument.drawingml.chart+xml"/>
  <Override PartName="/xl/charts/chart20.xml" ContentType="application/vnd.openxmlformats-officedocument.drawingml.chart+xml"/>
  <Override PartName="/xl/worksheets/sheet9.xml" ContentType="application/vnd.openxmlformats-officedocument.spreadsheetml.worksheet+xml"/>
  <Override PartName="/xl/worksheets/sheet22.xml" ContentType="application/vnd.openxmlformats-officedocument.spreadsheetml.worksheet+xml"/>
  <Override PartName="/xl/pivotCache/pivotCacheDefinition32.xml" ContentType="application/vnd.openxmlformats-officedocument.spreadsheetml.pivotCacheDefinition+xml"/>
  <Override PartName="/xl/theme/theme1.xml" ContentType="application/vnd.openxmlformats-officedocument.theme+xml"/>
  <Override PartName="/xl/pivotTables/pivotTable4.xml" ContentType="application/vnd.openxmlformats-officedocument.spreadsheetml.pivotTable+xml"/>
  <Override PartName="/xl/pivotTables/pivotTable29.xml" ContentType="application/vnd.openxmlformats-officedocument.spreadsheetml.pivotTable+xml"/>
  <Override PartName="/xl/pivotTables/pivotTable58.xml" ContentType="application/vnd.openxmlformats-officedocument.spreadsheetml.pivotTable+xml"/>
  <Override PartName="/xl/drawings/drawing8.xml" ContentType="application/vnd.openxmlformats-officedocument.drawing+xml"/>
  <Override PartName="/xl/worksheets/sheet11.xml" ContentType="application/vnd.openxmlformats-officedocument.spreadsheetml.worksheet+xml"/>
  <Override PartName="/xl/pivotCache/pivotCacheDefinition8.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21.xml" ContentType="application/vnd.openxmlformats-officedocument.spreadsheetml.pivotCacheDefinition+xml"/>
  <Override PartName="/xl/pivotCache/pivotCacheRecords14.xml" ContentType="application/vnd.openxmlformats-officedocument.spreadsheetml.pivotCacheRecords+xml"/>
  <Override PartName="/xl/charts/chart2.xml" ContentType="application/vnd.openxmlformats-officedocument.drawingml.chart+xml"/>
  <Override PartName="/xl/drawings/drawing4.xml" ContentType="application/vnd.openxmlformats-officedocument.drawing+xml"/>
  <Override PartName="/xl/pivotTables/pivotTable18.xml" ContentType="application/vnd.openxmlformats-officedocument.spreadsheetml.pivotTable+xml"/>
  <Override PartName="/xl/comments6.xml" ContentType="application/vnd.openxmlformats-officedocument.spreadsheetml.comments+xml"/>
  <Override PartName="/xl/pivotTables/pivotTable36.xml" ContentType="application/vnd.openxmlformats-officedocument.spreadsheetml.pivotTable+xml"/>
  <Override PartName="/xl/pivotTables/pivotTable47.xml" ContentType="application/vnd.openxmlformats-officedocument.spreadsheetml.pivotTable+xml"/>
  <Default Extension="rels" ContentType="application/vnd.openxmlformats-package.relationships+xml"/>
  <Override PartName="/xl/worksheets/sheet5.xml" ContentType="application/vnd.openxmlformats-officedocument.spreadsheetml.worksheet+xml"/>
  <Override PartName="/xl/pivotCache/pivotCacheDefinition4.xml" ContentType="application/vnd.openxmlformats-officedocument.spreadsheetml.pivotCacheDefinition+xml"/>
  <Override PartName="/xl/pivotTables/pivotTable25.xml" ContentType="application/vnd.openxmlformats-officedocument.spreadsheetml.pivotTable+xml"/>
  <Override PartName="/xl/pivotTables/pivotTable54.xml" ContentType="application/vnd.openxmlformats-officedocument.spreadsheetml.pivotTable+xml"/>
  <Override PartName="/xl/pivotCache/pivotCacheRecords10.xml" ContentType="application/vnd.openxmlformats-officedocument.spreadsheetml.pivotCacheRecords+xml"/>
  <Override PartName="/xl/comments2.xml" ContentType="application/vnd.openxmlformats-officedocument.spreadsheetml.comments+xml"/>
  <Override PartName="/xl/pivotTables/pivotTable14.xml" ContentType="application/vnd.openxmlformats-officedocument.spreadsheetml.pivotTable+xml"/>
  <Override PartName="/xl/charts/chart18.xml" ContentType="application/vnd.openxmlformats-officedocument.drawingml.chart+xml"/>
  <Override PartName="/xl/pivotTables/pivotTable32.xml" ContentType="application/vnd.openxmlformats-officedocument.spreadsheetml.pivotTable+xml"/>
  <Override PartName="/xl/pivotTables/pivotTable43.xml" ContentType="application/vnd.openxmlformats-officedocument.spreadsheetml.pivotTable+xml"/>
  <Override PartName="/xl/worksheets/sheet1.xml" ContentType="application/vnd.openxmlformats-officedocument.spreadsheetml.worksheet+xml"/>
  <Override PartName="/xl/pivotCache/pivotCacheRecords6.xml" ContentType="application/vnd.openxmlformats-officedocument.spreadsheetml.pivotCacheRecords+xml"/>
  <Override PartName="/xl/pivotTables/pivotTable21.xml" ContentType="application/vnd.openxmlformats-officedocument.spreadsheetml.pivotTable+xml"/>
  <Override PartName="/xl/pivotTables/pivotTable50.xml" ContentType="application/vnd.openxmlformats-officedocument.spreadsheetml.pivotTable+xml"/>
  <Override PartName="/xl/pivotCache/pivotCacheDefinition19.xml" ContentType="application/vnd.openxmlformats-officedocument.spreadsheetml.pivotCacheDefinition+xml"/>
  <Override PartName="/xl/pivotTables/pivotTable9.xml" ContentType="application/vnd.openxmlformats-officedocument.spreadsheetml.pivotTable+xml"/>
  <Override PartName="/xl/pivotTables/pivotTable10.xml" ContentType="application/vnd.openxmlformats-officedocument.spreadsheetml.pivotTable+xml"/>
  <Override PartName="/xl/charts/chart14.xml" ContentType="application/vnd.openxmlformats-officedocument.drawingml.chart+xml"/>
  <Override PartName="/xl/worksheets/sheet27.xml" ContentType="application/vnd.openxmlformats-officedocument.spreadsheetml.worksheet+xml"/>
  <Override PartName="/xl/pivotCache/pivotCacheRecords2.xml" ContentType="application/vnd.openxmlformats-officedocument.spreadsheetml.pivotCacheRecords+xml"/>
  <Override PartName="/xl/pivotCache/pivotCacheDefinition26.xml" ContentType="application/vnd.openxmlformats-officedocument.spreadsheetml.pivotCacheDefinition+xml"/>
  <Override PartName="/xl/charts/chart21.xml" ContentType="application/vnd.openxmlformats-officedocument.drawingml.chart+xml"/>
  <Override PartName="/xl/worksheets/sheet16.xml" ContentType="application/vnd.openxmlformats-officedocument.spreadsheetml.worksheet+xml"/>
  <Override PartName="/xl/pivotCache/pivotCacheDefinition15.xml" ContentType="application/vnd.openxmlformats-officedocument.spreadsheetml.pivotCacheDefinition+xml"/>
  <Override PartName="/xl/pivotCache/pivotCacheDefinition33.xml" ContentType="application/vnd.openxmlformats-officedocument.spreadsheetml.pivotCacheDefinition+xml"/>
  <Override PartName="/xl/pivotCache/pivotCacheRecords19.xml" ContentType="application/vnd.openxmlformats-officedocument.spreadsheetml.pivotCacheRecords+xml"/>
  <Override PartName="/xl/pivotTables/pivotTable5.xml" ContentType="application/vnd.openxmlformats-officedocument.spreadsheetml.pivotTable+xml"/>
  <Override PartName="/xl/charts/chart7.xml" ContentType="application/vnd.openxmlformats-officedocument.drawingml.chart+xml"/>
  <Override PartName="/xl/charts/chart10.xml" ContentType="application/vnd.openxmlformats-officedocument.drawingml.chart+xml"/>
  <Override PartName="/xl/pivotTables/pivotTable59.xml" ContentType="application/vnd.openxmlformats-officedocument.spreadsheetml.pivotTable+xml"/>
  <Override PartName="/xl/drawings/drawing9.xml" ContentType="application/vnd.openxmlformats-officedocument.drawing+xml"/>
  <Override PartName="/xl/worksheets/sheet23.xml" ContentType="application/vnd.openxmlformats-officedocument.spreadsheetml.worksheet+xml"/>
  <Override PartName="/xl/pivotCache/pivotCacheDefinition9.xml" ContentType="application/vnd.openxmlformats-officedocument.spreadsheetml.pivotCacheDefinition+xml"/>
  <Override PartName="/xl/pivotCache/pivotCacheDefinition22.xml" ContentType="application/vnd.openxmlformats-officedocument.spreadsheetml.pivotCacheDefinition+xml"/>
  <Override PartName="/xl/pivotTables/pivotTable19.xml" ContentType="application/vnd.openxmlformats-officedocument.spreadsheetml.pivotTable+xml"/>
  <Override PartName="/xl/pivotTables/pivotTable48.xml" ContentType="application/vnd.openxmlformats-officedocument.spreadsheetml.pivotTable+xml"/>
  <Override PartName="/xl/worksheets/sheet6.xml" ContentType="application/vnd.openxmlformats-officedocument.spreadsheetml.worksheet+xml"/>
  <Override PartName="/xl/worksheets/sheet12.xml" ContentType="application/vnd.openxmlformats-officedocument.spreadsheetml.worksheet+xml"/>
  <Override PartName="/xl/pivotCache/pivotCacheDefinition11.xml" ContentType="application/vnd.openxmlformats-officedocument.spreadsheetml.pivotCacheDefinition+xml"/>
  <Override PartName="/xl/pivotCache/pivotCacheRecords15.xml" ContentType="application/vnd.openxmlformats-officedocument.spreadsheetml.pivotCacheRecords+xml"/>
  <Override PartName="/xl/pivotTables/pivotTable1.xml" ContentType="application/vnd.openxmlformats-officedocument.spreadsheetml.pivotTable+xml"/>
  <Override PartName="/xl/charts/chart3.xml" ContentType="application/vnd.openxmlformats-officedocument.drawingml.chart+xml"/>
  <Override PartName="/xl/drawings/drawing5.xml" ContentType="application/vnd.openxmlformats-officedocument.drawing+xml"/>
  <Default Extension="jpeg" ContentType="image/jpeg"/>
  <Override PartName="/xl/pivotTables/pivotTable37.xml" ContentType="application/vnd.openxmlformats-officedocument.spreadsheetml.pivotTable+xml"/>
  <Override PartName="/xl/pivotTables/pivotTable55.xml" ContentType="application/vnd.openxmlformats-officedocument.spreadsheetml.pivotTable+xml"/>
  <Override PartName="/xl/comments7.xml" ContentType="application/vnd.openxmlformats-officedocument.spreadsheetml.comments+xml"/>
  <Override PartName="/xl/pivotCache/pivotCacheDefinition5.xml" ContentType="application/vnd.openxmlformats-officedocument.spreadsheetml.pivotCacheDefinition+xml"/>
  <Override PartName="/xl/pivotTables/pivotTable15.xml" ContentType="application/vnd.openxmlformats-officedocument.spreadsheetml.pivotTable+xml"/>
  <Override PartName="/xl/pivotTables/pivotTable26.xml" ContentType="application/vnd.openxmlformats-officedocument.spreadsheetml.pivotTable+xml"/>
  <Override PartName="/xl/pivotTables/pivotTable44.xml" ContentType="application/vnd.openxmlformats-officedocument.spreadsheetml.pivotTable+xml"/>
  <Override PartName="/xl/worksheets/sheet2.xml" ContentType="application/vnd.openxmlformats-officedocument.spreadsheetml.worksheet+xml"/>
  <Override PartName="/xl/pivotCache/pivotCacheRecords7.xml" ContentType="application/vnd.openxmlformats-officedocument.spreadsheetml.pivotCacheRecords+xml"/>
  <Override PartName="/xl/pivotCache/pivotCacheRecords11.xml" ContentType="application/vnd.openxmlformats-officedocument.spreadsheetml.pivotCacheRecords+xml"/>
  <Override PartName="/xl/drawings/drawing1.xml" ContentType="application/vnd.openxmlformats-officedocument.drawing+xml"/>
  <Override PartName="/xl/comments3.xml" ContentType="application/vnd.openxmlformats-officedocument.spreadsheetml.comments+xml"/>
  <Override PartName="/xl/charts/chart19.xml" ContentType="application/vnd.openxmlformats-officedocument.drawingml.chart+xml"/>
  <Override PartName="/xl/pivotTables/pivotTable33.xml" ContentType="application/vnd.openxmlformats-officedocument.spreadsheetml.pivotTable+xml"/>
  <Override PartName="/xl/pivotTables/pivotTable51.xml" ContentType="application/vnd.openxmlformats-officedocument.spreadsheetml.pivotTable+xml"/>
  <Override PartName="/xl/pivotCache/pivotCacheDefinition1.xml" ContentType="application/vnd.openxmlformats-officedocument.spreadsheetml.pivotCacheDefinition+xml"/>
  <Override PartName="/xl/pivotTables/pivotTable11.xml" ContentType="application/vnd.openxmlformats-officedocument.spreadsheetml.pivotTable+xml"/>
  <Override PartName="/xl/pivotTables/pivotTable22.xml" ContentType="application/vnd.openxmlformats-officedocument.spreadsheetml.pivotTable+xml"/>
  <Override PartName="/xl/pivotTables/pivotTable40.xml" ContentType="application/vnd.openxmlformats-officedocument.spreadsheetml.pivotTable+xml"/>
  <Override PartName="/xl/pivotCache/pivotCacheRecords3.xml" ContentType="application/vnd.openxmlformats-officedocument.spreadsheetml.pivotCacheRecords+xml"/>
  <Override PartName="/xl/charts/chart15.xml" ContentType="application/vnd.openxmlformats-officedocument.drawingml.chart+xml"/>
  <Override PartName="/xl/worksheets/sheet17.xml" ContentType="application/vnd.openxmlformats-officedocument.spreadsheetml.worksheet+xml"/>
  <Override PartName="/xl/pivotCache/pivotCacheDefinition16.xml" ContentType="application/vnd.openxmlformats-officedocument.spreadsheetml.pivotCacheDefinition+xml"/>
  <Override PartName="/xl/pivotCache/pivotCacheDefinition27.xml" ContentType="application/vnd.openxmlformats-officedocument.spreadsheetml.pivotCacheDefinition+xml"/>
  <Override PartName="/xl/charts/chart8.xml" ContentType="application/vnd.openxmlformats-officedocument.drawingml.chart+xml"/>
  <Override PartName="/xl/charts/chart11.xml" ContentType="application/vnd.openxmlformats-officedocument.drawingml.chart+xml"/>
  <Override PartName="/xl/charts/chart22.xml" ContentType="application/vnd.openxmlformats-officedocument.drawingml.chart+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codeName="ThisWorkbook" hidePivotFieldList="1" showPivotChartFilter="1" defaultThemeVersion="124226"/>
  <bookViews>
    <workbookView xWindow="-60" yWindow="-135" windowWidth="19320" windowHeight="12135" tabRatio="690" firstSheet="2" activeTab="5"/>
  </bookViews>
  <sheets>
    <sheet name="IFRCDB" sheetId="46" r:id="rId1"/>
    <sheet name="IFRC - 2010&amp;11" sheetId="43" r:id="rId2"/>
    <sheet name="ARCT contribution history" sheetId="48" r:id="rId3"/>
    <sheet name="IFRC appeals &amp; ARCT charts" sheetId="45" r:id="rId4"/>
    <sheet name="ARCT 4-12 inquiry - background" sheetId="41" r:id="rId5"/>
    <sheet name="Disaster Data" sheetId="1" r:id="rId6"/>
    <sheet name="MRL Analysis" sheetId="32" r:id="rId7"/>
    <sheet name="MRL Analysis (2)" sheetId="36" r:id="rId8"/>
    <sheet name="MRL Analysis (3)" sheetId="37" r:id="rId9"/>
    <sheet name="MRL Analysis (4)" sheetId="38" r:id="rId10"/>
    <sheet name="MRL Analysis (5)" sheetId="39" r:id="rId11"/>
    <sheet name="Deployments History" sheetId="13" r:id="rId12"/>
    <sheet name="MRL Instructions" sheetId="26" r:id="rId13"/>
    <sheet name="Disaster Typology" sheetId="2" r:id="rId14"/>
    <sheet name="Control" sheetId="22" r:id="rId15"/>
    <sheet name="At a Glance" sheetId="11" r:id="rId16"/>
    <sheet name="Top by Country" sheetId="21" r:id="rId17"/>
    <sheet name="ICRC funding" sheetId="23" r:id="rId18"/>
    <sheet name="Historical Totals" sheetId="17" r:id="rId19"/>
    <sheet name="FY06-10 analysis" sheetId="20" r:id="rId20"/>
    <sheet name="FY01-10 analysis (10yr)" sheetId="24" r:id="rId21"/>
    <sheet name="ICRC-IFRC contributions" sheetId="31" r:id="rId22"/>
    <sheet name="Other Historical" sheetId="19" r:id="rId23"/>
    <sheet name="FY2011 analysis " sheetId="25" r:id="rId24"/>
    <sheet name="Sheet1" sheetId="30" r:id="rId25"/>
    <sheet name="Chart3" sheetId="29" r:id="rId26"/>
    <sheet name="PRISM Conversion" sheetId="8" r:id="rId27"/>
    <sheet name="Sheet4" sheetId="35" r:id="rId28"/>
  </sheets>
  <definedNames>
    <definedName name="_xlnm._FilterDatabase" localSheetId="11" hidden="1">'Deployments History'!$A$3:$P$154</definedName>
    <definedName name="_xlnm._FilterDatabase" localSheetId="5" hidden="1">'Disaster Data'!$A$1:$CH$391</definedName>
    <definedName name="_xlnm._FilterDatabase" localSheetId="20" hidden="1">'FY01-10 analysis (10yr)'!$L$4:$N$4</definedName>
    <definedName name="_xlnm._FilterDatabase" localSheetId="19" hidden="1">'FY06-10 analysis'!$L$4:$N$4</definedName>
    <definedName name="_xlnm._FilterDatabase" localSheetId="23" hidden="1">'FY2011 analysis '!$R$4:$T$4</definedName>
    <definedName name="_xlnm._FilterDatabase" localSheetId="21" hidden="1">'ICRC-IFRC contributions'!#REF!</definedName>
    <definedName name="_xlnm._FilterDatabase" localSheetId="1" hidden="1">'IFRC - 2010&amp;11'!$A$1:$O$109</definedName>
    <definedName name="_xlnm._FilterDatabase" localSheetId="7" hidden="1">'MRL Analysis (2)'!$A$108:$CX$371</definedName>
    <definedName name="Country_Affected">'Deployments History'!$B$4:$B$170</definedName>
    <definedName name="Deployments_History_Data">'Deployments History'!$A$3:$P$159</definedName>
    <definedName name="Disaster">'Deployments History'!$C$4:$C$160</definedName>
    <definedName name="DisasterData" localSheetId="21">'ICRC-IFRC contributions'!$A$1:$BZ$33</definedName>
    <definedName name="DisasterData">'Disaster Data'!$A$1:$BY$403</definedName>
    <definedName name="End">'Deployments History'!$I$4:$I$160</definedName>
    <definedName name="ERU_List">Control!$A$5:$A$6</definedName>
    <definedName name="Federation_Deployment_Roles" localSheetId="7">'MRL Instructions'!$A$12:$A$33</definedName>
    <definedName name="Federation_Deployment_Roles">Control!$A$12:$A$33</definedName>
    <definedName name="Fiscal_Year">'Deployments History'!$L$4:$L$160</definedName>
    <definedName name="Glide" localSheetId="21">'ICRC-IFRC contributions'!$A$1:$BZ$33</definedName>
    <definedName name="Glide">'Disaster Data'!$A$1:$BY$403</definedName>
    <definedName name="NHQ_Contact">'Deployments History'!$O$3:$O$160</definedName>
    <definedName name="Person">'Deployments History'!$D$4:$D$160</definedName>
    <definedName name="_xlnm.Print_Area" localSheetId="5">'Disaster Data'!$D$323:$F$350</definedName>
    <definedName name="_xlnm.Print_Area" localSheetId="23">'FY2011 analysis '!$A$1:$N$33</definedName>
    <definedName name="_xlnm.Print_Area" localSheetId="21">'ICRC-IFRC contributions'!#REF!</definedName>
    <definedName name="_xlnm.Print_Area" localSheetId="7">'MRL Analysis (2)'!$A$41:$H$43</definedName>
    <definedName name="_xlnm.Print_Area" localSheetId="26">'PRISM Conversion'!$A$1:$M$34</definedName>
    <definedName name="_xlnm.Print_Titles" localSheetId="5">'Disaster Data'!$D:$D,'Disaster Data'!$1:$1</definedName>
    <definedName name="_xlnm.Print_Titles" localSheetId="21">'ICRC-IFRC contributions'!$C:$C,'ICRC-IFRC contributions'!#REF!</definedName>
    <definedName name="Quarter">'Deployments History'!$K$4:$K$159</definedName>
    <definedName name="Region_NHQ_Fed">'Deployments History'!$N$3:$N$159</definedName>
    <definedName name="Response_or_Non?">'Deployments History'!$J$4:$J$160</definedName>
    <definedName name="Role">'Deployments History'!$E$4:$E$159</definedName>
    <definedName name="Roster_or_Staff?">'Deployments History'!$M$4:$M$159</definedName>
    <definedName name="Start">'Deployments History'!$H$4:$H$160</definedName>
    <definedName name="Work_Location">'Deployments History'!$G$4:$G$160</definedName>
  </definedNames>
  <calcPr calcId="125725" concurrentCalc="0"/>
  <pivotCaches>
    <pivotCache cacheId="2" r:id="rId29"/>
    <pivotCache cacheId="3" r:id="rId30"/>
    <pivotCache cacheId="4" r:id="rId31"/>
    <pivotCache cacheId="5" r:id="rId32"/>
    <pivotCache cacheId="6" r:id="rId33"/>
    <pivotCache cacheId="7" r:id="rId34"/>
    <pivotCache cacheId="8" r:id="rId35"/>
    <pivotCache cacheId="9" r:id="rId36"/>
    <pivotCache cacheId="10" r:id="rId37"/>
    <pivotCache cacheId="11" r:id="rId38"/>
    <pivotCache cacheId="12" r:id="rId39"/>
    <pivotCache cacheId="13" r:id="rId40"/>
    <pivotCache cacheId="14" r:id="rId41"/>
    <pivotCache cacheId="15" r:id="rId42"/>
    <pivotCache cacheId="16" r:id="rId43"/>
    <pivotCache cacheId="17" r:id="rId44"/>
    <pivotCache cacheId="18" r:id="rId45"/>
    <pivotCache cacheId="19" r:id="rId46"/>
    <pivotCache cacheId="20" r:id="rId47"/>
    <pivotCache cacheId="21" r:id="rId48"/>
    <pivotCache cacheId="22" r:id="rId49"/>
    <pivotCache cacheId="23" r:id="rId50"/>
    <pivotCache cacheId="24" r:id="rId51"/>
    <pivotCache cacheId="25" r:id="rId52"/>
    <pivotCache cacheId="26" r:id="rId53"/>
    <pivotCache cacheId="27" r:id="rId54"/>
    <pivotCache cacheId="28" r:id="rId55"/>
    <pivotCache cacheId="29" r:id="rId56"/>
    <pivotCache cacheId="30" r:id="rId57"/>
    <pivotCache cacheId="31" r:id="rId58"/>
    <pivotCache cacheId="32" r:id="rId59"/>
    <pivotCache cacheId="33" r:id="rId60"/>
    <pivotCache cacheId="34" r:id="rId61"/>
  </pivotCaches>
</workbook>
</file>

<file path=xl/calcChain.xml><?xml version="1.0" encoding="utf-8"?>
<calcChain xmlns="http://schemas.openxmlformats.org/spreadsheetml/2006/main">
  <c r="BF389" i="1"/>
  <c r="BF382"/>
  <c r="BF381"/>
  <c r="BU212"/>
  <c r="BU213"/>
  <c r="BU214"/>
  <c r="BU215"/>
  <c r="BU216"/>
  <c r="BU217"/>
  <c r="BU218"/>
  <c r="BU219"/>
  <c r="BU220"/>
  <c r="BU221"/>
  <c r="BU222"/>
  <c r="BU223"/>
  <c r="BU224"/>
  <c r="BU225"/>
  <c r="BU226"/>
  <c r="BU227"/>
  <c r="BU228"/>
  <c r="BU229"/>
  <c r="BU230"/>
  <c r="BU231"/>
  <c r="BU232"/>
  <c r="BU233"/>
  <c r="BU234"/>
  <c r="BU235"/>
  <c r="BU236"/>
  <c r="BU237"/>
  <c r="BU238"/>
  <c r="BU239"/>
  <c r="BU240"/>
  <c r="BU241"/>
  <c r="BU242"/>
  <c r="BU243"/>
  <c r="BU244"/>
  <c r="BU245"/>
  <c r="BU246"/>
  <c r="BU247"/>
  <c r="BU248"/>
  <c r="BU249"/>
  <c r="BU250"/>
  <c r="BU251"/>
  <c r="BU252"/>
  <c r="BU253"/>
  <c r="BU254"/>
  <c r="BU255"/>
  <c r="BU256"/>
  <c r="BU257"/>
  <c r="BU258"/>
  <c r="BU259"/>
  <c r="BU260"/>
  <c r="BU261"/>
  <c r="BU262"/>
  <c r="BU263"/>
  <c r="BU264"/>
  <c r="BU265"/>
  <c r="BU266"/>
  <c r="BU267"/>
  <c r="BU268"/>
  <c r="BU269"/>
  <c r="BU270"/>
  <c r="BU271"/>
  <c r="BU272"/>
  <c r="BU273"/>
  <c r="BU274"/>
  <c r="BU275"/>
  <c r="BU276"/>
  <c r="BU277"/>
  <c r="BU278"/>
  <c r="BU279"/>
  <c r="BU280"/>
  <c r="BU281"/>
  <c r="BU282"/>
  <c r="BU283"/>
  <c r="BU284"/>
  <c r="BU285"/>
  <c r="BU286"/>
  <c r="BU287"/>
  <c r="BU288"/>
  <c r="BU289"/>
  <c r="BU290"/>
  <c r="BU291"/>
  <c r="BU292"/>
  <c r="BU293"/>
  <c r="BU294"/>
  <c r="BU295"/>
  <c r="BU296"/>
  <c r="BU297"/>
  <c r="BU298"/>
  <c r="BU299"/>
  <c r="BU300"/>
  <c r="BU301"/>
  <c r="BU302"/>
  <c r="BU303"/>
  <c r="BU304"/>
  <c r="BU305"/>
  <c r="BU306"/>
  <c r="BU307"/>
  <c r="BU308"/>
  <c r="BU309"/>
  <c r="BU310"/>
  <c r="BU311"/>
  <c r="BU312"/>
  <c r="BU313"/>
  <c r="BU314"/>
  <c r="BU315"/>
  <c r="BU316"/>
  <c r="BU317"/>
  <c r="BU318"/>
  <c r="BU319"/>
  <c r="BU320"/>
  <c r="BU324"/>
  <c r="BU325"/>
  <c r="BU326"/>
  <c r="BU328"/>
  <c r="BU329"/>
  <c r="BU330"/>
  <c r="BU331"/>
  <c r="BU332"/>
  <c r="BU333"/>
  <c r="BU334"/>
  <c r="BU335"/>
  <c r="BU338"/>
  <c r="BU339"/>
  <c r="BU340"/>
  <c r="BU341"/>
  <c r="BU342"/>
  <c r="BU343"/>
  <c r="BU344"/>
  <c r="BU349"/>
  <c r="BU350"/>
  <c r="BU351"/>
  <c r="BU352"/>
  <c r="BU353"/>
  <c r="BU358"/>
  <c r="BU360"/>
  <c r="BU361"/>
  <c r="T369"/>
  <c r="T368"/>
  <c r="T367"/>
  <c r="T366"/>
  <c r="T365"/>
  <c r="Y364"/>
  <c r="Y392"/>
  <c r="AC345"/>
  <c r="AC346"/>
  <c r="T344"/>
  <c r="X56" i="45"/>
  <c r="X55"/>
  <c r="W55"/>
  <c r="P56"/>
  <c r="P55"/>
  <c r="O55"/>
  <c r="O56"/>
  <c r="Z52"/>
  <c r="Y52"/>
  <c r="X52"/>
  <c r="R52"/>
  <c r="Q52"/>
  <c r="P52"/>
  <c r="O52"/>
  <c r="O53"/>
  <c r="P53"/>
  <c r="Q53"/>
  <c r="R53"/>
  <c r="AE4"/>
  <c r="AE8"/>
  <c r="AC261" i="1"/>
  <c r="AE5" i="45"/>
  <c r="W52"/>
  <c r="D3" i="46"/>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2"/>
  <c r="C74" i="45"/>
  <c r="B74"/>
  <c r="B64"/>
  <c r="C64"/>
  <c r="W56"/>
  <c r="W53"/>
  <c r="O57"/>
  <c r="W57"/>
  <c r="P57"/>
  <c r="X57"/>
  <c r="X53"/>
  <c r="P58"/>
  <c r="X58"/>
  <c r="O58"/>
  <c r="W58"/>
  <c r="AE7"/>
  <c r="B12" i="43"/>
  <c r="B28"/>
  <c r="B31"/>
  <c r="B32"/>
  <c r="B2"/>
  <c r="B37"/>
  <c r="B22"/>
  <c r="B15"/>
  <c r="B36"/>
  <c r="B10"/>
  <c r="B4"/>
  <c r="B19"/>
  <c r="B27"/>
  <c r="B34"/>
  <c r="B38"/>
  <c r="B13"/>
  <c r="B20"/>
  <c r="B30"/>
  <c r="B5"/>
  <c r="B24"/>
  <c r="B21"/>
  <c r="B17"/>
  <c r="B14"/>
  <c r="B26"/>
  <c r="B29"/>
  <c r="B33"/>
  <c r="B7"/>
  <c r="B11"/>
  <c r="B35"/>
  <c r="B18"/>
  <c r="B16"/>
  <c r="B6"/>
  <c r="B8"/>
  <c r="B39"/>
  <c r="B25"/>
  <c r="B3"/>
  <c r="B40"/>
  <c r="B41"/>
  <c r="B23"/>
  <c r="B9"/>
  <c r="D90" i="41"/>
  <c r="B90"/>
  <c r="X5" i="45"/>
  <c r="F108" i="43"/>
  <c r="F109"/>
  <c r="D38"/>
  <c r="D13"/>
  <c r="D20"/>
  <c r="D30"/>
  <c r="D5"/>
  <c r="D24"/>
  <c r="D21"/>
  <c r="D17"/>
  <c r="D14"/>
  <c r="D26"/>
  <c r="D29"/>
  <c r="D33"/>
  <c r="D7"/>
  <c r="D11"/>
  <c r="D35"/>
  <c r="D18"/>
  <c r="D16"/>
  <c r="D6"/>
  <c r="D8"/>
  <c r="D39"/>
  <c r="D25"/>
  <c r="D3"/>
  <c r="D40"/>
  <c r="D41"/>
  <c r="D23"/>
  <c r="D34"/>
  <c r="D27"/>
  <c r="D19"/>
  <c r="D4"/>
  <c r="D10"/>
  <c r="D36"/>
  <c r="D15"/>
  <c r="D22"/>
  <c r="D37"/>
  <c r="D2"/>
  <c r="D32"/>
  <c r="D31"/>
  <c r="D28"/>
  <c r="D12"/>
  <c r="D42"/>
  <c r="F42"/>
  <c r="D43"/>
  <c r="F43"/>
  <c r="D44"/>
  <c r="F44"/>
  <c r="D45"/>
  <c r="F45"/>
  <c r="D46"/>
  <c r="F46"/>
  <c r="D47"/>
  <c r="F47"/>
  <c r="D48"/>
  <c r="F48"/>
  <c r="D49"/>
  <c r="F49"/>
  <c r="D50"/>
  <c r="F50"/>
  <c r="D51"/>
  <c r="F51"/>
  <c r="D52"/>
  <c r="F52"/>
  <c r="D53"/>
  <c r="F53"/>
  <c r="D54"/>
  <c r="F54"/>
  <c r="D55"/>
  <c r="F55"/>
  <c r="D56"/>
  <c r="F56"/>
  <c r="D57"/>
  <c r="F57"/>
  <c r="D58"/>
  <c r="F58"/>
  <c r="D59"/>
  <c r="F59"/>
  <c r="D60"/>
  <c r="F60"/>
  <c r="D61"/>
  <c r="F61"/>
  <c r="D62"/>
  <c r="F62"/>
  <c r="D63"/>
  <c r="F63"/>
  <c r="D64"/>
  <c r="F64"/>
  <c r="D65"/>
  <c r="F65"/>
  <c r="D66"/>
  <c r="F66"/>
  <c r="D67"/>
  <c r="F67"/>
  <c r="D68"/>
  <c r="F68"/>
  <c r="D69"/>
  <c r="F69"/>
  <c r="D70"/>
  <c r="F70"/>
  <c r="D71"/>
  <c r="F71"/>
  <c r="D72"/>
  <c r="F72"/>
  <c r="D73"/>
  <c r="F73"/>
  <c r="D74"/>
  <c r="F74"/>
  <c r="D75"/>
  <c r="F75"/>
  <c r="D76"/>
  <c r="F76"/>
  <c r="D77"/>
  <c r="F77"/>
  <c r="D78"/>
  <c r="F78"/>
  <c r="D79"/>
  <c r="F79"/>
  <c r="D80"/>
  <c r="F80"/>
  <c r="D81"/>
  <c r="F81"/>
  <c r="D82"/>
  <c r="F82"/>
  <c r="D83"/>
  <c r="F83"/>
  <c r="D84"/>
  <c r="F84"/>
  <c r="D85"/>
  <c r="F85"/>
  <c r="D86"/>
  <c r="F86"/>
  <c r="D87"/>
  <c r="F87"/>
  <c r="D88"/>
  <c r="F88"/>
  <c r="D89"/>
  <c r="F89"/>
  <c r="D90"/>
  <c r="F90"/>
  <c r="D91"/>
  <c r="F91"/>
  <c r="D92"/>
  <c r="F92"/>
  <c r="D93"/>
  <c r="F93"/>
  <c r="D94"/>
  <c r="F94"/>
  <c r="D95"/>
  <c r="F95"/>
  <c r="D96"/>
  <c r="F96"/>
  <c r="D97"/>
  <c r="F97"/>
  <c r="D98"/>
  <c r="F98"/>
  <c r="D99"/>
  <c r="F99"/>
  <c r="D100"/>
  <c r="F100"/>
  <c r="D101"/>
  <c r="F101"/>
  <c r="D102"/>
  <c r="F102"/>
  <c r="D103"/>
  <c r="F103"/>
  <c r="D104"/>
  <c r="F104"/>
  <c r="D105"/>
  <c r="F105"/>
  <c r="D106"/>
  <c r="F106"/>
  <c r="D107"/>
  <c r="F107"/>
  <c r="D9"/>
  <c r="B42"/>
  <c r="B43"/>
  <c r="B44"/>
  <c r="B45"/>
  <c r="B46"/>
  <c r="B47"/>
  <c r="B48"/>
  <c r="B49"/>
  <c r="B50"/>
  <c r="B51"/>
  <c r="B52"/>
  <c r="B53"/>
  <c r="B54"/>
  <c r="B55"/>
  <c r="B56"/>
  <c r="B57"/>
  <c r="B58"/>
  <c r="B59"/>
  <c r="B60"/>
  <c r="B61"/>
  <c r="B62"/>
  <c r="B63"/>
  <c r="B64"/>
  <c r="B65"/>
  <c r="B66"/>
  <c r="B67"/>
  <c r="B68"/>
  <c r="B69"/>
  <c r="B70"/>
  <c r="B71"/>
  <c r="B72"/>
  <c r="B73"/>
  <c r="B74"/>
  <c r="B75"/>
  <c r="B76"/>
  <c r="B77"/>
  <c r="B78"/>
  <c r="B79"/>
  <c r="B80"/>
  <c r="B81"/>
  <c r="B82"/>
  <c r="B83"/>
  <c r="B84"/>
  <c r="B85"/>
  <c r="B86"/>
  <c r="B87"/>
  <c r="B88"/>
  <c r="B89"/>
  <c r="B90"/>
  <c r="B91"/>
  <c r="B92"/>
  <c r="B93"/>
  <c r="B94"/>
  <c r="B95"/>
  <c r="B96"/>
  <c r="B97"/>
  <c r="B98"/>
  <c r="B99"/>
  <c r="B100"/>
  <c r="B101"/>
  <c r="B102"/>
  <c r="B103"/>
  <c r="B104"/>
  <c r="B105"/>
  <c r="B106"/>
  <c r="B107"/>
  <c r="T335" i="1"/>
  <c r="AG314"/>
  <c r="AB372"/>
  <c r="AB370"/>
  <c r="AB371"/>
  <c r="AB368"/>
  <c r="AB369"/>
  <c r="AB366"/>
  <c r="AB367"/>
  <c r="AB365"/>
  <c r="AB364"/>
  <c r="AB363"/>
  <c r="AB360"/>
  <c r="AB362"/>
  <c r="AB358"/>
  <c r="AB354"/>
  <c r="AB355"/>
  <c r="AB356"/>
  <c r="AB357"/>
  <c r="AB353"/>
  <c r="AB347"/>
  <c r="AB348"/>
  <c r="AB349"/>
  <c r="AB350"/>
  <c r="AB351"/>
  <c r="AB352"/>
  <c r="AB327"/>
  <c r="AB328"/>
  <c r="AB329"/>
  <c r="AB330"/>
  <c r="AB331"/>
  <c r="AB332"/>
  <c r="AB333"/>
  <c r="AB334"/>
  <c r="AB335"/>
  <c r="AB338"/>
  <c r="AB339"/>
  <c r="AB340"/>
  <c r="AB341"/>
  <c r="AB342"/>
  <c r="AB343"/>
  <c r="AC344"/>
  <c r="AB314"/>
  <c r="AB315"/>
  <c r="AB316"/>
  <c r="AB317"/>
  <c r="AB312"/>
  <c r="AB313"/>
  <c r="AB318"/>
  <c r="AB319"/>
  <c r="AB320"/>
  <c r="AB321"/>
  <c r="AB322"/>
  <c r="AB323"/>
  <c r="AB324"/>
  <c r="AB325"/>
  <c r="AB326"/>
  <c r="AB282"/>
  <c r="AB283"/>
  <c r="AB284"/>
  <c r="AB285"/>
  <c r="AB286"/>
  <c r="AB287"/>
  <c r="AB288"/>
  <c r="AB289"/>
  <c r="AB290"/>
  <c r="AB291"/>
  <c r="AB292"/>
  <c r="AB293"/>
  <c r="AB294"/>
  <c r="AB295"/>
  <c r="AB296"/>
  <c r="AB297"/>
  <c r="AB298"/>
  <c r="AB299"/>
  <c r="AB300"/>
  <c r="AB301"/>
  <c r="AB302"/>
  <c r="AB303"/>
  <c r="AB304"/>
  <c r="AB305"/>
  <c r="AB306"/>
  <c r="AB307"/>
  <c r="AB308"/>
  <c r="AB309"/>
  <c r="AB310"/>
  <c r="AB311"/>
  <c r="AB281"/>
  <c r="D65" i="32"/>
  <c r="D64"/>
  <c r="P501" i="25"/>
  <c r="D153"/>
  <c r="C153"/>
  <c r="B153"/>
  <c r="L33" i="19"/>
  <c r="I20"/>
  <c r="I17"/>
  <c r="C4"/>
  <c r="J520" i="24"/>
  <c r="W29"/>
  <c r="W66"/>
  <c r="W103"/>
  <c r="W117"/>
  <c r="W134"/>
  <c r="W161"/>
  <c r="W180"/>
  <c r="W211"/>
  <c r="W238"/>
  <c r="W260"/>
  <c r="W262"/>
  <c r="W14" i="20"/>
  <c r="W15"/>
  <c r="W16"/>
  <c r="W17"/>
  <c r="W18"/>
  <c r="W19"/>
  <c r="W20"/>
  <c r="V14"/>
  <c r="V15"/>
  <c r="V16"/>
  <c r="V17"/>
  <c r="V18"/>
  <c r="V19"/>
  <c r="V20"/>
  <c r="W11"/>
  <c r="V11"/>
  <c r="W10"/>
  <c r="V10"/>
  <c r="W9"/>
  <c r="V9"/>
  <c r="W8"/>
  <c r="V8"/>
  <c r="W7"/>
  <c r="V7"/>
  <c r="W6"/>
  <c r="V6"/>
  <c r="O139" i="17"/>
  <c r="N42"/>
  <c r="N73"/>
  <c r="N76"/>
  <c r="N88"/>
  <c r="N89"/>
  <c r="N93"/>
  <c r="N115"/>
  <c r="N139"/>
  <c r="E5" i="11"/>
  <c r="E4"/>
  <c r="E3"/>
  <c r="E2"/>
  <c r="AZ280" i="13"/>
  <c r="I164"/>
  <c r="I163"/>
  <c r="I162"/>
  <c r="I161"/>
  <c r="BF391" i="1"/>
  <c r="BF390"/>
  <c r="BF388"/>
  <c r="BF387"/>
  <c r="BF386"/>
  <c r="BF385"/>
  <c r="BF384"/>
  <c r="BB383"/>
  <c r="BF383"/>
  <c r="BB380"/>
  <c r="BF380"/>
  <c r="AG379"/>
  <c r="BB379"/>
  <c r="AG378"/>
  <c r="BB378"/>
  <c r="BF378"/>
  <c r="AG377"/>
  <c r="BB376"/>
  <c r="BF376"/>
  <c r="BB375"/>
  <c r="BF375"/>
  <c r="AG374"/>
  <c r="BB374"/>
  <c r="BF374"/>
  <c r="AG373"/>
  <c r="AG372"/>
  <c r="BB372"/>
  <c r="BF372"/>
  <c r="AG371"/>
  <c r="BB371"/>
  <c r="BF371"/>
  <c r="AG364"/>
  <c r="BB364"/>
  <c r="BF364"/>
  <c r="AG363"/>
  <c r="BB363"/>
  <c r="BF363"/>
  <c r="AG362"/>
  <c r="BB362"/>
  <c r="BF362"/>
  <c r="BT361"/>
  <c r="BG361"/>
  <c r="AG361"/>
  <c r="BT360"/>
  <c r="BG360"/>
  <c r="AG360"/>
  <c r="BB360"/>
  <c r="BF360"/>
  <c r="BT358"/>
  <c r="BG358"/>
  <c r="AG358"/>
  <c r="BB358"/>
  <c r="BF358"/>
  <c r="BT353"/>
  <c r="BG353"/>
  <c r="AG353"/>
  <c r="BB353"/>
  <c r="BF353"/>
  <c r="BT352"/>
  <c r="BG352"/>
  <c r="AG352"/>
  <c r="BB352"/>
  <c r="BF352"/>
  <c r="BT351"/>
  <c r="BG351"/>
  <c r="AG351"/>
  <c r="BB351"/>
  <c r="BF351"/>
  <c r="BT350"/>
  <c r="BG350"/>
  <c r="AG350"/>
  <c r="BB350"/>
  <c r="BF350"/>
  <c r="BT349"/>
  <c r="BG349"/>
  <c r="AG349"/>
  <c r="BB349"/>
  <c r="BF349"/>
  <c r="BT344"/>
  <c r="BG344"/>
  <c r="Y344"/>
  <c r="BT343"/>
  <c r="BG343"/>
  <c r="AG343"/>
  <c r="BB343"/>
  <c r="BF343"/>
  <c r="BT342"/>
  <c r="BG342"/>
  <c r="AG342"/>
  <c r="BB342"/>
  <c r="BF342"/>
  <c r="BT341"/>
  <c r="AG341"/>
  <c r="BB341"/>
  <c r="BF341"/>
  <c r="BT340"/>
  <c r="BG340"/>
  <c r="AG340"/>
  <c r="BB340"/>
  <c r="BF340"/>
  <c r="BT339"/>
  <c r="BG339"/>
  <c r="AG339"/>
  <c r="BB339"/>
  <c r="BF339"/>
  <c r="BT338"/>
  <c r="BG338"/>
  <c r="AG338"/>
  <c r="BB338"/>
  <c r="BF338"/>
  <c r="BT335"/>
  <c r="AK335"/>
  <c r="AG335"/>
  <c r="BB335"/>
  <c r="BF335"/>
  <c r="BT334"/>
  <c r="BG334"/>
  <c r="BB334"/>
  <c r="BF334"/>
  <c r="AK334"/>
  <c r="BT333"/>
  <c r="AK333"/>
  <c r="AG333"/>
  <c r="BB333"/>
  <c r="BF333"/>
  <c r="BT332"/>
  <c r="BG332"/>
  <c r="AG332"/>
  <c r="BB332"/>
  <c r="BF332"/>
  <c r="BT331"/>
  <c r="BG331"/>
  <c r="AJ331"/>
  <c r="AG331"/>
  <c r="BB331"/>
  <c r="BF331"/>
  <c r="BT330"/>
  <c r="BG330"/>
  <c r="AJ330"/>
  <c r="AG330"/>
  <c r="BT329"/>
  <c r="BG329"/>
  <c r="AG329"/>
  <c r="BT328"/>
  <c r="AG328"/>
  <c r="BB328"/>
  <c r="BF328"/>
  <c r="BT326"/>
  <c r="BF326"/>
  <c r="BT325"/>
  <c r="BG325"/>
  <c r="AG325"/>
  <c r="BB325"/>
  <c r="BF325"/>
  <c r="BT324"/>
  <c r="AG324"/>
  <c r="BB323"/>
  <c r="BC323"/>
  <c r="BF323"/>
  <c r="AR323"/>
  <c r="AO323"/>
  <c r="AN323"/>
  <c r="AJ323"/>
  <c r="BG322"/>
  <c r="AG322"/>
  <c r="BB322"/>
  <c r="BF322"/>
  <c r="BG321"/>
  <c r="AG321"/>
  <c r="BT320"/>
  <c r="BG320"/>
  <c r="AG320"/>
  <c r="BT319"/>
  <c r="BG319"/>
  <c r="AG319"/>
  <c r="BT318"/>
  <c r="AG318"/>
  <c r="BB318"/>
  <c r="BF318"/>
  <c r="BT317"/>
  <c r="BG317"/>
  <c r="AG317"/>
  <c r="BB317"/>
  <c r="BF317"/>
  <c r="BT316"/>
  <c r="BG316"/>
  <c r="BB316"/>
  <c r="BC316"/>
  <c r="AK316"/>
  <c r="AJ316"/>
  <c r="BT315"/>
  <c r="AG315"/>
  <c r="BT314"/>
  <c r="BG314"/>
  <c r="BF314"/>
  <c r="BC314"/>
  <c r="AZ314"/>
  <c r="AJ314"/>
  <c r="BT313"/>
  <c r="AK313"/>
  <c r="AG313"/>
  <c r="BB313"/>
  <c r="BF313"/>
  <c r="BT312"/>
  <c r="AJ312"/>
  <c r="AG312"/>
  <c r="BB312"/>
  <c r="BF312"/>
  <c r="BT311"/>
  <c r="BG311"/>
  <c r="AG311"/>
  <c r="BB311"/>
  <c r="BF311"/>
  <c r="BT310"/>
  <c r="AK310"/>
  <c r="AG310"/>
  <c r="BB310"/>
  <c r="BF310"/>
  <c r="BT309"/>
  <c r="BG309"/>
  <c r="AG309"/>
  <c r="BB309"/>
  <c r="BF309"/>
  <c r="BT308"/>
  <c r="BG308"/>
  <c r="AK308"/>
  <c r="AJ308"/>
  <c r="AG308"/>
  <c r="BB308"/>
  <c r="BF308"/>
  <c r="BT307"/>
  <c r="BG307"/>
  <c r="AJ307"/>
  <c r="AG307"/>
  <c r="BB307"/>
  <c r="BF307"/>
  <c r="BT306"/>
  <c r="BG306"/>
  <c r="AK306"/>
  <c r="AJ306"/>
  <c r="AG306"/>
  <c r="BB306"/>
  <c r="BF306"/>
  <c r="AA306"/>
  <c r="BT305"/>
  <c r="BG305"/>
  <c r="AJ305"/>
  <c r="AG305"/>
  <c r="BB305"/>
  <c r="BF305"/>
  <c r="BT304"/>
  <c r="AK304"/>
  <c r="AJ304"/>
  <c r="AG304"/>
  <c r="AA304"/>
  <c r="BT303"/>
  <c r="BG303"/>
  <c r="AJ303"/>
  <c r="AG303"/>
  <c r="BB303"/>
  <c r="BF303"/>
  <c r="BT302"/>
  <c r="BG302"/>
  <c r="AJ302"/>
  <c r="AG302"/>
  <c r="BB302"/>
  <c r="BF302"/>
  <c r="BT301"/>
  <c r="AG301"/>
  <c r="BB301"/>
  <c r="BF301"/>
  <c r="BT300"/>
  <c r="BG300"/>
  <c r="AG300"/>
  <c r="BB300"/>
  <c r="BF300"/>
  <c r="AA300"/>
  <c r="BT299"/>
  <c r="BG299"/>
  <c r="BB299"/>
  <c r="BF299"/>
  <c r="AJ299"/>
  <c r="BT298"/>
  <c r="BG298"/>
  <c r="AG298"/>
  <c r="BB298"/>
  <c r="BF298"/>
  <c r="BT297"/>
  <c r="BG297"/>
  <c r="AG297"/>
  <c r="BB297"/>
  <c r="BF297"/>
  <c r="BT296"/>
  <c r="BG296"/>
  <c r="AG296"/>
  <c r="BB296"/>
  <c r="BF296"/>
  <c r="BT295"/>
  <c r="BG295"/>
  <c r="AG295"/>
  <c r="BB295"/>
  <c r="BF295"/>
  <c r="BT294"/>
  <c r="BG294"/>
  <c r="BB294"/>
  <c r="BF294"/>
  <c r="AK294"/>
  <c r="BT293"/>
  <c r="BG293"/>
  <c r="AJ293"/>
  <c r="AG293"/>
  <c r="BB293"/>
  <c r="BF293"/>
  <c r="BT292"/>
  <c r="BG292"/>
  <c r="AG292"/>
  <c r="BB292"/>
  <c r="BF292"/>
  <c r="BT291"/>
  <c r="BG291"/>
  <c r="AJ291"/>
  <c r="AG291"/>
  <c r="D291"/>
  <c r="BT290"/>
  <c r="BG290"/>
  <c r="AG290"/>
  <c r="BB290"/>
  <c r="BF290"/>
  <c r="BT289"/>
  <c r="BG289"/>
  <c r="BT288"/>
  <c r="BG288"/>
  <c r="BB288"/>
  <c r="BF288"/>
  <c r="BT287"/>
  <c r="BG287"/>
  <c r="BB287"/>
  <c r="AJ287"/>
  <c r="BT286"/>
  <c r="BG286"/>
  <c r="BB286"/>
  <c r="BF286"/>
  <c r="AJ286"/>
  <c r="BT285"/>
  <c r="BG285"/>
  <c r="BT284"/>
  <c r="BG284"/>
  <c r="BT283"/>
  <c r="BG283"/>
  <c r="BT282"/>
  <c r="BG282"/>
  <c r="BB282"/>
  <c r="BF282"/>
  <c r="BT281"/>
  <c r="BG281"/>
  <c r="BT280"/>
  <c r="BG280"/>
  <c r="BB280"/>
  <c r="BF280"/>
  <c r="AB280"/>
  <c r="BT279"/>
  <c r="BG279"/>
  <c r="BB279"/>
  <c r="BF279"/>
  <c r="BT278"/>
  <c r="BG278"/>
  <c r="BF278"/>
  <c r="BT277"/>
  <c r="BG277"/>
  <c r="AG277"/>
  <c r="BB277"/>
  <c r="BF277"/>
  <c r="AB277"/>
  <c r="BT276"/>
  <c r="BG276"/>
  <c r="BT275"/>
  <c r="BG275"/>
  <c r="BT274"/>
  <c r="BG274"/>
  <c r="BB274"/>
  <c r="BF274"/>
  <c r="AB274"/>
  <c r="BT273"/>
  <c r="BG273"/>
  <c r="BT272"/>
  <c r="BG272"/>
  <c r="BB272"/>
  <c r="BF272"/>
  <c r="AJ272"/>
  <c r="AB272"/>
  <c r="BT271"/>
  <c r="BG271"/>
  <c r="BF271"/>
  <c r="AK271"/>
  <c r="AJ271"/>
  <c r="AG271"/>
  <c r="AB271"/>
  <c r="BT270"/>
  <c r="BG270"/>
  <c r="AG270"/>
  <c r="BB270"/>
  <c r="BF270"/>
  <c r="AB270"/>
  <c r="BT269"/>
  <c r="BG269"/>
  <c r="AG269"/>
  <c r="BB269"/>
  <c r="BF269"/>
  <c r="BT268"/>
  <c r="BG268"/>
  <c r="AG268"/>
  <c r="BB268"/>
  <c r="BF268"/>
  <c r="BT267"/>
  <c r="BG267"/>
  <c r="AJ267"/>
  <c r="BT266"/>
  <c r="BG266"/>
  <c r="AG266"/>
  <c r="BB266"/>
  <c r="BF266"/>
  <c r="D266"/>
  <c r="BT265"/>
  <c r="BG265"/>
  <c r="AG265"/>
  <c r="BB265"/>
  <c r="BF265"/>
  <c r="BT264"/>
  <c r="BG264"/>
  <c r="AG264"/>
  <c r="BB264"/>
  <c r="BF264"/>
  <c r="BT263"/>
  <c r="BG263"/>
  <c r="AG263"/>
  <c r="BB263"/>
  <c r="BF263"/>
  <c r="D263"/>
  <c r="BT262"/>
  <c r="BG262"/>
  <c r="AG262"/>
  <c r="BB262"/>
  <c r="BF262"/>
  <c r="AB262"/>
  <c r="D262"/>
  <c r="BT261"/>
  <c r="BG261"/>
  <c r="AG261"/>
  <c r="BB261"/>
  <c r="AB261"/>
  <c r="BT260"/>
  <c r="BG260"/>
  <c r="AJ260"/>
  <c r="AG260"/>
  <c r="BB260"/>
  <c r="AB260"/>
  <c r="BT259"/>
  <c r="BG259"/>
  <c r="AG259"/>
  <c r="BB259"/>
  <c r="BF259"/>
  <c r="BT258"/>
  <c r="BG258"/>
  <c r="BF258"/>
  <c r="AG258"/>
  <c r="BB258"/>
  <c r="AB258"/>
  <c r="BT257"/>
  <c r="BG257"/>
  <c r="BF257"/>
  <c r="AG257"/>
  <c r="BB257"/>
  <c r="BT256"/>
  <c r="BG256"/>
  <c r="AG256"/>
  <c r="BB256"/>
  <c r="BF256"/>
  <c r="AB256"/>
  <c r="D256"/>
  <c r="BT255"/>
  <c r="BG255"/>
  <c r="AG255"/>
  <c r="BB255"/>
  <c r="BF255"/>
  <c r="D255"/>
  <c r="BT254"/>
  <c r="BG254"/>
  <c r="AG254"/>
  <c r="BB254"/>
  <c r="BF254"/>
  <c r="D254"/>
  <c r="BT253"/>
  <c r="BG253"/>
  <c r="AG253"/>
  <c r="BB253"/>
  <c r="BF253"/>
  <c r="D253"/>
  <c r="BT252"/>
  <c r="BG252"/>
  <c r="BF252"/>
  <c r="AG252"/>
  <c r="BB252"/>
  <c r="BT251"/>
  <c r="BG251"/>
  <c r="AG251"/>
  <c r="BB251"/>
  <c r="BF251"/>
  <c r="BT250"/>
  <c r="BG250"/>
  <c r="AG250"/>
  <c r="BB250"/>
  <c r="BF250"/>
  <c r="D250"/>
  <c r="BT249"/>
  <c r="BG249"/>
  <c r="AG249"/>
  <c r="BB249"/>
  <c r="BF249"/>
  <c r="AB249"/>
  <c r="BT248"/>
  <c r="BG248"/>
  <c r="AG248"/>
  <c r="BB248"/>
  <c r="BF248"/>
  <c r="AB248"/>
  <c r="BT247"/>
  <c r="BG247"/>
  <c r="AG247"/>
  <c r="BB247"/>
  <c r="AB247"/>
  <c r="D247"/>
  <c r="BT246"/>
  <c r="BG246"/>
  <c r="BF246"/>
  <c r="AG246"/>
  <c r="BB246"/>
  <c r="AB246"/>
  <c r="BT245"/>
  <c r="BG245"/>
  <c r="BF245"/>
  <c r="AG245"/>
  <c r="BB245"/>
  <c r="AB245"/>
  <c r="BT244"/>
  <c r="BG244"/>
  <c r="AG244"/>
  <c r="BB244"/>
  <c r="BF244"/>
  <c r="AB244"/>
  <c r="BT243"/>
  <c r="BG243"/>
  <c r="AC243"/>
  <c r="AG243"/>
  <c r="BB243"/>
  <c r="BF243"/>
  <c r="Q243"/>
  <c r="D243"/>
  <c r="BT242"/>
  <c r="BG242"/>
  <c r="AG242"/>
  <c r="BB242"/>
  <c r="BF242"/>
  <c r="D242"/>
  <c r="BT241"/>
  <c r="BG241"/>
  <c r="AG241"/>
  <c r="BB241"/>
  <c r="BF241"/>
  <c r="BT240"/>
  <c r="BG240"/>
  <c r="AG240"/>
  <c r="BB240"/>
  <c r="BF240"/>
  <c r="AB240"/>
  <c r="BT239"/>
  <c r="BG239"/>
  <c r="AG239"/>
  <c r="BB239"/>
  <c r="BF239"/>
  <c r="AB239"/>
  <c r="BT238"/>
  <c r="BG238"/>
  <c r="BF238"/>
  <c r="AG238"/>
  <c r="BB238"/>
  <c r="AB238"/>
  <c r="BT237"/>
  <c r="BG237"/>
  <c r="BF237"/>
  <c r="AG237"/>
  <c r="BB237"/>
  <c r="D237"/>
  <c r="BT236"/>
  <c r="BG236"/>
  <c r="AG236"/>
  <c r="BB236"/>
  <c r="BF236"/>
  <c r="BT235"/>
  <c r="BG235"/>
  <c r="AG235"/>
  <c r="BB235"/>
  <c r="BF235"/>
  <c r="BT234"/>
  <c r="BG234"/>
  <c r="AG234"/>
  <c r="BB234"/>
  <c r="BF234"/>
  <c r="BT233"/>
  <c r="BG233"/>
  <c r="BA233"/>
  <c r="AZ233"/>
  <c r="AK233"/>
  <c r="AC233"/>
  <c r="AB233"/>
  <c r="D233"/>
  <c r="BT232"/>
  <c r="BG232"/>
  <c r="AG232"/>
  <c r="BB232"/>
  <c r="BF232"/>
  <c r="AB232"/>
  <c r="D232"/>
  <c r="BT231"/>
  <c r="BG231"/>
  <c r="AG231"/>
  <c r="BB231"/>
  <c r="BF231"/>
  <c r="D231"/>
  <c r="BT230"/>
  <c r="BG230"/>
  <c r="AG230"/>
  <c r="BB230"/>
  <c r="BF230"/>
  <c r="AB230"/>
  <c r="D230"/>
  <c r="BT229"/>
  <c r="BG229"/>
  <c r="AG229"/>
  <c r="BB229"/>
  <c r="BF229"/>
  <c r="AB229"/>
  <c r="D229"/>
  <c r="BT228"/>
  <c r="BG228"/>
  <c r="AG228"/>
  <c r="BB228"/>
  <c r="BF228"/>
  <c r="AB228"/>
  <c r="D228"/>
  <c r="BT227"/>
  <c r="BG227"/>
  <c r="AC227"/>
  <c r="BT226"/>
  <c r="BG226"/>
  <c r="AG226"/>
  <c r="BB226"/>
  <c r="BF226"/>
  <c r="D226"/>
  <c r="BT225"/>
  <c r="BG225"/>
  <c r="AG225"/>
  <c r="BB225"/>
  <c r="BF225"/>
  <c r="D225"/>
  <c r="BT224"/>
  <c r="BG224"/>
  <c r="BF224"/>
  <c r="AG224"/>
  <c r="BB224"/>
  <c r="BT223"/>
  <c r="BG223"/>
  <c r="AG223"/>
  <c r="BB223"/>
  <c r="BF223"/>
  <c r="BT222"/>
  <c r="BG222"/>
  <c r="AG222"/>
  <c r="BB222"/>
  <c r="BF222"/>
  <c r="AB222"/>
  <c r="BT221"/>
  <c r="BG221"/>
  <c r="AG221"/>
  <c r="BB221"/>
  <c r="BF221"/>
  <c r="BT220"/>
  <c r="BG220"/>
  <c r="AG220"/>
  <c r="BB220"/>
  <c r="BF220"/>
  <c r="D220"/>
  <c r="BT219"/>
  <c r="BG219"/>
  <c r="AG219"/>
  <c r="BB219"/>
  <c r="BF219"/>
  <c r="AB219"/>
  <c r="D219"/>
  <c r="BT218"/>
  <c r="BG218"/>
  <c r="AK218"/>
  <c r="AG218"/>
  <c r="D218"/>
  <c r="BT217"/>
  <c r="BG217"/>
  <c r="AG217"/>
  <c r="BB217"/>
  <c r="BF217"/>
  <c r="D217"/>
  <c r="BT216"/>
  <c r="BG216"/>
  <c r="AG216"/>
  <c r="BB216"/>
  <c r="BF216"/>
  <c r="AB216"/>
  <c r="D216"/>
  <c r="BT215"/>
  <c r="BG215"/>
  <c r="AG215"/>
  <c r="D215"/>
  <c r="BT214"/>
  <c r="BG214"/>
  <c r="AC214"/>
  <c r="AG214"/>
  <c r="BB214"/>
  <c r="BF214"/>
  <c r="AB214"/>
  <c r="BT213"/>
  <c r="BG213"/>
  <c r="AC213"/>
  <c r="BT212"/>
  <c r="BG212"/>
  <c r="AG212"/>
  <c r="BB212"/>
  <c r="BF212"/>
  <c r="AB212"/>
  <c r="D212"/>
  <c r="BG211"/>
  <c r="AG211"/>
  <c r="BB211"/>
  <c r="BF211"/>
  <c r="AB211"/>
  <c r="D211"/>
  <c r="BG210"/>
  <c r="BF210"/>
  <c r="AG210"/>
  <c r="BB210"/>
  <c r="BG209"/>
  <c r="BF209"/>
  <c r="AG209"/>
  <c r="AB209"/>
  <c r="BG208"/>
  <c r="AD208"/>
  <c r="AG208"/>
  <c r="BB208"/>
  <c r="BF208"/>
  <c r="T208"/>
  <c r="BG207"/>
  <c r="AG207"/>
  <c r="BB207"/>
  <c r="BF207"/>
  <c r="AB207"/>
  <c r="BG206"/>
  <c r="AC206"/>
  <c r="BG205"/>
  <c r="AG205"/>
  <c r="BB205"/>
  <c r="BF205"/>
  <c r="BG204"/>
  <c r="BF204"/>
  <c r="AG204"/>
  <c r="BB204"/>
  <c r="BG203"/>
  <c r="AG203"/>
  <c r="BB203"/>
  <c r="BF203"/>
  <c r="BG202"/>
  <c r="AG202"/>
  <c r="BB202"/>
  <c r="BF202"/>
  <c r="AB202"/>
  <c r="BG201"/>
  <c r="AG201"/>
  <c r="BB201"/>
  <c r="BF201"/>
  <c r="BG200"/>
  <c r="AG200"/>
  <c r="AB200"/>
  <c r="BG199"/>
  <c r="AG199"/>
  <c r="BB199"/>
  <c r="BF199"/>
  <c r="AB199"/>
  <c r="BG198"/>
  <c r="AG198"/>
  <c r="BB198"/>
  <c r="BF198"/>
  <c r="AB198"/>
  <c r="Y198"/>
  <c r="BG197"/>
  <c r="AG197"/>
  <c r="BB197"/>
  <c r="BF197"/>
  <c r="AB197"/>
  <c r="BG196"/>
  <c r="BF196"/>
  <c r="AG196"/>
  <c r="BB196"/>
  <c r="AB196"/>
  <c r="BG195"/>
  <c r="AG195"/>
  <c r="BB195"/>
  <c r="BF195"/>
  <c r="AB195"/>
  <c r="BG194"/>
  <c r="AG194"/>
  <c r="BB194"/>
  <c r="BF194"/>
  <c r="AB194"/>
  <c r="BG193"/>
  <c r="AG193"/>
  <c r="BB193"/>
  <c r="BF193"/>
  <c r="AB193"/>
  <c r="BG192"/>
  <c r="AG192"/>
  <c r="BB192"/>
  <c r="BF192"/>
  <c r="BG191"/>
  <c r="AG191"/>
  <c r="BB191"/>
  <c r="BF191"/>
  <c r="AB191"/>
  <c r="BG190"/>
  <c r="AC190"/>
  <c r="AE190"/>
  <c r="BG189"/>
  <c r="AK189"/>
  <c r="AG189"/>
  <c r="BB189"/>
  <c r="BF189"/>
  <c r="BG188"/>
  <c r="AG188"/>
  <c r="BB188"/>
  <c r="BF188"/>
  <c r="AB188"/>
  <c r="BG187"/>
  <c r="AC187"/>
  <c r="AE187"/>
  <c r="AB187"/>
  <c r="BG186"/>
  <c r="AG186"/>
  <c r="BB186"/>
  <c r="BF186"/>
  <c r="AB186"/>
  <c r="BG185"/>
  <c r="AZ185"/>
  <c r="AQ185"/>
  <c r="AP185"/>
  <c r="AN185"/>
  <c r="AK185"/>
  <c r="AC185"/>
  <c r="AG185"/>
  <c r="BG184"/>
  <c r="BF184"/>
  <c r="AG184"/>
  <c r="BB184"/>
  <c r="BG183"/>
  <c r="AG183"/>
  <c r="BB183"/>
  <c r="BF183"/>
  <c r="BG182"/>
  <c r="AK182"/>
  <c r="AG182"/>
  <c r="BB182"/>
  <c r="BF182"/>
  <c r="AB182"/>
  <c r="BG181"/>
  <c r="AG181"/>
  <c r="BB181"/>
  <c r="BF181"/>
  <c r="AB181"/>
  <c r="BG180"/>
  <c r="BE180"/>
  <c r="AZ180"/>
  <c r="AG180"/>
  <c r="AB180"/>
  <c r="BG179"/>
  <c r="AG179"/>
  <c r="BB179"/>
  <c r="BF179"/>
  <c r="BG178"/>
  <c r="AG178"/>
  <c r="BB178"/>
  <c r="BF178"/>
  <c r="BG177"/>
  <c r="AZ177"/>
  <c r="AC177"/>
  <c r="AG177"/>
  <c r="AB177"/>
  <c r="BG176"/>
  <c r="AZ176"/>
  <c r="AC176"/>
  <c r="BG175"/>
  <c r="AZ175"/>
  <c r="AC175"/>
  <c r="BG174"/>
  <c r="AG174"/>
  <c r="BB174"/>
  <c r="BF174"/>
  <c r="BG173"/>
  <c r="AZ173"/>
  <c r="AG173"/>
  <c r="BG172"/>
  <c r="AZ172"/>
  <c r="AG172"/>
  <c r="AB172"/>
  <c r="B172"/>
  <c r="B173"/>
  <c r="B174"/>
  <c r="B175"/>
  <c r="BG171"/>
  <c r="BF171"/>
  <c r="AG171"/>
  <c r="BB171"/>
  <c r="AB171"/>
  <c r="BG170"/>
  <c r="AZ170"/>
  <c r="BF170"/>
  <c r="AK170"/>
  <c r="AG170"/>
  <c r="AB170"/>
  <c r="BG169"/>
  <c r="K161" i="13"/>
  <c r="BB209" i="1"/>
  <c r="BF287"/>
  <c r="AZ169"/>
  <c r="AK169"/>
  <c r="AG169"/>
  <c r="AB169"/>
  <c r="BG168"/>
  <c r="AZ168"/>
  <c r="AG168"/>
  <c r="AB168"/>
  <c r="BG167"/>
  <c r="AE167"/>
  <c r="AG167"/>
  <c r="BB167"/>
  <c r="BF167"/>
  <c r="BG166"/>
  <c r="AC166"/>
  <c r="AG166"/>
  <c r="BB166"/>
  <c r="BF166"/>
  <c r="B166"/>
  <c r="B167"/>
  <c r="BG165"/>
  <c r="AG165"/>
  <c r="BB165"/>
  <c r="BF165"/>
  <c r="BG164"/>
  <c r="AG164"/>
  <c r="BB164"/>
  <c r="BF164"/>
  <c r="AB164"/>
  <c r="BG163"/>
  <c r="BF163"/>
  <c r="AG163"/>
  <c r="BB163"/>
  <c r="BG162"/>
  <c r="BF162"/>
  <c r="AG162"/>
  <c r="BB162"/>
  <c r="B162"/>
  <c r="BG161"/>
  <c r="AG161"/>
  <c r="BB161"/>
  <c r="BF161"/>
  <c r="BG160"/>
  <c r="AG160"/>
  <c r="BB160"/>
  <c r="BF160"/>
  <c r="BG159"/>
  <c r="AZ159"/>
  <c r="AG159"/>
  <c r="B159"/>
  <c r="BG158"/>
  <c r="BA158"/>
  <c r="AZ158"/>
  <c r="AC158"/>
  <c r="AG158"/>
  <c r="AB158"/>
  <c r="BG157"/>
  <c r="BA157"/>
  <c r="AZ157"/>
  <c r="AK157"/>
  <c r="AG157"/>
  <c r="BG156"/>
  <c r="AC156"/>
  <c r="BF156"/>
  <c r="AG156"/>
  <c r="BB156"/>
  <c r="BG155"/>
  <c r="AZ155"/>
  <c r="BF155"/>
  <c r="BE155"/>
  <c r="AG155"/>
  <c r="BB155"/>
  <c r="BG154"/>
  <c r="AG154"/>
  <c r="BB154"/>
  <c r="BF154"/>
  <c r="B154"/>
  <c r="BG153"/>
  <c r="BE153"/>
  <c r="AG153"/>
  <c r="BB153"/>
  <c r="BF153"/>
  <c r="B153"/>
  <c r="BG152"/>
  <c r="BE152"/>
  <c r="BA152"/>
  <c r="AZ152"/>
  <c r="AK152"/>
  <c r="AG152"/>
  <c r="AB152"/>
  <c r="B152"/>
  <c r="BG151"/>
  <c r="AG151"/>
  <c r="BB151"/>
  <c r="BF151"/>
  <c r="BG150"/>
  <c r="AG150"/>
  <c r="BB150"/>
  <c r="BF150"/>
  <c r="BG149"/>
  <c r="AG149"/>
  <c r="BB149"/>
  <c r="BF149"/>
  <c r="BG148"/>
  <c r="BF148"/>
  <c r="AG148"/>
  <c r="BB148"/>
  <c r="BG147"/>
  <c r="BF147"/>
  <c r="AG147"/>
  <c r="BB147"/>
  <c r="AB147"/>
  <c r="BG146"/>
  <c r="BF146"/>
  <c r="AG146"/>
  <c r="BB146"/>
  <c r="BG145"/>
  <c r="AG145"/>
  <c r="BB145"/>
  <c r="BF145"/>
  <c r="BG144"/>
  <c r="AG144"/>
  <c r="BB144"/>
  <c r="BF144"/>
  <c r="BG143"/>
  <c r="AG143"/>
  <c r="BB143"/>
  <c r="BF143"/>
  <c r="BG142"/>
  <c r="BE142"/>
  <c r="AG142"/>
  <c r="BB142"/>
  <c r="BF142"/>
  <c r="AB142"/>
  <c r="BG141"/>
  <c r="BE141"/>
  <c r="AE141"/>
  <c r="BG140"/>
  <c r="AE140"/>
  <c r="BG139"/>
  <c r="AE139"/>
  <c r="BG138"/>
  <c r="BF138"/>
  <c r="AG138"/>
  <c r="BB138"/>
  <c r="B138"/>
  <c r="BG137"/>
  <c r="AG137"/>
  <c r="BB137"/>
  <c r="BF137"/>
  <c r="AB137"/>
  <c r="BG136"/>
  <c r="BA136"/>
  <c r="AG136"/>
  <c r="BG135"/>
  <c r="BA135"/>
  <c r="AG135"/>
  <c r="BG134"/>
  <c r="AG134"/>
  <c r="BB134"/>
  <c r="BF134"/>
  <c r="BG133"/>
  <c r="BE133"/>
  <c r="AZ133"/>
  <c r="AG133"/>
  <c r="AB133"/>
  <c r="BG132"/>
  <c r="AG132"/>
  <c r="BB132"/>
  <c r="BF132"/>
  <c r="BG131"/>
  <c r="BF131"/>
  <c r="AG131"/>
  <c r="BB131"/>
  <c r="BG130"/>
  <c r="BF130"/>
  <c r="AG130"/>
  <c r="BB130"/>
  <c r="BG129"/>
  <c r="AG129"/>
  <c r="BB129"/>
  <c r="BF129"/>
  <c r="BG128"/>
  <c r="AC128"/>
  <c r="AB128"/>
  <c r="BG127"/>
  <c r="AG127"/>
  <c r="BB127"/>
  <c r="BF127"/>
  <c r="BG126"/>
  <c r="AG126"/>
  <c r="BB126"/>
  <c r="BF126"/>
  <c r="BG125"/>
  <c r="AG125"/>
  <c r="BB125"/>
  <c r="BF125"/>
  <c r="BG124"/>
  <c r="AG124"/>
  <c r="BB124"/>
  <c r="BF124"/>
  <c r="AB124"/>
  <c r="BG123"/>
  <c r="BF123"/>
  <c r="AG123"/>
  <c r="BB123"/>
  <c r="AB123"/>
  <c r="BG122"/>
  <c r="BF122"/>
  <c r="AG122"/>
  <c r="BB122"/>
  <c r="B122"/>
  <c r="B123"/>
  <c r="B124"/>
  <c r="B125"/>
  <c r="B126"/>
  <c r="B127"/>
  <c r="B128"/>
  <c r="BG121"/>
  <c r="AE121"/>
  <c r="AG121"/>
  <c r="BB121"/>
  <c r="BF121"/>
  <c r="BG120"/>
  <c r="AE120"/>
  <c r="AG120"/>
  <c r="BB120"/>
  <c r="BF120"/>
  <c r="BG119"/>
  <c r="AG119"/>
  <c r="BB119"/>
  <c r="BF119"/>
  <c r="BG118"/>
  <c r="BE118"/>
  <c r="AE118"/>
  <c r="BG117"/>
  <c r="AG117"/>
  <c r="BB117"/>
  <c r="BF117"/>
  <c r="BG116"/>
  <c r="AG116"/>
  <c r="BB116"/>
  <c r="BF116"/>
  <c r="BG115"/>
  <c r="BF115"/>
  <c r="BE115"/>
  <c r="AG115"/>
  <c r="BB115"/>
  <c r="B115"/>
  <c r="B116"/>
  <c r="B117"/>
  <c r="B118"/>
  <c r="B119"/>
  <c r="BG114"/>
  <c r="BF114"/>
  <c r="AG114"/>
  <c r="BB114"/>
  <c r="BG113"/>
  <c r="AE113"/>
  <c r="BG112"/>
  <c r="AG112"/>
  <c r="BB112"/>
  <c r="BF112"/>
  <c r="BG111"/>
  <c r="AE111"/>
  <c r="AG111"/>
  <c r="BB111"/>
  <c r="BF111"/>
  <c r="BG110"/>
  <c r="AE110"/>
  <c r="BG109"/>
  <c r="BE109"/>
  <c r="BA109"/>
  <c r="AZ109"/>
  <c r="AG109"/>
  <c r="BB109"/>
  <c r="BF109"/>
  <c r="BG108"/>
  <c r="BE108"/>
  <c r="BA108"/>
  <c r="AZ108"/>
  <c r="AC108"/>
  <c r="AB108"/>
  <c r="BG107"/>
  <c r="BF107"/>
  <c r="BE107"/>
  <c r="AG107"/>
  <c r="BB107"/>
  <c r="BG106"/>
  <c r="BF106"/>
  <c r="AG106"/>
  <c r="BB106"/>
  <c r="AB106"/>
  <c r="BG105"/>
  <c r="AG105"/>
  <c r="BB105"/>
  <c r="BF105"/>
  <c r="AB105"/>
  <c r="BG104"/>
  <c r="AG104"/>
  <c r="BB104"/>
  <c r="BF104"/>
  <c r="BG103"/>
  <c r="AG103"/>
  <c r="BB103"/>
  <c r="BF103"/>
  <c r="B103"/>
  <c r="B104"/>
  <c r="B105"/>
  <c r="B106"/>
  <c r="B107"/>
  <c r="B108"/>
  <c r="BG102"/>
  <c r="AG102"/>
  <c r="BB102"/>
  <c r="BF102"/>
  <c r="BG101"/>
  <c r="AG101"/>
  <c r="BB101"/>
  <c r="BF101"/>
  <c r="BG100"/>
  <c r="AG100"/>
  <c r="BB100"/>
  <c r="BF100"/>
  <c r="BE100"/>
  <c r="BG99"/>
  <c r="BF99"/>
  <c r="BE99"/>
  <c r="AG99"/>
  <c r="BB99"/>
  <c r="AB99"/>
  <c r="BG98"/>
  <c r="BF98"/>
  <c r="AG98"/>
  <c r="BB98"/>
  <c r="BG97"/>
  <c r="AG97"/>
  <c r="BB97"/>
  <c r="BF97"/>
  <c r="BG96"/>
  <c r="BE96"/>
  <c r="AG96"/>
  <c r="BB96"/>
  <c r="BF96"/>
  <c r="AB96"/>
  <c r="B96"/>
  <c r="B97"/>
  <c r="B98"/>
  <c r="B99"/>
  <c r="BG95"/>
  <c r="AG95"/>
  <c r="BB95"/>
  <c r="BF95"/>
  <c r="BG94"/>
  <c r="AG94"/>
  <c r="BB94"/>
  <c r="BF94"/>
  <c r="BG93"/>
  <c r="AE93"/>
  <c r="AB93"/>
  <c r="BG92"/>
  <c r="BE92"/>
  <c r="AD92"/>
  <c r="BG91"/>
  <c r="BF91"/>
  <c r="AG91"/>
  <c r="BB91"/>
  <c r="BG90"/>
  <c r="AG90"/>
  <c r="BB90"/>
  <c r="BF90"/>
  <c r="BG89"/>
  <c r="BF89"/>
  <c r="BE89"/>
  <c r="AG89"/>
  <c r="BB89"/>
  <c r="AB89"/>
  <c r="BG88"/>
  <c r="BE88"/>
  <c r="AG88"/>
  <c r="BB88"/>
  <c r="BF88"/>
  <c r="AB88"/>
  <c r="BG87"/>
  <c r="BE87"/>
  <c r="AG87"/>
  <c r="BB87"/>
  <c r="BF87"/>
  <c r="BG86"/>
  <c r="AG86"/>
  <c r="BB86"/>
  <c r="BF86"/>
  <c r="BG85"/>
  <c r="BF85"/>
  <c r="AG85"/>
  <c r="BB85"/>
  <c r="BG84"/>
  <c r="BF84"/>
  <c r="AG84"/>
  <c r="BB84"/>
  <c r="B84"/>
  <c r="B85"/>
  <c r="B86"/>
  <c r="B87"/>
  <c r="B88"/>
  <c r="B89"/>
  <c r="B90"/>
  <c r="B91"/>
  <c r="B92"/>
  <c r="B93"/>
  <c r="BG83"/>
  <c r="AG83"/>
  <c r="BB83"/>
  <c r="BF83"/>
  <c r="BG82"/>
  <c r="AG82"/>
  <c r="BB82"/>
  <c r="BF82"/>
  <c r="BG81"/>
  <c r="BE81"/>
  <c r="BA81"/>
  <c r="AG81"/>
  <c r="BG80"/>
  <c r="AG80"/>
  <c r="BB80"/>
  <c r="BF80"/>
  <c r="BG79"/>
  <c r="BE79"/>
  <c r="AG79"/>
  <c r="BB79"/>
  <c r="BF79"/>
  <c r="BG78"/>
  <c r="AG78"/>
  <c r="BB78"/>
  <c r="BF78"/>
  <c r="BG77"/>
  <c r="BF77"/>
  <c r="BE77"/>
  <c r="AG77"/>
  <c r="BB77"/>
  <c r="BG76"/>
  <c r="BF76"/>
  <c r="BE76"/>
  <c r="AG76"/>
  <c r="BB76"/>
  <c r="BG75"/>
  <c r="BE75"/>
  <c r="AG75"/>
  <c r="BB75"/>
  <c r="BF75"/>
  <c r="B75"/>
  <c r="B76"/>
  <c r="B77"/>
  <c r="B78"/>
  <c r="B79"/>
  <c r="BG74"/>
  <c r="AG74"/>
  <c r="BB74"/>
  <c r="BF74"/>
  <c r="BG73"/>
  <c r="AG73"/>
  <c r="BB73"/>
  <c r="BF73"/>
  <c r="BG72"/>
  <c r="AG72"/>
  <c r="BB72"/>
  <c r="BF72"/>
  <c r="BG71"/>
  <c r="AG71"/>
  <c r="BB71"/>
  <c r="BF71"/>
  <c r="BG70"/>
  <c r="AG70"/>
  <c r="BB70"/>
  <c r="BG69"/>
  <c r="BF69"/>
  <c r="AG69"/>
  <c r="BB69"/>
  <c r="B69"/>
  <c r="BG68"/>
  <c r="BF68"/>
  <c r="AG68"/>
  <c r="BB68"/>
  <c r="BG67"/>
  <c r="AG67"/>
  <c r="BB67"/>
  <c r="BF67"/>
  <c r="BG66"/>
  <c r="AG66"/>
  <c r="BB66"/>
  <c r="BF66"/>
  <c r="BG65"/>
  <c r="AG65"/>
  <c r="BB65"/>
  <c r="BF65"/>
  <c r="BG64"/>
  <c r="AG64"/>
  <c r="BB64"/>
  <c r="BF64"/>
  <c r="BG63"/>
  <c r="BA63"/>
  <c r="AK63"/>
  <c r="AG63"/>
  <c r="BG62"/>
  <c r="AG62"/>
  <c r="BB62"/>
  <c r="BF62"/>
  <c r="BG61"/>
  <c r="AZ61"/>
  <c r="BF61"/>
  <c r="BE61"/>
  <c r="AG61"/>
  <c r="BG60"/>
  <c r="BF60"/>
  <c r="AG60"/>
  <c r="BB60"/>
  <c r="BG59"/>
  <c r="AG59"/>
  <c r="BB59"/>
  <c r="BF59"/>
  <c r="BG58"/>
  <c r="BE58"/>
  <c r="AK58"/>
  <c r="AG58"/>
  <c r="BB58"/>
  <c r="BF58"/>
  <c r="BG57"/>
  <c r="AG57"/>
  <c r="BB57"/>
  <c r="BF57"/>
  <c r="BG56"/>
  <c r="BE56"/>
  <c r="AG56"/>
  <c r="BB56"/>
  <c r="BF56"/>
  <c r="BG55"/>
  <c r="BE55"/>
  <c r="AG55"/>
  <c r="BB55"/>
  <c r="BF55"/>
  <c r="BG54"/>
  <c r="AG54"/>
  <c r="BB54"/>
  <c r="BF54"/>
  <c r="BG53"/>
  <c r="BE53"/>
  <c r="AG53"/>
  <c r="BB53"/>
  <c r="AB53"/>
  <c r="BG52"/>
  <c r="BF52"/>
  <c r="AG52"/>
  <c r="BB52"/>
  <c r="BG51"/>
  <c r="AG51"/>
  <c r="BB51"/>
  <c r="BF51"/>
  <c r="BG50"/>
  <c r="AG50"/>
  <c r="BB50"/>
  <c r="BF50"/>
  <c r="AB50"/>
  <c r="BG49"/>
  <c r="AG49"/>
  <c r="BB49"/>
  <c r="BF49"/>
  <c r="BG48"/>
  <c r="AG48"/>
  <c r="BB48"/>
  <c r="BF48"/>
  <c r="BG47"/>
  <c r="AG47"/>
  <c r="BB47"/>
  <c r="BF47"/>
  <c r="BG46"/>
  <c r="AG46"/>
  <c r="BB46"/>
  <c r="BF46"/>
  <c r="B46"/>
  <c r="B47"/>
  <c r="B48"/>
  <c r="B49"/>
  <c r="B50"/>
  <c r="B51"/>
  <c r="B52"/>
  <c r="B53"/>
  <c r="B54"/>
  <c r="B55"/>
  <c r="B56"/>
  <c r="B57"/>
  <c r="B58"/>
  <c r="B59"/>
  <c r="B60"/>
  <c r="B61"/>
  <c r="B62"/>
  <c r="B63"/>
  <c r="B64"/>
  <c r="BG45"/>
  <c r="BF45"/>
  <c r="AG45"/>
  <c r="BB45"/>
  <c r="BG44"/>
  <c r="BF44"/>
  <c r="AG44"/>
  <c r="BB44"/>
  <c r="BG43"/>
  <c r="AG43"/>
  <c r="BB43"/>
  <c r="BF43"/>
  <c r="BG42"/>
  <c r="BE42"/>
  <c r="AG42"/>
  <c r="BB42"/>
  <c r="BF42"/>
  <c r="BG41"/>
  <c r="BE41"/>
  <c r="AG41"/>
  <c r="BB41"/>
  <c r="BF41"/>
  <c r="BG40"/>
  <c r="BE40"/>
  <c r="AE40"/>
  <c r="BG39"/>
  <c r="AG39"/>
  <c r="BB39"/>
  <c r="BF39"/>
  <c r="BG38"/>
  <c r="BE38"/>
  <c r="AG38"/>
  <c r="BB38"/>
  <c r="BF38"/>
  <c r="BG37"/>
  <c r="BF37"/>
  <c r="AG37"/>
  <c r="BB37"/>
  <c r="AB37"/>
  <c r="BG36"/>
  <c r="BF36"/>
  <c r="BE36"/>
  <c r="AG36"/>
  <c r="BB36"/>
  <c r="AB36"/>
  <c r="BG35"/>
  <c r="AG35"/>
  <c r="BB35"/>
  <c r="BF35"/>
  <c r="AB35"/>
  <c r="B35"/>
  <c r="B36"/>
  <c r="B37"/>
  <c r="B38"/>
  <c r="B39"/>
  <c r="B40"/>
  <c r="B41"/>
  <c r="B42"/>
  <c r="BG34"/>
  <c r="AC34"/>
  <c r="AG34"/>
  <c r="BB34"/>
  <c r="BF34"/>
  <c r="BG33"/>
  <c r="AC33"/>
  <c r="AG33"/>
  <c r="BB33"/>
  <c r="BF33"/>
  <c r="BG32"/>
  <c r="AC32"/>
  <c r="AG32"/>
  <c r="BB32"/>
  <c r="BF32"/>
  <c r="BG31"/>
  <c r="BE31"/>
  <c r="AK31"/>
  <c r="AG31"/>
  <c r="BB31"/>
  <c r="BF31"/>
  <c r="BG30"/>
  <c r="AE30"/>
  <c r="BF30"/>
  <c r="BE30"/>
  <c r="BG29"/>
  <c r="AE29"/>
  <c r="BE29"/>
  <c r="BG28"/>
  <c r="BE28"/>
  <c r="AG28"/>
  <c r="BB28"/>
  <c r="BF28"/>
  <c r="BG27"/>
  <c r="BE27"/>
  <c r="AG27"/>
  <c r="BB27"/>
  <c r="BF27"/>
  <c r="BG26"/>
  <c r="BE26"/>
  <c r="AG26"/>
  <c r="BB26"/>
  <c r="BF26"/>
  <c r="BG25"/>
  <c r="AZ25"/>
  <c r="AE25"/>
  <c r="AG25"/>
  <c r="AB25"/>
  <c r="BG24"/>
  <c r="AG24"/>
  <c r="BB24"/>
  <c r="BF24"/>
  <c r="BG23"/>
  <c r="BE23"/>
  <c r="AG23"/>
  <c r="BB23"/>
  <c r="BF23"/>
  <c r="AB23"/>
  <c r="BG22"/>
  <c r="BF22"/>
  <c r="BE22"/>
  <c r="AG22"/>
  <c r="BB22"/>
  <c r="AB22"/>
  <c r="BG21"/>
  <c r="BF21"/>
  <c r="AG21"/>
  <c r="BB21"/>
  <c r="BG20"/>
  <c r="AG20"/>
  <c r="BB20"/>
  <c r="BF20"/>
  <c r="BG19"/>
  <c r="BE19"/>
  <c r="AG19"/>
  <c r="BB19"/>
  <c r="BF19"/>
  <c r="BG18"/>
  <c r="AE18"/>
  <c r="BG17"/>
  <c r="AG17"/>
  <c r="BB17"/>
  <c r="BF17"/>
  <c r="BG16"/>
  <c r="AG16"/>
  <c r="BB16"/>
  <c r="BF16"/>
  <c r="BE16"/>
  <c r="AB16"/>
  <c r="BG15"/>
  <c r="AG15"/>
  <c r="BB15"/>
  <c r="BF15"/>
  <c r="BE15"/>
  <c r="BG14"/>
  <c r="BF14"/>
  <c r="BE14"/>
  <c r="AG14"/>
  <c r="BB14"/>
  <c r="AB14"/>
  <c r="BG13"/>
  <c r="BF13"/>
  <c r="BE13"/>
  <c r="AG13"/>
  <c r="BB13"/>
  <c r="AB13"/>
  <c r="BG12"/>
  <c r="AG12"/>
  <c r="BB12"/>
  <c r="BF12"/>
  <c r="BG11"/>
  <c r="AG11"/>
  <c r="BB11"/>
  <c r="BF11"/>
  <c r="BG10"/>
  <c r="AG10"/>
  <c r="BB10"/>
  <c r="BF10"/>
  <c r="BE10"/>
  <c r="AB10"/>
  <c r="BG9"/>
  <c r="AG9"/>
  <c r="BB9"/>
  <c r="BF9"/>
  <c r="AB9"/>
  <c r="BG8"/>
  <c r="BE8"/>
  <c r="AG8"/>
  <c r="BB8"/>
  <c r="BF8"/>
  <c r="BG7"/>
  <c r="BE7"/>
  <c r="AG7"/>
  <c r="BB7"/>
  <c r="BF7"/>
  <c r="AB7"/>
  <c r="AG118"/>
  <c r="BB118"/>
  <c r="BF118"/>
  <c r="AG93"/>
  <c r="BB93"/>
  <c r="BF93"/>
  <c r="AG139"/>
  <c r="BB139"/>
  <c r="AG113"/>
  <c r="BB113"/>
  <c r="BF113"/>
  <c r="AG30"/>
  <c r="BB30"/>
  <c r="AG29"/>
  <c r="BB29"/>
  <c r="BB320"/>
  <c r="BF320"/>
  <c r="BB218"/>
  <c r="BF218"/>
  <c r="BB200"/>
  <c r="BF200"/>
  <c r="BB377"/>
  <c r="BF377"/>
  <c r="BB373"/>
  <c r="BF373"/>
  <c r="BB361"/>
  <c r="BF361"/>
  <c r="BB330"/>
  <c r="BF330"/>
  <c r="BB324"/>
  <c r="BF324"/>
  <c r="BB321"/>
  <c r="BF321"/>
  <c r="BB319"/>
  <c r="BF319"/>
  <c r="BB315"/>
  <c r="BF315"/>
  <c r="BB304"/>
  <c r="BF304"/>
  <c r="AG227"/>
  <c r="BB227"/>
  <c r="BF227"/>
  <c r="AG213"/>
  <c r="BB213"/>
  <c r="BF213"/>
  <c r="BB329"/>
  <c r="BF329"/>
  <c r="BB291"/>
  <c r="BF291"/>
  <c r="BB215"/>
  <c r="BF215"/>
  <c r="Q81" i="41"/>
  <c r="Q75"/>
  <c r="Q73"/>
  <c r="P79"/>
  <c r="P74"/>
  <c r="P83"/>
  <c r="P78"/>
  <c r="Q80"/>
  <c r="P82"/>
  <c r="Q77"/>
  <c r="P76"/>
  <c r="S16"/>
  <c r="D88"/>
  <c r="B88"/>
  <c r="S10"/>
  <c r="O4" i="45"/>
  <c r="AB8"/>
  <c r="P4"/>
  <c r="R57"/>
  <c r="R58"/>
  <c r="O8"/>
  <c r="P8"/>
  <c r="Q57"/>
  <c r="Q58"/>
  <c r="AB4"/>
  <c r="F21" i="17"/>
  <c r="BB63" i="1"/>
  <c r="BF63"/>
  <c r="AG128"/>
  <c r="BB128"/>
  <c r="BF128"/>
  <c r="AB166"/>
  <c r="AG233"/>
  <c r="BB233"/>
  <c r="AB34"/>
  <c r="BB61"/>
  <c r="BB152"/>
  <c r="BF152"/>
  <c r="BB157"/>
  <c r="BF157"/>
  <c r="BB158"/>
  <c r="BF158"/>
  <c r="BB159"/>
  <c r="BF159"/>
  <c r="BB172"/>
  <c r="BF172"/>
  <c r="AB175"/>
  <c r="AB243"/>
  <c r="AK323"/>
  <c r="BF392"/>
  <c r="AG110"/>
  <c r="BB110"/>
  <c r="BF110"/>
  <c r="AG141"/>
  <c r="BB141"/>
  <c r="BF141"/>
  <c r="AG18"/>
  <c r="BB18"/>
  <c r="BF18"/>
  <c r="BB25"/>
  <c r="BF25"/>
  <c r="BF29"/>
  <c r="AG108"/>
  <c r="BB133"/>
  <c r="BF133"/>
  <c r="BB135"/>
  <c r="BF135"/>
  <c r="BB168"/>
  <c r="BF168"/>
  <c r="AG175"/>
  <c r="BB175"/>
  <c r="BF175"/>
  <c r="AB185"/>
  <c r="AB227"/>
  <c r="BB169"/>
  <c r="BF169"/>
  <c r="P84" i="41"/>
  <c r="B91"/>
  <c r="Q84"/>
  <c r="D91"/>
  <c r="S13"/>
  <c r="C90"/>
  <c r="B89"/>
  <c r="C89"/>
  <c r="E90"/>
  <c r="D89"/>
  <c r="E89"/>
  <c r="AB5" i="45"/>
  <c r="W5"/>
  <c r="Y53"/>
  <c r="BB173" i="1"/>
  <c r="BF173"/>
  <c r="BB180"/>
  <c r="BF180"/>
  <c r="BE54"/>
  <c r="BB136"/>
  <c r="BF136"/>
  <c r="BB177"/>
  <c r="BF177"/>
  <c r="BF176"/>
  <c r="BB185"/>
  <c r="BF185"/>
  <c r="BB81"/>
  <c r="BF81"/>
  <c r="BB344"/>
  <c r="BF344"/>
  <c r="Z53" i="45"/>
  <c r="AB6"/>
  <c r="Q55"/>
  <c r="Q56"/>
  <c r="X8"/>
  <c r="Z57"/>
  <c r="P7"/>
  <c r="X7"/>
  <c r="Z56"/>
  <c r="O7"/>
  <c r="W8"/>
  <c r="Y57"/>
  <c r="R55"/>
  <c r="R56"/>
  <c r="P6"/>
  <c r="X6"/>
  <c r="Z55"/>
  <c r="X4"/>
  <c r="Z58"/>
  <c r="W4"/>
  <c r="Y58"/>
  <c r="O6"/>
  <c r="AB33" i="1"/>
  <c r="AG92"/>
  <c r="BB92"/>
  <c r="BF92"/>
  <c r="BB170"/>
  <c r="AG176"/>
  <c r="BB176"/>
  <c r="AB176"/>
  <c r="AG187"/>
  <c r="BB187"/>
  <c r="BF187"/>
  <c r="AB213"/>
  <c r="BF316"/>
  <c r="AB32"/>
  <c r="BC70"/>
  <c r="BF70"/>
  <c r="AG40"/>
  <c r="BB40"/>
  <c r="BF40"/>
  <c r="BF139"/>
  <c r="AG206"/>
  <c r="BB206"/>
  <c r="BF206"/>
  <c r="AB206"/>
  <c r="BB108"/>
  <c r="BF108"/>
  <c r="AG140"/>
  <c r="BB140"/>
  <c r="BF140"/>
  <c r="AG190"/>
  <c r="BB190"/>
  <c r="BF190"/>
  <c r="BF379"/>
  <c r="AB7" i="45"/>
  <c r="W7"/>
  <c r="Y56"/>
  <c r="W6"/>
  <c r="Y55"/>
</calcChain>
</file>

<file path=xl/comments1.xml><?xml version="1.0" encoding="utf-8"?>
<comments xmlns="http://schemas.openxmlformats.org/spreadsheetml/2006/main">
  <authors>
    <author>Marian</author>
  </authors>
  <commentList>
    <comment ref="C54" authorId="0">
      <text>
        <r>
          <rPr>
            <b/>
            <sz val="9"/>
            <color indexed="81"/>
            <rFont val="Tahoma"/>
            <family val="2"/>
          </rPr>
          <t>Marian:</t>
        </r>
        <r>
          <rPr>
            <sz val="9"/>
            <color indexed="81"/>
            <rFont val="Tahoma"/>
            <family val="2"/>
          </rPr>
          <t xml:space="preserve">
average based on coverage of 2 other appeals associated with this one</t>
        </r>
      </text>
    </comment>
    <comment ref="B56" authorId="0">
      <text>
        <r>
          <rPr>
            <b/>
            <sz val="9"/>
            <color indexed="81"/>
            <rFont val="Tahoma"/>
            <family val="2"/>
          </rPr>
          <t>Marian:</t>
        </r>
        <r>
          <rPr>
            <sz val="9"/>
            <color indexed="81"/>
            <rFont val="Tahoma"/>
            <family val="2"/>
          </rPr>
          <t xml:space="preserve">
original value of $5M CHF was reduced to $0 and appeal needs covered through other non-emergency appeals</t>
        </r>
      </text>
    </comment>
  </commentList>
</comments>
</file>

<file path=xl/comments2.xml><?xml version="1.0" encoding="utf-8"?>
<comments xmlns="http://schemas.openxmlformats.org/spreadsheetml/2006/main">
  <authors>
    <author>Amanda West</author>
  </authors>
  <commentList>
    <comment ref="G1" authorId="0">
      <text>
        <r>
          <rPr>
            <b/>
            <sz val="10"/>
            <color indexed="81"/>
            <rFont val="Tahoma"/>
            <family val="2"/>
          </rPr>
          <t>Amanda West:</t>
        </r>
        <r>
          <rPr>
            <sz val="10"/>
            <color indexed="81"/>
            <rFont val="Tahoma"/>
            <family val="2"/>
          </rPr>
          <t xml:space="preserve">
I have to put the IFRC region in by hand</t>
        </r>
      </text>
    </comment>
  </commentList>
</comments>
</file>

<file path=xl/comments3.xml><?xml version="1.0" encoding="utf-8"?>
<comments xmlns="http://schemas.openxmlformats.org/spreadsheetml/2006/main">
  <authors>
    <author>Amanda West</author>
    <author>Amanda B West</author>
    <author>AmandaWest</author>
    <author>Information Services</author>
    <author>IDRU</author>
    <author>Gina Guinta</author>
    <author>Marian Spivey-Estrada</author>
    <author>Amanda B. West</author>
    <author>Marian</author>
    <author>RaganS</author>
    <author>Mathew Morgan</author>
    <author>paulel</author>
    <author>SpiveyEstradaM</author>
    <author>Othon Estrada</author>
    <author>Camille Herland</author>
  </authors>
  <commentList>
    <comment ref="M1" authorId="0">
      <text>
        <r>
          <rPr>
            <b/>
            <sz val="10"/>
            <color indexed="81"/>
            <rFont val="Tahoma"/>
            <family val="2"/>
          </rPr>
          <t>Amanda West:</t>
        </r>
        <r>
          <rPr>
            <sz val="10"/>
            <color indexed="81"/>
            <rFont val="Tahoma"/>
            <family val="2"/>
          </rPr>
          <t xml:space="preserve">
Use this category when doing over view reports for IROC end of year, pie chart of major types of disasters for year.</t>
        </r>
      </text>
    </comment>
    <comment ref="T1" authorId="1">
      <text>
        <r>
          <rPr>
            <b/>
            <sz val="8"/>
            <color indexed="81"/>
            <rFont val="Tahoma"/>
            <family val="2"/>
          </rPr>
          <t>Amanda B West:</t>
        </r>
        <r>
          <rPr>
            <sz val="8"/>
            <color indexed="81"/>
            <rFont val="Tahoma"/>
            <family val="2"/>
          </rPr>
          <t xml:space="preserve">
NOT General appeal contributions to that disaster - specific ICRC/IFRC/NS specific appeals for that disaster</t>
        </r>
      </text>
    </comment>
    <comment ref="Y1" authorId="0">
      <text>
        <r>
          <rPr>
            <b/>
            <sz val="10"/>
            <color indexed="81"/>
            <rFont val="Tahoma"/>
            <family val="2"/>
          </rPr>
          <t>Amanda West:</t>
        </r>
        <r>
          <rPr>
            <sz val="10"/>
            <color indexed="81"/>
            <rFont val="Tahoma"/>
            <family val="2"/>
          </rPr>
          <t xml:space="preserve">
How to count: Count Federation beneficiaries from appeals, if we give cash or provide an ERU team or single person for a Federation team, then we count all Fedl appeal beneficiaries. 
If we provide relief supplies, then we only count the number of beneficiaries for those supplies. If we provide a combination of any of these, then we count only the single beneficiary number from teh appeal.
And lastly, if its a bilateral contribution directly to a national society, then we count as best we can the number of beneficiaries we have heard it will benefit, using the same rules as above for relief supplies vs. money &amp; people provided</t>
        </r>
      </text>
    </comment>
    <comment ref="AA1" authorId="0">
      <text>
        <r>
          <rPr>
            <b/>
            <sz val="10"/>
            <color indexed="81"/>
            <rFont val="Tahoma"/>
            <family val="2"/>
          </rPr>
          <t>Amanda West:</t>
        </r>
        <r>
          <rPr>
            <sz val="10"/>
            <color indexed="81"/>
            <rFont val="Tahoma"/>
            <family val="2"/>
          </rPr>
          <t xml:space="preserve">
We don't use direct beneficiaries figure unless there is no multilateral figure, such as for a bilateral contribution. See comment for Multilateral beneficiaries at left for instructions.</t>
        </r>
      </text>
    </comment>
    <comment ref="AB1" authorId="0">
      <text>
        <r>
          <rPr>
            <sz val="10"/>
            <color indexed="81"/>
            <rFont val="Tahoma"/>
            <family val="2"/>
          </rPr>
          <t xml:space="preserve">Drag formula from previous disasters - do NOT enter manually!!
Begin counting $50k amts to ICRC as well per Tracy Sept 09 for PEAF data tracking
</t>
        </r>
      </text>
    </comment>
    <comment ref="AL1" authorId="0">
      <text>
        <r>
          <rPr>
            <b/>
            <sz val="10"/>
            <color indexed="81"/>
            <rFont val="Tahoma"/>
            <family val="2"/>
          </rPr>
          <t>Amanda West:</t>
        </r>
        <r>
          <rPr>
            <sz val="10"/>
            <color indexed="81"/>
            <rFont val="Tahoma"/>
            <family val="2"/>
          </rPr>
          <t xml:space="preserve">
Were the relief supplies pre-positioned from a warehouse: Y or N
list warehouse (KL, DB, PD) </t>
        </r>
      </text>
    </comment>
    <comment ref="AN1" authorId="0">
      <text>
        <r>
          <rPr>
            <b/>
            <sz val="10"/>
            <color indexed="81"/>
            <rFont val="Tahoma"/>
            <family val="2"/>
          </rPr>
          <t>Amanda West:</t>
        </r>
        <r>
          <rPr>
            <sz val="10"/>
            <color indexed="81"/>
            <rFont val="Tahoma"/>
            <family val="2"/>
          </rPr>
          <t xml:space="preserve">
Previously quilts were distributed and are in this column</t>
        </r>
      </text>
    </comment>
    <comment ref="BG1" authorId="2">
      <text>
        <r>
          <rPr>
            <b/>
            <sz val="10"/>
            <color indexed="81"/>
            <rFont val="Tahoma"/>
            <family val="2"/>
          </rPr>
          <t>AmandaWest:</t>
        </r>
        <r>
          <rPr>
            <sz val="10"/>
            <color indexed="81"/>
            <rFont val="Tahoma"/>
            <family val="2"/>
          </rPr>
          <t xml:space="preserve">
The formula in the cell to establish the data assumes that 2799 and 2099 were only non-designated funds in ISD history. Formula doesn't account for use of existing funds in APs (which is rare) and doesn't account for multiple entries in AP column, where 2799 shares with another. Those must be manually adjusted unless you can find a formula. </t>
        </r>
      </text>
    </comment>
    <comment ref="BI1" authorId="2">
      <text>
        <r>
          <rPr>
            <b/>
            <sz val="10"/>
            <color indexed="81"/>
            <rFont val="Tahoma"/>
            <family val="2"/>
          </rPr>
          <t>AmandaWest:</t>
        </r>
        <r>
          <rPr>
            <sz val="10"/>
            <color indexed="81"/>
            <rFont val="Tahoma"/>
            <family val="2"/>
          </rPr>
          <t xml:space="preserve">
This is total amount raised - before cost recovery so amount contributed will be less.</t>
        </r>
      </text>
    </comment>
    <comment ref="BL1" authorId="2">
      <text>
        <r>
          <rPr>
            <b/>
            <sz val="10"/>
            <color indexed="81"/>
            <rFont val="Tahoma"/>
            <family val="2"/>
          </rPr>
          <t>AmandaWest:</t>
        </r>
        <r>
          <rPr>
            <sz val="10"/>
            <color indexed="81"/>
            <rFont val="Tahoma"/>
            <family val="2"/>
          </rPr>
          <t xml:space="preserve">
These AP $ amounts do not include Cost Recovery</t>
        </r>
      </text>
    </comment>
    <comment ref="BM1" authorId="2">
      <text>
        <r>
          <rPr>
            <b/>
            <sz val="10"/>
            <color indexed="81"/>
            <rFont val="Tahoma"/>
            <family val="2"/>
          </rPr>
          <t>AmandaWest:</t>
        </r>
        <r>
          <rPr>
            <sz val="10"/>
            <color indexed="81"/>
            <rFont val="Tahoma"/>
            <family val="2"/>
          </rPr>
          <t xml:space="preserve">
These AP $ amounts do not include Cost Recovery</t>
        </r>
      </text>
    </comment>
    <comment ref="BO1" authorId="2">
      <text>
        <r>
          <rPr>
            <b/>
            <sz val="10"/>
            <color indexed="81"/>
            <rFont val="Tahoma"/>
            <family val="2"/>
          </rPr>
          <t>AmandaWest:</t>
        </r>
        <r>
          <rPr>
            <sz val="10"/>
            <color indexed="81"/>
            <rFont val="Tahoma"/>
            <family val="2"/>
          </rPr>
          <t xml:space="preserve">
These AP $ amounts do not include Cost Recovery</t>
        </r>
      </text>
    </comment>
    <comment ref="Q5" authorId="0">
      <text>
        <r>
          <rPr>
            <b/>
            <sz val="10"/>
            <color indexed="81"/>
            <rFont val="Tahoma"/>
            <family val="2"/>
          </rPr>
          <t>Amanda West:</t>
        </r>
        <r>
          <rPr>
            <sz val="10"/>
            <color indexed="81"/>
            <rFont val="Tahoma"/>
            <family val="2"/>
          </rPr>
          <t xml:space="preserve">
Number affected: source: FAO website
Country  # Affected   % of Population
</t>
        </r>
        <r>
          <rPr>
            <b/>
            <sz val="10"/>
            <color indexed="81"/>
            <rFont val="Tahoma"/>
            <family val="2"/>
          </rPr>
          <t>Total:    2,998,214    11.7%</t>
        </r>
        <r>
          <rPr>
            <sz val="10"/>
            <color indexed="81"/>
            <rFont val="Tahoma"/>
            <family val="2"/>
          </rPr>
          <t xml:space="preserve">
Belize:  75,000- 31.4%
Guatemala: 1,138,972 - 10.5%
El Salvador: 346,910 - 5.7%
Honduras: 1,120,984 - 30%
Nicaragua:  316,348 - 6.6%
</t>
        </r>
      </text>
    </comment>
    <comment ref="AF14" authorId="2">
      <text>
        <r>
          <rPr>
            <b/>
            <sz val="10"/>
            <color indexed="81"/>
            <rFont val="Tahoma"/>
            <family val="2"/>
          </rPr>
          <t>AmandaWest:</t>
        </r>
        <r>
          <rPr>
            <sz val="10"/>
            <color indexed="81"/>
            <rFont val="Tahoma"/>
            <family val="2"/>
          </rPr>
          <t xml:space="preserve">
$500,000 - March 21 -World Food Programme
$3M - April 11 - IOM </t>
        </r>
      </text>
    </comment>
    <comment ref="AC156" authorId="0">
      <text>
        <r>
          <rPr>
            <b/>
            <sz val="10"/>
            <color indexed="81"/>
            <rFont val="Tahoma"/>
            <family val="2"/>
          </rPr>
          <t>Amanda West:</t>
        </r>
        <r>
          <rPr>
            <sz val="10"/>
            <color indexed="81"/>
            <rFont val="Tahoma"/>
            <family val="2"/>
          </rPr>
          <t xml:space="preserve">
$10,000 from AP; $100,000 from OFDA</t>
        </r>
      </text>
    </comment>
    <comment ref="BY174" authorId="3">
      <text>
        <r>
          <rPr>
            <b/>
            <sz val="8"/>
            <color indexed="81"/>
            <rFont val="Tahoma"/>
            <family val="2"/>
          </rPr>
          <t xml:space="preserve">Information </t>
        </r>
        <r>
          <rPr>
            <b/>
            <sz val="12"/>
            <color indexed="81"/>
            <rFont val="Tahoma"/>
            <family val="2"/>
          </rPr>
          <t>Services:</t>
        </r>
        <r>
          <rPr>
            <sz val="12"/>
            <color indexed="81"/>
            <rFont val="Tahoma"/>
            <family val="2"/>
          </rPr>
          <t xml:space="preserve">
Soap was supposed to be given to Panama RC but was never taken from warehouse.  MP 21 June 2005</t>
        </r>
      </text>
    </comment>
    <comment ref="BY175" authorId="4">
      <text>
        <r>
          <rPr>
            <b/>
            <sz val="11"/>
            <color indexed="81"/>
            <rFont val="Tahoma"/>
            <family val="2"/>
          </rPr>
          <t>IDRU:</t>
        </r>
        <r>
          <rPr>
            <sz val="11"/>
            <color indexed="81"/>
            <rFont val="Tahoma"/>
            <family val="2"/>
          </rPr>
          <t xml:space="preserve">
Commodities sent to Sri Lanka: 576 Tents form Dubai stocks, 3,000 Tents, 18,000 blankets from Dubai stocks, 3,520 tarpaulins from Dubai stocks, 4,900 Kitchen Sets from Dubai stocks,  5,000 Hygiene Kits from Dubai stocks, 30,000 Hygiene Kits, 2 WHO Cholera Kits, 2 WHO NEHK, 40,000 Hurricane Lamps, 255,000 Sleeping Mats, 4,800 10-litre Jerry Cans from Dubai stocks, 120,000 bars of bath soap; Paid $170,400 in air freight for Federation</t>
        </r>
      </text>
    </comment>
    <comment ref="BY177" authorId="4">
      <text>
        <r>
          <rPr>
            <b/>
            <sz val="11"/>
            <color indexed="81"/>
            <rFont val="Tahoma"/>
            <family val="2"/>
          </rPr>
          <t>IDRU: 50,000 water purification tablets, 200 water tanks (2,500 litres), 100 water tanks (10,000 litres)</t>
        </r>
        <r>
          <rPr>
            <sz val="11"/>
            <color indexed="81"/>
            <rFont val="Tahoma"/>
            <family val="2"/>
          </rPr>
          <t xml:space="preserve">
</t>
        </r>
      </text>
    </comment>
    <comment ref="Y180" authorId="0">
      <text>
        <r>
          <rPr>
            <b/>
            <sz val="10"/>
            <color indexed="81"/>
            <rFont val="Tahoma"/>
            <family val="2"/>
          </rPr>
          <t>Amanda West:</t>
        </r>
        <r>
          <rPr>
            <sz val="10"/>
            <color indexed="81"/>
            <rFont val="Tahoma"/>
            <family val="2"/>
          </rPr>
          <t xml:space="preserve">
all three countries affected</t>
        </r>
      </text>
    </comment>
    <comment ref="Q185" authorId="0">
      <text>
        <r>
          <rPr>
            <b/>
            <sz val="10"/>
            <color indexed="81"/>
            <rFont val="Tahoma"/>
            <family val="2"/>
          </rPr>
          <t>Amanda West:</t>
        </r>
        <r>
          <rPr>
            <sz val="10"/>
            <color indexed="81"/>
            <rFont val="Tahoma"/>
            <family val="2"/>
          </rPr>
          <t xml:space="preserve">
This is number made homeless, no number found for 'affected'</t>
        </r>
      </text>
    </comment>
    <comment ref="AC185" authorId="0">
      <text>
        <r>
          <rPr>
            <b/>
            <sz val="10"/>
            <color indexed="81"/>
            <rFont val="Tahoma"/>
            <family val="2"/>
          </rPr>
          <t>Amanda West:</t>
        </r>
        <r>
          <rPr>
            <sz val="10"/>
            <color indexed="81"/>
            <rFont val="Tahoma"/>
            <family val="2"/>
          </rPr>
          <t xml:space="preserve">
$3,750,000 +$3,000,000</t>
        </r>
      </text>
    </comment>
    <comment ref="AC190" authorId="0">
      <text>
        <r>
          <rPr>
            <b/>
            <sz val="10"/>
            <color indexed="81"/>
            <rFont val="Tahoma"/>
            <family val="2"/>
          </rPr>
          <t>Amanda West:</t>
        </r>
        <r>
          <rPr>
            <sz val="10"/>
            <color indexed="81"/>
            <rFont val="Tahoma"/>
            <family val="2"/>
          </rPr>
          <t xml:space="preserve">
$100,000 + $28,869 PMNs to IFRC</t>
        </r>
      </text>
    </comment>
    <comment ref="Y193" authorId="0">
      <text>
        <r>
          <rPr>
            <b/>
            <sz val="10"/>
            <color indexed="81"/>
            <rFont val="Tahoma"/>
            <family val="2"/>
          </rPr>
          <t>Amanda West:</t>
        </r>
        <r>
          <rPr>
            <sz val="10"/>
            <color indexed="81"/>
            <rFont val="Tahoma"/>
            <family val="2"/>
          </rPr>
          <t xml:space="preserve">
combined for all countries</t>
        </r>
      </text>
    </comment>
    <comment ref="S198" authorId="0">
      <text>
        <r>
          <rPr>
            <b/>
            <sz val="10"/>
            <color indexed="81"/>
            <rFont val="Tahoma"/>
            <family val="2"/>
          </rPr>
          <t>Amanda West:</t>
        </r>
        <r>
          <rPr>
            <sz val="10"/>
            <color indexed="81"/>
            <rFont val="Tahoma"/>
            <family val="2"/>
          </rPr>
          <t xml:space="preserve">
See comments - PMNs for two IFRC appeals</t>
        </r>
      </text>
    </comment>
    <comment ref="Y198" authorId="0">
      <text>
        <r>
          <rPr>
            <b/>
            <sz val="10"/>
            <color indexed="81"/>
            <rFont val="Tahoma"/>
            <family val="2"/>
          </rPr>
          <t>Amanda West:</t>
        </r>
        <r>
          <rPr>
            <sz val="10"/>
            <color indexed="81"/>
            <rFont val="Tahoma"/>
            <family val="2"/>
          </rPr>
          <t xml:space="preserve">
IFRC - 25,000
ICRC - 80,000</t>
        </r>
      </text>
    </comment>
    <comment ref="T208" authorId="0">
      <text>
        <r>
          <rPr>
            <b/>
            <sz val="10"/>
            <color indexed="81"/>
            <rFont val="Tahoma"/>
            <family val="2"/>
          </rPr>
          <t>Amanda West:</t>
        </r>
        <r>
          <rPr>
            <sz val="10"/>
            <color indexed="81"/>
            <rFont val="Tahoma"/>
            <family val="2"/>
          </rPr>
          <t xml:space="preserve">
IFRC Appeal:  $1,000,000 +
ICRC appeal: $82,131,000 </t>
        </r>
      </text>
    </comment>
    <comment ref="Y208" authorId="0">
      <text>
        <r>
          <rPr>
            <b/>
            <sz val="10"/>
            <color indexed="81"/>
            <rFont val="Tahoma"/>
            <family val="2"/>
          </rPr>
          <t>Amanda West:</t>
        </r>
        <r>
          <rPr>
            <sz val="10"/>
            <color indexed="81"/>
            <rFont val="Tahoma"/>
            <family val="2"/>
          </rPr>
          <t xml:space="preserve">
Conservative estimate of IFRC  + ICRC appeal beneficiaries.</t>
        </r>
      </text>
    </comment>
    <comment ref="AC219" authorId="0">
      <text>
        <r>
          <rPr>
            <b/>
            <sz val="10"/>
            <color indexed="81"/>
            <rFont val="Tahoma"/>
            <family val="2"/>
          </rPr>
          <t>Amanda West:</t>
        </r>
        <r>
          <rPr>
            <sz val="10"/>
            <color indexed="81"/>
            <rFont val="Tahoma"/>
            <family val="2"/>
          </rPr>
          <t xml:space="preserve">
$50,000 + $100,000</t>
        </r>
      </text>
    </comment>
    <comment ref="AD220" authorId="0">
      <text>
        <r>
          <rPr>
            <b/>
            <sz val="10"/>
            <color indexed="81"/>
            <rFont val="Tahoma"/>
            <family val="2"/>
          </rPr>
          <t>Amanda West:</t>
        </r>
        <r>
          <rPr>
            <sz val="10"/>
            <color indexed="81"/>
            <rFont val="Tahoma"/>
            <family val="2"/>
          </rPr>
          <t xml:space="preserve">
$1,979,500 + $20,500</t>
        </r>
      </text>
    </comment>
    <comment ref="AC227" authorId="0">
      <text>
        <r>
          <rPr>
            <b/>
            <sz val="10"/>
            <color indexed="81"/>
            <rFont val="Tahoma"/>
            <family val="2"/>
          </rPr>
          <t>Amanda West:</t>
        </r>
        <r>
          <rPr>
            <sz val="10"/>
            <color indexed="81"/>
            <rFont val="Tahoma"/>
            <family val="2"/>
          </rPr>
          <t xml:space="preserve">
$190,000 +$95,000 contribution</t>
        </r>
      </text>
    </comment>
    <comment ref="AC228" authorId="0">
      <text>
        <r>
          <rPr>
            <b/>
            <sz val="10"/>
            <color indexed="81"/>
            <rFont val="Tahoma"/>
            <family val="2"/>
          </rPr>
          <t>Amanda West:</t>
        </r>
        <r>
          <rPr>
            <sz val="10"/>
            <color indexed="81"/>
            <rFont val="Tahoma"/>
            <family val="2"/>
          </rPr>
          <t xml:space="preserve">
$24,000 + $100,000</t>
        </r>
      </text>
    </comment>
    <comment ref="AA234" authorId="5">
      <text>
        <r>
          <rPr>
            <b/>
            <sz val="8"/>
            <color indexed="81"/>
            <rFont val="Tahoma"/>
            <family val="2"/>
          </rPr>
          <t>Gina Guinta:</t>
        </r>
        <r>
          <rPr>
            <sz val="8"/>
            <color indexed="81"/>
            <rFont val="Tahoma"/>
            <family val="2"/>
          </rPr>
          <t xml:space="preserve">
5,000 people in Jamaica (for supplies) &amp; 24,000 people in Mexico (bilateral support with OFDA funds.</t>
        </r>
      </text>
    </comment>
    <comment ref="AA235" authorId="6">
      <text>
        <r>
          <rPr>
            <b/>
            <sz val="8"/>
            <color indexed="81"/>
            <rFont val="Tahoma"/>
            <family val="2"/>
          </rPr>
          <t xml:space="preserve">Gina Guinta:
</t>
        </r>
        <r>
          <rPr>
            <sz val="8"/>
            <color indexed="81"/>
            <rFont val="Tahoma"/>
            <family val="2"/>
          </rPr>
          <t>5,000 people in Jamaica (for supplies) &amp; 24,000 people in Mexico (bilateral support with OFDA funds.</t>
        </r>
      </text>
    </comment>
    <comment ref="AE236" authorId="3">
      <text>
        <r>
          <rPr>
            <b/>
            <sz val="8"/>
            <color indexed="81"/>
            <rFont val="Tahoma"/>
            <family val="2"/>
          </rPr>
          <t>Information Services:</t>
        </r>
        <r>
          <rPr>
            <sz val="8"/>
            <color indexed="81"/>
            <rFont val="Tahoma"/>
            <family val="2"/>
          </rPr>
          <t xml:space="preserve">
$2,500 to IFRC Emerg Appeal for the replenishment of stocks for Haiti</t>
        </r>
      </text>
    </comment>
    <comment ref="AH242" authorId="1">
      <text>
        <r>
          <rPr>
            <b/>
            <sz val="8"/>
            <color indexed="81"/>
            <rFont val="Tahoma"/>
            <family val="2"/>
          </rPr>
          <t>Amanda B West:</t>
        </r>
        <r>
          <rPr>
            <sz val="8"/>
            <color indexed="81"/>
            <rFont val="Tahoma"/>
            <family val="2"/>
          </rPr>
          <t xml:space="preserve">
Colin Chaperon - FACT Relief delegate, Big Nandinga - FACT Wat/san delegate, 
Mark Million - IT/Telecoms ERU.  Deployment Costs = $17,400</t>
        </r>
      </text>
    </comment>
    <comment ref="AA243" authorId="5">
      <text>
        <r>
          <rPr>
            <b/>
            <sz val="8"/>
            <color indexed="81"/>
            <rFont val="Tahoma"/>
            <family val="2"/>
          </rPr>
          <t>Gina Guinta:</t>
        </r>
        <r>
          <rPr>
            <sz val="8"/>
            <color indexed="81"/>
            <rFont val="Tahoma"/>
            <family val="2"/>
          </rPr>
          <t xml:space="preserve">
For both Uganda and West Africa, our contribution was delegates or funds to the IFRC to deploy delegates.  Therefore, the targeted beneficiaries is equivalent to the appeal target bens.</t>
        </r>
      </text>
    </comment>
    <comment ref="AA247" authorId="5">
      <text>
        <r>
          <rPr>
            <b/>
            <sz val="8"/>
            <color indexed="81"/>
            <rFont val="Tahoma"/>
            <family val="2"/>
          </rPr>
          <t xml:space="preserve">Gina Guinta:
</t>
        </r>
        <r>
          <rPr>
            <sz val="8"/>
            <color indexed="81"/>
            <rFont val="Tahoma"/>
            <family val="2"/>
          </rPr>
          <t>Total targeted beneficiaries includes</t>
        </r>
        <r>
          <rPr>
            <b/>
            <sz val="8"/>
            <color indexed="81"/>
            <rFont val="Tahoma"/>
            <family val="2"/>
          </rPr>
          <t xml:space="preserve"> </t>
        </r>
        <r>
          <rPr>
            <sz val="8"/>
            <color indexed="81"/>
            <rFont val="Tahoma"/>
            <family val="2"/>
          </rPr>
          <t>44,380 from appeal and 10,000 from OFDA funds.</t>
        </r>
      </text>
    </comment>
    <comment ref="AA249" authorId="5">
      <text>
        <r>
          <rPr>
            <b/>
            <sz val="8"/>
            <color indexed="81"/>
            <rFont val="Tahoma"/>
            <family val="2"/>
          </rPr>
          <t xml:space="preserve">Gina Guinta:
</t>
        </r>
        <r>
          <rPr>
            <sz val="8"/>
            <color indexed="81"/>
            <rFont val="Tahoma"/>
            <family val="2"/>
          </rPr>
          <t>Spoke with Chau, even though we earmarked OFDA funds for wat/san and shelter, we contributed $100K to the general appeal and also provided relief supplies.  Therefore, we're using the overall IFRC-targeted beneficiary #.</t>
        </r>
      </text>
    </comment>
    <comment ref="T251" authorId="1">
      <text>
        <r>
          <rPr>
            <b/>
            <sz val="8"/>
            <color indexed="81"/>
            <rFont val="Tahoma"/>
            <family val="2"/>
          </rPr>
          <t>Amanda B West:</t>
        </r>
        <r>
          <rPr>
            <sz val="8"/>
            <color indexed="81"/>
            <rFont val="Tahoma"/>
            <family val="2"/>
          </rPr>
          <t xml:space="preserve">
Final Disaster Resp Rpt and ICRC budget extension says it was 22.3 million. (?) </t>
        </r>
      </text>
    </comment>
    <comment ref="AD251" authorId="7">
      <text>
        <r>
          <rPr>
            <b/>
            <sz val="8"/>
            <color indexed="81"/>
            <rFont val="Tahoma"/>
            <family val="2"/>
          </rPr>
          <t>Amanda B. West:</t>
        </r>
        <r>
          <rPr>
            <sz val="8"/>
            <color indexed="81"/>
            <rFont val="Tahoma"/>
            <family val="2"/>
          </rPr>
          <t xml:space="preserve">
$50,000 - fr 2002
$200,000- fr 2099</t>
        </r>
      </text>
    </comment>
    <comment ref="R253" authorId="5">
      <text>
        <r>
          <rPr>
            <b/>
            <sz val="8"/>
            <color indexed="81"/>
            <rFont val="Tahoma"/>
            <family val="2"/>
          </rPr>
          <t>Gina Guinta:</t>
        </r>
        <r>
          <rPr>
            <sz val="8"/>
            <color indexed="81"/>
            <rFont val="Tahoma"/>
            <family val="2"/>
          </rPr>
          <t xml:space="preserve">
Since our contribution was two PSP delegates to build PSP capacity for future responses, our contribution didn't directly assist beneficiaries affected by the violence.  Our support was indirect.  Therefore, we targeted 0 beneficiaries.  </t>
        </r>
      </text>
    </comment>
    <comment ref="Y253" authorId="5">
      <text>
        <r>
          <rPr>
            <b/>
            <sz val="8"/>
            <color indexed="81"/>
            <rFont val="Tahoma"/>
            <family val="2"/>
          </rPr>
          <t>Gina Guinta:</t>
        </r>
        <r>
          <rPr>
            <sz val="8"/>
            <color indexed="81"/>
            <rFont val="Tahoma"/>
            <family val="2"/>
          </rPr>
          <t xml:space="preserve">
Since our contribution was two PSP delegates to build PSP capacity for future responses, our contribution didn't directly assist beneficiaries affected by the violence.  Our support was indirect.  Therefore, we targeted 0 beneficiaries.  </t>
        </r>
      </text>
    </comment>
    <comment ref="AA253" authorId="5">
      <text>
        <r>
          <rPr>
            <b/>
            <sz val="8"/>
            <color indexed="81"/>
            <rFont val="Tahoma"/>
            <family val="2"/>
          </rPr>
          <t>Gina Guinta:</t>
        </r>
        <r>
          <rPr>
            <sz val="8"/>
            <color indexed="81"/>
            <rFont val="Tahoma"/>
            <family val="2"/>
          </rPr>
          <t xml:space="preserve">
Since our contribution was two PSP delegates to build PSP capacity for future responses, our contribution didn't directly assist beneficiaries affected by the violence.  Our support was indirect.  Therefore, we targeted 0 beneficiaries.  </t>
        </r>
      </text>
    </comment>
    <comment ref="R254" authorId="5">
      <text>
        <r>
          <rPr>
            <b/>
            <sz val="8"/>
            <color indexed="81"/>
            <rFont val="Tahoma"/>
            <family val="2"/>
          </rPr>
          <t>Gina Guinta:</t>
        </r>
        <r>
          <rPr>
            <sz val="8"/>
            <color indexed="81"/>
            <rFont val="Tahoma"/>
            <family val="2"/>
          </rPr>
          <t xml:space="preserve">
Rough # per ICRC appeal, which doesn't give total beneficiary numbers.  Use low-ball figure to ensure no double counting of beneficiaries.</t>
        </r>
      </text>
    </comment>
    <comment ref="Y254" authorId="5">
      <text>
        <r>
          <rPr>
            <b/>
            <sz val="8"/>
            <color indexed="81"/>
            <rFont val="Tahoma"/>
            <family val="2"/>
          </rPr>
          <t>Gina Guinta:</t>
        </r>
        <r>
          <rPr>
            <sz val="8"/>
            <color indexed="81"/>
            <rFont val="Tahoma"/>
            <family val="2"/>
          </rPr>
          <t xml:space="preserve">
Rough # per ICRC appeal, which doesn't give total beneficiary numbers.  Use low-ball figure to ensure no double counting of beneficiaries.</t>
        </r>
      </text>
    </comment>
    <comment ref="D255" authorId="1">
      <text>
        <r>
          <rPr>
            <b/>
            <sz val="8"/>
            <color indexed="81"/>
            <rFont val="Tahoma"/>
            <family val="2"/>
          </rPr>
          <t>Amanda B West:</t>
        </r>
        <r>
          <rPr>
            <sz val="8"/>
            <color indexed="81"/>
            <rFont val="Tahoma"/>
            <family val="2"/>
          </rPr>
          <t xml:space="preserve">
Merged the two records - tally up total $ contrib.; adding additional info in code fields and comments</t>
        </r>
      </text>
    </comment>
    <comment ref="Q255" authorId="1">
      <text>
        <r>
          <rPr>
            <b/>
            <sz val="8"/>
            <color indexed="81"/>
            <rFont val="Tahoma"/>
            <family val="2"/>
          </rPr>
          <t>Amanda B West:</t>
        </r>
        <r>
          <rPr>
            <sz val="8"/>
            <color indexed="81"/>
            <rFont val="Tahoma"/>
            <family val="2"/>
          </rPr>
          <t xml:space="preserve">
315K from IFRC Feb. rpt.
March 27 Disaster Rsp Rpt says Gov of  Ec says 1.8 million</t>
        </r>
      </text>
    </comment>
    <comment ref="T255" authorId="1">
      <text>
        <r>
          <rPr>
            <b/>
            <sz val="8"/>
            <color indexed="81"/>
            <rFont val="Tahoma"/>
            <family val="2"/>
          </rPr>
          <t>Amanda B West:</t>
        </r>
        <r>
          <rPr>
            <sz val="8"/>
            <color indexed="81"/>
            <rFont val="Tahoma"/>
            <family val="2"/>
          </rPr>
          <t xml:space="preserve">
Dis. Resp Rpt says it’s a DREF from IFRC</t>
        </r>
      </text>
    </comment>
    <comment ref="AA255" authorId="5">
      <text>
        <r>
          <rPr>
            <b/>
            <sz val="8"/>
            <color indexed="81"/>
            <rFont val="Tahoma"/>
            <family val="2"/>
          </rPr>
          <t>Gina Guinta:</t>
        </r>
        <r>
          <rPr>
            <sz val="8"/>
            <color indexed="81"/>
            <rFont val="Tahoma"/>
            <family val="2"/>
          </rPr>
          <t xml:space="preserve">
Spoke with Christine.  OFDA funds helped 6,445 people and our other contribution of $75K also helped the OFDA-targeted population.</t>
        </r>
      </text>
    </comment>
    <comment ref="AE255" authorId="5">
      <text>
        <r>
          <rPr>
            <b/>
            <sz val="10"/>
            <color indexed="81"/>
            <rFont val="Tahoma"/>
            <family val="2"/>
          </rPr>
          <t>Gina Guinta:</t>
        </r>
        <r>
          <rPr>
            <sz val="10"/>
            <color indexed="81"/>
            <rFont val="Tahoma"/>
            <family val="2"/>
          </rPr>
          <t xml:space="preserve">
$75K earmarked for food parcels + $170,000 OFDA grant</t>
        </r>
      </text>
    </comment>
    <comment ref="D256" authorId="1">
      <text>
        <r>
          <rPr>
            <b/>
            <sz val="8"/>
            <color indexed="81"/>
            <rFont val="Tahoma"/>
            <family val="2"/>
          </rPr>
          <t>Amanda B West:</t>
        </r>
        <r>
          <rPr>
            <sz val="8"/>
            <color indexed="81"/>
            <rFont val="Tahoma"/>
            <family val="2"/>
          </rPr>
          <t xml:space="preserve">
Merged the two records - tally up total $ contrib.; adding additional info in code fields and comments</t>
        </r>
      </text>
    </comment>
    <comment ref="AC256" authorId="1">
      <text>
        <r>
          <rPr>
            <b/>
            <sz val="8"/>
            <color indexed="81"/>
            <rFont val="Tahoma"/>
            <family val="2"/>
          </rPr>
          <t>Amanda B West:</t>
        </r>
        <r>
          <rPr>
            <sz val="8"/>
            <color indexed="81"/>
            <rFont val="Tahoma"/>
            <family val="2"/>
          </rPr>
          <t xml:space="preserve">
$250,000 from 2099
$19,000 from 2689</t>
        </r>
      </text>
    </comment>
    <comment ref="AA257" authorId="5">
      <text>
        <r>
          <rPr>
            <b/>
            <sz val="8"/>
            <color indexed="81"/>
            <rFont val="Tahoma"/>
            <family val="2"/>
          </rPr>
          <t>Gina Guinta:</t>
        </r>
        <r>
          <rPr>
            <sz val="8"/>
            <color indexed="81"/>
            <rFont val="Tahoma"/>
            <family val="2"/>
          </rPr>
          <t xml:space="preserve">
1 mos net/family, therefore 10,000 mos nets assisted 50,000 people.</t>
        </r>
      </text>
    </comment>
    <comment ref="AC258" authorId="7">
      <text>
        <r>
          <rPr>
            <b/>
            <sz val="8"/>
            <color indexed="81"/>
            <rFont val="Tahoma"/>
            <family val="2"/>
          </rPr>
          <t>Amanda B. West:</t>
        </r>
        <r>
          <rPr>
            <sz val="8"/>
            <color indexed="81"/>
            <rFont val="Tahoma"/>
            <family val="2"/>
          </rPr>
          <t xml:space="preserve">
$200,000 pmt
$100,000 pmt</t>
        </r>
      </text>
    </comment>
    <comment ref="AC261" authorId="8">
      <text>
        <r>
          <rPr>
            <b/>
            <sz val="9"/>
            <color indexed="81"/>
            <rFont val="Tahoma"/>
            <family val="2"/>
          </rPr>
          <t>Based on IFRC interim report from Dec 2011</t>
        </r>
      </text>
    </comment>
    <comment ref="AA262" authorId="5">
      <text>
        <r>
          <rPr>
            <b/>
            <sz val="8"/>
            <color indexed="81"/>
            <rFont val="Tahoma"/>
            <family val="2"/>
          </rPr>
          <t>Gina Guinta:</t>
        </r>
        <r>
          <rPr>
            <sz val="8"/>
            <color indexed="81"/>
            <rFont val="Tahoma"/>
            <family val="2"/>
          </rPr>
          <t xml:space="preserve">
Earmarked for food</t>
        </r>
      </text>
    </comment>
    <comment ref="AA263" authorId="5">
      <text>
        <r>
          <rPr>
            <b/>
            <sz val="8"/>
            <color indexed="81"/>
            <rFont val="Tahoma"/>
            <family val="2"/>
          </rPr>
          <t>Gina Guinta:</t>
        </r>
        <r>
          <rPr>
            <sz val="8"/>
            <color indexed="81"/>
            <rFont val="Tahoma"/>
            <family val="2"/>
          </rPr>
          <t xml:space="preserve">
Since our contribution was a delegate to help establish a funds-tracking system and build capacity overall development-related mechanisms, our contribution didn't directly assist beneficiaries affected by the civil disturbance.  Therefore, we targeted 0 beneficiaries.
</t>
        </r>
      </text>
    </comment>
    <comment ref="AA264" authorId="5">
      <text>
        <r>
          <rPr>
            <b/>
            <sz val="8"/>
            <color indexed="81"/>
            <rFont val="Tahoma"/>
            <family val="2"/>
          </rPr>
          <t>Gina Guinta:</t>
        </r>
        <r>
          <rPr>
            <sz val="8"/>
            <color indexed="81"/>
            <rFont val="Tahoma"/>
            <family val="2"/>
          </rPr>
          <t xml:space="preserve">
Cash assistance program helped ~250 families (1,250 beneficiaries)</t>
        </r>
      </text>
    </comment>
    <comment ref="T266" authorId="1">
      <text>
        <r>
          <rPr>
            <b/>
            <sz val="8"/>
            <color indexed="81"/>
            <rFont val="Tahoma"/>
            <family val="2"/>
          </rPr>
          <t>Amanda B West:</t>
        </r>
        <r>
          <rPr>
            <sz val="8"/>
            <color indexed="81"/>
            <rFont val="Tahoma"/>
            <family val="2"/>
          </rPr>
          <t xml:space="preserve">
This is a 'budget extension appeal' by ICRC. Does that count as an appeal?</t>
        </r>
      </text>
    </comment>
    <comment ref="Q267" authorId="7">
      <text>
        <r>
          <rPr>
            <b/>
            <sz val="8"/>
            <color indexed="81"/>
            <rFont val="Tahoma"/>
            <family val="2"/>
          </rPr>
          <t>Amanda B. West:</t>
        </r>
        <r>
          <rPr>
            <sz val="8"/>
            <color indexed="81"/>
            <rFont val="Tahoma"/>
            <family val="2"/>
          </rPr>
          <t xml:space="preserve">
IFRC Final Rpt says 5,000 families - need conversion</t>
        </r>
      </text>
    </comment>
    <comment ref="AB268" authorId="0">
      <text>
        <r>
          <rPr>
            <b/>
            <sz val="10"/>
            <color indexed="81"/>
            <rFont val="Tahoma"/>
            <family val="2"/>
          </rPr>
          <t>Amanda West:</t>
        </r>
        <r>
          <rPr>
            <sz val="10"/>
            <color indexed="81"/>
            <rFont val="Tahoma"/>
            <family val="2"/>
          </rPr>
          <t xml:space="preserve">
per Tracy Reines = $50k total including cost recovery</t>
        </r>
      </text>
    </comment>
    <comment ref="Y269" authorId="7">
      <text>
        <r>
          <rPr>
            <b/>
            <sz val="8"/>
            <color indexed="81"/>
            <rFont val="Tahoma"/>
            <family val="2"/>
          </rPr>
          <t>Amanda B. West:</t>
        </r>
        <r>
          <rPr>
            <sz val="8"/>
            <color indexed="81"/>
            <rFont val="Tahoma"/>
            <family val="2"/>
          </rPr>
          <t xml:space="preserve">
From ICRC according to Disaster Response Rpt</t>
        </r>
      </text>
    </comment>
    <comment ref="Q270" authorId="7">
      <text>
        <r>
          <rPr>
            <b/>
            <sz val="8"/>
            <color indexed="81"/>
            <rFont val="Tahoma"/>
            <family val="2"/>
          </rPr>
          <t>Amanda B. West:</t>
        </r>
        <r>
          <rPr>
            <sz val="8"/>
            <color indexed="81"/>
            <rFont val="Tahoma"/>
            <family val="2"/>
          </rPr>
          <t xml:space="preserve">
109,521 Families according to IFRC last rpt - need conversion #</t>
        </r>
      </text>
    </comment>
    <comment ref="AC271" authorId="7">
      <text>
        <r>
          <rPr>
            <b/>
            <sz val="8"/>
            <color indexed="81"/>
            <rFont val="Tahoma"/>
            <family val="2"/>
          </rPr>
          <t>Amanda B. West:</t>
        </r>
        <r>
          <rPr>
            <sz val="8"/>
            <color indexed="81"/>
            <rFont val="Tahoma"/>
            <family val="2"/>
          </rPr>
          <t xml:space="preserve">
$100,000 - CASH PMN from 2885
$160,000 - unspecified
$23,682 - reconciling finance's accounting as of 6/2009 shows total of 623,682 spent in this diaster response area</t>
        </r>
      </text>
    </comment>
    <comment ref="D272" authorId="1">
      <text>
        <r>
          <rPr>
            <b/>
            <sz val="8"/>
            <color indexed="81"/>
            <rFont val="Tahoma"/>
            <family val="2"/>
          </rPr>
          <t>Amanda B West:</t>
        </r>
        <r>
          <rPr>
            <sz val="8"/>
            <color indexed="81"/>
            <rFont val="Tahoma"/>
            <family val="2"/>
          </rPr>
          <t xml:space="preserve">
All from Hurricane Gustav. The needs in Haiti and Cuba are covered in separate Appeals</t>
        </r>
      </text>
    </comment>
    <comment ref="T272" authorId="1">
      <text>
        <r>
          <rPr>
            <b/>
            <sz val="8"/>
            <color indexed="81"/>
            <rFont val="Tahoma"/>
            <family val="2"/>
          </rPr>
          <t>Amanda B West:
Appeal #: MDR49003</t>
        </r>
        <r>
          <rPr>
            <sz val="8"/>
            <color indexed="81"/>
            <rFont val="Tahoma"/>
            <family val="2"/>
          </rPr>
          <t xml:space="preserve">
Was listed at $1.8M but IFRC Appeal says $1,638,000 (9Sept2008) nothing to support 1.8M</t>
        </r>
      </text>
    </comment>
    <comment ref="AA274" authorId="7">
      <text>
        <r>
          <rPr>
            <b/>
            <sz val="8"/>
            <color indexed="81"/>
            <rFont val="Tahoma"/>
            <family val="2"/>
          </rPr>
          <t>Amanda B. West:</t>
        </r>
        <r>
          <rPr>
            <sz val="8"/>
            <color indexed="81"/>
            <rFont val="Tahoma"/>
            <family val="2"/>
          </rPr>
          <t xml:space="preserve">
Direct beneficiaries from $1M for zinc roofing - figure from IFRC AmCross Cuba Hurricane 08 donor report for ARC dated 21 May09- "ARC directly benefitted 2,076 families (approx 10,380 people) through the distribution of zinc sheets and nails to rebuild damaged roofs." (p.2)</t>
        </r>
      </text>
    </comment>
    <comment ref="AC277" authorId="9">
      <text>
        <r>
          <rPr>
            <b/>
            <sz val="8"/>
            <color indexed="81"/>
            <rFont val="Tahoma"/>
            <family val="2"/>
          </rPr>
          <t>RaganS:</t>
        </r>
        <r>
          <rPr>
            <sz val="8"/>
            <color indexed="81"/>
            <rFont val="Tahoma"/>
            <family val="2"/>
          </rPr>
          <t xml:space="preserve">
1. PMN 100k
2. PMN 91k (ARCT)
</t>
        </r>
        <r>
          <rPr>
            <b/>
            <sz val="8"/>
            <color indexed="81"/>
            <rFont val="Tahoma"/>
            <family val="2"/>
          </rPr>
          <t>AWest:</t>
        </r>
        <r>
          <rPr>
            <sz val="8"/>
            <color indexed="81"/>
            <rFont val="Tahoma"/>
            <family val="2"/>
          </rPr>
          <t xml:space="preserve">
Finance shows total of $246,683 spent on this event as of 06/2009</t>
        </r>
      </text>
    </comment>
    <comment ref="T279" authorId="7">
      <text>
        <r>
          <rPr>
            <b/>
            <sz val="8"/>
            <color indexed="81"/>
            <rFont val="Tahoma"/>
            <family val="2"/>
          </rPr>
          <t>Amanda B. West:</t>
        </r>
        <r>
          <rPr>
            <sz val="8"/>
            <color indexed="81"/>
            <rFont val="Tahoma"/>
            <family val="2"/>
          </rPr>
          <t xml:space="preserve">
ICRC = $7,800,000
IFRC = $2,080,000</t>
        </r>
      </text>
    </comment>
    <comment ref="Y279" authorId="7">
      <text>
        <r>
          <rPr>
            <b/>
            <sz val="8"/>
            <color indexed="81"/>
            <rFont val="Tahoma"/>
            <family val="2"/>
          </rPr>
          <t>Amanda B. West:</t>
        </r>
        <r>
          <rPr>
            <sz val="8"/>
            <color indexed="81"/>
            <rFont val="Tahoma"/>
            <family val="2"/>
          </rPr>
          <t xml:space="preserve">
From final report Aug 2009</t>
        </r>
      </text>
    </comment>
    <comment ref="Q282" authorId="7">
      <text>
        <r>
          <rPr>
            <b/>
            <sz val="8"/>
            <color indexed="81"/>
            <rFont val="Tahoma"/>
            <family val="2"/>
          </rPr>
          <t>Amanda B. West:</t>
        </r>
        <r>
          <rPr>
            <sz val="8"/>
            <color indexed="81"/>
            <rFont val="Tahoma"/>
            <family val="2"/>
          </rPr>
          <t xml:space="preserve">
according to April 2009 update - was previously 82,000 in DRR from figure from ntl govt</t>
        </r>
      </text>
    </comment>
    <comment ref="T286" authorId="7">
      <text>
        <r>
          <rPr>
            <b/>
            <sz val="8"/>
            <color indexed="81"/>
            <rFont val="Tahoma"/>
            <family val="2"/>
          </rPr>
          <t>Amanda B. West:</t>
        </r>
        <r>
          <rPr>
            <sz val="8"/>
            <color indexed="81"/>
            <rFont val="Tahoma"/>
            <family val="2"/>
          </rPr>
          <t xml:space="preserve">
as of 23 June 2009</t>
        </r>
      </text>
    </comment>
    <comment ref="AC286" authorId="0">
      <text>
        <r>
          <rPr>
            <b/>
            <sz val="10"/>
            <color indexed="81"/>
            <rFont val="Tahoma"/>
            <family val="2"/>
          </rPr>
          <t>Amanda West:</t>
        </r>
        <r>
          <rPr>
            <sz val="10"/>
            <color indexed="81"/>
            <rFont val="Tahoma"/>
            <family val="2"/>
          </rPr>
          <t xml:space="preserve">
$500,000 pending still</t>
        </r>
      </text>
    </comment>
    <comment ref="AG286" authorId="0">
      <text>
        <r>
          <rPr>
            <b/>
            <sz val="10"/>
            <color indexed="81"/>
            <rFont val="Tahoma"/>
            <family val="2"/>
          </rPr>
          <t>Amanda West:</t>
        </r>
        <r>
          <rPr>
            <sz val="10"/>
            <color indexed="81"/>
            <rFont val="Tahoma"/>
            <family val="2"/>
          </rPr>
          <t xml:space="preserve">
$500,000 pending</t>
        </r>
      </text>
    </comment>
    <comment ref="Q288" authorId="1">
      <text>
        <r>
          <rPr>
            <b/>
            <sz val="8"/>
            <color indexed="81"/>
            <rFont val="Tahoma"/>
            <family val="2"/>
          </rPr>
          <t>Amanda B West:</t>
        </r>
        <r>
          <rPr>
            <sz val="8"/>
            <color indexed="81"/>
            <rFont val="Tahoma"/>
            <family val="2"/>
          </rPr>
          <t xml:space="preserve">
WHO 23 Jan 2009</t>
        </r>
      </text>
    </comment>
    <comment ref="X288" authorId="1">
      <text>
        <r>
          <rPr>
            <b/>
            <sz val="10"/>
            <color indexed="81"/>
            <rFont val="Tahoma"/>
            <family val="2"/>
          </rPr>
          <t>Amanda B West:</t>
        </r>
        <r>
          <rPr>
            <sz val="10"/>
            <color indexed="81"/>
            <rFont val="Tahoma"/>
            <family val="2"/>
          </rPr>
          <t xml:space="preserve">
2 amounts:
181,818 - 12 Dec 2008
177,556 - 11 Nov 2008</t>
        </r>
      </text>
    </comment>
    <comment ref="Y288" authorId="10">
      <text>
        <r>
          <rPr>
            <b/>
            <sz val="8"/>
            <color indexed="81"/>
            <rFont val="Tahoma"/>
            <family val="2"/>
          </rPr>
          <t>Mathew Morgan:</t>
        </r>
        <r>
          <rPr>
            <sz val="8"/>
            <color indexed="81"/>
            <rFont val="Tahoma"/>
            <family val="2"/>
          </rPr>
          <t xml:space="preserve">
Total beneficiaries; 50,000 refers to the number of cases.</t>
        </r>
      </text>
    </comment>
    <comment ref="AA288" authorId="10">
      <text>
        <r>
          <rPr>
            <b/>
            <sz val="8"/>
            <color indexed="81"/>
            <rFont val="Tahoma"/>
            <family val="2"/>
          </rPr>
          <t>Mathew Morgan:</t>
        </r>
        <r>
          <rPr>
            <sz val="8"/>
            <color indexed="81"/>
            <rFont val="Tahoma"/>
            <family val="2"/>
          </rPr>
          <t xml:space="preserve">
Total beneficiaries; 50,000 refers to the number of cases.</t>
        </r>
      </text>
    </comment>
    <comment ref="Q290" authorId="7">
      <text>
        <r>
          <rPr>
            <b/>
            <sz val="8"/>
            <color indexed="81"/>
            <rFont val="Tahoma"/>
            <family val="2"/>
          </rPr>
          <t>Amanda B. West:</t>
        </r>
        <r>
          <rPr>
            <sz val="8"/>
            <color indexed="81"/>
            <rFont val="Tahoma"/>
            <family val="2"/>
          </rPr>
          <t xml:space="preserve">
UN estimate for those displaced from homes.</t>
        </r>
      </text>
    </comment>
    <comment ref="Y290" authorId="1">
      <text>
        <r>
          <rPr>
            <b/>
            <sz val="8"/>
            <color indexed="81"/>
            <rFont val="Tahoma"/>
            <family val="2"/>
          </rPr>
          <t>Amanda B West:</t>
        </r>
        <r>
          <rPr>
            <sz val="8"/>
            <color indexed="81"/>
            <rFont val="Tahoma"/>
            <family val="2"/>
          </rPr>
          <t xml:space="preserve">
IFRC made general appeal to budgeted amt to Israel, Occupied Territories account </t>
        </r>
      </text>
    </comment>
    <comment ref="AD290" authorId="7">
      <text>
        <r>
          <rPr>
            <b/>
            <sz val="8"/>
            <color indexed="81"/>
            <rFont val="Tahoma"/>
            <family val="2"/>
          </rPr>
          <t>Amanda B. West:</t>
        </r>
        <r>
          <rPr>
            <sz val="8"/>
            <color indexed="81"/>
            <rFont val="Tahoma"/>
            <family val="2"/>
          </rPr>
          <t xml:space="preserve">
250,000 - ICRC 5 Jan 09
110,625 - ICRC 5 Feb 09</t>
        </r>
      </text>
    </comment>
    <comment ref="AE290" authorId="7">
      <text>
        <r>
          <rPr>
            <b/>
            <sz val="8"/>
            <color indexed="81"/>
            <rFont val="Tahoma"/>
            <family val="2"/>
          </rPr>
          <t>Amanda B. West:</t>
        </r>
        <r>
          <rPr>
            <sz val="8"/>
            <color indexed="81"/>
            <rFont val="Tahoma"/>
            <family val="2"/>
          </rPr>
          <t xml:space="preserve">
 $ 250,000 - PRCS 9 Jan 09
 $ 200,000 - MDA 30 Jan 09
 $ 110,625 - PRCS 5 Feb 09
</t>
        </r>
      </text>
    </comment>
    <comment ref="Q291" authorId="7">
      <text>
        <r>
          <rPr>
            <b/>
            <sz val="8"/>
            <color indexed="81"/>
            <rFont val="Tahoma"/>
            <family val="2"/>
          </rPr>
          <t>Amanda B. West:</t>
        </r>
        <r>
          <rPr>
            <sz val="8"/>
            <color indexed="81"/>
            <rFont val="Tahoma"/>
            <family val="2"/>
          </rPr>
          <t xml:space="preserve">
According to IFRC DREF update 4 March 2009:
2,943 -directly affected
125,00 - indirectly affected</t>
        </r>
      </text>
    </comment>
    <comment ref="AA291" authorId="7">
      <text>
        <r>
          <rPr>
            <b/>
            <sz val="8"/>
            <color indexed="81"/>
            <rFont val="Tahoma"/>
            <family val="2"/>
          </rPr>
          <t>Amanda B. West:</t>
        </r>
        <r>
          <rPr>
            <sz val="8"/>
            <color indexed="81"/>
            <rFont val="Tahoma"/>
            <family val="2"/>
          </rPr>
          <t xml:space="preserve">
Cash/voucher program we funded directly to CRRC, sole funder.</t>
        </r>
      </text>
    </comment>
    <comment ref="BA291" authorId="7">
      <text>
        <r>
          <rPr>
            <b/>
            <sz val="8"/>
            <color indexed="81"/>
            <rFont val="Tahoma"/>
            <family val="2"/>
          </rPr>
          <t>Amanda B. West:</t>
        </r>
        <r>
          <rPr>
            <sz val="8"/>
            <color indexed="81"/>
            <rFont val="Tahoma"/>
            <family val="2"/>
          </rPr>
          <t xml:space="preserve">
Scott DiPretoro and Arnaldo Vargas doing cash/voucher mgmt there - actual costs approved listed on RAP 2.</t>
        </r>
      </text>
    </comment>
    <comment ref="Q292" authorId="7">
      <text>
        <r>
          <rPr>
            <b/>
            <sz val="8"/>
            <color indexed="81"/>
            <rFont val="Tahoma"/>
            <family val="2"/>
          </rPr>
          <t>Amanda B. West:</t>
        </r>
        <r>
          <rPr>
            <sz val="8"/>
            <color indexed="81"/>
            <rFont val="Tahoma"/>
            <family val="2"/>
          </rPr>
          <t xml:space="preserve">
This is only figure I could find - 22,000 registered with Ntl Registration and Inquiry System Operated by Australian Red Cross.
No where does anyone say # of affected total.</t>
        </r>
      </text>
    </comment>
    <comment ref="AA293" authorId="7">
      <text>
        <r>
          <rPr>
            <b/>
            <sz val="8"/>
            <color indexed="81"/>
            <rFont val="Tahoma"/>
            <family val="2"/>
          </rPr>
          <t>Amanda B. West:</t>
        </r>
        <r>
          <rPr>
            <sz val="8"/>
            <color indexed="81"/>
            <rFont val="Tahoma"/>
            <family val="2"/>
          </rPr>
          <t xml:space="preserve">
Baby kits directly funded for 20,000 babies for 3 months.</t>
        </r>
      </text>
    </comment>
    <comment ref="AK294" authorId="0">
      <text>
        <r>
          <rPr>
            <b/>
            <sz val="10"/>
            <color indexed="81"/>
            <rFont val="Tahoma"/>
            <family val="2"/>
          </rPr>
          <t>Amanda West:</t>
        </r>
        <r>
          <rPr>
            <sz val="10"/>
            <color indexed="81"/>
            <rFont val="Tahoma"/>
            <family val="2"/>
          </rPr>
          <t xml:space="preserve">
From Panama warehouse</t>
        </r>
      </text>
    </comment>
    <comment ref="Q295" authorId="7">
      <text>
        <r>
          <rPr>
            <b/>
            <sz val="8"/>
            <color indexed="81"/>
            <rFont val="Tahoma"/>
            <family val="2"/>
          </rPr>
          <t>Amanda B. West:</t>
        </r>
        <r>
          <rPr>
            <sz val="8"/>
            <color indexed="81"/>
            <rFont val="Tahoma"/>
            <family val="2"/>
          </rPr>
          <t xml:space="preserve">
According to DREF update #3 - May 09</t>
        </r>
      </text>
    </comment>
    <comment ref="AE295" authorId="7">
      <text>
        <r>
          <rPr>
            <b/>
            <sz val="8"/>
            <color indexed="81"/>
            <rFont val="Tahoma"/>
            <family val="2"/>
          </rPr>
          <t>Amanda B. West:</t>
        </r>
        <r>
          <rPr>
            <sz val="8"/>
            <color indexed="81"/>
            <rFont val="Tahoma"/>
            <family val="2"/>
          </rPr>
          <t xml:space="preserve">
To Italian Red Cross:
$50,000 - April 2009
$522,180 - May 29 2009
+/- $459,135 -Remainder to be sent by August 6
</t>
        </r>
      </text>
    </comment>
    <comment ref="T296" authorId="7">
      <text>
        <r>
          <rPr>
            <b/>
            <sz val="8"/>
            <color indexed="81"/>
            <rFont val="Tahoma"/>
            <family val="2"/>
          </rPr>
          <t>Amanda B. West:</t>
        </r>
        <r>
          <rPr>
            <sz val="8"/>
            <color indexed="81"/>
            <rFont val="Tahoma"/>
            <family val="2"/>
          </rPr>
          <t xml:space="preserve">
Fourth appeal update revision of amount</t>
        </r>
      </text>
    </comment>
    <comment ref="D297" authorId="0">
      <text>
        <r>
          <rPr>
            <b/>
            <sz val="10"/>
            <color indexed="81"/>
            <rFont val="Tahoma"/>
            <family val="2"/>
          </rPr>
          <t>Amanda West:</t>
        </r>
        <r>
          <rPr>
            <sz val="10"/>
            <color indexed="81"/>
            <rFont val="Tahoma"/>
            <family val="2"/>
          </rPr>
          <t xml:space="preserve">
Money is back in as of Aug 09 as funds finally went out so it can be counted as diaster in FY09</t>
        </r>
      </text>
    </comment>
    <comment ref="L297" authorId="0">
      <text>
        <r>
          <rPr>
            <b/>
            <sz val="10"/>
            <color indexed="81"/>
            <rFont val="Tahoma"/>
            <family val="2"/>
          </rPr>
          <t>Amanda West:</t>
        </r>
        <r>
          <rPr>
            <sz val="10"/>
            <color indexed="81"/>
            <rFont val="Tahoma"/>
            <family val="2"/>
          </rPr>
          <t xml:space="preserve">
14 countries in appeal, however, our funds were earmarked for Sudan.</t>
        </r>
      </text>
    </comment>
    <comment ref="T298" authorId="7">
      <text>
        <r>
          <rPr>
            <b/>
            <sz val="8"/>
            <color indexed="81"/>
            <rFont val="Tahoma"/>
            <family val="2"/>
          </rPr>
          <t>Amanda B. West:</t>
        </r>
        <r>
          <rPr>
            <sz val="8"/>
            <color indexed="81"/>
            <rFont val="Tahoma"/>
            <family val="2"/>
          </rPr>
          <t xml:space="preserve">
Appeal revised downward 6 July 2009</t>
        </r>
      </text>
    </comment>
    <comment ref="AZ298" authorId="0">
      <text>
        <r>
          <rPr>
            <b/>
            <sz val="10"/>
            <color indexed="81"/>
            <rFont val="Tahoma"/>
            <family val="2"/>
          </rPr>
          <t>Amanda West:</t>
        </r>
        <r>
          <rPr>
            <sz val="10"/>
            <color indexed="81"/>
            <rFont val="Tahoma"/>
            <family val="2"/>
          </rPr>
          <t xml:space="preserve">
$80k worth of mattresses and coolers procured locally and sent to PRCS for IDP camps. 5,150 items total.</t>
        </r>
      </text>
    </comment>
    <comment ref="E299" authorId="7">
      <text>
        <r>
          <rPr>
            <b/>
            <sz val="8"/>
            <color indexed="81"/>
            <rFont val="Tahoma"/>
            <family val="2"/>
          </rPr>
          <t>Amanda B. West:</t>
        </r>
        <r>
          <rPr>
            <sz val="8"/>
            <color indexed="81"/>
            <rFont val="Tahoma"/>
            <family val="2"/>
          </rPr>
          <t xml:space="preserve">
Stacy said to count this as FY09 - go by date of event if straddles FY.</t>
        </r>
      </text>
    </comment>
    <comment ref="L302" authorId="0">
      <text>
        <r>
          <rPr>
            <b/>
            <sz val="10"/>
            <color indexed="81"/>
            <rFont val="Tahoma"/>
            <family val="2"/>
          </rPr>
          <t>Amanda West:</t>
        </r>
        <r>
          <rPr>
            <sz val="10"/>
            <color indexed="81"/>
            <rFont val="Tahoma"/>
            <family val="2"/>
          </rPr>
          <t xml:space="preserve">
16 countries affected; our relief FACT delegate went to Burkina Faso</t>
        </r>
      </text>
    </comment>
    <comment ref="Q302" authorId="0">
      <text>
        <r>
          <rPr>
            <b/>
            <sz val="10"/>
            <color indexed="81"/>
            <rFont val="Tahoma"/>
            <family val="2"/>
          </rPr>
          <t>Amanda West:</t>
        </r>
        <r>
          <rPr>
            <sz val="10"/>
            <color indexed="81"/>
            <rFont val="Tahoma"/>
            <family val="2"/>
          </rPr>
          <t xml:space="preserve">
as of 9/10/09</t>
        </r>
      </text>
    </comment>
    <comment ref="R302" authorId="0">
      <text>
        <r>
          <rPr>
            <b/>
            <sz val="10"/>
            <color indexed="81"/>
            <rFont val="Tahoma"/>
            <family val="2"/>
          </rPr>
          <t>Amanda West:</t>
        </r>
        <r>
          <rPr>
            <sz val="10"/>
            <color indexed="81"/>
            <rFont val="Tahoma"/>
            <family val="2"/>
          </rPr>
          <t xml:space="preserve">
Two appeals: Burkina Faso &amp; Senegal</t>
        </r>
      </text>
    </comment>
    <comment ref="X302" authorId="0">
      <text>
        <r>
          <rPr>
            <b/>
            <sz val="10"/>
            <color indexed="81"/>
            <rFont val="Tahoma"/>
            <family val="2"/>
          </rPr>
          <t>Amanda West:</t>
        </r>
        <r>
          <rPr>
            <sz val="10"/>
            <color indexed="81"/>
            <rFont val="Tahoma"/>
            <family val="2"/>
          </rPr>
          <t xml:space="preserve">
Two DREFS combined: West Africa Floods, and Chad Floods.</t>
        </r>
      </text>
    </comment>
    <comment ref="L303" authorId="0">
      <text>
        <r>
          <rPr>
            <b/>
            <sz val="10"/>
            <color indexed="81"/>
            <rFont val="Tahoma"/>
            <family val="2"/>
          </rPr>
          <t>Amanda West:</t>
        </r>
        <r>
          <rPr>
            <sz val="10"/>
            <color indexed="81"/>
            <rFont val="Tahoma"/>
            <family val="2"/>
          </rPr>
          <t xml:space="preserve">
16 countries affected; our 3 relief ERU delegates went to Senegal</t>
        </r>
      </text>
    </comment>
    <comment ref="R303" authorId="0">
      <text>
        <r>
          <rPr>
            <b/>
            <sz val="10"/>
            <color indexed="81"/>
            <rFont val="Tahoma"/>
            <family val="2"/>
          </rPr>
          <t>Amanda West:</t>
        </r>
        <r>
          <rPr>
            <sz val="10"/>
            <color indexed="81"/>
            <rFont val="Tahoma"/>
            <family val="2"/>
          </rPr>
          <t xml:space="preserve">
Two appeals: Burkina Faso &amp; Senegal</t>
        </r>
      </text>
    </comment>
    <comment ref="X303" authorId="0">
      <text>
        <r>
          <rPr>
            <b/>
            <sz val="10"/>
            <color indexed="81"/>
            <rFont val="Tahoma"/>
            <family val="2"/>
          </rPr>
          <t>Amanda West:</t>
        </r>
        <r>
          <rPr>
            <sz val="10"/>
            <color indexed="81"/>
            <rFont val="Tahoma"/>
            <family val="2"/>
          </rPr>
          <t xml:space="preserve">
Two DREFS combined: West Africa Floods, and Chad Floods.</t>
        </r>
      </text>
    </comment>
    <comment ref="Y303" authorId="0">
      <text>
        <r>
          <rPr>
            <b/>
            <sz val="10"/>
            <color indexed="81"/>
            <rFont val="Tahoma"/>
            <family val="2"/>
          </rPr>
          <t>Amanda West:</t>
        </r>
        <r>
          <rPr>
            <sz val="10"/>
            <color indexed="81"/>
            <rFont val="Tahoma"/>
            <family val="2"/>
          </rPr>
          <t xml:space="preserve">
Two appeals: Burkina Faso &amp; Senegal 
We can claim multilateral beneficiaries because ERU was on mobilization table of appeal</t>
        </r>
      </text>
    </comment>
    <comment ref="AA304" authorId="0">
      <text>
        <r>
          <rPr>
            <b/>
            <sz val="10"/>
            <color indexed="81"/>
            <rFont val="Tahoma"/>
            <family val="2"/>
          </rPr>
          <t>Amanda West:</t>
        </r>
        <r>
          <rPr>
            <sz val="10"/>
            <color indexed="81"/>
            <rFont val="Tahoma"/>
            <family val="2"/>
          </rPr>
          <t xml:space="preserve">
Relief supplies provided bilaterally to MexRC to benefit 3,000 families</t>
        </r>
      </text>
    </comment>
    <comment ref="AH304" authorId="11">
      <text>
        <r>
          <rPr>
            <b/>
            <sz val="8"/>
            <color indexed="81"/>
            <rFont val="Tahoma"/>
            <family val="2"/>
          </rPr>
          <t>paulel:</t>
        </r>
        <r>
          <rPr>
            <sz val="8"/>
            <color indexed="81"/>
            <rFont val="Tahoma"/>
            <family val="2"/>
          </rPr>
          <t xml:space="preserve">
We deployed Jono Anzalone for Jimena M&amp;E?</t>
        </r>
      </text>
    </comment>
    <comment ref="AX304" authorId="0">
      <text>
        <r>
          <rPr>
            <b/>
            <sz val="10"/>
            <color indexed="81"/>
            <rFont val="Tahoma"/>
            <family val="2"/>
          </rPr>
          <t>Amanda West:</t>
        </r>
        <r>
          <rPr>
            <sz val="10"/>
            <color indexed="81"/>
            <rFont val="Tahoma"/>
            <family val="2"/>
          </rPr>
          <t xml:space="preserve">
3,000 reconstruction kits - procured
</t>
        </r>
      </text>
    </comment>
    <comment ref="Q305" authorId="0">
      <text>
        <r>
          <rPr>
            <b/>
            <sz val="10"/>
            <color indexed="81"/>
            <rFont val="Tahoma"/>
            <family val="2"/>
          </rPr>
          <t>Amanda West:</t>
        </r>
        <r>
          <rPr>
            <sz val="10"/>
            <color indexed="81"/>
            <rFont val="Tahoma"/>
            <family val="2"/>
          </rPr>
          <t xml:space="preserve">
From IFRC info bulletin #3 - 9/11/09</t>
        </r>
      </text>
    </comment>
    <comment ref="AE306" authorId="0">
      <text>
        <r>
          <rPr>
            <b/>
            <sz val="10"/>
            <color indexed="81"/>
            <rFont val="Tahoma"/>
            <family val="2"/>
          </rPr>
          <t>Amanda West:</t>
        </r>
        <r>
          <rPr>
            <sz val="10"/>
            <color indexed="81"/>
            <rFont val="Tahoma"/>
            <family val="2"/>
          </rPr>
          <t xml:space="preserve">
This is OFDA grant for NFI procured locally for PNRC. 
Per conversation with Stacy - any funds from OFDA are counted as cash to recipient even though used to purchase relief supplies.</t>
        </r>
      </text>
    </comment>
    <comment ref="AK306" authorId="0">
      <text>
        <r>
          <rPr>
            <b/>
            <sz val="10"/>
            <color indexed="81"/>
            <rFont val="Tahoma"/>
            <family val="2"/>
          </rPr>
          <t>Amanda West:</t>
        </r>
        <r>
          <rPr>
            <sz val="10"/>
            <color indexed="81"/>
            <rFont val="Tahoma"/>
            <family val="2"/>
          </rPr>
          <t xml:space="preserve">
From KL warehouse</t>
        </r>
      </text>
    </comment>
    <comment ref="AE307" authorId="0">
      <text>
        <r>
          <rPr>
            <b/>
            <sz val="10"/>
            <color indexed="81"/>
            <rFont val="Tahoma"/>
            <family val="2"/>
          </rPr>
          <t>Amanda West:</t>
        </r>
        <r>
          <rPr>
            <sz val="10"/>
            <color indexed="81"/>
            <rFont val="Tahoma"/>
            <family val="2"/>
          </rPr>
          <t xml:space="preserve">
$500k OFDA grant for cash programming.
Per conversation with Stacy - any funds from OFDA are counted as cash to recipient even though used to purchase relief supplies or cash programming, etc.</t>
        </r>
      </text>
    </comment>
    <comment ref="AE308" authorId="0">
      <text>
        <r>
          <rPr>
            <b/>
            <sz val="10"/>
            <color indexed="81"/>
            <rFont val="Tahoma"/>
            <family val="2"/>
          </rPr>
          <t>Amanda West:</t>
        </r>
        <r>
          <rPr>
            <sz val="10"/>
            <color indexed="81"/>
            <rFont val="Tahoma"/>
            <family val="2"/>
          </rPr>
          <t xml:space="preserve">
Per conversation with Stacy - any funds from OFDA are counted as cash to recipient even though used to purchase relief supplies.</t>
        </r>
      </text>
    </comment>
    <comment ref="AK308" authorId="0">
      <text>
        <r>
          <rPr>
            <b/>
            <sz val="10"/>
            <color indexed="81"/>
            <rFont val="Tahoma"/>
            <family val="2"/>
          </rPr>
          <t>Amanda West:</t>
        </r>
        <r>
          <rPr>
            <sz val="10"/>
            <color indexed="81"/>
            <rFont val="Tahoma"/>
            <family val="2"/>
          </rPr>
          <t xml:space="preserve">
All from KL warehouse
</t>
        </r>
      </text>
    </comment>
    <comment ref="AN308" authorId="0">
      <text>
        <r>
          <rPr>
            <b/>
            <sz val="10"/>
            <color indexed="81"/>
            <rFont val="Tahoma"/>
            <family val="2"/>
          </rPr>
          <t>Amanda West:</t>
        </r>
        <r>
          <rPr>
            <sz val="10"/>
            <color indexed="81"/>
            <rFont val="Tahoma"/>
            <family val="2"/>
          </rPr>
          <t xml:space="preserve">
Blankets: 11,000 (Oct 5) + 9,980 (Oct 9)
</t>
        </r>
      </text>
    </comment>
    <comment ref="AA309" authorId="0">
      <text>
        <r>
          <rPr>
            <b/>
            <sz val="10"/>
            <color indexed="81"/>
            <rFont val="Tahoma"/>
            <family val="2"/>
          </rPr>
          <t>Amanda West:</t>
        </r>
        <r>
          <rPr>
            <sz val="10"/>
            <color indexed="81"/>
            <rFont val="Tahoma"/>
            <family val="2"/>
          </rPr>
          <t xml:space="preserve">
How was this number arrived at?</t>
        </r>
      </text>
    </comment>
    <comment ref="Y310" authorId="0">
      <text>
        <r>
          <rPr>
            <b/>
            <sz val="10"/>
            <color indexed="81"/>
            <rFont val="Tahoma"/>
            <family val="2"/>
          </rPr>
          <t>Amanda West:</t>
        </r>
        <r>
          <rPr>
            <sz val="10"/>
            <color indexed="81"/>
            <rFont val="Tahoma"/>
            <family val="2"/>
          </rPr>
          <t xml:space="preserve">
Beneficiaries from Indian Red Cross Ntl Appeal</t>
        </r>
      </text>
    </comment>
    <comment ref="AK310" authorId="0">
      <text>
        <r>
          <rPr>
            <b/>
            <sz val="10"/>
            <color indexed="81"/>
            <rFont val="Tahoma"/>
            <family val="2"/>
          </rPr>
          <t>Amanda West:</t>
        </r>
        <r>
          <rPr>
            <sz val="10"/>
            <color indexed="81"/>
            <rFont val="Tahoma"/>
            <family val="2"/>
          </rPr>
          <t xml:space="preserve">
Locally procured, not from a warehouse</t>
        </r>
      </text>
    </comment>
    <comment ref="AR310" authorId="0">
      <text>
        <r>
          <rPr>
            <b/>
            <sz val="10"/>
            <color indexed="81"/>
            <rFont val="Tahoma"/>
            <family val="2"/>
          </rPr>
          <t xml:space="preserve">Amanda West:
</t>
        </r>
        <r>
          <rPr>
            <sz val="10"/>
            <color indexed="81"/>
            <rFont val="Tahoma"/>
            <family val="2"/>
          </rPr>
          <t>These were locally procured and delivered to Indian Red Cross, not from our warehouse</t>
        </r>
      </text>
    </comment>
    <comment ref="AA311" authorId="0">
      <text>
        <r>
          <rPr>
            <b/>
            <sz val="10"/>
            <color indexed="81"/>
            <rFont val="Tahoma"/>
            <family val="2"/>
          </rPr>
          <t>Amanda West:</t>
        </r>
        <r>
          <rPr>
            <sz val="10"/>
            <color indexed="81"/>
            <rFont val="Tahoma"/>
            <family val="2"/>
          </rPr>
          <t xml:space="preserve">
How was this number arrived at?</t>
        </r>
      </text>
    </comment>
    <comment ref="AC313" authorId="0">
      <text>
        <r>
          <rPr>
            <b/>
            <sz val="10"/>
            <color indexed="81"/>
            <rFont val="Tahoma"/>
            <family val="2"/>
          </rPr>
          <t>Amanda West:</t>
        </r>
        <r>
          <rPr>
            <sz val="10"/>
            <color indexed="81"/>
            <rFont val="Tahoma"/>
            <family val="2"/>
          </rPr>
          <t xml:space="preserve">
Amanda West:
$193,605 transitional shelter
$50,000 from UPS for transitional shelter 
</t>
        </r>
      </text>
    </comment>
    <comment ref="AK313" authorId="0">
      <text>
        <r>
          <rPr>
            <b/>
            <sz val="10"/>
            <color indexed="81"/>
            <rFont val="Tahoma"/>
            <family val="2"/>
          </rPr>
          <t>Amanda West:</t>
        </r>
        <r>
          <rPr>
            <sz val="10"/>
            <color indexed="81"/>
            <rFont val="Tahoma"/>
            <family val="2"/>
          </rPr>
          <t xml:space="preserve">
From Panama warehouse</t>
        </r>
      </text>
    </comment>
    <comment ref="D314" authorId="0">
      <text>
        <r>
          <rPr>
            <b/>
            <sz val="10"/>
            <color indexed="81"/>
            <rFont val="Tahoma"/>
            <family val="2"/>
          </rPr>
          <t>Amanda West:</t>
        </r>
        <r>
          <rPr>
            <sz val="10"/>
            <color indexed="81"/>
            <rFont val="Tahoma"/>
            <family val="2"/>
          </rPr>
          <t xml:space="preserve">
For haiti, see specfiic spending reporting in HAP/Info/spending reports folder</t>
        </r>
      </text>
    </comment>
    <comment ref="AC314" authorId="12">
      <text>
        <r>
          <rPr>
            <b/>
            <sz val="8"/>
            <color indexed="81"/>
            <rFont val="Tahoma"/>
            <family val="2"/>
          </rPr>
          <t>from Feb 2012 ops update, converted from CHF
need to crosscheck with ARC records</t>
        </r>
      </text>
    </comment>
    <comment ref="AD314" authorId="0">
      <text>
        <r>
          <rPr>
            <b/>
            <sz val="10"/>
            <color indexed="81"/>
            <rFont val="Tahoma"/>
            <family val="2"/>
          </rPr>
          <t>Amanda West:</t>
        </r>
        <r>
          <rPr>
            <sz val="10"/>
            <color indexed="81"/>
            <rFont val="Tahoma"/>
            <family val="2"/>
          </rPr>
          <t xml:space="preserve">
through six month mark - end of response phase</t>
        </r>
      </text>
    </comment>
    <comment ref="AZ314" authorId="0">
      <text>
        <r>
          <rPr>
            <b/>
            <sz val="10"/>
            <color indexed="81"/>
            <rFont val="Tahoma"/>
            <family val="2"/>
          </rPr>
          <t>Amanda West:</t>
        </r>
        <r>
          <rPr>
            <sz val="10"/>
            <color indexed="81"/>
            <rFont val="Tahoma"/>
            <family val="2"/>
          </rPr>
          <t xml:space="preserve">
See HAP's records - this is for mob table ICRC and IFRC. Data is from spreadsheet called IFRC_ICRC only.xls</t>
        </r>
      </text>
    </comment>
    <comment ref="BB314" authorId="0">
      <text>
        <r>
          <rPr>
            <b/>
            <sz val="10"/>
            <color indexed="81"/>
            <rFont val="Tahoma"/>
            <family val="2"/>
          </rPr>
          <t>Marian Spivey-Estrada:</t>
        </r>
        <r>
          <rPr>
            <sz val="10"/>
            <color indexed="81"/>
            <rFont val="Tahoma"/>
            <family val="2"/>
          </rPr>
          <t xml:space="preserve">
This is amount spent on the response phase as of the 6-month report</t>
        </r>
      </text>
    </comment>
    <comment ref="BF314" authorId="0">
      <text>
        <r>
          <rPr>
            <b/>
            <sz val="8"/>
            <color indexed="81"/>
            <rFont val="Tahoma"/>
            <family val="2"/>
          </rPr>
          <t>Amanda West:</t>
        </r>
        <r>
          <rPr>
            <sz val="8"/>
            <color indexed="81"/>
            <rFont val="Tahoma"/>
            <family val="2"/>
          </rPr>
          <t xml:space="preserve">
This is amount actually spent for response phase. Remainder fundraised to the right, for longer term programming, unspent, so not to skew numbers.</t>
        </r>
      </text>
    </comment>
    <comment ref="BJ314" authorId="2">
      <text>
        <r>
          <rPr>
            <b/>
            <sz val="10"/>
            <color indexed="81"/>
            <rFont val="Tahoma"/>
            <family val="2"/>
          </rPr>
          <t>AmandaWest:</t>
        </r>
        <r>
          <rPr>
            <sz val="10"/>
            <color indexed="81"/>
            <rFont val="Tahoma"/>
            <family val="2"/>
          </rPr>
          <t xml:space="preserve">
Amanda West:
Amount fundraised as of 9/2010</t>
        </r>
      </text>
    </comment>
    <comment ref="BX314" authorId="0">
      <text>
        <r>
          <rPr>
            <b/>
            <sz val="8"/>
            <color indexed="81"/>
            <rFont val="Tahoma"/>
            <family val="2"/>
          </rPr>
          <t>Amanda West:</t>
        </r>
        <r>
          <rPr>
            <sz val="8"/>
            <color indexed="81"/>
            <rFont val="Tahoma"/>
            <family val="2"/>
          </rPr>
          <t xml:space="preserve">
Amount fundraised as of 9/2010</t>
        </r>
      </text>
    </comment>
    <comment ref="Y316" authorId="0">
      <text>
        <r>
          <rPr>
            <b/>
            <sz val="10"/>
            <color indexed="81"/>
            <rFont val="Tahoma"/>
            <family val="2"/>
          </rPr>
          <t>Amanda West:</t>
        </r>
        <r>
          <rPr>
            <sz val="10"/>
            <color indexed="81"/>
            <rFont val="Tahoma"/>
            <family val="2"/>
          </rPr>
          <t xml:space="preserve">
From report from LAC - highest number reached for food distributed. Appeal is multi sector -different beneficiaries for each sector</t>
        </r>
      </text>
    </comment>
    <comment ref="AE316" authorId="0">
      <text>
        <r>
          <rPr>
            <b/>
            <sz val="10"/>
            <color indexed="81"/>
            <rFont val="Tahoma"/>
            <family val="2"/>
          </rPr>
          <t>Amanda West:</t>
        </r>
        <r>
          <rPr>
            <sz val="10"/>
            <color indexed="81"/>
            <rFont val="Tahoma"/>
            <family val="2"/>
          </rPr>
          <t xml:space="preserve">
Preparednes programming</t>
        </r>
      </text>
    </comment>
    <comment ref="AK316" authorId="0">
      <text>
        <r>
          <rPr>
            <b/>
            <sz val="10"/>
            <color indexed="81"/>
            <rFont val="Tahoma"/>
            <family val="2"/>
          </rPr>
          <t>Amanda West:</t>
        </r>
        <r>
          <rPr>
            <sz val="10"/>
            <color indexed="81"/>
            <rFont val="Tahoma"/>
            <family val="2"/>
          </rPr>
          <t xml:space="preserve">
From Panama warehouse</t>
        </r>
      </text>
    </comment>
    <comment ref="Y317" authorId="0">
      <text>
        <r>
          <rPr>
            <b/>
            <sz val="10"/>
            <color indexed="81"/>
            <rFont val="Tahoma"/>
            <family val="2"/>
          </rPr>
          <t>Amanda West:</t>
        </r>
        <r>
          <rPr>
            <sz val="10"/>
            <color indexed="81"/>
            <rFont val="Tahoma"/>
            <family val="2"/>
          </rPr>
          <t xml:space="preserve">
7/26: Alex says he should be getting soemthing from Ramsay within 10 days on # beneficiaries and scope of Ntl Society appeal work for PMN to Ntl Society.</t>
        </r>
      </text>
    </comment>
    <comment ref="AE317" authorId="0">
      <text>
        <r>
          <rPr>
            <b/>
            <sz val="10"/>
            <color indexed="81"/>
            <rFont val="Tahoma"/>
            <family val="2"/>
          </rPr>
          <t>Amanda West:</t>
        </r>
        <r>
          <rPr>
            <sz val="10"/>
            <color indexed="81"/>
            <rFont val="Tahoma"/>
            <family val="2"/>
          </rPr>
          <t xml:space="preserve">
Due 7/26 from Alex - determining how much to NS - </t>
        </r>
      </text>
    </comment>
    <comment ref="AK320" authorId="0">
      <text>
        <r>
          <rPr>
            <b/>
            <sz val="10"/>
            <color indexed="81"/>
            <rFont val="Tahoma"/>
            <family val="2"/>
          </rPr>
          <t>Amanda West:</t>
        </r>
        <r>
          <rPr>
            <sz val="10"/>
            <color indexed="81"/>
            <rFont val="Tahoma"/>
            <family val="2"/>
          </rPr>
          <t xml:space="preserve">
From PADRU</t>
        </r>
      </text>
    </comment>
    <comment ref="T321" authorId="0">
      <text>
        <r>
          <rPr>
            <b/>
            <sz val="8"/>
            <color indexed="81"/>
            <rFont val="Tahoma"/>
            <family val="2"/>
          </rPr>
          <t>Amanda West:</t>
        </r>
        <r>
          <rPr>
            <sz val="8"/>
            <color indexed="81"/>
            <rFont val="Tahoma"/>
            <family val="2"/>
          </rPr>
          <t xml:space="preserve">
This is for Kyrgyzstan Appeal
8800000 +1166159</t>
        </r>
      </text>
    </comment>
    <comment ref="Y321" authorId="0">
      <text>
        <r>
          <rPr>
            <b/>
            <sz val="10"/>
            <color indexed="81"/>
            <rFont val="Tahoma"/>
            <family val="2"/>
          </rPr>
          <t>Amanda West:</t>
        </r>
        <r>
          <rPr>
            <sz val="10"/>
            <color indexed="81"/>
            <rFont val="Tahoma"/>
            <family val="2"/>
          </rPr>
          <t xml:space="preserve">
100,000(ICRC) + 24,000 (IFRC)</t>
        </r>
      </text>
    </comment>
    <comment ref="AG323" authorId="0">
      <text>
        <r>
          <rPr>
            <b/>
            <sz val="8"/>
            <color indexed="81"/>
            <rFont val="Tahoma"/>
            <family val="2"/>
          </rPr>
          <t>Amanda West:</t>
        </r>
        <r>
          <rPr>
            <sz val="8"/>
            <color indexed="81"/>
            <rFont val="Tahoma"/>
            <family val="2"/>
          </rPr>
          <t xml:space="preserve">
$4,100,000 to Fed Appeal +
$750,000 to Measles initiative (recipient to be determined)</t>
        </r>
      </text>
    </comment>
    <comment ref="AX323" authorId="0">
      <text>
        <r>
          <rPr>
            <b/>
            <sz val="10"/>
            <color indexed="81"/>
            <rFont val="Tahoma"/>
            <family val="2"/>
          </rPr>
          <t>Amanda West:</t>
        </r>
        <r>
          <rPr>
            <sz val="10"/>
            <color indexed="81"/>
            <rFont val="Tahoma"/>
            <family val="2"/>
          </rPr>
          <t xml:space="preserve">
Sleeping mats</t>
        </r>
      </text>
    </comment>
    <comment ref="BC323" authorId="0">
      <text>
        <r>
          <rPr>
            <b/>
            <sz val="10"/>
            <color indexed="81"/>
            <rFont val="Tahoma"/>
            <family val="2"/>
          </rPr>
          <t>Amanda West:</t>
        </r>
        <r>
          <rPr>
            <sz val="10"/>
            <color indexed="81"/>
            <rFont val="Tahoma"/>
            <family val="2"/>
          </rPr>
          <t xml:space="preserve">
$8.2 M raised as of February 2010 - remainder unspent placed into early recovery to ensure that total is added to FY</t>
        </r>
      </text>
    </comment>
    <comment ref="AA324" authorId="0">
      <text>
        <r>
          <rPr>
            <b/>
            <sz val="8"/>
            <color indexed="81"/>
            <rFont val="Tahoma"/>
            <family val="2"/>
          </rPr>
          <t>Amanda West:</t>
        </r>
        <r>
          <rPr>
            <sz val="8"/>
            <color indexed="81"/>
            <rFont val="Tahoma"/>
            <family val="2"/>
          </rPr>
          <t xml:space="preserve">
eligible - as our funds went directly to supplies for beneficiaries - 10,000 families x 5</t>
        </r>
      </text>
    </comment>
    <comment ref="T326" authorId="12">
      <text>
        <r>
          <rPr>
            <b/>
            <sz val="8"/>
            <color indexed="81"/>
            <rFont val="Tahoma"/>
            <family val="2"/>
          </rPr>
          <t>SpiveyEstradaM:</t>
        </r>
        <r>
          <rPr>
            <sz val="8"/>
            <color indexed="81"/>
            <rFont val="Tahoma"/>
            <family val="2"/>
          </rPr>
          <t xml:space="preserve">
exlcudes ERU costs that are outside IFRC budget</t>
        </r>
      </text>
    </comment>
    <comment ref="AC326" authorId="0">
      <text>
        <r>
          <rPr>
            <b/>
            <sz val="10"/>
            <color indexed="81"/>
            <rFont val="Tahoma"/>
            <family val="2"/>
          </rPr>
          <t>Amanda West:</t>
        </r>
        <r>
          <rPr>
            <sz val="10"/>
            <color indexed="81"/>
            <rFont val="Tahoma"/>
            <family val="2"/>
          </rPr>
          <t xml:space="preserve">
$566,133 PMN +
$1,600,000 PMN for relief supplies.</t>
        </r>
      </text>
    </comment>
    <comment ref="AG326" authorId="0">
      <text>
        <r>
          <rPr>
            <b/>
            <sz val="10"/>
            <color indexed="81"/>
            <rFont val="Tahoma"/>
            <family val="2"/>
          </rPr>
          <t>Amanda West:</t>
        </r>
        <r>
          <rPr>
            <sz val="10"/>
            <color indexed="81"/>
            <rFont val="Tahoma"/>
            <family val="2"/>
          </rPr>
          <t xml:space="preserve">
Dec. 1:
$2.16 M PMNs +
$45,081 - transport of a shipment of medical supplies to Partners in Health and Project Medishare  +
$150,000 - transport medical supplies for Partners in Health &amp; Ministry of Health Ringers lactate solution</t>
        </r>
      </text>
    </comment>
    <comment ref="AZ326" authorId="0">
      <text>
        <r>
          <rPr>
            <b/>
            <sz val="10"/>
            <color indexed="81"/>
            <rFont val="Tahoma"/>
            <family val="2"/>
          </rPr>
          <t>Amanda West:</t>
        </r>
        <r>
          <rPr>
            <sz val="10"/>
            <color indexed="81"/>
            <rFont val="Tahoma"/>
            <family val="2"/>
          </rPr>
          <t xml:space="preserve">
As of Dec. 1 2010
Various supplies, see latest RAP</t>
        </r>
      </text>
    </comment>
    <comment ref="BB326" authorId="0">
      <text>
        <r>
          <rPr>
            <b/>
            <sz val="10"/>
            <color indexed="81"/>
            <rFont val="Tahoma"/>
            <family val="2"/>
          </rPr>
          <t>Amanda West:</t>
        </r>
        <r>
          <rPr>
            <sz val="10"/>
            <color indexed="81"/>
            <rFont val="Tahoma"/>
            <family val="2"/>
          </rPr>
          <t xml:space="preserve">
As of May 2011</t>
        </r>
      </text>
    </comment>
    <comment ref="BG328" authorId="2">
      <text>
        <r>
          <rPr>
            <b/>
            <sz val="10"/>
            <color indexed="81"/>
            <rFont val="Tahoma"/>
            <family val="2"/>
          </rPr>
          <t>AmandaWest:</t>
        </r>
        <r>
          <rPr>
            <sz val="10"/>
            <color indexed="81"/>
            <rFont val="Tahoma"/>
            <family val="2"/>
          </rPr>
          <t xml:space="preserve">
Existing funds in AP used.</t>
        </r>
      </text>
    </comment>
    <comment ref="BL328" authorId="2">
      <text>
        <r>
          <rPr>
            <b/>
            <sz val="10"/>
            <color indexed="81"/>
            <rFont val="Tahoma"/>
            <family val="2"/>
          </rPr>
          <t>AmandaWest:</t>
        </r>
        <r>
          <rPr>
            <sz val="10"/>
            <color indexed="81"/>
            <rFont val="Tahoma"/>
            <family val="2"/>
          </rPr>
          <t xml:space="preserve">
Existing funds in AP used.</t>
        </r>
      </text>
    </comment>
    <comment ref="AC330" authorId="0">
      <text>
        <r>
          <rPr>
            <b/>
            <sz val="10"/>
            <color indexed="81"/>
            <rFont val="Tahoma"/>
            <family val="2"/>
          </rPr>
          <t>Amanda West:</t>
        </r>
        <r>
          <rPr>
            <sz val="10"/>
            <color indexed="81"/>
            <rFont val="Tahoma"/>
            <family val="2"/>
          </rPr>
          <t xml:space="preserve">
$75,000 + $70,000 PMNs</t>
        </r>
      </text>
    </comment>
    <comment ref="T335" authorId="0">
      <text>
        <r>
          <rPr>
            <b/>
            <sz val="10"/>
            <color indexed="81"/>
            <rFont val="Tahoma"/>
            <family val="2"/>
          </rPr>
          <t>Amanda West:</t>
        </r>
        <r>
          <rPr>
            <sz val="10"/>
            <color indexed="81"/>
            <rFont val="Tahoma"/>
            <family val="2"/>
          </rPr>
          <t xml:space="preserve">
IFRC: $20,396,194 +
ICRC: $31,916,000</t>
        </r>
      </text>
    </comment>
    <comment ref="V335" authorId="12">
      <text>
        <r>
          <rPr>
            <b/>
            <sz val="8"/>
            <color indexed="81"/>
            <rFont val="Tahoma"/>
            <family val="2"/>
          </rPr>
          <t>SpiveyEstradaM:</t>
        </r>
        <r>
          <rPr>
            <sz val="8"/>
            <color indexed="81"/>
            <rFont val="Tahoma"/>
            <family val="2"/>
          </rPr>
          <t xml:space="preserve">
ICRC:
REX2011/114</t>
        </r>
      </text>
    </comment>
    <comment ref="X335" authorId="0">
      <text>
        <r>
          <rPr>
            <b/>
            <sz val="10"/>
            <color indexed="81"/>
            <rFont val="Tahoma"/>
            <family val="2"/>
          </rPr>
          <t>Amanda West:</t>
        </r>
        <r>
          <rPr>
            <sz val="10"/>
            <color indexed="81"/>
            <rFont val="Tahoma"/>
            <family val="2"/>
          </rPr>
          <t xml:space="preserve">
Multiple DREFS:
N Africa: $64,000
Egypt: $116,000
Tunisia: $161,000
Malta: $90,000
</t>
        </r>
      </text>
    </comment>
    <comment ref="Y335" authorId="0">
      <text>
        <r>
          <rPr>
            <b/>
            <sz val="10"/>
            <color indexed="81"/>
            <rFont val="Tahoma"/>
            <family val="2"/>
          </rPr>
          <t>Amanda West:</t>
        </r>
        <r>
          <rPr>
            <sz val="10"/>
            <color indexed="81"/>
            <rFont val="Tahoma"/>
            <family val="2"/>
          </rPr>
          <t xml:space="preserve">
IFRC:100,000
ICRC: 206,000</t>
        </r>
      </text>
    </comment>
    <comment ref="AC335" authorId="0">
      <text>
        <r>
          <rPr>
            <b/>
            <sz val="10"/>
            <color indexed="81"/>
            <rFont val="Tahoma"/>
            <family val="2"/>
          </rPr>
          <t>Amanda West:</t>
        </r>
        <r>
          <rPr>
            <sz val="10"/>
            <color indexed="81"/>
            <rFont val="Tahoma"/>
            <family val="2"/>
          </rPr>
          <t xml:space="preserve">
1) PMN for relief supplies - Tunisia: $162,270
2) PMN for Syria for food parcels $135,000
3) PMN for Syria for response $100,000</t>
        </r>
      </text>
    </comment>
    <comment ref="AZ335" authorId="0">
      <text>
        <r>
          <rPr>
            <b/>
            <sz val="10"/>
            <color indexed="81"/>
            <rFont val="Tahoma"/>
            <family val="2"/>
          </rPr>
          <t>Amanda West:</t>
        </r>
        <r>
          <rPr>
            <sz val="10"/>
            <color indexed="81"/>
            <rFont val="Tahoma"/>
            <family val="2"/>
          </rPr>
          <t xml:space="preserve">
Made Dubai warehouse supplies available up to $200,000 - IFRC has only used 1500  tarps as of March 2011 because of brnading issues. Put remaining $162,270 towards PMN to Fed for locally procured supplies</t>
        </r>
      </text>
    </comment>
    <comment ref="BH335" authorId="2">
      <text>
        <r>
          <rPr>
            <b/>
            <sz val="10"/>
            <color indexed="81"/>
            <rFont val="Tahoma"/>
            <family val="2"/>
          </rPr>
          <t>AmandaWest:</t>
        </r>
        <r>
          <rPr>
            <sz val="10"/>
            <color indexed="81"/>
            <rFont val="Tahoma"/>
            <family val="2"/>
          </rPr>
          <t xml:space="preserve">
The funds raised for North Africa are $154,218. The online designation was removed from redcross.org, following a senior management decision to do so.  An overwhelming majority of the funds raised were through the online designation.</t>
        </r>
      </text>
    </comment>
    <comment ref="BR335" authorId="13">
      <text>
        <r>
          <rPr>
            <b/>
            <sz val="9"/>
            <color indexed="81"/>
            <rFont val="Tahoma"/>
            <family val="2"/>
          </rPr>
          <t>Excludes FY12 addition in Syria</t>
        </r>
      </text>
    </comment>
    <comment ref="Y338" authorId="0">
      <text>
        <r>
          <rPr>
            <b/>
            <sz val="10"/>
            <color indexed="81"/>
            <rFont val="Tahoma"/>
            <family val="2"/>
          </rPr>
          <t>Amanda West:</t>
        </r>
        <r>
          <rPr>
            <sz val="10"/>
            <color indexed="81"/>
            <rFont val="Tahoma"/>
            <family val="2"/>
          </rPr>
          <t xml:space="preserve">
Number assisted by NZRC in its operations</t>
        </r>
      </text>
    </comment>
    <comment ref="AE338" authorId="0">
      <text>
        <r>
          <rPr>
            <b/>
            <sz val="10"/>
            <color indexed="81"/>
            <rFont val="Tahoma"/>
            <family val="2"/>
          </rPr>
          <t>Amanda West:</t>
        </r>
        <r>
          <rPr>
            <sz val="10"/>
            <color indexed="81"/>
            <rFont val="Tahoma"/>
            <family val="2"/>
          </rPr>
          <t xml:space="preserve">
Two grant letters: 
April 12, - $772,000 
June 23 - $54,450</t>
        </r>
      </text>
    </comment>
    <comment ref="AE339" authorId="0">
      <text>
        <r>
          <rPr>
            <b/>
            <sz val="10"/>
            <color indexed="81"/>
            <rFont val="Tahoma"/>
            <family val="2"/>
          </rPr>
          <t>Amanda West:</t>
        </r>
        <r>
          <rPr>
            <sz val="10"/>
            <color indexed="81"/>
            <rFont val="Tahoma"/>
            <family val="2"/>
          </rPr>
          <t xml:space="preserve">
$50,000 - 1st grant ltr
$6,000 - 2nd grant ltr</t>
        </r>
      </text>
    </comment>
    <comment ref="BI339" authorId="2">
      <text>
        <r>
          <rPr>
            <b/>
            <sz val="10"/>
            <color indexed="81"/>
            <rFont val="Tahoma"/>
            <family val="2"/>
          </rPr>
          <t>AmandaWest:</t>
        </r>
        <r>
          <rPr>
            <sz val="10"/>
            <color indexed="81"/>
            <rFont val="Tahoma"/>
            <family val="2"/>
          </rPr>
          <t xml:space="preserve">
Part of $250,000 GE contribution towards several South American disasters.</t>
        </r>
      </text>
    </comment>
    <comment ref="Y340" authorId="0">
      <text>
        <r>
          <rPr>
            <b/>
            <sz val="10"/>
            <color indexed="81"/>
            <rFont val="Tahoma"/>
            <family val="2"/>
          </rPr>
          <t>Amanda West:</t>
        </r>
        <r>
          <rPr>
            <sz val="10"/>
            <color indexed="81"/>
            <rFont val="Tahoma"/>
            <family val="2"/>
          </rPr>
          <t xml:space="preserve">
Number benefitting/ targeted by Japanese RC for programming</t>
        </r>
      </text>
    </comment>
    <comment ref="AF340" authorId="2">
      <text>
        <r>
          <rPr>
            <b/>
            <sz val="10"/>
            <color indexed="81"/>
            <rFont val="Tahoma"/>
            <family val="2"/>
          </rPr>
          <t>AmandaWest:</t>
        </r>
        <r>
          <rPr>
            <sz val="10"/>
            <color indexed="81"/>
            <rFont val="Tahoma"/>
            <family val="2"/>
          </rPr>
          <t xml:space="preserve">
</t>
        </r>
        <r>
          <rPr>
            <b/>
            <sz val="10"/>
            <color indexed="81"/>
            <rFont val="Tahoma"/>
            <family val="2"/>
          </rPr>
          <t xml:space="preserve">World Food Programme: </t>
        </r>
        <r>
          <rPr>
            <sz val="10"/>
            <color indexed="81"/>
            <rFont val="Tahoma"/>
            <family val="2"/>
          </rPr>
          <t xml:space="preserve">$500,000 - March 21 
</t>
        </r>
        <r>
          <rPr>
            <b/>
            <sz val="10"/>
            <color indexed="81"/>
            <rFont val="Tahoma"/>
            <family val="2"/>
          </rPr>
          <t>IOM:</t>
        </r>
        <r>
          <rPr>
            <sz val="10"/>
            <color indexed="81"/>
            <rFont val="Tahoma"/>
            <family val="2"/>
          </rPr>
          <t xml:space="preserve"> $3M - April 11; Refund from IOM - $2M - Oct 2011 = $1M total</t>
        </r>
      </text>
    </comment>
    <comment ref="AG340" authorId="0">
      <text>
        <r>
          <rPr>
            <b/>
            <sz val="10"/>
            <color indexed="81"/>
            <rFont val="Tahoma"/>
            <family val="2"/>
          </rPr>
          <t xml:space="preserve">Amanda West: </t>
        </r>
        <r>
          <rPr>
            <sz val="10"/>
            <color indexed="81"/>
            <rFont val="Tahoma"/>
            <family val="2"/>
          </rPr>
          <t>see budget in disaster folder for full documentation of expenses</t>
        </r>
        <r>
          <rPr>
            <b/>
            <sz val="10"/>
            <color indexed="81"/>
            <rFont val="Tahoma"/>
            <family val="2"/>
          </rPr>
          <t xml:space="preserve">
To Japanese RC:
</t>
        </r>
        <r>
          <rPr>
            <sz val="10"/>
            <color indexed="81"/>
            <rFont val="Tahoma"/>
            <family val="2"/>
          </rPr>
          <t>Grant Letter 1 -$10M - March 15 ($10,980,387 w/CR)
Grant Letter 2 - $50M - April 1 ($54,901,936)
Grant Letter 3 - $40M - April 11 ($43,921,549)
Grant Letter 4 - $30M - April 29 ($32,941,162)
Grant Letter 5 - $30M - May 12 ($32,941,162)
Grant Letter 6 - $45M - June 9 ($50,509,781)
Grant Letter 7 - $35M - July 8 ($38,431,355
Grant Letter 8 - $15M - October 3 ($16,470,581)
Grant Letter 9 - $20M - January 6 2012 ($21,960,774)
Final grant letter tbd -approx $5M in March 2012</t>
        </r>
        <r>
          <rPr>
            <b/>
            <sz val="10"/>
            <color indexed="81"/>
            <rFont val="Tahoma"/>
            <family val="2"/>
          </rPr>
          <t xml:space="preserve">
To other agencies:
</t>
        </r>
        <r>
          <rPr>
            <sz val="10"/>
            <color indexed="81"/>
            <rFont val="Tahoma"/>
            <family val="2"/>
          </rPr>
          <t xml:space="preserve">$500,000 - March 21 -World Food Programme
$1M - April 11 - IOM </t>
        </r>
        <r>
          <rPr>
            <b/>
            <sz val="10"/>
            <color indexed="81"/>
            <rFont val="Tahoma"/>
            <family val="2"/>
          </rPr>
          <t xml:space="preserve">
ARC internal: (non overhead)
</t>
        </r>
        <r>
          <rPr>
            <sz val="10"/>
            <color indexed="81"/>
            <rFont val="Tahoma"/>
            <family val="2"/>
          </rPr>
          <t>$95,716 - Service to Armed Forces
$55,578 - Personnel deployments
$209,000 - Chapter support, other internal</t>
        </r>
        <r>
          <rPr>
            <b/>
            <sz val="10"/>
            <color indexed="81"/>
            <rFont val="Tahoma"/>
            <family val="2"/>
          </rPr>
          <t xml:space="preserve">
</t>
        </r>
        <r>
          <rPr>
            <sz val="10"/>
            <color indexed="81"/>
            <rFont val="Tahoma"/>
            <family val="2"/>
          </rPr>
          <t xml:space="preserve">
$312M raised as of March 2012</t>
        </r>
      </text>
    </comment>
    <comment ref="BD340" authorId="0">
      <text>
        <r>
          <rPr>
            <b/>
            <sz val="10"/>
            <color indexed="81"/>
            <rFont val="Tahoma"/>
            <family val="2"/>
          </rPr>
          <t>Amanda West:</t>
        </r>
        <r>
          <rPr>
            <sz val="10"/>
            <color indexed="81"/>
            <rFont val="Tahoma"/>
            <family val="2"/>
          </rPr>
          <t xml:space="preserve">
Post response phase contributions.</t>
        </r>
      </text>
    </comment>
    <comment ref="BH341" authorId="2">
      <text>
        <r>
          <rPr>
            <b/>
            <sz val="10"/>
            <color indexed="81"/>
            <rFont val="Tahoma"/>
            <family val="2"/>
          </rPr>
          <t>AmandaWest:</t>
        </r>
        <r>
          <rPr>
            <sz val="10"/>
            <color indexed="81"/>
            <rFont val="Tahoma"/>
            <family val="2"/>
          </rPr>
          <t xml:space="preserve">
GE corporate contribution</t>
        </r>
      </text>
    </comment>
    <comment ref="BO341" authorId="2">
      <text>
        <r>
          <rPr>
            <b/>
            <sz val="10"/>
            <color indexed="81"/>
            <rFont val="Tahoma"/>
            <family val="2"/>
          </rPr>
          <t>AmandaWest:</t>
        </r>
        <r>
          <rPr>
            <sz val="10"/>
            <color indexed="81"/>
            <rFont val="Tahoma"/>
            <family val="2"/>
          </rPr>
          <t xml:space="preserve">
GE corporate contribution</t>
        </r>
      </text>
    </comment>
    <comment ref="Q344" authorId="0">
      <text>
        <r>
          <rPr>
            <b/>
            <sz val="10"/>
            <color indexed="81"/>
            <rFont val="Tahoma"/>
            <family val="2"/>
          </rPr>
          <t>Amanda West:</t>
        </r>
        <r>
          <rPr>
            <sz val="10"/>
            <color indexed="81"/>
            <rFont val="Tahoma"/>
            <family val="2"/>
          </rPr>
          <t xml:space="preserve">
In Somalia/ Kenya/ Ethiopia/ Djibouti/ Tanzania</t>
        </r>
      </text>
    </comment>
    <comment ref="T344" authorId="0">
      <text>
        <r>
          <rPr>
            <b/>
            <sz val="10"/>
            <color indexed="81"/>
            <rFont val="Tahoma"/>
            <family val="2"/>
          </rPr>
          <t>Amanda West:</t>
        </r>
        <r>
          <rPr>
            <sz val="10"/>
            <color indexed="81"/>
            <rFont val="Tahoma"/>
            <family val="2"/>
          </rPr>
          <t xml:space="preserve">
</t>
        </r>
        <r>
          <rPr>
            <b/>
            <sz val="10"/>
            <color indexed="81"/>
            <rFont val="Tahoma"/>
            <family val="2"/>
          </rPr>
          <t xml:space="preserve">IFRC: </t>
        </r>
        <r>
          <rPr>
            <sz val="10"/>
            <color indexed="81"/>
            <rFont val="Tahoma"/>
            <family val="2"/>
          </rPr>
          <t xml:space="preserve">
Kenya: 1)$33.7 million
           2)$1 million  
Ethiopia: $31.6 million
Tanzania:$1.5 million
Somalia: $4.6 million
</t>
        </r>
        <r>
          <rPr>
            <b/>
            <sz val="10"/>
            <color indexed="81"/>
            <rFont val="Tahoma"/>
            <family val="2"/>
          </rPr>
          <t xml:space="preserve">ICRC: </t>
        </r>
        <r>
          <rPr>
            <sz val="10"/>
            <color indexed="81"/>
            <rFont val="Tahoma"/>
            <family val="2"/>
          </rPr>
          <t xml:space="preserve">
Somalia: $150 million</t>
        </r>
      </text>
    </comment>
    <comment ref="Y344" authorId="0">
      <text>
        <r>
          <rPr>
            <b/>
            <sz val="10"/>
            <color indexed="81"/>
            <rFont val="Tahoma"/>
            <family val="2"/>
          </rPr>
          <t>Amanda West:
Beneficiaries for appeals we contributed to:</t>
        </r>
        <r>
          <rPr>
            <sz val="10"/>
            <color indexed="81"/>
            <rFont val="Tahoma"/>
            <family val="2"/>
          </rPr>
          <t xml:space="preserve">
</t>
        </r>
        <r>
          <rPr>
            <b/>
            <sz val="10"/>
            <color indexed="81"/>
            <rFont val="Tahoma"/>
            <family val="2"/>
          </rPr>
          <t xml:space="preserve">ICRC </t>
        </r>
        <r>
          <rPr>
            <sz val="10"/>
            <color indexed="81"/>
            <rFont val="Tahoma"/>
            <family val="2"/>
          </rPr>
          <t xml:space="preserve">Somalia - at least 1.1 million
</t>
        </r>
        <r>
          <rPr>
            <b/>
            <sz val="10"/>
            <color indexed="81"/>
            <rFont val="Tahoma"/>
            <family val="2"/>
          </rPr>
          <t>IFRC</t>
        </r>
        <r>
          <rPr>
            <sz val="10"/>
            <color indexed="81"/>
            <rFont val="Tahoma"/>
            <family val="2"/>
          </rPr>
          <t xml:space="preserve"> =
Kenya - 1,000,000
Ethiopia - 570,000 
Somalia - 150,000
Tanzania - 20,000</t>
        </r>
      </text>
    </comment>
    <comment ref="AD344" authorId="0">
      <text>
        <r>
          <rPr>
            <b/>
            <sz val="10"/>
            <color indexed="81"/>
            <rFont val="Tahoma"/>
            <family val="2"/>
          </rPr>
          <t>Amanda West:</t>
        </r>
        <r>
          <rPr>
            <sz val="10"/>
            <color indexed="81"/>
            <rFont val="Tahoma"/>
            <family val="2"/>
          </rPr>
          <t xml:space="preserve">
Two contributions to ICRC Somalia annual appeal: $582,000 + $531,000</t>
        </r>
      </text>
    </comment>
    <comment ref="AG344" authorId="14">
      <text>
        <r>
          <rPr>
            <b/>
            <sz val="8"/>
            <color indexed="81"/>
            <rFont val="Tahoma"/>
            <family val="2"/>
          </rPr>
          <t>From the last RAP. Also made contributions to IFRC regional framework, and some of the ICRC money was returned.</t>
        </r>
      </text>
    </comment>
    <comment ref="AZ344" authorId="2">
      <text>
        <r>
          <rPr>
            <b/>
            <sz val="10"/>
            <color indexed="81"/>
            <rFont val="Tahoma"/>
            <family val="2"/>
          </rPr>
          <t>AmandaWest:</t>
        </r>
        <r>
          <rPr>
            <sz val="10"/>
            <color indexed="81"/>
            <rFont val="Tahoma"/>
            <family val="2"/>
          </rPr>
          <t xml:space="preserve">
For Fed Somalia appeal mob table</t>
        </r>
      </text>
    </comment>
    <comment ref="Y347" authorId="2">
      <text>
        <r>
          <rPr>
            <b/>
            <sz val="10"/>
            <color indexed="81"/>
            <rFont val="Tahoma"/>
            <family val="2"/>
          </rPr>
          <t>AmandaWest:</t>
        </r>
        <r>
          <rPr>
            <sz val="10"/>
            <color indexed="81"/>
            <rFont val="Tahoma"/>
            <family val="2"/>
          </rPr>
          <t xml:space="preserve">
IFRC Appeal: 150,000
ICRC Appeal 2011: 1,100,000
ICRC Appeal 2012: TBD</t>
        </r>
      </text>
    </comment>
    <comment ref="Y353" authorId="2">
      <text>
        <r>
          <rPr>
            <b/>
            <sz val="10"/>
            <color indexed="81"/>
            <rFont val="Tahoma"/>
            <family val="2"/>
          </rPr>
          <t>AmandaWest:</t>
        </r>
        <r>
          <rPr>
            <sz val="10"/>
            <color indexed="81"/>
            <rFont val="Tahoma"/>
            <family val="2"/>
          </rPr>
          <t xml:space="preserve">
Multilateral contribution to Guatemala Fed appeal</t>
        </r>
      </text>
    </comment>
    <comment ref="AA353" authorId="2">
      <text>
        <r>
          <rPr>
            <b/>
            <sz val="10"/>
            <color indexed="81"/>
            <rFont val="Tahoma"/>
            <family val="2"/>
          </rPr>
          <t>AmandaWest:</t>
        </r>
        <r>
          <rPr>
            <sz val="10"/>
            <color indexed="81"/>
            <rFont val="Tahoma"/>
            <family val="2"/>
          </rPr>
          <t xml:space="preserve">
Bilateral contributions to El Salvador; Nicaragua, Honduras. See RAP for detail.</t>
        </r>
      </text>
    </comment>
    <comment ref="AE353" authorId="2">
      <text>
        <r>
          <rPr>
            <b/>
            <sz val="10"/>
            <color indexed="81"/>
            <rFont val="Tahoma"/>
            <family val="2"/>
          </rPr>
          <t>AmandaWest:</t>
        </r>
        <r>
          <rPr>
            <sz val="10"/>
            <color indexed="81"/>
            <rFont val="Tahoma"/>
            <family val="2"/>
          </rPr>
          <t xml:space="preserve">
For operation costs bilateral contribution:
El Salvador: $17,190
Honduras: $18,125
Nicaragua: $13,625
See RAP for detail</t>
        </r>
      </text>
    </comment>
    <comment ref="AL353" authorId="2">
      <text>
        <r>
          <rPr>
            <b/>
            <sz val="10"/>
            <color indexed="81"/>
            <rFont val="Tahoma"/>
            <family val="2"/>
          </rPr>
          <t>AmandaWest:</t>
        </r>
        <r>
          <rPr>
            <sz val="10"/>
            <color indexed="81"/>
            <rFont val="Tahoma"/>
            <family val="2"/>
          </rPr>
          <t xml:space="preserve">
See RAP for detail</t>
        </r>
      </text>
    </comment>
    <comment ref="Y358" authorId="2">
      <text>
        <r>
          <rPr>
            <b/>
            <sz val="10"/>
            <color indexed="81"/>
            <rFont val="Tahoma"/>
            <family val="2"/>
          </rPr>
          <t>AmandaWest:</t>
        </r>
        <r>
          <rPr>
            <sz val="10"/>
            <color indexed="81"/>
            <rFont val="Tahoma"/>
            <family val="2"/>
          </rPr>
          <t xml:space="preserve">
revised appeal 11/16</t>
        </r>
      </text>
    </comment>
    <comment ref="AC358" authorId="2">
      <text>
        <r>
          <rPr>
            <b/>
            <sz val="10"/>
            <color indexed="81"/>
            <rFont val="Tahoma"/>
            <family val="2"/>
          </rPr>
          <t>AmandaWest:</t>
        </r>
        <r>
          <rPr>
            <sz val="10"/>
            <color indexed="81"/>
            <rFont val="Tahoma"/>
            <family val="2"/>
          </rPr>
          <t xml:space="preserve">
PMN 1- $100,000
PMN 2 - $709,000
PMN 3 - $88,000</t>
        </r>
      </text>
    </comment>
    <comment ref="Y361" authorId="2">
      <text>
        <r>
          <rPr>
            <b/>
            <sz val="10"/>
            <color indexed="81"/>
            <rFont val="Tahoma"/>
            <family val="2"/>
          </rPr>
          <t>AmandaWest:</t>
        </r>
        <r>
          <rPr>
            <sz val="10"/>
            <color indexed="81"/>
            <rFont val="Tahoma"/>
            <family val="2"/>
          </rPr>
          <t xml:space="preserve">
211,000 families received relief kits - single largest number in SE Asia annual appeal.</t>
        </r>
      </text>
    </comment>
    <comment ref="Q363" authorId="2">
      <text>
        <r>
          <rPr>
            <b/>
            <sz val="10"/>
            <color indexed="81"/>
            <rFont val="Tahoma"/>
            <family val="2"/>
          </rPr>
          <t>Helen Welch:</t>
        </r>
        <r>
          <rPr>
            <sz val="10"/>
            <color indexed="81"/>
            <rFont val="Tahoma"/>
            <family val="2"/>
          </rPr>
          <t xml:space="preserve">
as of 5/15/12</t>
        </r>
      </text>
    </comment>
    <comment ref="L364" authorId="2">
      <text>
        <r>
          <rPr>
            <b/>
            <sz val="10"/>
            <color indexed="81"/>
            <rFont val="Tahoma"/>
            <family val="2"/>
          </rPr>
          <t>AmandaWest:</t>
        </r>
        <r>
          <rPr>
            <sz val="10"/>
            <color indexed="81"/>
            <rFont val="Tahoma"/>
            <family val="2"/>
          </rPr>
          <t xml:space="preserve">
Need to consider how to count other countries for this action: multi country response, but only some appeals. Rosemary based in Senegal but worked through various countries. Normally when we give cash, we claim appeal countries but this wasn't in direct response to an appeal but a FACT alert.
Could count: Burkina Faso, Chad, Mali, Mauritania, Niger and Senegal.</t>
        </r>
      </text>
    </comment>
    <comment ref="L365" authorId="2">
      <text>
        <r>
          <rPr>
            <b/>
            <sz val="10"/>
            <color indexed="81"/>
            <rFont val="Tahoma"/>
            <family val="2"/>
          </rPr>
          <t>AmandaWest:</t>
        </r>
        <r>
          <rPr>
            <sz val="10"/>
            <color indexed="81"/>
            <rFont val="Tahoma"/>
            <family val="2"/>
          </rPr>
          <t xml:space="preserve">
Need to consider how to count other countries for this action: multi country response, but only some appeals. Rosemary based in Senegal but worked through various countries. Normally when we give cash, we claim appeal countries but this wasn't in direct response to an appeal but a FACT alert.
Could count: Burkina Faso, Chad, Mali, Mauritania, Niger and Senegal.</t>
        </r>
      </text>
    </comment>
  </commentList>
</comments>
</file>

<file path=xl/comments4.xml><?xml version="1.0" encoding="utf-8"?>
<comments xmlns="http://schemas.openxmlformats.org/spreadsheetml/2006/main">
  <authors>
    <author>Amanda B. West</author>
  </authors>
  <commentList>
    <comment ref="H4" authorId="0">
      <text>
        <r>
          <rPr>
            <b/>
            <sz val="8"/>
            <color indexed="81"/>
            <rFont val="Tahoma"/>
            <family val="2"/>
          </rPr>
          <t>Amanda B. West:</t>
        </r>
        <r>
          <rPr>
            <sz val="8"/>
            <color indexed="81"/>
            <rFont val="Tahoma"/>
            <family val="2"/>
          </rPr>
          <t xml:space="preserve">
Count in FY08 as the disaster occurred then and it straddles it.</t>
        </r>
      </text>
    </comment>
    <comment ref="H10" authorId="0">
      <text>
        <r>
          <rPr>
            <b/>
            <sz val="8"/>
            <color indexed="81"/>
            <rFont val="Tahoma"/>
            <family val="2"/>
          </rPr>
          <t>Amanda B. West:</t>
        </r>
        <r>
          <rPr>
            <sz val="8"/>
            <color indexed="81"/>
            <rFont val="Tahoma"/>
            <family val="2"/>
          </rPr>
          <t xml:space="preserve">
Count in FY09 as per Stacy Ragan - if event is in FY and deployment straddles it.</t>
        </r>
      </text>
    </comment>
  </commentList>
</comments>
</file>

<file path=xl/comments5.xml><?xml version="1.0" encoding="utf-8"?>
<comments xmlns="http://schemas.openxmlformats.org/spreadsheetml/2006/main">
  <authors>
    <author>Amanda West</author>
    <author>Amanda B West</author>
  </authors>
  <commentList>
    <comment ref="C6" authorId="0">
      <text>
        <r>
          <rPr>
            <b/>
            <sz val="10"/>
            <color indexed="81"/>
            <rFont val="Tahoma"/>
            <family val="2"/>
          </rPr>
          <t>Amanda West:</t>
        </r>
        <r>
          <rPr>
            <sz val="10"/>
            <color indexed="81"/>
            <rFont val="Tahoma"/>
            <family val="2"/>
          </rPr>
          <t xml:space="preserve">
</t>
        </r>
      </text>
    </comment>
    <comment ref="L6" authorId="0">
      <text>
        <r>
          <rPr>
            <b/>
            <sz val="10"/>
            <color indexed="81"/>
            <rFont val="Tahoma"/>
            <family val="2"/>
          </rPr>
          <t>Amanda West:</t>
        </r>
        <r>
          <rPr>
            <sz val="10"/>
            <color indexed="81"/>
            <rFont val="Tahoma"/>
            <family val="2"/>
          </rPr>
          <t xml:space="preserve">
Use this category when doing over view reports for IROC end of year, pie chart of major types of disasters for year.</t>
        </r>
      </text>
    </comment>
    <comment ref="S6" authorId="1">
      <text>
        <r>
          <rPr>
            <b/>
            <sz val="8"/>
            <color indexed="81"/>
            <rFont val="Tahoma"/>
            <family val="2"/>
          </rPr>
          <t>Amanda B West:</t>
        </r>
        <r>
          <rPr>
            <sz val="8"/>
            <color indexed="81"/>
            <rFont val="Tahoma"/>
            <family val="2"/>
          </rPr>
          <t xml:space="preserve">
</t>
        </r>
        <r>
          <rPr>
            <sz val="10"/>
            <color indexed="81"/>
            <rFont val="Tahoma"/>
            <family val="2"/>
          </rPr>
          <t>NOT General appeal contributions to that disaster - specific ICRC/IFRC/NS specific appeals for that disaster</t>
        </r>
      </text>
    </comment>
    <comment ref="Y6" authorId="0">
      <text>
        <r>
          <rPr>
            <b/>
            <sz val="10"/>
            <color indexed="81"/>
            <rFont val="Tahoma"/>
            <family val="2"/>
          </rPr>
          <t>Amanda West:</t>
        </r>
        <r>
          <rPr>
            <sz val="10"/>
            <color indexed="81"/>
            <rFont val="Tahoma"/>
            <family val="2"/>
          </rPr>
          <t xml:space="preserve">
How to count: Count Federation beneficiaries from appeals, if we give cash or provide an ERU team or single person for a Federation team, then we count all Fedl appeal beneficiaries. 
If we provide relief supplies, then we only count the number of beneficiaries for those supplies. If we provide a combination of any of these, then we count only the single beneficiary number from teh appeal.
And lastly, if its a bilateral contribution directly to a national society, then we count as best we can the number of beneficiaries we have heard it will benefit, using the same rules as above for relief supplies vs. money &amp; people provided</t>
        </r>
      </text>
    </comment>
    <comment ref="Z6" authorId="0">
      <text>
        <r>
          <rPr>
            <b/>
            <sz val="10"/>
            <color indexed="81"/>
            <rFont val="Tahoma"/>
            <family val="2"/>
          </rPr>
          <t>Amanda West:</t>
        </r>
        <r>
          <rPr>
            <sz val="10"/>
            <color indexed="81"/>
            <rFont val="Tahoma"/>
            <family val="2"/>
          </rPr>
          <t xml:space="preserve">
We don't use direct beneficiaries figure unless there is no multilateral figure, such as for a bilateral contribution. See comment for Multilateral beneficiaries at left for instructions.</t>
        </r>
      </text>
    </comment>
    <comment ref="AA6" authorId="0">
      <text>
        <r>
          <rPr>
            <b/>
            <sz val="10"/>
            <color indexed="81"/>
            <rFont val="Tahoma"/>
            <family val="2"/>
          </rPr>
          <t>Amanda West:</t>
        </r>
        <r>
          <rPr>
            <sz val="10"/>
            <color indexed="81"/>
            <rFont val="Tahoma"/>
            <family val="2"/>
          </rPr>
          <t xml:space="preserve">
Begin counting $50k amts to ICRC as well per Tracy Sept 09 for PEAF data tracking</t>
        </r>
      </text>
    </comment>
    <comment ref="AJ6" authorId="0">
      <text>
        <r>
          <rPr>
            <b/>
            <sz val="10"/>
            <color indexed="81"/>
            <rFont val="Tahoma"/>
            <family val="2"/>
          </rPr>
          <t>Amanda West:</t>
        </r>
        <r>
          <rPr>
            <sz val="10"/>
            <color indexed="81"/>
            <rFont val="Tahoma"/>
            <family val="2"/>
          </rPr>
          <t xml:space="preserve">
Were the relief supplies pre-positioned from a warehouse: Y or N
list warehouse (KL, DB, PD) </t>
        </r>
      </text>
    </comment>
    <comment ref="AL6" authorId="0">
      <text>
        <r>
          <rPr>
            <b/>
            <sz val="10"/>
            <color indexed="81"/>
            <rFont val="Tahoma"/>
            <family val="2"/>
          </rPr>
          <t>Amanda West:</t>
        </r>
        <r>
          <rPr>
            <sz val="10"/>
            <color indexed="81"/>
            <rFont val="Tahoma"/>
            <family val="2"/>
          </rPr>
          <t xml:space="preserve">
Previously quilts were distributed and are in this column</t>
        </r>
      </text>
    </comment>
  </commentList>
</comments>
</file>

<file path=xl/comments6.xml><?xml version="1.0" encoding="utf-8"?>
<comments xmlns="http://schemas.openxmlformats.org/spreadsheetml/2006/main">
  <authors>
    <author>Amanda West</author>
  </authors>
  <commentList>
    <comment ref="C41" authorId="0">
      <text>
        <r>
          <rPr>
            <b/>
            <sz val="10"/>
            <color indexed="81"/>
            <rFont val="Tahoma"/>
            <family val="2"/>
          </rPr>
          <t>Amanda West:</t>
        </r>
        <r>
          <rPr>
            <sz val="10"/>
            <color indexed="81"/>
            <rFont val="Tahoma"/>
            <family val="2"/>
          </rPr>
          <t xml:space="preserve">
I added Food Insecurity here - covers low level food issues not reaching catastrophic levels.</t>
        </r>
      </text>
    </comment>
    <comment ref="C43" authorId="0">
      <text>
        <r>
          <rPr>
            <b/>
            <sz val="10"/>
            <color indexed="81"/>
            <rFont val="Tahoma"/>
            <family val="2"/>
          </rPr>
          <t>Amanda West:</t>
        </r>
        <r>
          <rPr>
            <sz val="10"/>
            <color indexed="81"/>
            <rFont val="Tahoma"/>
            <family val="2"/>
          </rPr>
          <t xml:space="preserve">
Conflict &amp; Terrorism not on  DMIS listing but distinct from their definitions of Civil Unrest and Complex Emergency</t>
        </r>
      </text>
    </comment>
  </commentList>
</comments>
</file>

<file path=xl/comments7.xml><?xml version="1.0" encoding="utf-8"?>
<comments xmlns="http://schemas.openxmlformats.org/spreadsheetml/2006/main">
  <authors>
    <author>Marian Spivey-Estrada</author>
  </authors>
  <commentList>
    <comment ref="A13" authorId="0">
      <text>
        <r>
          <rPr>
            <b/>
            <sz val="8"/>
            <color indexed="81"/>
            <rFont val="Tahoma"/>
            <family val="2"/>
          </rPr>
          <t>need this field for any contributions to multilateral operation to put our contribution in context</t>
        </r>
      </text>
    </comment>
  </commentList>
</comments>
</file>

<file path=xl/sharedStrings.xml><?xml version="1.0" encoding="utf-8"?>
<sst xmlns="http://schemas.openxmlformats.org/spreadsheetml/2006/main" count="13188" uniqueCount="3151">
  <si>
    <t>ARCT -2831 FY12 fund - $200,000</t>
  </si>
  <si>
    <t>ARCT?</t>
  </si>
  <si>
    <t>OFDA?</t>
  </si>
  <si>
    <t>RRF?</t>
  </si>
  <si>
    <t>West African Floods</t>
  </si>
  <si>
    <t>EQ-2009-000173-IDN</t>
  </si>
  <si>
    <t>FL-2009-000164-SEN</t>
  </si>
  <si>
    <t xml:space="preserve">FL-2009-000172-BFA </t>
  </si>
  <si>
    <t>OT-2010-000113-KGZ</t>
  </si>
  <si>
    <t>TC-2010-000105-GTM</t>
  </si>
  <si>
    <t>CW-2010-000010-MNG</t>
  </si>
  <si>
    <t>EQ-2010-000073-CHN</t>
  </si>
  <si>
    <t>North Africa &amp; Middle East Civil Unrest</t>
  </si>
  <si>
    <t>Langdon Greenhalgh</t>
  </si>
  <si>
    <t>FACT Team Leader</t>
  </si>
  <si>
    <t>Tunisia</t>
  </si>
  <si>
    <t>Marian Spivey-Estrada</t>
  </si>
  <si>
    <t>FACT Information &amp; Reporting</t>
  </si>
  <si>
    <t>FACT Relief Coordinator</t>
  </si>
  <si>
    <t>OT-2011-000025-TUN/LBY/EGY</t>
  </si>
  <si>
    <t>IFRC &amp; ICRC</t>
  </si>
  <si>
    <t>Paraguay Dengue Epidemic</t>
  </si>
  <si>
    <t>Grant to NS for NFIs, health team visits, general admin costs</t>
  </si>
  <si>
    <t>Tornado</t>
  </si>
  <si>
    <t>Coahuila</t>
  </si>
  <si>
    <t>Grant to NS for NFIs - kitchen, hygiene, baby kits; laterns w/ radios</t>
  </si>
  <si>
    <t>Contribution to ICRC 2007 Somalia Emergency Appeal: Budget Extension - support for capacity bldg.</t>
  </si>
  <si>
    <t>Contribution to ICRC 2007 Sudan Emergency Appeal: Budget Extension - support for capacity bldg.</t>
  </si>
  <si>
    <t>United Kingdom</t>
  </si>
  <si>
    <t>Bangladesh Cyclone Aila</t>
  </si>
  <si>
    <t>TC-2009-000105-BGD</t>
  </si>
  <si>
    <t>MDRBD004</t>
  </si>
  <si>
    <t xml:space="preserve">SUPPLIES: $80,000 bilateral for beds and mattresses to be transported to PRCS for IDP camps. CASH: $250,000 earmarked for NFIs. on June 26 to support Federation Appeal. </t>
  </si>
  <si>
    <t>MDRPK003</t>
  </si>
  <si>
    <t>Grant letter to British Red Cross; 10,000 GBP donation from Cargill + individual donations</t>
  </si>
  <si>
    <t>Nepal</t>
  </si>
  <si>
    <t>Dean</t>
  </si>
  <si>
    <t>2868 / 2099</t>
  </si>
  <si>
    <t>Kenya Drought</t>
  </si>
  <si>
    <t>DR-2009-000197-KEN</t>
  </si>
  <si>
    <t>MDRKE009</t>
  </si>
  <si>
    <t>CASH: $100,000 PMN to Federation Appeal from Rapid Response Fund earmarked for seeds.</t>
  </si>
  <si>
    <t xml:space="preserve">CASH from 2597: OFDA grant for procurement of NFIs - nets, clean-up kits, kitchen sets;  CASH from 2099: To ERC for purchase of food parcels </t>
  </si>
  <si>
    <t>2597 / 2099</t>
  </si>
  <si>
    <t>FL-2008-000018-ECU</t>
  </si>
  <si>
    <t>TC-2008-000093-PHL</t>
  </si>
  <si>
    <t>Samoa Islands Tsunami</t>
  </si>
  <si>
    <t>Samoa</t>
  </si>
  <si>
    <t>2002 / 2099</t>
  </si>
  <si>
    <t>SUPPLIES from 2594: OFDA  jerry cans, plus roughly 60k transport and associated costs; SUPPLIES from 2875: $1,150,000 plus transport</t>
  </si>
  <si>
    <t>2594 / 2875</t>
  </si>
  <si>
    <t>Tanzania Floods</t>
  </si>
  <si>
    <t>ARCT funds - $200,000</t>
  </si>
  <si>
    <t>Chile Earthquake</t>
  </si>
  <si>
    <t xml:space="preserve">PEOPLE: Relief Operations Support Delegate: Travis Betz deployed 4 weeks as a Relief Operations Support Delegate to provide support to the Bangladesh Delegation and affected National Society in response to Cyclone Aila. </t>
  </si>
  <si>
    <t>FL-2008-000095-SUR</t>
  </si>
  <si>
    <t>Moldova and Ukraine Floods</t>
  </si>
  <si>
    <t>FL-2008-000122-UKR/MDA</t>
  </si>
  <si>
    <t>FL-2008-000104-NPL</t>
  </si>
  <si>
    <t>MDRCN003</t>
  </si>
  <si>
    <t>EQ-2008-000062-CHN</t>
  </si>
  <si>
    <t>TC-2008-000057-MMR</t>
  </si>
  <si>
    <t>Myanmar Cyclone Nargis</t>
  </si>
  <si>
    <t>MDRMM002</t>
  </si>
  <si>
    <t>MDRET005</t>
  </si>
  <si>
    <t>MDRMG003</t>
  </si>
  <si>
    <t>TC-2008-000023-MDG</t>
  </si>
  <si>
    <t>IFRC DREF?</t>
  </si>
  <si>
    <t>DREF Amount</t>
  </si>
  <si>
    <t>EQ-2009-000009-CRI</t>
  </si>
  <si>
    <t>EP-2008-000218-ZWE</t>
  </si>
  <si>
    <t>OT-2008-000196-DJI/ERI/ETH/KEN/SOM</t>
  </si>
  <si>
    <t>TC-2008-000147-HTI</t>
  </si>
  <si>
    <t>TC-2008-000143</t>
  </si>
  <si>
    <t>FL-2008-000198</t>
  </si>
  <si>
    <t>EQ-2008-000206-PAK</t>
  </si>
  <si>
    <t>FF-2008-000211-VNM</t>
  </si>
  <si>
    <t>FL-2008-000232-CRI</t>
  </si>
  <si>
    <t>FL-2008-000158-PAN</t>
  </si>
  <si>
    <t>Appeal #</t>
  </si>
  <si>
    <t>MDRZW004</t>
  </si>
  <si>
    <t>MDR64004</t>
  </si>
  <si>
    <t>Namibia Floods</t>
  </si>
  <si>
    <t>Africa Polio Outbreak</t>
  </si>
  <si>
    <t>Fl-2009-000062-NAM</t>
  </si>
  <si>
    <t>Namibia</t>
  </si>
  <si>
    <t>MDRNA004</t>
  </si>
  <si>
    <t>REX08/555</t>
  </si>
  <si>
    <t>Bangladesh Floods</t>
  </si>
  <si>
    <t>FL-2009-000206-HTI</t>
  </si>
  <si>
    <t>PEOPLE: John Manley deployed to Haiti NRC as a RIT for DREF operation.</t>
  </si>
  <si>
    <t>Chile Floods</t>
  </si>
  <si>
    <t>Ecuador Floods</t>
  </si>
  <si>
    <t>Ethiopia Food Insecurity</t>
  </si>
  <si>
    <t>Greece Wildfire</t>
  </si>
  <si>
    <t>Guyana Civil Unrest</t>
  </si>
  <si>
    <t>Iraq Conflict</t>
  </si>
  <si>
    <t>Mexico Floods</t>
  </si>
  <si>
    <t>Papua New Guinea Storm</t>
  </si>
  <si>
    <t>Peru Earthquake</t>
  </si>
  <si>
    <t>South Africa Civil Unrest</t>
  </si>
  <si>
    <t>Sudan Conflict</t>
  </si>
  <si>
    <t>Sudan Floods</t>
  </si>
  <si>
    <t>Togo Floods</t>
  </si>
  <si>
    <t>Uganda Floods</t>
  </si>
  <si>
    <t>United Kingdom Floods</t>
  </si>
  <si>
    <t>Total Cash Contributions</t>
  </si>
  <si>
    <t>FY10</t>
  </si>
  <si>
    <t>FL-2009-000207-VNM</t>
  </si>
  <si>
    <t>TC-2009-000205-PHL</t>
  </si>
  <si>
    <t>MDRPH005</t>
  </si>
  <si>
    <t>See staff meeting deployment charts for data before FY09</t>
  </si>
  <si>
    <t>CASH: $500,000 to ICRC for baby kits to IDPs in camps. PEOPLE: Gina Guinta ICRC volunteer to work in IDP camps doing relief distribution, 30 days.</t>
  </si>
  <si>
    <t>various</t>
  </si>
  <si>
    <t>MDR61004; MDR64004; MDR63002</t>
  </si>
  <si>
    <t>MDR64003</t>
  </si>
  <si>
    <t>MDR43005</t>
  </si>
  <si>
    <t>MDRVN005</t>
  </si>
  <si>
    <t>MDRPH004</t>
  </si>
  <si>
    <t>Three grants from OFDA (two @ $25,000 each and 1 @ $302,704) for emergency household kits</t>
  </si>
  <si>
    <t>1,000 Relief kits. (blankets, mosquito nets and cooking sets)</t>
  </si>
  <si>
    <t>Belize</t>
  </si>
  <si>
    <t>Keith</t>
  </si>
  <si>
    <t>2,600 LDS food parcels + $30,000 for local procurement</t>
  </si>
  <si>
    <t>Israel</t>
  </si>
  <si>
    <t>CASH</t>
  </si>
  <si>
    <t>Jordan</t>
  </si>
  <si>
    <t>1 ambulance, 1 generator, various med supp/equip</t>
  </si>
  <si>
    <t>2 ambulances, 1 New Emergency Health Kit</t>
  </si>
  <si>
    <t>liaison on AIR Team</t>
  </si>
  <si>
    <t>Austria</t>
  </si>
  <si>
    <t>Cable Car Fire</t>
  </si>
  <si>
    <t>plane tickets for family members via AFES</t>
  </si>
  <si>
    <t>Fiscal Recap of Response Activity</t>
  </si>
  <si>
    <t>Mudslide, Debris Flow, Lahar</t>
  </si>
  <si>
    <t>Snow Avalanche, Debris Avalanche</t>
  </si>
  <si>
    <t>Sudden Subsidence, Long-lasting Subsidence</t>
  </si>
  <si>
    <t>Flash Flood</t>
  </si>
  <si>
    <t>Heat Wave</t>
  </si>
  <si>
    <t>Cold Wave</t>
  </si>
  <si>
    <t>Extreme Winter Conditions</t>
  </si>
  <si>
    <t>Icing, Snow Pressure, Freezing Rain</t>
  </si>
  <si>
    <t>Forest Fire</t>
  </si>
  <si>
    <t>Major Disaster Category</t>
  </si>
  <si>
    <t>GEOPHYSICAL</t>
  </si>
  <si>
    <t>Major Disaster Category Type</t>
  </si>
  <si>
    <t>BIOLOGICAL</t>
  </si>
  <si>
    <t>TECHNOLOGICAL</t>
  </si>
  <si>
    <t>HUMAN RELATED</t>
  </si>
  <si>
    <t>updated 9/2009</t>
  </si>
  <si>
    <t>DISASTER TYPOLOGIES</t>
  </si>
  <si>
    <t xml:space="preserve">Three sub-groups: </t>
  </si>
  <si>
    <t>Events originating from solid earth</t>
  </si>
  <si>
    <t>Extra Tropical Cyclone</t>
  </si>
  <si>
    <t>Depressions or lows bringing heavy rains</t>
  </si>
  <si>
    <t>Severe Thunderstorm, Hail, Tornado, Orographic Storm, Sand/Duststorm, Snow Storm, Wind Storm</t>
  </si>
  <si>
    <t>[all below Mass Movement Wet]</t>
  </si>
  <si>
    <t>[all below Mass Movement Dry]</t>
  </si>
  <si>
    <t>Forest Fire, Bush Fire</t>
  </si>
  <si>
    <t>Examples</t>
  </si>
  <si>
    <t>Infectious disease types: Viral, Bacterial, Parasitic, Fungal, Prion</t>
  </si>
  <si>
    <t>Recovery Assessment Team Leader</t>
  </si>
  <si>
    <t>Recovery Assessment Team Member</t>
  </si>
  <si>
    <t>Michael Segal</t>
  </si>
  <si>
    <t>Raj Zafar</t>
  </si>
  <si>
    <t>Tom Worthington</t>
  </si>
  <si>
    <t>Lynette Nyman</t>
  </si>
  <si>
    <t>Communications Support</t>
  </si>
  <si>
    <t>Andrea Koppel</t>
  </si>
  <si>
    <t>Tom McAloon</t>
  </si>
  <si>
    <t>Bilateral Wat/San</t>
  </si>
  <si>
    <t>Lyle O'Neel</t>
  </si>
  <si>
    <t>Disaster Mental Health Support for IROC</t>
  </si>
  <si>
    <t>Grasshoppers</t>
  </si>
  <si>
    <t>Locusts</t>
  </si>
  <si>
    <t>Animal Attack</t>
  </si>
  <si>
    <t>Population Movement</t>
  </si>
  <si>
    <t>Disaster caused by the exposure of living organisms to germs and toxic substances</t>
  </si>
  <si>
    <t xml:space="preserve">Typically a symptom of and form of protest against major socio-political problems. </t>
  </si>
  <si>
    <t>Humanitarian crisis in a country, region or society where there is total or considerable breakdown of authority resulting from internal or external conflict. Requires international response that goes beyond any single agency.</t>
  </si>
  <si>
    <t>Alex Robinson</t>
  </si>
  <si>
    <t>Lauren Twohig</t>
  </si>
  <si>
    <t>Wendy Brightman</t>
  </si>
  <si>
    <t>George Sykes</t>
  </si>
  <si>
    <t>FY11</t>
  </si>
  <si>
    <t>sent Q3</t>
  </si>
  <si>
    <t>sent Q4</t>
  </si>
  <si>
    <t>sent ALL Qs:</t>
  </si>
  <si>
    <t>Not very significant responses</t>
  </si>
  <si>
    <t>CASH: Non-designated PMN to the Fed $1,850,000; PMN to the Fed designated for one month cost of helicopter relief operations for $400,000; PMN to the Fed designated for corrugated iron sheeting (~73,000 pc) for $1,500,000. SUPPLIES:  Shawls at $50,000. (Cost includes all inspection costs/ transporation costs as well as commodity cost); PEOPLE: Seconded John Manley to FACT team and Jim Stephenson to Fed relief/logistics team.(Cost includes all inspection costs/ transporation costs as well as commodity cost). ICRC - $1M 2006 - Winter Prep - PMN for 1.5 million (500k to household repair kits, 300k to CGI);   (Cost includes all inspection costs/ transporation costs as well as commodity cost); seconded C. Chaperon and N. Cooper to Fed for monitoring.</t>
  </si>
  <si>
    <t>Hurricane Katrina</t>
  </si>
  <si>
    <t>Hurricane Stan - Mexico</t>
  </si>
  <si>
    <t>Hurricane Stan - Guatemala</t>
  </si>
  <si>
    <t>CASH: PMN earmarked for procurement, transport, distribution of food</t>
  </si>
  <si>
    <t>Fengshen</t>
  </si>
  <si>
    <t>Yemen</t>
  </si>
  <si>
    <t>Suriname</t>
  </si>
  <si>
    <t>PEOPLE: M. Million, R. Palmer IT capacity bldg</t>
  </si>
  <si>
    <t>Ukraine</t>
  </si>
  <si>
    <t>Vietnam Typhoon Lekima</t>
  </si>
  <si>
    <t>TC-2007-00178-VNM</t>
  </si>
  <si>
    <t>MDRVN002</t>
  </si>
  <si>
    <t>Georgia</t>
  </si>
  <si>
    <t>S. Ossetia</t>
  </si>
  <si>
    <t>Gustav, Hanna, Ike</t>
  </si>
  <si>
    <t>Bahamas, Jamaica</t>
  </si>
  <si>
    <t>CASH: PMN earmarked for Bahamas and Jamaica</t>
  </si>
  <si>
    <t>Gustav, Ike</t>
  </si>
  <si>
    <t>CASH: PMN unearmarked - OFAC license received</t>
  </si>
  <si>
    <t>FY</t>
  </si>
  <si>
    <t>Calendar Year</t>
  </si>
  <si>
    <t>FY #</t>
  </si>
  <si>
    <t>Total Affected</t>
  </si>
  <si>
    <t>n/a</t>
  </si>
  <si>
    <t>Appeal Amount</t>
  </si>
  <si>
    <t>Total 2010</t>
  </si>
  <si>
    <t>2004 Total</t>
  </si>
  <si>
    <t>1994 Total</t>
  </si>
  <si>
    <t>Deployed Count</t>
  </si>
  <si>
    <t>Sum of Deployed Count</t>
  </si>
  <si>
    <t>2010 Calendar Year Deployed:</t>
  </si>
  <si>
    <t>Blankets</t>
  </si>
  <si>
    <t>1985 Total</t>
  </si>
  <si>
    <t>1988 Total</t>
  </si>
  <si>
    <t>1998 Total</t>
  </si>
  <si>
    <t>ERUs</t>
  </si>
  <si>
    <t>Relief ERU</t>
  </si>
  <si>
    <t>IT/Telecoms</t>
  </si>
  <si>
    <t xml:space="preserve"> IT/Telecoms; Relief ERU</t>
  </si>
  <si>
    <t>Fed Team Role?</t>
  </si>
  <si>
    <t>IT/Telecom ERU</t>
  </si>
  <si>
    <t>ARC ERU List:</t>
  </si>
  <si>
    <t>Staff on Loan</t>
  </si>
  <si>
    <t>Seconded Delegate</t>
  </si>
  <si>
    <t>Shelter Cluster</t>
  </si>
  <si>
    <t>RFL</t>
  </si>
  <si>
    <t>Organizational Devel</t>
  </si>
  <si>
    <t>Federation Deployment Roles:</t>
  </si>
  <si>
    <t>DM Delegate</t>
  </si>
  <si>
    <t>Operations Support Delegate</t>
  </si>
  <si>
    <t>Count of ERUs</t>
  </si>
  <si>
    <t>Logistics Delegate</t>
  </si>
  <si>
    <t>Recovery Delegate</t>
  </si>
  <si>
    <t>Cash Transfer Delegate</t>
  </si>
  <si>
    <t>Count of Fed Team Role?</t>
  </si>
  <si>
    <t>Southern Africa Food Security Crisis - Zimbabwe</t>
  </si>
  <si>
    <t>Southern Africa Food Security Crisis - Zambia</t>
  </si>
  <si>
    <t>`</t>
  </si>
  <si>
    <t>05EA022</t>
  </si>
  <si>
    <t>05EA015</t>
  </si>
  <si>
    <t xml:space="preserve">Hurricane Dennis - Jamaica </t>
  </si>
  <si>
    <t>Hurricane Dennis - Grenada</t>
  </si>
  <si>
    <t>Hurricane Dennis - Haiti</t>
  </si>
  <si>
    <t>05EA14</t>
  </si>
  <si>
    <t>CASH: $250,000 -Initital direct contribution from AP 2757 to the MexRC to support their relief operation in Cozumel, gift from Carnival Cruise Lines. 2) $75,000 additional direct contribution from AP 2020 to the MexRC to support their relief operations, gift from AmEx;.3) $100,000 PMN contribution from AP2758 to support Federation's appeal relief operations, 1. 62000 2. 38000 (10.06); 4) $28,869 PMN contribution from AP2757 to support Federation's appeal relief operations;    SUPPLIES: PADRU stocks valued at $43,875;</t>
  </si>
  <si>
    <t xml:space="preserve">Business Continuity Planning: Charles deployed to Panama to support the Americas Zone in developing a Crisis Management Plan (CMP) for the IFRC Americas Zone with the Disaster Response Unit PADRU and Regional Representation Offices (RRO) to ensure that essential functions/services are continued in a crisis. 
</t>
  </si>
  <si>
    <t>2011 Sum</t>
  </si>
  <si>
    <t>Paraguay Miscellaneous</t>
  </si>
  <si>
    <t>Sri Lanka Tsunami</t>
  </si>
  <si>
    <t>Taiwan Storm</t>
  </si>
  <si>
    <t>2005 Total</t>
  </si>
  <si>
    <t xml:space="preserve"> Storm</t>
  </si>
  <si>
    <t>Colombia Volcano</t>
  </si>
  <si>
    <t>Guatemala Storm</t>
  </si>
  <si>
    <t>Haiti Storm</t>
  </si>
  <si>
    <t>Lesotho Drought</t>
  </si>
  <si>
    <t>Malawi Drought</t>
  </si>
  <si>
    <t>Pakistan Earthquake</t>
  </si>
  <si>
    <t>Somalia Drought</t>
  </si>
  <si>
    <t>Spain Terrorism</t>
  </si>
  <si>
    <t>Timor-Leste Floods</t>
  </si>
  <si>
    <t>US Storm</t>
  </si>
  <si>
    <t>Zambia Drought</t>
  </si>
  <si>
    <t>Zimbabwe Drought</t>
  </si>
  <si>
    <t>2006 Total</t>
  </si>
  <si>
    <t>Ethiopia Floods</t>
  </si>
  <si>
    <t>Lebanon Conflict</t>
  </si>
  <si>
    <t>Somalia Conflict</t>
  </si>
  <si>
    <t>Somalia Floods</t>
  </si>
  <si>
    <t>2007 Total</t>
  </si>
  <si>
    <t>2008 Total</t>
  </si>
  <si>
    <t>2009 Total</t>
  </si>
  <si>
    <t>2010 Total</t>
  </si>
  <si>
    <t>Amount</t>
  </si>
  <si>
    <t>Tolima</t>
  </si>
  <si>
    <t>Bilateral Information Delegate</t>
  </si>
  <si>
    <t>Bilateral Operations Delegate</t>
  </si>
  <si>
    <t>Beneficiaries Served (Final Report)</t>
  </si>
  <si>
    <t>(blank)</t>
  </si>
  <si>
    <t>-</t>
  </si>
  <si>
    <t>Total Contributions</t>
  </si>
  <si>
    <t>Sum of Total Contributions</t>
  </si>
  <si>
    <t>Data</t>
  </si>
  <si>
    <t>GLIDE DISASTER CATEGORIES/TYPOLOGIES</t>
  </si>
  <si>
    <t>CW</t>
  </si>
  <si>
    <t>Abbreviation</t>
  </si>
  <si>
    <t>Complex Emergency</t>
  </si>
  <si>
    <t>CE</t>
  </si>
  <si>
    <t>DR</t>
  </si>
  <si>
    <t>EQ</t>
  </si>
  <si>
    <t>EP</t>
  </si>
  <si>
    <t>Extratropical Cyclone</t>
  </si>
  <si>
    <t>EC</t>
  </si>
  <si>
    <t>FR</t>
  </si>
  <si>
    <t>FF</t>
  </si>
  <si>
    <t>FL</t>
  </si>
  <si>
    <t>HT</t>
  </si>
  <si>
    <t>Insect Infestation</t>
  </si>
  <si>
    <t>IN</t>
  </si>
  <si>
    <t>LS</t>
  </si>
  <si>
    <t>Mud Slide</t>
  </si>
  <si>
    <t>MS</t>
  </si>
  <si>
    <t>Land Slide</t>
  </si>
  <si>
    <t>OT</t>
  </si>
  <si>
    <t>Snow Avalanche</t>
  </si>
  <si>
    <t>AV</t>
  </si>
  <si>
    <t>SS</t>
  </si>
  <si>
    <t>AC</t>
  </si>
  <si>
    <t>TO</t>
  </si>
  <si>
    <t>TC</t>
  </si>
  <si>
    <t>TS</t>
  </si>
  <si>
    <t>VW</t>
  </si>
  <si>
    <t>Violent Wind</t>
  </si>
  <si>
    <t>VO</t>
  </si>
  <si>
    <t>WF</t>
  </si>
  <si>
    <t>Technological Disaster</t>
  </si>
  <si>
    <t>Cash to IFRC</t>
  </si>
  <si>
    <t>Cash to ICRC</t>
  </si>
  <si>
    <t>Cash to NS</t>
  </si>
  <si>
    <t>Mexico Hurricane Jimena</t>
  </si>
  <si>
    <t>Other Items</t>
  </si>
  <si>
    <t>2799  + OFDA</t>
  </si>
  <si>
    <t>Funding Source &amp; Info</t>
  </si>
  <si>
    <t>TC-2009-000167-MEX</t>
  </si>
  <si>
    <t>Java Indonesia Earthquake</t>
  </si>
  <si>
    <t>PEOPLE: Cristina Hammond deployed to fill the role of IFRC Shelter Cluster Information Manager for Java Earthquake response - 4 weeks.</t>
  </si>
  <si>
    <t>Zimbabwe Cholera Epidemic</t>
  </si>
  <si>
    <t>Uganda, Rwanda, Burundi Population Movement</t>
  </si>
  <si>
    <t>Horn of Africa Food Insecurity Crisis</t>
  </si>
  <si>
    <t>DR-2009-00149-SYR</t>
  </si>
  <si>
    <t>Syria Drought</t>
  </si>
  <si>
    <t>MDRSY001</t>
  </si>
  <si>
    <t>Panama &amp; Costa Rica Floods</t>
  </si>
  <si>
    <t>Central America Floods</t>
  </si>
  <si>
    <t>Cuba Hurricane Season 2008</t>
  </si>
  <si>
    <t>Haiti Hurricane Season 2008</t>
  </si>
  <si>
    <t>Philippines – Typhoon Fengshen</t>
  </si>
  <si>
    <t>China Sichuan Earthquake</t>
  </si>
  <si>
    <t>Madagascar Cyclone Ivan</t>
  </si>
  <si>
    <t>China Snow Disaster</t>
  </si>
  <si>
    <t>Kenya Election Civil Unrest</t>
  </si>
  <si>
    <t>Operational (People) Cost for Response Phase</t>
  </si>
  <si>
    <t>Total $ Response Phase</t>
  </si>
  <si>
    <t>Early Recovery $</t>
  </si>
  <si>
    <t>FL-2009-000095-TJK</t>
  </si>
  <si>
    <t>Tajikistan</t>
  </si>
  <si>
    <t>MDRTJ005</t>
  </si>
  <si>
    <t>Tajikistan Mudslides and Floods</t>
  </si>
  <si>
    <t>Disaster Name</t>
  </si>
  <si>
    <t>Future Contrib Anticipated $</t>
  </si>
  <si>
    <t>Whose Appeal?</t>
  </si>
  <si>
    <t>Appeal?Y/N</t>
  </si>
  <si>
    <t>Y</t>
  </si>
  <si>
    <t>IFRC</t>
  </si>
  <si>
    <t>Overall Appeal Coverage</t>
  </si>
  <si>
    <t>ICRC</t>
  </si>
  <si>
    <t>Glide #</t>
  </si>
  <si>
    <t>FL-2008-000069-CHL</t>
  </si>
  <si>
    <t>DR-2008-000043-ETH</t>
  </si>
  <si>
    <t>CW-2008-000013-CHN</t>
  </si>
  <si>
    <t>2011 Total</t>
  </si>
  <si>
    <t>CASH: ARC coordinated US corporate donations to joint domestic AusRC &amp; Ntl Govt appeal -  totaled $1,250,000 - sent August 2009</t>
  </si>
  <si>
    <t>Liaison to Mexican RC</t>
  </si>
  <si>
    <t>Disaster response or Non?</t>
  </si>
  <si>
    <t>Non</t>
  </si>
  <si>
    <t>Quarter</t>
  </si>
  <si>
    <t>Q1</t>
  </si>
  <si>
    <t>FY09</t>
  </si>
  <si>
    <t>Q2</t>
  </si>
  <si>
    <t>Q3</t>
  </si>
  <si>
    <t>Q4</t>
  </si>
  <si>
    <t>A. Vargas (Panama staff deployed for ARC)</t>
  </si>
  <si>
    <t>Relief ERU Team Lead</t>
  </si>
  <si>
    <t>Relief ERU Member + Team Lead</t>
  </si>
  <si>
    <t>Funds provided by US Embassy; program implemented by Delegates/IRT members based in Caracas</t>
  </si>
  <si>
    <t>2,900 Family Kits @ $35.88 each; 2 WHO NEHK; 2 WHO Cholera Kits; Flood Mitigation in Assam and Bihar thru Appeal.</t>
  </si>
  <si>
    <t>Romania</t>
  </si>
  <si>
    <t>Germany</t>
  </si>
  <si>
    <t>Pass throughs from  Alcoa, AmEx, Citigroup, Levi Strauss</t>
  </si>
  <si>
    <t>Czech Republic</t>
  </si>
  <si>
    <t>Pass throughs from  AmEx (2099), Levi Strauss (2099) and JP Morgan (2608)</t>
  </si>
  <si>
    <t>Slovakia</t>
  </si>
  <si>
    <t>Pass through from JP Morgan / Chase</t>
  </si>
  <si>
    <t>Hungary</t>
  </si>
  <si>
    <t>Pass through from  Citigroup (2099) &amp; JP Morgan (2608)</t>
  </si>
  <si>
    <t>AMEX re-directed funds from their ADGP</t>
  </si>
  <si>
    <t>Isidore</t>
  </si>
  <si>
    <t>$50,000 from OFDA; 4,000 hygiene parcels</t>
  </si>
  <si>
    <t>Paraguay</t>
  </si>
  <si>
    <t>$50,000 from OFDA money given directly to the Paraguay RC for relief food distributions</t>
  </si>
  <si>
    <t>Kenna</t>
  </si>
  <si>
    <t>South Korea</t>
  </si>
  <si>
    <t>Rusa</t>
  </si>
  <si>
    <t>Italy Earthquake</t>
  </si>
  <si>
    <t>EQ-2009-000072-ITA</t>
  </si>
  <si>
    <t>Cash Transfer Delegate Count</t>
  </si>
  <si>
    <t>DM Delegate Count</t>
  </si>
  <si>
    <t>FACT Count</t>
  </si>
  <si>
    <t>IT/Telecom ERU Count</t>
  </si>
  <si>
    <t>Logistics Delegate Count</t>
  </si>
  <si>
    <t>Operations Support Delegate Count</t>
  </si>
  <si>
    <t>Recovery Delegate Count</t>
  </si>
  <si>
    <t>Azerbaijan</t>
  </si>
  <si>
    <t>CASH: $100,000 PMN to Federation Appeal from AP2799/RRF - not to be replenished; $3,000,000 ($3M) PMN to Federation Appeal from AP2699 earmarked for relief &amp; emergency shelter;  $300,000 PMN to Federation Appeal from AP 2699 earmarked for relief &amp; emergency shelter; $700,000 PMN to Federation Appeal from AP2699 earmarked for relief; $1,000,000 allocated to contribution to the Measles Initiative, recipient organization TBD.
SUPPLIES: Relief supplies from both KL and Dubai warehouses - emptied both - approx $1M total including transport; PEOPLE: Robin Younger and Christophe Lobry-Boulanger deployed fro Relief coordination cell to PRCS support. Raj Zafar was used from Federation Delegation for surge support for  Federation in Islamabad.
$8.2M raised - remainder put into 'early recovery' column</t>
  </si>
  <si>
    <t>Delegation Surge Support Federation in Islamabad</t>
  </si>
  <si>
    <t>PMN contribution to support the Federation's operation in the Philippines: Landslides and Floods Emergency Appeal No. MDRPH001 in the amount of 50,000 USD; Amex donation to Philippines National Red Cross for their emergency operations in the amount of 5,000 USD.</t>
  </si>
  <si>
    <t>Angola</t>
  </si>
  <si>
    <t>Cholera Outbreak</t>
  </si>
  <si>
    <t>J. Koepsell as FACT Health</t>
  </si>
  <si>
    <t>PMN contribution to support Ethiopa: Drought Appeal</t>
  </si>
  <si>
    <t>Somalia</t>
  </si>
  <si>
    <t>Pledge Letter to ICRC for Somalia Emergency Appeal</t>
  </si>
  <si>
    <t>Spain</t>
  </si>
  <si>
    <t>Suspense acct contribution following April 2004 bombing. Grant to Spain RC for DPP</t>
  </si>
  <si>
    <t>FF-2007-000080-BGD</t>
  </si>
  <si>
    <t>MDRBD002</t>
  </si>
  <si>
    <t>MDRPE003</t>
  </si>
  <si>
    <t>FF-2007-000117-NPL</t>
  </si>
  <si>
    <t>EQ-2007-000133-PER</t>
  </si>
  <si>
    <t>MDRPG002</t>
  </si>
  <si>
    <t>FL-2007-000209-PNG</t>
  </si>
  <si>
    <t>Bangladesh Cyclone Sidr</t>
  </si>
  <si>
    <t>MDRMX002</t>
  </si>
  <si>
    <t>FL-2007-000200-MEX</t>
  </si>
  <si>
    <t>Tropical Storm Noel</t>
  </si>
  <si>
    <t>MDR49002</t>
  </si>
  <si>
    <t>TC-000198-DOM/HTI;</t>
  </si>
  <si>
    <t>Indonesia Bengkulu Earthquake</t>
  </si>
  <si>
    <t>EQ-2007-000157-IDN</t>
  </si>
  <si>
    <t>MDR43002</t>
  </si>
  <si>
    <t>Hurricane Felix</t>
  </si>
  <si>
    <t>Colombia Floods</t>
  </si>
  <si>
    <t>Sri Lanka Conflict</t>
  </si>
  <si>
    <t>MDR49001</t>
  </si>
  <si>
    <t>TC-2007-000135</t>
  </si>
  <si>
    <t>Hurricane Dean</t>
  </si>
  <si>
    <t>FL-2007-000111-GBR</t>
  </si>
  <si>
    <t>WF-2007-000148-GRC</t>
  </si>
  <si>
    <t>TC-2007-000157</t>
  </si>
  <si>
    <t>MDRPK001</t>
  </si>
  <si>
    <t>FF-2007-000082-PAK; and TC-2007-000084-PAK</t>
  </si>
  <si>
    <t>Pakistan Cyclone Yemyin</t>
  </si>
  <si>
    <t>Colombia Tolima Floods</t>
  </si>
  <si>
    <t>Mexico Coahuila Tornado</t>
  </si>
  <si>
    <t>MDRSB001</t>
  </si>
  <si>
    <t>TS-2007-000042-SLB</t>
  </si>
  <si>
    <t>Solomon Islands Tsunami/ Earthquake</t>
  </si>
  <si>
    <t>MDRMG002</t>
  </si>
  <si>
    <t>Madagascar Cyclones</t>
  </si>
  <si>
    <t>FL-2007-000012-BOL</t>
  </si>
  <si>
    <t>MDRBO002</t>
  </si>
  <si>
    <t>MDRMZ002</t>
  </si>
  <si>
    <t>FL-2006-000198-MOZ</t>
  </si>
  <si>
    <t>MDRKE003</t>
  </si>
  <si>
    <t>- In response to requests for information about our disaster response history, we have created various analyses of our activities using pivot tables. 
- If referring to these tables, be sure to 'refresh data' beforehand by highlighting table, right clicking and selecting, 'refresh data' from menu. This will ensure that the most accurate and recent information is displayed in the pivot table and analysis.
- Create other tabs for other pivot table analyses as needed.</t>
  </si>
  <si>
    <t>Disaster Typology:</t>
  </si>
  <si>
    <t xml:space="preserve">- The terms used to categorize and name disasters are listed under the 'Disaster Typology' tab. These are from CRED's EMDAT site, the central authority on tracking disaster information. </t>
  </si>
  <si>
    <t>Line by line instructions for Disaster Data in Master Response Log - MRL</t>
  </si>
  <si>
    <t>Additional Instructions:</t>
  </si>
  <si>
    <t>Worksheet Tabs Info:</t>
  </si>
  <si>
    <t>Control:</t>
  </si>
  <si>
    <t>Disaster Data:</t>
  </si>
  <si>
    <t>Cathy Scruggs</t>
  </si>
  <si>
    <t>Andrew Bhattacharya</t>
  </si>
  <si>
    <t>- This information comes from RAP reports where we itemize deployments for each disaster, dates, and APs. Copy this information over to the MRL Deployments tab. 
- This information is used for quarterly PEAF/SIP reporting, as well as other reporting and tracking of deployments. 
- Amanda started this tab in order to track deployments - the IROCs Roster database does not do this at this time.</t>
  </si>
  <si>
    <t>The quarter in which the response began, the date of response.
Listed as 'Q1' , 'Q2', etc.
This is important to track because you will need to complete reports for SIP and PEAF on quarterly basis and will need to sort or filter the spreadsheet by fiscal year and quarter.</t>
  </si>
  <si>
    <t>MASTER RESPONSE LOG OF INTERNATIONAL DISASTERS</t>
  </si>
  <si>
    <t>Appeal?
Y/N</t>
  </si>
  <si>
    <t>Contribution to IFRC/ICRC &gt;/= $50K?</t>
  </si>
  <si>
    <r>
      <t xml:space="preserve">Chechnya: </t>
    </r>
    <r>
      <rPr>
        <sz val="13"/>
        <rFont val="Calibri"/>
        <family val="2"/>
      </rPr>
      <t xml:space="preserve"> Response handled by Regional desk, winter clothing for 3,000 people, 55,000 blankets, 10,500 Jerry cans, 11,200 hygiene parcels.</t>
    </r>
  </si>
  <si>
    <r>
      <t>Siberia:</t>
    </r>
    <r>
      <rPr>
        <sz val="13"/>
        <rFont val="Calibri"/>
        <family val="2"/>
      </rPr>
      <t xml:space="preserve"> Procurement of warm cloths, footwear, blankets sheets &amp; food. </t>
    </r>
  </si>
  <si>
    <r>
      <t>Dagestan:</t>
    </r>
    <r>
      <rPr>
        <sz val="13"/>
        <rFont val="Calibri"/>
        <family val="2"/>
      </rPr>
      <t xml:space="preserve">  IRT Ramsey Rayyis; Federation Appeal 20/2002; grant from US Embassy in Moscow</t>
    </r>
  </si>
  <si>
    <r>
      <t>AMEX</t>
    </r>
    <r>
      <rPr>
        <sz val="13"/>
        <rFont val="Calibri"/>
        <family val="2"/>
      </rPr>
      <t>: $25,000 + $7,500</t>
    </r>
  </si>
  <si>
    <r>
      <t>Pfizer:</t>
    </r>
    <r>
      <rPr>
        <sz val="13"/>
        <rFont val="Calibri"/>
        <family val="2"/>
      </rPr>
      <t xml:space="preserve"> $200,000; </t>
    </r>
    <r>
      <rPr>
        <b/>
        <sz val="13"/>
        <rFont val="Calibri"/>
        <family val="2"/>
      </rPr>
      <t>JP Morgan/Chase</t>
    </r>
    <r>
      <rPr>
        <sz val="13"/>
        <rFont val="Calibri"/>
        <family val="2"/>
      </rPr>
      <t xml:space="preserve">: $128,000; </t>
    </r>
    <r>
      <rPr>
        <b/>
        <sz val="13"/>
        <rFont val="Calibri"/>
        <family val="2"/>
      </rPr>
      <t>Microsoft</t>
    </r>
    <r>
      <rPr>
        <sz val="13"/>
        <rFont val="Calibri"/>
        <family val="2"/>
      </rPr>
      <t>: $42,642</t>
    </r>
  </si>
  <si>
    <r>
      <t xml:space="preserve">$25,000 from </t>
    </r>
    <r>
      <rPr>
        <b/>
        <sz val="13"/>
        <rFont val="Calibri"/>
        <family val="2"/>
      </rPr>
      <t>AMEX</t>
    </r>
    <r>
      <rPr>
        <sz val="13"/>
        <rFont val="Calibri"/>
        <family val="2"/>
      </rPr>
      <t xml:space="preserve"> and $35,000 from </t>
    </r>
    <r>
      <rPr>
        <b/>
        <sz val="13"/>
        <rFont val="Calibri"/>
        <family val="2"/>
      </rPr>
      <t xml:space="preserve">JP Morgan Chase </t>
    </r>
    <r>
      <rPr>
        <sz val="13"/>
        <rFont val="Calibri"/>
        <family val="2"/>
      </rPr>
      <t>(both) programmed against total invoice of $97,923.15 for 1.2 million alcohol swabs and 435,000 surgical masks</t>
    </r>
  </si>
  <si>
    <r>
      <t>CANCELLED:</t>
    </r>
    <r>
      <rPr>
        <sz val="13"/>
        <rFont val="Calibri"/>
        <family val="2"/>
      </rPr>
      <t xml:space="preserve"> 100 cases of laundry soap (5,000 bars = $7,200) and 5,000 bars of bath soap ($1,475)</t>
    </r>
  </si>
  <si>
    <t>Hurricane Wilma - Mexico</t>
  </si>
  <si>
    <t>Hurricane Wilma - Bahamas</t>
  </si>
  <si>
    <t>TC-2005-000178-MEX</t>
  </si>
  <si>
    <t>TC-2005-000178-BHS</t>
  </si>
  <si>
    <t>05EA024</t>
  </si>
  <si>
    <t>05EA020</t>
  </si>
  <si>
    <t>El Salvador Hurricane Stan &amp; Volcano Eruption</t>
  </si>
  <si>
    <t>TC-2005-000173-SLV</t>
  </si>
  <si>
    <t>OFDA award in support of ARC's proposal "Colombia Floods 2006" to support CRC emergency relief response.</t>
  </si>
  <si>
    <t>Yogyakarta</t>
  </si>
  <si>
    <t xml:space="preserve">EQ-2010-000034-CHL </t>
  </si>
  <si>
    <t>FL-2009-000264-TZA</t>
  </si>
  <si>
    <t>MDRCL006</t>
  </si>
  <si>
    <t>MDRTZ010</t>
  </si>
  <si>
    <t>Direct Bene</t>
  </si>
  <si>
    <t>Contribution to IFRC or ICRC &gt;/= $50K?</t>
  </si>
  <si>
    <t>CASH: Anne Ray Charitable Trust funds applied $200,000 towards water and sanitation equipment.</t>
  </si>
  <si>
    <t>ARCT</t>
  </si>
  <si>
    <t>PMN contribution to support Federation's Emergency Appeal - AmEx contribution - from suspense acct</t>
  </si>
  <si>
    <t>Lebanon</t>
  </si>
  <si>
    <t>Humanitarian Crisis</t>
  </si>
  <si>
    <t>FL-2009-000238-SLV</t>
  </si>
  <si>
    <t>El Salvador Floods</t>
  </si>
  <si>
    <t>PMN contribution earmarked for procurement of rice to support Fed's China: Floods Appeal</t>
  </si>
  <si>
    <t>Tungurahua</t>
  </si>
  <si>
    <t>OFDA award in support of ARC's proposal "Tungurahua Volcano eruption" to support the ERC emergency relief response.</t>
  </si>
  <si>
    <t>Amhara</t>
  </si>
  <si>
    <t>Xangsane / Durian</t>
  </si>
  <si>
    <t xml:space="preserve"> </t>
  </si>
  <si>
    <t>Xangsane</t>
  </si>
  <si>
    <t>IDP</t>
  </si>
  <si>
    <t xml:space="preserve">CASH: $193,603 to Federation Appeal earmarked for transitional shelter; SUPPLIES: $24,500 in kitchen sets and hygiene kits. </t>
  </si>
  <si>
    <t>Contribution to ICRC 2006 Somalia Emergency Appeal - spec IDPs</t>
  </si>
  <si>
    <t>FACT Team Lead (9/3/08 - 10/30/08) Head of Ops (11/12/08 - 5/12/09)</t>
  </si>
  <si>
    <t>Roster or Staff?</t>
  </si>
  <si>
    <t>Staff</t>
  </si>
  <si>
    <t>Roster</t>
  </si>
  <si>
    <t>Asia/ME/Europe</t>
  </si>
  <si>
    <t>Location Region or Federation or NHQ</t>
  </si>
  <si>
    <t>Bilateral Shelter Advisor</t>
  </si>
  <si>
    <t>Contribution to ICRC 2006 Somalia Emergency Appeal - spec those affected by floods</t>
  </si>
  <si>
    <t>Caia</t>
  </si>
  <si>
    <t>PMN to Fed - unearmarked</t>
  </si>
  <si>
    <t>Contribution to ICRC 2007 Sri Lanka Emergency Appeal - to build the capacity of the SLRCS in disaster relief, IHL and overall cooperation. $320K earmarked to support ICRC HQ ops</t>
  </si>
  <si>
    <t>Indlala / Jaya</t>
  </si>
  <si>
    <t>PEOPLE: G. Dodge, V. Vibhakar to Guyana for PSP ($10k) CASH: cash to NS $2,400 - total both $12,400</t>
  </si>
  <si>
    <t>Costa Rica Floods</t>
  </si>
  <si>
    <t>Sum of Multilateral Beneficiaries</t>
  </si>
  <si>
    <t>2001 Total</t>
  </si>
  <si>
    <t>2002 Total</t>
  </si>
  <si>
    <t>2003 Total</t>
  </si>
  <si>
    <t>Coordinate OFDA grant Cash Transfer Programming in Vietnam</t>
  </si>
  <si>
    <t>Coordinate OFDA grant funded NFI distributions with PMI</t>
  </si>
  <si>
    <t>2009-000209 - ASM; 2009-000210-WSM</t>
  </si>
  <si>
    <t>CASH: $100,000 PMN to Federation Appeal from Rapid Response Fund</t>
  </si>
  <si>
    <t>MDRWS001</t>
  </si>
  <si>
    <t>SUPPLIES: In response to Indian RC national appeal, ARC locally procured approx 2,700 kitchen sets to deliver to Indian RC, using APs 2003 (India R &amp; D) and 2695 (TRP funds for Andra Pradesh DM) - this effectively closes out these APs ($190,000 spent total)</t>
  </si>
  <si>
    <t>MDRID004</t>
  </si>
  <si>
    <t>Southeast Asia Typhoons - Vietnam</t>
  </si>
  <si>
    <t>Southeast Asia Typhoons - Philippines</t>
  </si>
  <si>
    <t>West &amp; Central Africa Floods - Senegal</t>
  </si>
  <si>
    <t>West &amp; Central Africa Floods - Burkina Faso</t>
  </si>
  <si>
    <t xml:space="preserve">PEOPLE: John Manley deployed to Burkina Faso as FACT team member for 1 month. </t>
  </si>
  <si>
    <t>CASH: Two grant letters to be made - $772,000 on April 12, 2011; second one for $54,450 June 23, 2011</t>
  </si>
  <si>
    <t>Costa Rica cash program- Hurricane Tomas</t>
  </si>
  <si>
    <t>2869/ARCT &amp; and 2025</t>
  </si>
  <si>
    <t>CASH: 1) PMN for $91,000 from ARCT IERRF funds for appeal. 2) Second PMN for $91,000 from 2025 - South America R &amp; D</t>
  </si>
  <si>
    <t>FY11 deployment stats and our human resources - ARC's Readiness to Respond</t>
  </si>
  <si>
    <t xml:space="preserve">China EQ 2008 follow up </t>
  </si>
  <si>
    <t>Can use Chile Earthquake LARRA based preparedness programming
Ask Rod his preference</t>
  </si>
  <si>
    <t>CASH: Grants to MxRC ($50k from 2799 + $300k from 2690), PMN to Fed $167k (earmarked for 4,000 hygiene kits, 4,000 jerry cans, 4,000 buckets);  OFDA Grant; PEOPLE: W Romeril (info)</t>
  </si>
  <si>
    <t>Costa Rica Earthquake</t>
  </si>
  <si>
    <t>Georgia Conflict</t>
  </si>
  <si>
    <t>Suriname Floods</t>
  </si>
  <si>
    <t>Vietnam Floods</t>
  </si>
  <si>
    <t>Yemen Conflict</t>
  </si>
  <si>
    <t xml:space="preserve">2690/OFDA/2799 </t>
  </si>
  <si>
    <t>CASH: 5 Jan 09 - $250,000 from 2799 RRF to ICRC;  9 Jan 09 $250,000 from 2799 RRF, to PRCS;  30 Jan 09 $200,000 from 2099 IRF to MDA;  5 Feb 09: $110,625 from 2010 Middle East, to PRCS appeal, and $110,625, 2010 Middle East to ICRC appeal.</t>
  </si>
  <si>
    <t>2799/2099/2010</t>
  </si>
  <si>
    <t>CASH: PMN $100,000 earmarked for Bahamas and Jamaica; PEOPLE: C. Hammond (RIT)</t>
  </si>
  <si>
    <t>CASH: PMN 25k earmarked to Honduras from 2882</t>
  </si>
  <si>
    <t>TRP</t>
  </si>
  <si>
    <t>TBD</t>
  </si>
  <si>
    <t>CASH: 100K PMN Unearmarked, 200K PMN earmarked for hygiene kits, jerry cans and shelter kits + ops costs; SUPPLIES: hygiene kits @ $13.55; tarps @ $11.30; kitchen sets @ $14.55 + PSR; PEOPLE: C Michaud deployed on Relief ERU (2 days) replaced by L Aceves for 1 month; C Chaperon sent to deliver equipment; Roberto Brito and Richard Urrutia (early recovery assmt); Shelley Cheatham (Admin/Ops), Lee Malany (shelter) and Jessica (PSP early recovery delegate)</t>
  </si>
  <si>
    <t>Europe/Asia</t>
  </si>
  <si>
    <t>CY #</t>
  </si>
  <si>
    <t>Fiscal Year</t>
  </si>
  <si>
    <t>Comfort + staff on ground</t>
  </si>
  <si>
    <t xml:space="preserve">Shavkut Ismailov </t>
  </si>
  <si>
    <t>Mat Morgan</t>
  </si>
  <si>
    <t xml:space="preserve">Billateral Communications Delegate </t>
  </si>
  <si>
    <t>New Zealand Earthquake</t>
  </si>
  <si>
    <t>Japan Earthquake &amp; Tsunami</t>
  </si>
  <si>
    <t>OT-2010-000255-CIV</t>
  </si>
  <si>
    <t>West African Population Movement</t>
  </si>
  <si>
    <t>EQ-2011-000028-JPN</t>
  </si>
  <si>
    <t>FL-2011-000020-BOL</t>
  </si>
  <si>
    <t>MDRBO006</t>
  </si>
  <si>
    <t>New Zealand</t>
  </si>
  <si>
    <t>Earthquake/Tsunami</t>
  </si>
  <si>
    <t>EQ-2011-000024-NZL</t>
  </si>
  <si>
    <t>MDR61007</t>
  </si>
  <si>
    <t>2687/2841</t>
  </si>
  <si>
    <t>CASH: $50,000 Bilateral contribution via grant letter to Paraguay Red Cross for Dengue outbreak activities.</t>
  </si>
  <si>
    <t>includes $151,228.89 from AP 2613 (estab. Oct 2002). Exxon/Mobil provided  $70,000; Anne Bike sent to Australia.</t>
  </si>
  <si>
    <t>SDP developed for Starr Foundation contribution for $100,000</t>
  </si>
  <si>
    <t>Isidore / Lili</t>
  </si>
  <si>
    <t>Toward the Federation Appeal</t>
  </si>
  <si>
    <t>Lesotho</t>
  </si>
  <si>
    <t>Toward the Federation Appeal for Southern Africa</t>
  </si>
  <si>
    <t>Cash donation to National Society</t>
  </si>
  <si>
    <t>Regional Intervention Team Member: deployed to monitor ongoing operations and provide surge capacity to disaster management team.</t>
  </si>
  <si>
    <t>CASH: 1st PMN (135K)earmarked for typhoon-resistant shelter construction, and DP programs, 2nd (50k) earmarked for shelters after IFRC reported severe underfunding; 1st PMN: AP 2869 - $80,938.17, AP 2799 - $45,211.83. AP 2032 - $8,850.00 / 2nd PMN: AP 2799 - $50,000 PEOPLE: G. Bicego, wat/san assessment team, Fed will pay all expenses. Note: ARCT Funds $100,000 used for shelter to Federation as noted in ARCT report for 2008.</t>
  </si>
  <si>
    <t>Africa Total</t>
  </si>
  <si>
    <t>Europe/Asia Total</t>
  </si>
  <si>
    <t>North America Total</t>
  </si>
  <si>
    <t>DEPLOYMENTS HISTORY</t>
  </si>
  <si>
    <t>Laura Hevesi</t>
  </si>
  <si>
    <t>Bangladesh Total</t>
  </si>
  <si>
    <t>China Total</t>
  </si>
  <si>
    <t>Costa Rica Total</t>
  </si>
  <si>
    <t>Dominican Republic Total</t>
  </si>
  <si>
    <t>Ethiopia Total</t>
  </si>
  <si>
    <t>Haiti Total</t>
  </si>
  <si>
    <t>India Total</t>
  </si>
  <si>
    <t>Indonesia Total</t>
  </si>
  <si>
    <t>Jamaica Total</t>
  </si>
  <si>
    <t>Kenya Total</t>
  </si>
  <si>
    <t>Mexico Total</t>
  </si>
  <si>
    <t>Nicaragua Total</t>
  </si>
  <si>
    <t>Pakistan Total</t>
  </si>
  <si>
    <t>Panama Total</t>
  </si>
  <si>
    <t>Several options: 
1) Urban disasters  - how are they different/not - quotes/ perspectives from Nan as IRP head
2) Disasters don't discriminate - occur in wealthy /developed nations too (US mention)
3) Disaster Preparedness - how Japan was prepared for this type of disaster</t>
  </si>
  <si>
    <t>CASH: $75,000 PMN to Federation Appeal from 2799 earmarked for relief. $70,000 PMN to Federation appeal earmarked for relief supplies for St. Lucia (see RAP). PEOPLE: Six bilateral staff from ARC Haiti office deployed on Federation Emergency Response Teams.</t>
  </si>
  <si>
    <t>SUPPLIES: 1000 Mosquito Nets - $74,000 from 2799; PEOPLE: Deployed B. Gaillis, FACT, 3 wks; Deployed Relief ERU - C. Chaperon, G. Matthews 4 wks; Deployed 2nd rotation of Relief ERU - J. Manley, S. Hagerich, 4 wks - $18,000 cost from 2936</t>
  </si>
  <si>
    <t>CASH: $24,500 PMN to Fed - unearmarked from 2017; $100,000 PMN to Fed - unearmarked from 2099;</t>
  </si>
  <si>
    <t>2017 / 2099</t>
  </si>
  <si>
    <t>CASH: $100,000 PMN to Fed earmarked for improved emergency shelters (Appeal obj 1) and tree saplings (obj 4) for 500 families from AP 2099; PEOPLE: N.Cooper deployed on FACT as Relief/Shelter</t>
  </si>
  <si>
    <t>2802 /2099</t>
  </si>
  <si>
    <t>Luis Matnog</t>
  </si>
  <si>
    <t>West Java Earthquake</t>
  </si>
  <si>
    <t>Hygiene kits, plastic sheeting, flashlights,batteries, bedsheets, and tents</t>
  </si>
  <si>
    <t>OFDA grant for $500,000 for cash transfer programming</t>
  </si>
  <si>
    <t>Comments on Contributions</t>
  </si>
  <si>
    <t>ARCT Funds used - $200,000</t>
  </si>
  <si>
    <t>OFDA grant for $500,000; ARCT funds used - $100,000</t>
  </si>
  <si>
    <t>ARCT funds used - $100,000</t>
  </si>
  <si>
    <t>Miscellaneous</t>
  </si>
  <si>
    <t>MDRSR002</t>
  </si>
  <si>
    <t>Pakistan Baluchistan Earthquake</t>
  </si>
  <si>
    <t>ICRC &amp; IFRC</t>
  </si>
  <si>
    <t>REX08/722 &amp; MDRPK002</t>
  </si>
  <si>
    <t>Nuclear Power Plant</t>
  </si>
  <si>
    <t xml:space="preserve">Description </t>
  </si>
  <si>
    <t>Nature of Disaster (Disaster Sub-Type)</t>
  </si>
  <si>
    <t>Volcanic Eruption</t>
  </si>
  <si>
    <t>Rockfall</t>
  </si>
  <si>
    <t>Landslide</t>
  </si>
  <si>
    <t>Avalanche</t>
  </si>
  <si>
    <t>Subsidence</t>
  </si>
  <si>
    <t>tbd</t>
  </si>
  <si>
    <t>Relief Delegate Count</t>
  </si>
  <si>
    <t>Relief ERU Count</t>
  </si>
  <si>
    <t>RIT Count</t>
  </si>
  <si>
    <t>Seconded Delegate Count</t>
  </si>
  <si>
    <t>Shelter Cluster Count</t>
  </si>
  <si>
    <t>Staff on Loan Count</t>
  </si>
  <si>
    <t>(blank) Count</t>
  </si>
  <si>
    <t>$50,000 from OFDA; Greenhalgh, McAndrew and Chapman deployed in November 2003 on Relief ERU Pilot</t>
  </si>
  <si>
    <t>EQ-2010-000009-HTI</t>
  </si>
  <si>
    <t>Haiti Earthquake</t>
  </si>
  <si>
    <t>MDRHT008</t>
  </si>
  <si>
    <t xml:space="preserve">various - notably online and text donations from individuals; telethons. </t>
  </si>
  <si>
    <t>(AP is shared with October 2003 Earthquake in Puerto Plata)</t>
  </si>
  <si>
    <t>Bam</t>
  </si>
  <si>
    <t>Grant from Semnani Foundation.</t>
  </si>
  <si>
    <t>Ryongchon</t>
  </si>
  <si>
    <t>Sudan Total</t>
  </si>
  <si>
    <t>Vietnam Total</t>
  </si>
  <si>
    <t>Top Ten Disaster Response Countries</t>
  </si>
  <si>
    <t>2869/2885/ 2591</t>
  </si>
  <si>
    <t>2099/ 2869</t>
  </si>
  <si>
    <t>Find this number in the Red Cross situation updates for operations reports. 
Should be expressed as number of people, not families or households.  If needed use appropriate 'multiplier' to convert families to people.</t>
  </si>
  <si>
    <t>Was there an appeal or not.
Express as Y or N</t>
  </si>
  <si>
    <t>Most recent amount of appeal, expressed in US dollars.
Not general contributions to that disaster - specific ICRC/IFRC/NS appeals for that disaster</t>
  </si>
  <si>
    <t>Which Red Cross organization issued the appeal? 
Should be expressed as IFRC or ICRC or in cases of both, IFRC/ICRC
If a national society issues a national appeal, can be listed here, as NS.</t>
  </si>
  <si>
    <t>If you have time, you can add the appeal coverage here. 
However it gets out of date quickly.  
Create hyperlink to online informatin so that one can see the updated information.</t>
  </si>
  <si>
    <t>Formula that divides ARC contribution by appeal amount.
Only works for financial contributions - relief supplies values are not expressed in the percentage.</t>
  </si>
  <si>
    <t>Unique identifying appeal number by IFRC or ICRC
If you have time, create a hyperlink to the original online appeal document</t>
  </si>
  <si>
    <t>Was there a DREF?
Express as a Y or N</t>
  </si>
  <si>
    <t>Amount of value of DREF. 
Express in US dollars.</t>
  </si>
  <si>
    <t>Multilateral Beneficiaries</t>
  </si>
  <si>
    <t>We don't use direct beneficiaries figure unless there is no multilateral figure, such as for a bilateral contribution. 
See Multilateral beneficiaries at left for instructions.</t>
  </si>
  <si>
    <t>Jimani &amp; Duarte</t>
  </si>
  <si>
    <t>ICRC /IFRC</t>
  </si>
  <si>
    <t>Ricardo Caivano - Gates Foundation funds ($233,780 - 11.15% = $207,713.53 available - - 60% for DR)</t>
  </si>
  <si>
    <t>Haiti</t>
  </si>
  <si>
    <t>Eastern</t>
  </si>
  <si>
    <t>Ricardo Caivano - Gates Foundation funds ($233,780 - 11.15% = $207,713.53 available - - 40% for Haiti)</t>
  </si>
  <si>
    <t>PMN 0407052 ($18,000 + PSR) dated 7 July 2004; rental of two vehicles to be used in Haiti for 3 months each</t>
  </si>
  <si>
    <t>World Bank Employees; money arrived Oct 2004</t>
  </si>
  <si>
    <t>Chad</t>
  </si>
  <si>
    <t>Darfur / Sudan</t>
  </si>
  <si>
    <t>DPR Korea (North Korea) Floods</t>
  </si>
  <si>
    <t>FL-2011-000096-PRK</t>
  </si>
  <si>
    <t>DPRK/North Korea</t>
  </si>
  <si>
    <t>MDRKP003</t>
  </si>
  <si>
    <t>CASH: $50,000 contribution to appeal earmarked for food procurement, from 2799/RRF.</t>
  </si>
  <si>
    <t>CASH: $10,000  from 2861 funds from Asia Region ; $100,000 from OFDA / 2790;</t>
  </si>
  <si>
    <t>2861 / 2790</t>
  </si>
  <si>
    <t>Paying for secondments of Langdon Greenhalgh, Brigitte Gaillis and Tim Cummings to IFRC</t>
  </si>
  <si>
    <t>Katrina</t>
  </si>
  <si>
    <t>Nate Cooper, Mark Smith and Lance Leverenz deployed to Mississippi, Lousiana and Alabama.</t>
  </si>
  <si>
    <t>North West Frontier Province (NWFP) and Pakistan Administered Kashmir (PAK)</t>
  </si>
  <si>
    <t>Stan</t>
  </si>
  <si>
    <t>PMN contribution to support Federation's appeal relief operations.</t>
  </si>
  <si>
    <t>Person</t>
  </si>
  <si>
    <t>Role</t>
  </si>
  <si>
    <t>Start</t>
  </si>
  <si>
    <t>End</t>
  </si>
  <si>
    <t>Charles Blake</t>
  </si>
  <si>
    <t>Cristina Hammond</t>
  </si>
  <si>
    <t>Stacy Ragan</t>
  </si>
  <si>
    <t>Tracy Reines</t>
  </si>
  <si>
    <t>Jeanne Koepsell</t>
  </si>
  <si>
    <t>Alex Mahoney</t>
  </si>
  <si>
    <t>CASH: $50,000 PMN to Appeal earmarked to Uganda. PEOPLE: B. Banks, seconded to NBO as backfill DM coordinator deployed to Uganda on Fed assessment</t>
  </si>
  <si>
    <t>Nate Cooper deployed on PADRU team and PMN contribution to support Federation's appeal  relief operation in response of floods and volcanic eruption in El Salvador.</t>
  </si>
  <si>
    <t>Wilma</t>
  </si>
  <si>
    <t>Central Vietnam</t>
  </si>
  <si>
    <t>PMN to the Federtion to support Vietnam: Typhoon Damrey Emergency Appeal. The funds were from Boejing and the PMN was handled by the region.</t>
  </si>
  <si>
    <t>Colombia</t>
  </si>
  <si>
    <t>Galeras Volcano</t>
  </si>
  <si>
    <t>PMN contribution to support Federation's appeal relief operations in Lesotho.</t>
  </si>
  <si>
    <t>PMN contribution to support Federation's appeal earmarked for Community Base Health Care Program to leverage NLRC funding.</t>
  </si>
  <si>
    <t>PMN contribution to support Federation's appeal relief operations in Zimbabwe.</t>
  </si>
  <si>
    <t>Zambia</t>
  </si>
  <si>
    <t>E. Africa Appeal</t>
  </si>
  <si>
    <t>Humanitarian Emergency</t>
  </si>
  <si>
    <t>Country-Wide</t>
  </si>
  <si>
    <t>19,170 PMN to IFRC Iraq: Floods Appeal No. MDRIQ001 for 25,000 beneficiaries; 69,272.96 PMN to IFRC Iraq: Humanitarian Emergency Appeal No. 05 EA026 for 350,000 beneficiaries; 100,000 Cash Contribution to ICRC's emergency appeal for Iraq activities related to wat/san for 80,000 beneficiaries.</t>
  </si>
  <si>
    <t>Timor-Leste</t>
  </si>
  <si>
    <t>Oecusse, Ainaro, Viqueque, Bobonaro and Baucau Districts</t>
  </si>
  <si>
    <t>This field adds up values of AB,AC,AD from all three Red Cross entity types.</t>
  </si>
  <si>
    <t>List number of people deployed to date for this response</t>
  </si>
  <si>
    <t>Individual Deployments</t>
  </si>
  <si>
    <t>List any individual deployments for this response, not in teams.</t>
  </si>
  <si>
    <t>List any ARC ERUs deployed, if applicable</t>
  </si>
  <si>
    <t>Totals up all items from individual categories at right for relief supplies or NFIs</t>
  </si>
  <si>
    <t>MDRPH007</t>
  </si>
  <si>
    <t>TC-2011-000147-PhL</t>
  </si>
  <si>
    <t>Earthquake/ Tsunami</t>
  </si>
  <si>
    <t>TC-2011-000157-GTM</t>
  </si>
  <si>
    <t>MDRGT003 / MDRSV004</t>
  </si>
  <si>
    <t>Turkey  Earthquake</t>
  </si>
  <si>
    <t>EQ-2011-000162-TUR</t>
  </si>
  <si>
    <t>MDRTR002</t>
  </si>
  <si>
    <t>Sleeping Mats / Bedsheets</t>
  </si>
  <si>
    <t>Number of mosquito nets provided to the response by ARC, either pre-positioned or procured</t>
  </si>
  <si>
    <t>FL-2011-000093-BGD</t>
  </si>
  <si>
    <t>Rice bags are used to put all the supplies in for the beneficiary to carry home. A newer addition used in distributions and carried in our warehouses.</t>
  </si>
  <si>
    <t>The stated value of all the relief supplies. 
Use figure in latest RAP from the disaster response.</t>
  </si>
  <si>
    <t>Southern Leyte</t>
  </si>
  <si>
    <t>FY2011 Disasters Ranked from Largest Contributions to Smallest</t>
  </si>
  <si>
    <t>Count of Disaster Type</t>
  </si>
  <si>
    <t>Civil Unrest Total</t>
  </si>
  <si>
    <t>Earthquake Total</t>
  </si>
  <si>
    <t>Earthquake/Tsunami Total</t>
  </si>
  <si>
    <t>Epidemic Total</t>
  </si>
  <si>
    <t>Floods Total</t>
  </si>
  <si>
    <t>Population Movement Total</t>
  </si>
  <si>
    <t>Tropical Storm Total</t>
  </si>
  <si>
    <t>Tsunami &amp; Volcanic Eruption Total</t>
  </si>
  <si>
    <t>FY2011 Disasters Grouped by Type</t>
  </si>
  <si>
    <t>Haiti Cholera; Paraguay Dengue</t>
  </si>
  <si>
    <t>1) Floods</t>
  </si>
  <si>
    <t>2) Earthquakes &amp; Tsunamis</t>
  </si>
  <si>
    <t>8 floods to date</t>
  </si>
  <si>
    <t>Belize, Caribbean, Philippines</t>
  </si>
  <si>
    <t>Indonesia tsunami; Japan EQ &amp; tsunami; New Zealand EQ</t>
  </si>
  <si>
    <t xml:space="preserve">Haiti Feature: </t>
  </si>
  <si>
    <t>ARC programming + Haiti Cholera and Hurricane Tomas response</t>
  </si>
  <si>
    <t xml:space="preserve">Disaster Groups for Global Impact Report: </t>
  </si>
  <si>
    <t>Focus on Disasters in:</t>
  </si>
  <si>
    <t>Strongest Photos of:</t>
  </si>
  <si>
    <t>North Africa - Deployments</t>
  </si>
  <si>
    <t>North Africa</t>
  </si>
  <si>
    <t>Japan EQ/Tsunami; NZ EQ</t>
  </si>
  <si>
    <t>Japan &amp; NZ</t>
  </si>
  <si>
    <t>Tidbits/Sidebar</t>
  </si>
  <si>
    <t xml:space="preserve">North Africa Civil Unrest; West Africa Pop Movt; </t>
  </si>
  <si>
    <t>3) option 1 - Civil Unrest and Population Movements,</t>
  </si>
  <si>
    <t>3b) option 2 - Tropical Storms</t>
  </si>
  <si>
    <t>Other: Epidemics + non selected option 3</t>
  </si>
  <si>
    <t>Paraguay Dengue - preparedness angle; + non-selected option 3</t>
  </si>
  <si>
    <t>Disaster Recovery:</t>
  </si>
  <si>
    <t>Can use Chile Earthquake cash cards and preparedness programming</t>
  </si>
  <si>
    <t>Disaster Preparedness:</t>
  </si>
  <si>
    <t>Chile RC vols - focus on disaster preparedness in rural areas</t>
  </si>
  <si>
    <t>Can use Chile Earthquake LARRA based preparedness programming</t>
  </si>
  <si>
    <t>Pakistan and Bolivia</t>
  </si>
  <si>
    <t xml:space="preserve">Pakistan - complex situation w/deployments; </t>
  </si>
  <si>
    <t>Bolivia - strong bilateral</t>
  </si>
  <si>
    <t>Paraguay ad campaign graphic + washing hands campaign for Haiti cholera</t>
  </si>
  <si>
    <t>Belize shelter voucher program if not used in recovery below</t>
  </si>
  <si>
    <t>Bilateral Human Resources Support Total</t>
  </si>
  <si>
    <t>Bilateral Information Delegate Total</t>
  </si>
  <si>
    <t>Bilateral Operations Delegate Total</t>
  </si>
  <si>
    <t>Bilateral Operations Support Total</t>
  </si>
  <si>
    <t>Bilateral Shelter Advisor Total</t>
  </si>
  <si>
    <t>Billateral Communications Delegate  Total</t>
  </si>
  <si>
    <t>Communications Delegate to IFRC Total</t>
  </si>
  <si>
    <t>Communications Support Total</t>
  </si>
  <si>
    <t>Disaster Mental Health Support for IROC Total</t>
  </si>
  <si>
    <t>Equipment Support for IROC Total</t>
  </si>
  <si>
    <t>Personnel support for IROC Total</t>
  </si>
  <si>
    <t>2955/2799</t>
  </si>
  <si>
    <t>Any costs associated with deploying people. This figure is rarely reported or tracked, and is usually very small in comparison with other costs.</t>
  </si>
  <si>
    <t xml:space="preserve">This column adds up all key total values: cash, relief supplies, people. </t>
  </si>
  <si>
    <t xml:space="preserve">This column is used to  record any early recovery expenses. So far has not been used much.
</t>
  </si>
  <si>
    <t>Similar to recovery, used to place additional funds raised but not yet spent in order to record them.</t>
  </si>
  <si>
    <t>any final number of beneficiaries served through all phases, relief, recovery in IFRC final operations report. This report may be 1 to 2 years after the event.</t>
  </si>
  <si>
    <t xml:space="preserve">This column totals up all contributions and expenses for the response.
All formulas for spending for pivot tables should be and are based off of this field.
</t>
  </si>
  <si>
    <t>Account Payable code for this disaster. The main finance code for housing all income and expenses for this event.</t>
  </si>
  <si>
    <t>Field not used much, in past for checks, I think.</t>
  </si>
  <si>
    <t>If Anne Ray Charitable Trust funds are used, or OFDA funds are used, then note here. For quick and easy filtering and reference.</t>
  </si>
  <si>
    <t>Detailed information on ARC's contributions and response, broken into three categories of CASH, PEOPLE, and SUPPLIES.</t>
  </si>
  <si>
    <t xml:space="preserve">If a stewardship report will be needed, then note here. </t>
  </si>
  <si>
    <t xml:space="preserve">This is the unique number for ARC tracking - and simply is a running numerical sequence dating back from June 1999, when the IROC was started.  
This number should be the same as the number in the Disaster Folders on G drive.
At the top of the MRL are additional disasters added to the list after 1995 but predate it. These are responses for which there is more patchy information. </t>
  </si>
  <si>
    <t>National Society has issued it own appeal. ARC decided to contribute $500,000 after June 30 2010.  An additional $500,000 will go to future community disaster preparedness.</t>
  </si>
  <si>
    <t>Pakistan - EQ find final commitment/funds raised</t>
  </si>
  <si>
    <t>Number of responses by response threshold</t>
  </si>
  <si>
    <t>$0-50,000</t>
  </si>
  <si>
    <t>$50-150K</t>
  </si>
  <si>
    <t>$150-$250K</t>
  </si>
  <si>
    <t>$250-500K</t>
  </si>
  <si>
    <t>$500K-$1M</t>
  </si>
  <si>
    <t>$1M+</t>
  </si>
  <si>
    <t>Range</t>
  </si>
  <si>
    <t>Total 5-year</t>
  </si>
  <si>
    <t>Annual average</t>
  </si>
  <si>
    <t>Water and Sanitation Delegate Total</t>
  </si>
  <si>
    <t>Relief Delegate - Cash transfer/voucher program Total</t>
  </si>
  <si>
    <t>Health - Emergency Response Team Mbr Total</t>
  </si>
  <si>
    <t>Information &amp; Reporting - Emergency Response Team Mbr Total</t>
  </si>
  <si>
    <t>Information and Reporting - Seconded to Federation base camp operation Total</t>
  </si>
  <si>
    <t>Logistics - Emergency Response Team Mbr Total</t>
  </si>
  <si>
    <t>Team Lead - Emergency Response Team Mbr Total</t>
  </si>
  <si>
    <t>Telecoms assessment/Cyclone Preparedness Program Total</t>
  </si>
  <si>
    <t>WatSan - Emergency Response Team Mbr Total</t>
  </si>
  <si>
    <t>Madagascar Total</t>
  </si>
  <si>
    <t>Iran Total</t>
  </si>
  <si>
    <t>Sri Lanka Total</t>
  </si>
  <si>
    <t>Peru Total</t>
  </si>
  <si>
    <t>Sum of ARC People Deployed</t>
  </si>
  <si>
    <t>Saint Lucia/ Saint Vincent and the Grenadines/ Barbados  Total</t>
  </si>
  <si>
    <t>Communications Delegate</t>
  </si>
  <si>
    <t>NHQ Operations Support</t>
  </si>
  <si>
    <t>Assessment Team</t>
  </si>
  <si>
    <t>plastic sheeting ($81,250), blankets ($12,240), tents ($78,637). Total $271,627 (incl. transport).    tents ($147,706): Total $150,706 (incl. transport).  Replenishment of supplies $50,000</t>
  </si>
  <si>
    <t>ex Sofia</t>
  </si>
  <si>
    <t>Water Containers</t>
  </si>
  <si>
    <t>Food Parcels paid for by Region; IRT Kelly Hurd sent to support TRCS distribution; IRT R. Chapman deployed to support TRCS</t>
  </si>
  <si>
    <t>April 2004 MadridTrain Bombing</t>
  </si>
  <si>
    <t>Cash IFRC</t>
  </si>
  <si>
    <t>Cash ICRC</t>
  </si>
  <si>
    <t>Cash NS</t>
  </si>
  <si>
    <t>Total Cash</t>
  </si>
  <si>
    <t>Blankets/
Quilts</t>
  </si>
  <si>
    <t>Tarps</t>
  </si>
  <si>
    <t>Vehicles</t>
  </si>
  <si>
    <t>Value of Supplies</t>
  </si>
  <si>
    <t>Contribution to Fed greater/equal to $50,000?</t>
  </si>
  <si>
    <t># of delegates</t>
  </si>
  <si>
    <t>will this enable us to run a report on bilat assistance?</t>
  </si>
  <si>
    <t>Drop down?</t>
  </si>
  <si>
    <t>CASH: 285k earmarked shelter/relief activities, 15k earmarked for RDRT costs x3; 2099 = $200k/ 2869 = $100k. Note ARCT funds used - $100,000 to Federation for shelter, see ARCT 2008 report.</t>
  </si>
  <si>
    <t xml:space="preserve">CASH: OFDA grant for $322,330 for distribution of relief supplies; small cash transfer program; disaster risk reduction workshops  </t>
  </si>
  <si>
    <t xml:space="preserve">2760 OFDA </t>
  </si>
  <si>
    <t>EQ-2010-000251-CRI</t>
  </si>
  <si>
    <t>FL-2010-000076-COL</t>
  </si>
  <si>
    <t>MDRCO008</t>
  </si>
  <si>
    <t>MDRPA007</t>
  </si>
  <si>
    <t>FL-2010-000225-PAN</t>
  </si>
  <si>
    <t>Drop down categories</t>
  </si>
  <si>
    <t>Automatically assigned?</t>
  </si>
  <si>
    <t>yes</t>
  </si>
  <si>
    <t>Australia Wildfires</t>
  </si>
  <si>
    <t>WF-2009-000035-AUS</t>
  </si>
  <si>
    <t>Data entry</t>
  </si>
  <si>
    <t>FACT</t>
  </si>
  <si>
    <t>ERU</t>
  </si>
  <si>
    <t>Monitoring Trip</t>
  </si>
  <si>
    <t>Other Secondment</t>
  </si>
  <si>
    <t>ALL</t>
  </si>
  <si>
    <t>All</t>
  </si>
  <si>
    <t>$500K+</t>
  </si>
  <si>
    <t>$250K+</t>
  </si>
  <si>
    <t>$150K+</t>
  </si>
  <si>
    <t>$50K+</t>
  </si>
  <si>
    <t>C Chaperon (relief) and B Nandiga (wat/san) deployed on FACT.  M Million deployed on joint Danish-American IT/Telecom ERU.</t>
  </si>
  <si>
    <t>Togo</t>
  </si>
  <si>
    <t>PMN (CHF 10,300) to cover delegate costs for Youssouff Langui on FACT to Togo.  PMN (CHF 13,102) to cover costs for 3 RDRTs for one month.</t>
  </si>
  <si>
    <t>Noel</t>
  </si>
  <si>
    <t>Southern Africa Floods - Cyclone Jokwe</t>
  </si>
  <si>
    <t>TC-2008-000033-MOZ</t>
  </si>
  <si>
    <t>PEOPLE: O Abou-Samra, J Ferguson (cash/livelihoods); CASH: PMN to Fed ($10k for cash distribution project, $20k operational costs)</t>
  </si>
  <si>
    <t>Tabasco</t>
  </si>
  <si>
    <t>Lekima</t>
  </si>
  <si>
    <t>CASH: PMN to Fed unearmarked</t>
  </si>
  <si>
    <t>Sidr</t>
  </si>
  <si>
    <t>2017/OFDA</t>
  </si>
  <si>
    <t>Papua New Guinea</t>
  </si>
  <si>
    <t>Guba</t>
  </si>
  <si>
    <t>Civil Unrest</t>
  </si>
  <si>
    <t>Elections</t>
  </si>
  <si>
    <t>CASH: Bilateral to RCSC</t>
  </si>
  <si>
    <t>Violence</t>
  </si>
  <si>
    <t>Relief  FACT team</t>
  </si>
  <si>
    <t>Stacy/Ops Team</t>
  </si>
  <si>
    <t>Relief ERU Team Leader</t>
  </si>
  <si>
    <t>Eric Baranick</t>
  </si>
  <si>
    <t>Gavin White</t>
  </si>
  <si>
    <t>Chris Darlington</t>
  </si>
  <si>
    <t>Kelly Hurd</t>
  </si>
  <si>
    <t>Omar Abou-Samra</t>
  </si>
  <si>
    <t>Sharon Truelove</t>
  </si>
  <si>
    <t>Heidi Gilert</t>
  </si>
  <si>
    <t>Rod Snider</t>
  </si>
  <si>
    <t>Rosemary Parnell</t>
  </si>
  <si>
    <t>Joe Becker</t>
  </si>
  <si>
    <t>Mark Smith</t>
  </si>
  <si>
    <t>Nate Cooper</t>
  </si>
  <si>
    <t>Lee Malany</t>
  </si>
  <si>
    <t>Rebecca Scheurer</t>
  </si>
  <si>
    <t>Lindsay Lincoln</t>
  </si>
  <si>
    <t>Nancy Campbell</t>
  </si>
  <si>
    <t>Winnie Romeril</t>
  </si>
  <si>
    <t>Bonnie Gillespie</t>
  </si>
  <si>
    <t>Howard Smith</t>
  </si>
  <si>
    <t>Judy Nicholson</t>
  </si>
  <si>
    <t>Robin Younger</t>
  </si>
  <si>
    <t>Christophe Lobry-Boulanger</t>
  </si>
  <si>
    <t>Ori Shaham (MDA)</t>
  </si>
  <si>
    <t>Haim Budin (MDA)</t>
  </si>
  <si>
    <t>IFRC Logistics Delegate</t>
  </si>
  <si>
    <t>Sohrab Rezvan</t>
  </si>
  <si>
    <t>Svafa Asgeirdottir</t>
  </si>
  <si>
    <t>Tony Stitt</t>
  </si>
  <si>
    <t>Roger Shelton</t>
  </si>
  <si>
    <t>Roby Jacob</t>
  </si>
  <si>
    <t>Laky Pissalidis</t>
  </si>
  <si>
    <t>Meghan DiCarlo</t>
  </si>
  <si>
    <t>Joscelyn Silsby</t>
  </si>
  <si>
    <t>Julie Archer</t>
  </si>
  <si>
    <t>Deborah Castellano</t>
  </si>
  <si>
    <t>Lee Malaney</t>
  </si>
  <si>
    <t>Relief ERU Team Member</t>
  </si>
  <si>
    <t>IFRC Operations Liaison</t>
  </si>
  <si>
    <t>FACT Team Admin &amp; Reporting</t>
  </si>
  <si>
    <t>IT/Telecoms ERU joint with Danish RC</t>
  </si>
  <si>
    <t>Cash Transfer Programming Delegate (Alt Relief Team)</t>
  </si>
  <si>
    <t>IFRC Security Delegate</t>
  </si>
  <si>
    <t>IFRC &amp; Bilateral (ARC) Finance Delegate</t>
  </si>
  <si>
    <t>IFRC Program Coordinator</t>
  </si>
  <si>
    <t>Emergency Markets Analysis Assessment (EMMA) team member</t>
  </si>
  <si>
    <t>FACT Admin &amp; Reporting</t>
  </si>
  <si>
    <t>IFRC Logistics Delegate - at PADRU</t>
  </si>
  <si>
    <t>IFRC Logistics Delegate - at Red Cross logistics hub in Dominican Republic</t>
  </si>
  <si>
    <t>IFRC Reporting Delegate - at PADRU</t>
  </si>
  <si>
    <t>Work Location</t>
  </si>
  <si>
    <t>Panama PADRU</t>
  </si>
  <si>
    <t>purpose of delegate</t>
  </si>
  <si>
    <t>expertise of delegate</t>
  </si>
  <si>
    <t>Relief</t>
  </si>
  <si>
    <t>Wat/San</t>
  </si>
  <si>
    <t>Shelter</t>
  </si>
  <si>
    <t>Comms</t>
  </si>
  <si>
    <t>Other ARC</t>
  </si>
  <si>
    <t>yes (rolled up from indvl items)</t>
  </si>
  <si>
    <t>Chargé</t>
  </si>
  <si>
    <t>need a separate field for transport?</t>
  </si>
  <si>
    <t>Questions?</t>
  </si>
  <si>
    <t>Liz</t>
  </si>
  <si>
    <t>Stacy</t>
  </si>
  <si>
    <t>Disaster Number - life of IDR</t>
  </si>
  <si>
    <t>Field exists in PRISM?</t>
  </si>
  <si>
    <t>Djibouti</t>
  </si>
  <si>
    <t>Palestine</t>
  </si>
  <si>
    <t>Disease</t>
  </si>
  <si>
    <t>Cholera</t>
  </si>
  <si>
    <t xml:space="preserve">CASH: PMN 50k unearmarked </t>
  </si>
  <si>
    <t>2099/($200k)/2869 ($100k)</t>
  </si>
  <si>
    <t>2099/2689</t>
  </si>
  <si>
    <t>CASH from 2099: $250k Earmarked for OD and M&amp;E; CASH from 2689: $19k Earmarked for OD and M&amp;E;</t>
  </si>
  <si>
    <t>KL Zone Office</t>
  </si>
  <si>
    <t>Phillippines</t>
  </si>
  <si>
    <t>Country Affected</t>
  </si>
  <si>
    <t>KL Zone Office/DMU</t>
  </si>
  <si>
    <t>DM Delegate for Disaster Planning</t>
  </si>
  <si>
    <t>Delegate working with Nepal Red Cross on disaster management planning</t>
  </si>
  <si>
    <t>Bilateral Communications Delegate supporting ARC delegation</t>
  </si>
  <si>
    <t>Bilateral Admin/Compliance Delegate supporting ARC delegation office</t>
  </si>
  <si>
    <t>Bilateral Communications Delegate supporting ARC delegation office</t>
  </si>
  <si>
    <t>Bilateral Finance/Admin Delegate supporting ARC delegation office</t>
  </si>
  <si>
    <t>Bilateral Deputy Head of Operations supporting ARC delegation office</t>
  </si>
  <si>
    <t>Shelter Cluster Information Manager Delegate deployed to Indonesia to fill the role of IFRC Shelter Cluster Information Manager for Java Earthquake response</t>
  </si>
  <si>
    <t>RRF 2799</t>
  </si>
  <si>
    <t>FJD 14,369.32 for re-stocking Solomon Islands RC</t>
  </si>
  <si>
    <t>Stewardship report?</t>
  </si>
  <si>
    <t>y</t>
  </si>
  <si>
    <t>CASH: Bilateral to CRRC; PEOPLE: S. DiPretoro, A. Vargas</t>
  </si>
  <si>
    <t>ICRC/Ntl Socs</t>
  </si>
  <si>
    <t>$100,000 donation from Wells Fargo was programmed by ARC in partnership with Mexican Red Cross (MRC). Steve McAndrew responded and 2 IRT members (Jerry Lisenby and M-C Brien) were subsequently deployed to manage the operation. Toyota donated $250,000 to the relief effort as a strict pass-through to the Mexican Red Cross.</t>
  </si>
  <si>
    <t>$100,000 from OFDA was programmed by ARC in partnership with Mexican Red Cross (MRC).</t>
  </si>
  <si>
    <t>Taegu Subway fire</t>
  </si>
  <si>
    <t>Alcoa passthrough</t>
  </si>
  <si>
    <t>0000</t>
  </si>
  <si>
    <t>Altria passthrough</t>
  </si>
  <si>
    <t>Iraq</t>
  </si>
  <si>
    <t>PMN for SARC</t>
  </si>
  <si>
    <t>PMN for JRCS; Jensen &amp; Dmitryuk in Amman</t>
  </si>
  <si>
    <t>McAndrew in Ankara</t>
  </si>
  <si>
    <t>Argentina</t>
  </si>
  <si>
    <t>Rob McKenney from PADRU</t>
  </si>
  <si>
    <t>Bingol</t>
  </si>
  <si>
    <t>sum of multilateral beneficiaries</t>
  </si>
  <si>
    <t>sum of bilateral beneficiaries</t>
  </si>
  <si>
    <t>FY2011 count of countries</t>
  </si>
  <si>
    <t>20 countries counting St. Vincent &amp; Grenadines + Barbados</t>
  </si>
  <si>
    <t>Earthquake and Tsunami</t>
  </si>
  <si>
    <t>Tom Alcedo</t>
  </si>
  <si>
    <t>Federation reporting delegate &amp; ARC representative</t>
  </si>
  <si>
    <t>Information &amp; Reporting Delegate</t>
  </si>
  <si>
    <t>2841, Japan R&amp;D</t>
  </si>
  <si>
    <t>Nan Buzard</t>
  </si>
  <si>
    <t>ARC representative on high level Federation liaison team to Japanese RC</t>
  </si>
  <si>
    <t>Advisor/Liaison</t>
  </si>
  <si>
    <t>Mark Preslan</t>
  </si>
  <si>
    <t>Marian Spivey-Estrada/ Tracy Reines</t>
  </si>
  <si>
    <t>MDRNA006</t>
  </si>
  <si>
    <t xml:space="preserve">CASH: Contribution to Federation appeal MDR61007 for $150,000 for Liberia earmarked for relief and operations. </t>
  </si>
  <si>
    <t xml:space="preserve">CASH: Contribution to Namibia floods Federation appeal MDRNA006 for $50,000 earmarked for emergency shelter and watsan. </t>
  </si>
  <si>
    <t>FL-2011-000007-NAM</t>
  </si>
  <si>
    <t>CASH: 1. PMN to Fed 119,000 from AP2930  2. PMN to Fed 179,250 from AP2930 earmarked for 80K sleeping mats 3. PMN from AP2930 to Fed 1 million earmarked for tarps (600K), PSP (100K), DM (300K); PMN contribution to support Fed appeal relief operations - joint w/ 119,000 from AP 2930 4. PEOPLE: Relief ERU deployed with N. Cooper, C. Blake, S. Rahman, B. Riester, T. Betz, C. Chaperon. PA B. Gillespie, Health S. Shetty, PSP team</t>
  </si>
  <si>
    <t>2930 / 2799</t>
  </si>
  <si>
    <t>CASH: Initial PMN contribution for $25,000 from IRF 2099 for Federation's Hurricane Stan Appeal.Additional PMN contribution for $83,568 from AP2760 for Federation's Hurricane Stan Appeal relief operations. Additional $124,453 PMN contribution from AP 2020 for Federation's Hurricane Stan Appeal relief operations in Mexico. $49,357 PMN contribution from AP2882  to support Federation's appeal relief operations.Cash to Mex RC: $35,000 from AP2760 for Initial direct contribution to the MRC to support their relief operation. Additional contribution of $50,000 from AP2020 to the MexRC to support their relief operation gift from Exxon Mobil and G&amp;E.</t>
  </si>
  <si>
    <t>SARS</t>
  </si>
  <si>
    <t>Hong Kong</t>
  </si>
  <si>
    <t>Disaster</t>
  </si>
  <si>
    <t>NHQ point of contact</t>
  </si>
  <si>
    <t>Brennan Banks</t>
  </si>
  <si>
    <t>3 weeks</t>
  </si>
  <si>
    <t>Guillermo</t>
  </si>
  <si>
    <t>IT Telecoms Delegates</t>
  </si>
  <si>
    <t>Travis</t>
  </si>
  <si>
    <t>Glen Bradley</t>
  </si>
  <si>
    <t>Scott DiPretoro</t>
  </si>
  <si>
    <t>Cash Voucher Delegate</t>
  </si>
  <si>
    <t>Christine</t>
  </si>
  <si>
    <t>Chris Bell</t>
  </si>
  <si>
    <t>NHQ</t>
  </si>
  <si>
    <t>SriLanka</t>
  </si>
  <si>
    <t>Gina Guinta</t>
  </si>
  <si>
    <t>Jennifer Durben</t>
  </si>
  <si>
    <t>Malaysia,KL</t>
  </si>
  <si>
    <t xml:space="preserve">Panama </t>
  </si>
  <si>
    <r>
      <t>Alex in country</t>
    </r>
    <r>
      <rPr>
        <sz val="10"/>
        <color indexed="18"/>
        <rFont val="Arial Narrow"/>
        <family val="2"/>
      </rPr>
      <t xml:space="preserve"> </t>
    </r>
  </si>
  <si>
    <t xml:space="preserve">Bangladesh </t>
  </si>
  <si>
    <t>Cyclone Aila</t>
  </si>
  <si>
    <t>Travis Betz</t>
  </si>
  <si>
    <t>Roger Palmer</t>
  </si>
  <si>
    <t>Deb Castellano</t>
  </si>
  <si>
    <t>Logistics</t>
  </si>
  <si>
    <t>1 month</t>
  </si>
  <si>
    <t>2 months</t>
  </si>
  <si>
    <t>Colin Chaperon</t>
  </si>
  <si>
    <t>Monitoring</t>
  </si>
  <si>
    <t>Alex/Greg</t>
  </si>
  <si>
    <t>IT &amp; Telecoms</t>
  </si>
  <si>
    <t>Christine/Greg</t>
  </si>
  <si>
    <t>Mark Million</t>
  </si>
  <si>
    <t>Christine /Greg</t>
  </si>
  <si>
    <t>Hurricanes</t>
  </si>
  <si>
    <t>China Earthquake</t>
  </si>
  <si>
    <t>Mongolia</t>
  </si>
  <si>
    <t>Winter storm</t>
  </si>
  <si>
    <t>Brigitte Gaillis</t>
  </si>
  <si>
    <t>Christine/Travis</t>
  </si>
  <si>
    <t>Christina Hammond</t>
  </si>
  <si>
    <t>RIT</t>
  </si>
  <si>
    <t>Shelley</t>
  </si>
  <si>
    <t>Matt Marek</t>
  </si>
  <si>
    <t>Relief ERU Member</t>
  </si>
  <si>
    <t>Texas</t>
  </si>
  <si>
    <t>Hurricane Ike</t>
  </si>
  <si>
    <t>Dario Diaz</t>
  </si>
  <si>
    <t>Kuala Lumpur</t>
  </si>
  <si>
    <t>Logistics Intern at KL RLU</t>
  </si>
  <si>
    <t>John Manley</t>
  </si>
  <si>
    <t>Greg Matthews</t>
  </si>
  <si>
    <t xml:space="preserve">Relief ERU Member </t>
  </si>
  <si>
    <t>CASH: OFDA grant for $500,000 to fund NFIs; SUPPLIES: 44,180 supplies (cost: $400,000) from KL warehouse; PEOPLE: Alex Mahoney onsite 3 weeks to coordinate OFDA NFIs distribution.</t>
  </si>
  <si>
    <t>Jono Anzalone</t>
  </si>
  <si>
    <t>Delegate working with Mexican Red Cross on M &amp; E for relief distribution</t>
  </si>
  <si>
    <t>SUPPLIES: Bilateral to Mexican RC: 1,840 hygiene kits from stock at PADRU, 3,000 kitchen sets from stock at PADRU, 3,000 reconstruction kits to be procured locally. Funding: For 1,840  hygiene kits ($60,000) from 2799; 3,000 kitchen sets ($75,000) from OFDA; 3,000 reconstruction kits ($124,500) from OFDA.  PEOPLE: Jono Anzalone deployed to do M &amp; E for relief distribution.</t>
  </si>
  <si>
    <t>CASH: $50,000 made available from IRF as initial response. $450,000 made available in subsequent week. SUPPLIES: 5,000 jerry cans; 1,160 hygiene kits. PEOPLE: Alvaro Garita  - Relief delegate, Gonzalo Aquino - Water and Sanitation  delegate.</t>
  </si>
  <si>
    <t>Alvaro Garita</t>
  </si>
  <si>
    <t>Gonzalo Aquino</t>
  </si>
  <si>
    <t>Relief Delegate</t>
  </si>
  <si>
    <t>Water and Sanitation Delegate</t>
  </si>
  <si>
    <t>Guillermo/LAC</t>
  </si>
  <si>
    <t>Tropical Cyclone</t>
  </si>
  <si>
    <t>Winter Storm</t>
  </si>
  <si>
    <t>Local Storm</t>
  </si>
  <si>
    <t>(All)</t>
  </si>
  <si>
    <t>Business Continuity Planning: Charles deployed to Panama to support the Americas Zone in developing a Crisis Management Plan (CMP) for the IFRC Americas Zone with the Disaster Response Unit PADRU and Regional Representation Offices (RRO) to ensure that es</t>
  </si>
  <si>
    <t>Contingency planning w/ APDMU: Anne deployed to support the project design and test of a complimentary tool for the Fed’s Disaster Response and Contingency Guide. The project will review existing disaster contingency plans in Asia Pacific and past practic</t>
  </si>
  <si>
    <t xml:space="preserve">Contingency planning w/ APDMU: Anne deployed to support the project design and test of a complimentary tool for the Fed’s Disaster Response and Contingency Guide. The project will review existing disaster contingency plans in Asia Pacific and past practices for conducting Contingency Planning workshops. 
</t>
  </si>
  <si>
    <t xml:space="preserve">Relief Operations Support Delegate: Travis Betz deployed as a Relief Operations Support Delegate to support BDRCS in assessments, planning and coordination in response to Cyclone Aila. 
</t>
  </si>
  <si>
    <t xml:space="preserve">SUPPLIES: IFRC mob table contribution: 6,000 mosquito nets @ $40,000; CASH: $80,000 cash pledge to Federation appeal - MDRCO008 earmarked for NFIs for relief distribution; Bilateral $120,000 bilateral contribution for health and DRR programming. </t>
  </si>
  <si>
    <t>2799 /2025</t>
  </si>
  <si>
    <t>CASH:  ARC grant ($76k) to MRC for hygiene kits, kitchen sets, and roofing materials for 670 families; ARC/OFDA subgrant to MRC ($222k) for 1,830 families; PEOPLE: Shelley Cheatham (Monitoring)</t>
  </si>
  <si>
    <t>CASH: Grant to Haitian Red Cross - restock relief supplies; PEOPLE: Brigitte Gaillis (Contingency Planning)</t>
  </si>
  <si>
    <t>UPS 25k, Gen Mills 15k - Grant letter</t>
  </si>
  <si>
    <t>Felix</t>
  </si>
  <si>
    <t xml:space="preserve">PMN to Fed - earmarked $50,000 for Nicaragua and $22,500 for Honduras (includes $25,000 from Exxon for Honduras); </t>
  </si>
  <si>
    <t>CASH: PMN to Fed - unearmarked</t>
  </si>
  <si>
    <t>Bengkulu</t>
  </si>
  <si>
    <t>Per diem for PMI response team</t>
  </si>
  <si>
    <t>Uganda</t>
  </si>
  <si>
    <t>MRL Management and Maintenance:</t>
  </si>
  <si>
    <t>About the Master Response Log (MRL):</t>
  </si>
  <si>
    <t>GLobal IDEntifier Number (GLIDE) - the Glide number comes from international numbering convention and is usually listed on the appeal or DREF. It is a unique identifier for each individual disaster and helps us identify and cross tabulate beyond ARC's records.
If the disaster is more local in scope and IFRC isn't responding, then there may not be a glide number as someone has to register for it. 
See www.glidenumber.net for master list of all glide listed disasters.</t>
  </si>
  <si>
    <t>(blank) Total</t>
  </si>
  <si>
    <t>Deployments History:</t>
  </si>
  <si>
    <t>ICRC Relief Delegate: Gina recently served with the International Committee of the Red Cross (ICRC) in northern Sri Lanka. She worked in the Internally Displaced Persons camps distributing relief items.  Gina works for the American Red Cross with the Tsun</t>
  </si>
  <si>
    <t>Relief on Fed Assessment Team Total</t>
  </si>
  <si>
    <t>Cash Voucher Delegate Total</t>
  </si>
  <si>
    <t>DM Delegate for Disaster Planning Total</t>
  </si>
  <si>
    <t>Interim DM Delegate Total</t>
  </si>
  <si>
    <t>IT Telecoms Delegates Total</t>
  </si>
  <si>
    <t>Liaison to Mexican RC Total</t>
  </si>
  <si>
    <t>FACT Team Lead (9/3/08 - 10/30/08) Head of Ops (11/12/08 - 5/12/09) Total</t>
  </si>
  <si>
    <t>IT &amp; Telecoms Total</t>
  </si>
  <si>
    <t>Logistics Total</t>
  </si>
  <si>
    <t>Logistics Intern at KL RLU Total</t>
  </si>
  <si>
    <t>Support N1H1 Pandemic preparedness/monitoring: Cristina provided technical surge capacity and supported information management during the H1N1 Flu Outbreak under the direction of ISD’s Senior Pandemic Advisor. 
 Total</t>
  </si>
  <si>
    <t>Relief ERU Member Total</t>
  </si>
  <si>
    <t>Relief ERU Member  Total</t>
  </si>
  <si>
    <t>Relief ERU Member + Team Lead Total</t>
  </si>
  <si>
    <t>Relief ERU Team Lead Total</t>
  </si>
  <si>
    <t>Regional Intervention Team Member: deployed to monitor ongoing operations and provide surge capacity to disaster management team. Total</t>
  </si>
  <si>
    <t>RIT Total</t>
  </si>
  <si>
    <t>DM Delegate  Total</t>
  </si>
  <si>
    <t>&gt; used in Deployments History tab for roles</t>
  </si>
  <si>
    <t>Relief Operations Support Delegate: Travis Betz deployed as a Relief Operations Support Delegate to support BDRCS in assessments, planning and coordination in response to Cyclone Aila. 
 Total</t>
  </si>
  <si>
    <t>- Control is used to place lists of terms or names used in VLOOKUP feature of Excel, that keeps options of name use for a specific cell limited to those on that list. 
- This is helpful when there are limited options and presents as a drop down menu. Good when you want to control or standardize the terminology selected by users or ensure correct spelling of terms so that searches and results remain consistent.</t>
  </si>
  <si>
    <t xml:space="preserve">- This is the master ARC tracking sheet for all internaional disasters. Although PRISM or other tools may be in development, this remains the central, master source for all disaster response data and should be the what everything refers to. 
- This is unique and rare information so PROTECT IT!
- All data is stored in the 'Disaster Data' tab worksheet - those fields are explained above. Everything runs off of the data in the Disaster Data tab.
- Cells have various simple formulas in them to total up amounts where applicable.
- Use Pivot Tables to do longer range calculations and totals
</t>
  </si>
  <si>
    <t>Nepal Floods</t>
  </si>
  <si>
    <t>Date of Response</t>
  </si>
  <si>
    <t>ARC Disaster #</t>
  </si>
  <si>
    <t>American children survivors</t>
  </si>
  <si>
    <t>Bus Crash</t>
  </si>
  <si>
    <t>Plane Crash</t>
  </si>
  <si>
    <t>Phnom Penh</t>
  </si>
  <si>
    <t>North Kivu</t>
  </si>
  <si>
    <t>Dam Burst</t>
  </si>
  <si>
    <t>Bali</t>
  </si>
  <si>
    <t>International Trade Center - HCM City</t>
  </si>
  <si>
    <t>Hurricane Richard</t>
  </si>
  <si>
    <t>Relief Delegate - Cash transfer/voucher program</t>
  </si>
  <si>
    <t>Telecoms assessment/Cyclone Preparedness Program</t>
  </si>
  <si>
    <t>SUPPPLIES: 1,500 blankets and 214 hygiene kits at $9,812 from PADRU.</t>
  </si>
  <si>
    <t>Colombian Floods</t>
  </si>
  <si>
    <t>$25,000 allocated to each national society to be implemented thr ARC delegations through $12,500 donation to the field delegation and $12,500 matched by the field.  Total expenditures through December 2001.</t>
  </si>
  <si>
    <t>Total expenditures based off expenses from August-Jan for both earthquakes affecting Turkey.</t>
  </si>
  <si>
    <t>HIV/AIDS - Home Care</t>
  </si>
  <si>
    <t>Haiti - Refugee</t>
  </si>
  <si>
    <t>Asuncion Supermarket</t>
  </si>
  <si>
    <t>East Africa Total</t>
  </si>
  <si>
    <t>Panama  Total</t>
  </si>
  <si>
    <t>Malaysia,KL Total</t>
  </si>
  <si>
    <t>Belize Total</t>
  </si>
  <si>
    <t>US Total</t>
  </si>
  <si>
    <t>Suriname Total</t>
  </si>
  <si>
    <t>Kuala Lumpur Total</t>
  </si>
  <si>
    <t>Bahamas Total</t>
  </si>
  <si>
    <t>East Africa  in Nairobi for  Uganda, Rwanda Burundi Nairobi Pop Mvt Total</t>
  </si>
  <si>
    <t>SriLanka Total</t>
  </si>
  <si>
    <t>Bangladesh  Total</t>
  </si>
  <si>
    <t>Cash Transfer Programming Delegate  Total</t>
  </si>
  <si>
    <t>Cash Transfer Programming Delegate (Alt Relief Team) Total</t>
  </si>
  <si>
    <t>Bilateral Shelter Technical Delegate Bilateral Program Total</t>
  </si>
  <si>
    <t>Coordinate OFDA grant Cash Transfer Programming in Vietnam Total</t>
  </si>
  <si>
    <t>Delegate working with Mexican Red Cross on M &amp; E for relief distribution Total</t>
  </si>
  <si>
    <t>Nepal Total</t>
  </si>
  <si>
    <t>Delegate working with Nepal Red Cross on disaster management planning Total</t>
  </si>
  <si>
    <t>FACT Admin &amp; Reporting Total</t>
  </si>
  <si>
    <t>FACT Team Admin &amp; Reporting Total</t>
  </si>
  <si>
    <t>Burkina Faso Total</t>
  </si>
  <si>
    <t>Relief FACT Team member  Total</t>
  </si>
  <si>
    <t>IT/Telecoms ERU joint with Danish RC Total</t>
  </si>
  <si>
    <t>IFRC Logistics Delegate Total</t>
  </si>
  <si>
    <t>IFRC Logistics Delegate - at PADRU Total</t>
  </si>
  <si>
    <t>IFRC Logistics Delegate - at Red Cross logistics hub in Dominican Republic Total</t>
  </si>
  <si>
    <t>Bilateral Admin/Compliance Delegate supporting ARC delegation office Total</t>
  </si>
  <si>
    <t>Bilateral Communications Delegate supporting ARC delegation Total</t>
  </si>
  <si>
    <t>Bilateral Communications Delegate supporting ARC delegation office Total</t>
  </si>
  <si>
    <t>Bilateral Deputy Head of Operations supporting ARC delegation office Total</t>
  </si>
  <si>
    <t>Bilateral Finance/Admin Delegate supporting ARC delegation office Total</t>
  </si>
  <si>
    <t>Bilateral Program Manager ARC  Total</t>
  </si>
  <si>
    <t>Bilateral Psychosocial Support for ARC delegation office Total</t>
  </si>
  <si>
    <t>Bilateral Wat/San Total</t>
  </si>
  <si>
    <t>Coordinate OFDA grant funded NFI distributions with PMI Total</t>
  </si>
  <si>
    <t>Philippines Total</t>
  </si>
  <si>
    <t>Coordinate OFDA grant funded NFI distributions with PNRC Total</t>
  </si>
  <si>
    <t>IFRC &amp; Bilateral (ARC) Finance Delegate Total</t>
  </si>
  <si>
    <t>Believing Youth</t>
  </si>
  <si>
    <t>Also: Floods</t>
  </si>
  <si>
    <t>Mudslide</t>
  </si>
  <si>
    <t>Grand Total</t>
  </si>
  <si>
    <t>North and Central Regions</t>
  </si>
  <si>
    <t>Region</t>
  </si>
  <si>
    <t>Africa</t>
  </si>
  <si>
    <t>LAC</t>
  </si>
  <si>
    <t>North America</t>
  </si>
  <si>
    <t>Deployed to Haiti NRC as a RIT for DREF operation.</t>
  </si>
  <si>
    <t>UPS donated $50,000; ARCT Funds applied for as of 11/18/09</t>
  </si>
  <si>
    <t>MDRSV002</t>
  </si>
  <si>
    <t xml:space="preserve">SIF/3809 – Fed to reimburse </t>
  </si>
  <si>
    <t>Hygiene Kits</t>
  </si>
  <si>
    <t xml:space="preserve">NEHK for Mazar e Sharif </t>
  </si>
  <si>
    <t>Jerry Cans</t>
  </si>
  <si>
    <t>Tents</t>
  </si>
  <si>
    <t>Food Parcels</t>
  </si>
  <si>
    <t>Kitchen Sets</t>
  </si>
  <si>
    <t>CASH: $200k to IFRC earmarked for Sudan vaccination campaign from ARCT - funds went out as of August 2009.</t>
  </si>
  <si>
    <t>2799 /2882 /2869</t>
  </si>
  <si>
    <t>2,550 collapsible water containers. Purchased and shipped 7 Ford trucks, ($182,000),  13 MT calcium hypochloride ($30,000)</t>
  </si>
  <si>
    <t>Cleanup Kits</t>
  </si>
  <si>
    <t>Bulgaria stocks</t>
  </si>
  <si>
    <t>Paid By AP</t>
  </si>
  <si>
    <t>REX 07/347</t>
  </si>
  <si>
    <t>REX 07/376</t>
  </si>
  <si>
    <t>REX 07/207</t>
  </si>
  <si>
    <t>MDR81002</t>
  </si>
  <si>
    <t>REX 06/813</t>
  </si>
  <si>
    <t>2099 / 2648</t>
  </si>
  <si>
    <t>CASH: PMN from 2099 contribution to Fed Appeal earmarked for tarps, blankets, sleeping mats PEOPLE: Deployed J. Manley, Prog Coordinator, 2 mo. AND K.White, Prog Delegate, 2 mo. From AP 2648.</t>
  </si>
  <si>
    <t>MDR81001 /REX 06/575</t>
  </si>
  <si>
    <t>IFRC/ICRC</t>
  </si>
  <si>
    <t>Middle East Humanitarian Crisis</t>
  </si>
  <si>
    <t>IFRC/ ICRC</t>
  </si>
  <si>
    <t>Iraq Humanitarian Emergency</t>
  </si>
  <si>
    <t>MDRIQ001 / 05EA026 / REX 07/346</t>
  </si>
  <si>
    <t>05EA023</t>
  </si>
  <si>
    <t>Southern Africa Food Security Crisis - Lesotho</t>
  </si>
  <si>
    <t>Southern Africa Food Security Crisis - Malawi</t>
  </si>
  <si>
    <t>2099 /2649</t>
  </si>
  <si>
    <t>PMN Fed Vietnam from AP2799: Typhoon Xangsane Appeal $25,000; PMN Fed Vietnam from AP2870: Typhoon Xangsane $38,000</t>
  </si>
  <si>
    <t>IFRC Operations Liaison Total</t>
  </si>
  <si>
    <t>IFRC Program Coordinator Total</t>
  </si>
  <si>
    <t>IFRC Reporting Delegate - at PADRU Total</t>
  </si>
  <si>
    <t>IFRC Security Delegate Total</t>
  </si>
  <si>
    <t>Emergency Markets Analysis Assessment (EMMA) team member Total</t>
  </si>
  <si>
    <t>Recovery Assessment Team Leader Total</t>
  </si>
  <si>
    <t>Recovery Assessment Team Member Total</t>
  </si>
  <si>
    <t>Chile Total</t>
  </si>
  <si>
    <t>Relief Delegate Total</t>
  </si>
  <si>
    <t>Relief  FACT team Total</t>
  </si>
  <si>
    <t>Relief ERU Team Leader Total</t>
  </si>
  <si>
    <t>Senegal Total</t>
  </si>
  <si>
    <t>Relief ERU Team Leader (AmCross lead joint ERU with Danish RC) Total</t>
  </si>
  <si>
    <t>Relief ERU Team Member Total</t>
  </si>
  <si>
    <t>Relief ERU Team Member (AmCross lead joint ERU with Danish RC) Total</t>
  </si>
  <si>
    <t>Deployed to Haiti NRC as a RIT for DREF operation. Total</t>
  </si>
  <si>
    <t>Shelter Cluster Coordinator Delegate deployed to Philippines Total</t>
  </si>
  <si>
    <t>Shelter Cluster Information Manager Delegate deployed to Indonesia to fill the role of IFRC Shelter Cluster Information Manager for Java Earthquake response Total</t>
  </si>
  <si>
    <t>Staff on loan working with Federation Zone on PMER in China and Mongolia Total</t>
  </si>
  <si>
    <t>To count number of people deployed to Haiti - count deployed here (minus ones to NHQ/PADRU), plus 14 in office on ground, plus 69 that were on USNS Comfort. Total in support of Haiti response includes non-Haiti deployments plus Haiti office &amp; Comfort.</t>
  </si>
  <si>
    <t>MDRPK006</t>
  </si>
  <si>
    <t>Catastrophic food shortage affecting large numbers of people. Food Insecurity - may not be as severe, but leads to Famine.</t>
  </si>
  <si>
    <t>Famine / Food Insecurity</t>
  </si>
  <si>
    <t xml:space="preserve">Source: DMIS </t>
  </si>
  <si>
    <t>Hydrometerological</t>
  </si>
  <si>
    <t>HYDROMETEOROLOGICAL</t>
  </si>
  <si>
    <t>Human Related</t>
  </si>
  <si>
    <t>Urban Fire</t>
  </si>
  <si>
    <t>Viral</t>
  </si>
  <si>
    <t>Bacterial</t>
  </si>
  <si>
    <t>Indonesia Tsunami &amp; Volcanic Eruption</t>
  </si>
  <si>
    <t>Caribbean Hurricane Tomas</t>
  </si>
  <si>
    <t>Belize Hurricane Richard</t>
  </si>
  <si>
    <t>EQ-2010-000213-IDN &amp; VO-2010-000214-IDN</t>
  </si>
  <si>
    <t>FL-2010-00194-VNM</t>
  </si>
  <si>
    <t>MDRVN007</t>
  </si>
  <si>
    <t>CASH: $30,000 PMN to Federation Appeal from 2799 (RRF) earmarked for relief.</t>
  </si>
  <si>
    <t>CASH: $200,000 bilateral contribution/grant letter to Mexican Red Cross for relief - paid by ARCT funds.</t>
  </si>
  <si>
    <t>EP-2010-000210-HTI</t>
  </si>
  <si>
    <t>MDR49007</t>
  </si>
  <si>
    <t>Alex Latour</t>
  </si>
  <si>
    <t>Team Lead - Emergency Response Team Mbr</t>
  </si>
  <si>
    <t>ARC Haiti Office</t>
  </si>
  <si>
    <t>Information &amp; Reporting - Emergency Response Team Mbr</t>
  </si>
  <si>
    <t>Bijou Phiness</t>
  </si>
  <si>
    <t>Parasitic</t>
  </si>
  <si>
    <t>Chemical Spill</t>
  </si>
  <si>
    <t>Explosion</t>
  </si>
  <si>
    <t>Other</t>
  </si>
  <si>
    <t>Air</t>
  </si>
  <si>
    <t>Rail</t>
  </si>
  <si>
    <t>Road</t>
  </si>
  <si>
    <t>Water</t>
  </si>
  <si>
    <t>Collapse</t>
  </si>
  <si>
    <t>Gas leak</t>
  </si>
  <si>
    <t>Poisoning</t>
  </si>
  <si>
    <t>Radiation</t>
  </si>
  <si>
    <t>Hurricane, Typhoon, Cylone</t>
  </si>
  <si>
    <t>Meteorite</t>
  </si>
  <si>
    <t>PEOPLE: Deployed B. Gaillis, Ops Coordinator, 5 wks; Deployed C. Blake, FACT Relief, 3 wks. CASH: 2. PMN Fed Philippines: Typhoons $237,000 from AP2032; PMN Fed Philippines: Typhoon Xangsane Appeal $200,000 from AP2099;  3. PMN Fed Philippines: Typhoons $350K earmarked for CGI from AP2032;</t>
  </si>
  <si>
    <t>Count of Deployed Count</t>
  </si>
  <si>
    <t>Deployed Personnel to date</t>
  </si>
  <si>
    <t>North Africa &amp; Middle East Civil Unrest Total</t>
  </si>
  <si>
    <t>Japan Total</t>
  </si>
  <si>
    <t>Capacity Building</t>
  </si>
  <si>
    <t>Count of Location Region or Federation or NHQ</t>
  </si>
  <si>
    <t>Latin America/ Caribbean</t>
  </si>
  <si>
    <t>Asia/Middle East/ Europe</t>
  </si>
  <si>
    <t>MDR49003</t>
  </si>
  <si>
    <t>MDRHT005</t>
  </si>
  <si>
    <t>MDRNP002</t>
  </si>
  <si>
    <t>MDR67003</t>
  </si>
  <si>
    <t>Bahamas Storm</t>
  </si>
  <si>
    <t>MDRCU001</t>
  </si>
  <si>
    <t>MDR43004</t>
  </si>
  <si>
    <t>?</t>
  </si>
  <si>
    <t>MDR61002</t>
  </si>
  <si>
    <t>FL-2007-000158-TGO; FL-2007-000132-BFA;FL-2007-000153-GHA</t>
  </si>
  <si>
    <t>MDRUG006</t>
  </si>
  <si>
    <t>FL-2007-000138-UGA</t>
  </si>
  <si>
    <t>FL-2007-00093-SDN</t>
  </si>
  <si>
    <t>MDRSD004</t>
  </si>
  <si>
    <t>% of Appeal Covered by ARC</t>
  </si>
  <si>
    <t>hygiene kits (value $1,770) and bedsheets (500 packets of 12 at a total value of $15,000) from PADRU as part of a joint ARC/Federation/Panamanian Red Cross operation. Steve McAndrew was deployed from PADRU to oversee the distributions</t>
  </si>
  <si>
    <t>hygiene kits ($3.72 each) ex Bulgaria; $8,470 for transport, $1,200 demurrage, $19,000 to remove washing powder in Greece</t>
  </si>
  <si>
    <t>Ofer Snir (MDA)</t>
  </si>
  <si>
    <t>Laura Havesi</t>
  </si>
  <si>
    <t>MDRKG007</t>
  </si>
  <si>
    <t>Source: EMDAT</t>
  </si>
  <si>
    <t>Disaster Sub-Sub Type</t>
  </si>
  <si>
    <t>General Floods</t>
  </si>
  <si>
    <t>Referendum</t>
  </si>
  <si>
    <t>Storm Surge</t>
  </si>
  <si>
    <t>Singapore Airlines 006</t>
  </si>
  <si>
    <t>Cyclone 04B</t>
  </si>
  <si>
    <t>Inner Mongolia</t>
  </si>
  <si>
    <t>Snowstorm</t>
  </si>
  <si>
    <t>Direct Beneficiaries</t>
  </si>
  <si>
    <t>Sum of Cash to IFRC</t>
  </si>
  <si>
    <t>Sum of Cash to ICRC</t>
  </si>
  <si>
    <t>Sum of Cash to NS</t>
  </si>
  <si>
    <t>Sum of Total Cash</t>
  </si>
  <si>
    <t>Sum of Value of Supplies</t>
  </si>
  <si>
    <t>Sum of Total $ Response Phase</t>
  </si>
  <si>
    <t>Measles</t>
  </si>
  <si>
    <t>Good measles photos from Zambia 2010 on photo library submit folder</t>
  </si>
  <si>
    <t>SUPPLIES: 7050 blankets @ $3.75, 3900 tarps @ $14.20, 16,000 sleeping mats @ $1.70; PEOPLE: Relief ERU deployment - T. Reines, G. Guinta, 1 month, 2nd team rotation from  AP2936</t>
  </si>
  <si>
    <t>2099 /2936</t>
  </si>
  <si>
    <t>2925 / 2099</t>
  </si>
  <si>
    <t>CASH: From AP2925: 30K - IDR/IP grant directly to Kenya Red Cross; PMN to Fed - 50k from LDS; SUPPLIES: 20,000 (mosquito nets) @ $4.44 each + PSR, etc + $20,000 (transport) = $120,000 from AP2099</t>
  </si>
  <si>
    <t>LAC Total</t>
  </si>
  <si>
    <t>West Sumatra Indonesia Earthquake</t>
  </si>
  <si>
    <t>Mongolia Severe Winter</t>
  </si>
  <si>
    <t>CASH: $145,000 contribution made to Federation appeal from Anne Ray Charitable Trust (ARCT) funds</t>
  </si>
  <si>
    <t xml:space="preserve">CASH: $50,000 to ICRC Kyrgyzstan appeal; $50,000 to IFRC Kyrgyzstan appeal; $100,000 to IFRC Uzbekistan appeal (this amount from GM donation). </t>
  </si>
  <si>
    <t>CASH: $100,000 to Federation appeal. SUPPLIES: $80,000 in relief supplies from PADRU.</t>
  </si>
  <si>
    <t>CASH: $50,000 towards Federation appeal.</t>
  </si>
  <si>
    <t>see above</t>
  </si>
  <si>
    <t>Kate Schilling</t>
  </si>
  <si>
    <t>James Stephenson</t>
  </si>
  <si>
    <t xml:space="preserve">Cash Transfer Programming Delegate </t>
  </si>
  <si>
    <t>Communications Delegate to IFRC</t>
  </si>
  <si>
    <t>Anne Palmer</t>
  </si>
  <si>
    <t>Jana Sweeney</t>
  </si>
  <si>
    <t>Bilateral Psychosocial Support for ARC delegation office</t>
  </si>
  <si>
    <t>Bilateral Shelter Technical Delegate Bilateral Program</t>
  </si>
  <si>
    <t xml:space="preserve">Bilateral Program Manager ARC </t>
  </si>
  <si>
    <t>Equipment Support for IROC</t>
  </si>
  <si>
    <t>Personnel support for IROC</t>
  </si>
  <si>
    <t>CASH: 714k to ICRC from Coca Cola</t>
  </si>
  <si>
    <t>Pacific Coast</t>
  </si>
  <si>
    <t>Southern Africa</t>
  </si>
  <si>
    <t>Tanzania</t>
  </si>
  <si>
    <t>Flood/Mine</t>
  </si>
  <si>
    <t>a</t>
  </si>
  <si>
    <t>b</t>
  </si>
  <si>
    <t>c</t>
  </si>
  <si>
    <t>d</t>
  </si>
  <si>
    <t>e</t>
  </si>
  <si>
    <t>Armenia Earthquake</t>
  </si>
  <si>
    <t>Mexico Earthquake</t>
  </si>
  <si>
    <t>Rwanda Crisis</t>
  </si>
  <si>
    <t>Hurricane Mitch</t>
  </si>
  <si>
    <t>Balkans Crisis</t>
  </si>
  <si>
    <t>Sahel Food Crisis</t>
  </si>
  <si>
    <t>Since 1999</t>
  </si>
  <si>
    <t>CASH: Grant letter to TRCS, relief/shelter</t>
  </si>
  <si>
    <t>Myanmar</t>
  </si>
  <si>
    <t>Nargis</t>
  </si>
  <si>
    <t>Sichuan</t>
  </si>
  <si>
    <t>CASH: Unearmarked PMN; PEOPLE: R. Rayyis 1 wk info gathering, T. Betz 3 wk relief/logs/monitoring del; S. Thornton 6 mo relief del</t>
  </si>
  <si>
    <t>Urban Violence</t>
  </si>
  <si>
    <t>PEOPLE: C. Bell bilateral - dev systems/tracking</t>
  </si>
  <si>
    <t>Chile</t>
  </si>
  <si>
    <t>PEOPLE: S. DiPretoro, w/RIT, cash voucher/market assessment</t>
  </si>
  <si>
    <t>Turkey Earthquake</t>
  </si>
  <si>
    <t>Nicaragua Volcano</t>
  </si>
  <si>
    <t>Cambodia Floods</t>
  </si>
  <si>
    <t>Greece Earthquake</t>
  </si>
  <si>
    <t>Taiwan Earthquake</t>
  </si>
  <si>
    <t>Japan Industrial</t>
  </si>
  <si>
    <t xml:space="preserve">Mexico Floods </t>
  </si>
  <si>
    <t>Russian Fed. Conflict</t>
  </si>
  <si>
    <t>Timor-Leste Conflict</t>
  </si>
  <si>
    <t>India Storm</t>
  </si>
  <si>
    <t>MDRBD009</t>
  </si>
  <si>
    <t>CASH: $50,000 contribution to appeal earmarked for relilef distribution from 2799/RRF.</t>
  </si>
  <si>
    <t>FL-2011-000130-PAK</t>
  </si>
  <si>
    <t>Pakistan Floods</t>
  </si>
  <si>
    <t>MDRPK007</t>
  </si>
  <si>
    <t>2831/2836/ 2099</t>
  </si>
  <si>
    <t xml:space="preserve">Staff on Loan to APDMU: Alex deployed to provide HR support for monsoon and typhoon season and to assist with response and response preparedness activities. This was a generalist role supporting DM activities and operations coordination and support.
</t>
  </si>
  <si>
    <t>Anne Reynolds</t>
  </si>
  <si>
    <t>Burkina Faso</t>
  </si>
  <si>
    <t>MDRBF008 &amp; MDRSN002</t>
  </si>
  <si>
    <t xml:space="preserve">CASH: Bilateral contribution via grant letter to Japanese Red Cross  for response activities: 1) $10M March 14, 2) $50M - April 1; 3) $40M - April 11; 4) $30M - April 29; 5) $30M - May 12; 6) $46 M - June 10; 7) $35M - July 11;  Additional cash grants to </t>
  </si>
  <si>
    <t>2869 Total</t>
  </si>
  <si>
    <t>2881 Total</t>
  </si>
  <si>
    <t>CASH: $100,000 to ICRC earmarked for Tunisia from AP2010; PMN for $162,270 earmarked for locally procured supplies by AP2869/ARCT; $50,000 PMN from AP 2799 earmarked for Syria for local procurement of food and NFIs. SUPPLIES:1500 tarps from Dubai warehous</t>
  </si>
  <si>
    <t>ARCT/ 2869; AP 2010, Middle East R&amp;D – revenue;  2099, IRF – 100k to ICRC (replenished by 2010); 2799, RRF – FACT deployment expenses + PMN for Syria
 Total</t>
  </si>
  <si>
    <t>Haiti &amp; Dominican Republic Cholera Outbreak Total</t>
  </si>
  <si>
    <t>Bangladesh Floods Total</t>
  </si>
  <si>
    <t>CASH: $582,000 +$600,000 contribution to ICRC emergency appeal EA2011 for Somalia - $182,000 from ARCT/2831, $200,000 + $600,000 from 2836, and $200,000 from IRF/2099 per Sr VP. $1,000,000 contribution to Kenya appeal; $600,000 contribution to Ethiopia ap</t>
  </si>
  <si>
    <t>2831/2836/ 2099 Total</t>
  </si>
  <si>
    <t>Horn of Africa Drought Total</t>
  </si>
  <si>
    <t>DPR Korea (North Korea) Floods Total</t>
  </si>
  <si>
    <t>Pakistan Floods Total</t>
  </si>
  <si>
    <t>2012 Total</t>
  </si>
  <si>
    <t>Haiti/ Dominican  Republic</t>
  </si>
  <si>
    <t>Saint Vincent and the Grenadines</t>
  </si>
  <si>
    <t>Saint Lucia/ /</t>
  </si>
  <si>
    <t xml:space="preserve"> Barbados </t>
  </si>
  <si>
    <t xml:space="preserve">Staff on Loan to APDMU: Stacy deployed to provide HR support for monsoon and typhoon season and to assist with response and response preparedness activities. This was a generalist role supporting DM activities and operations coordination and support.
</t>
  </si>
  <si>
    <t>Dominica Storm</t>
  </si>
  <si>
    <t>St. Kitts &amp; Nevis Storm</t>
  </si>
  <si>
    <t>Antigua Storm</t>
  </si>
  <si>
    <t>St. Maartens Storm</t>
  </si>
  <si>
    <t>Venezuela Floods</t>
  </si>
  <si>
    <t>South Africa Floods</t>
  </si>
  <si>
    <t>Botswana Floods</t>
  </si>
  <si>
    <t>Zimbabwe Floods</t>
  </si>
  <si>
    <t>Madagascar Floods</t>
  </si>
  <si>
    <t>Indonesia Earthquake</t>
  </si>
  <si>
    <t>Belize Storm</t>
  </si>
  <si>
    <t>Israel Conflict</t>
  </si>
  <si>
    <t>Jordan Conflict</t>
  </si>
  <si>
    <t>Palestine Conflict</t>
  </si>
  <si>
    <t>Taiwan Transport</t>
  </si>
  <si>
    <t>Austria Miscellaneous</t>
  </si>
  <si>
    <t>Azerbaijan Earthquake</t>
  </si>
  <si>
    <t>Sri Lanka Storm</t>
  </si>
  <si>
    <t>South Africa Epidemic</t>
  </si>
  <si>
    <t>El Salvador Earthquake</t>
  </si>
  <si>
    <t>China Storm</t>
  </si>
  <si>
    <t>India Earthquake</t>
  </si>
  <si>
    <t>Malawi Floods</t>
  </si>
  <si>
    <t>Peru Floods</t>
  </si>
  <si>
    <t>Canada Transport</t>
  </si>
  <si>
    <t>Russian Fed. Floods</t>
  </si>
  <si>
    <t>Macedonia Conflict</t>
  </si>
  <si>
    <t>Bosnia Floods</t>
  </si>
  <si>
    <t>El Salvador Drought</t>
  </si>
  <si>
    <t>Honduras Drought</t>
  </si>
  <si>
    <t>2799/ 2699</t>
  </si>
  <si>
    <t>Rice Bags</t>
  </si>
  <si>
    <t>Date</t>
  </si>
  <si>
    <t>Name</t>
  </si>
  <si>
    <t>Nicaragua Drought</t>
  </si>
  <si>
    <t>Guatemala Drought</t>
  </si>
  <si>
    <t>Ecuador Volcano</t>
  </si>
  <si>
    <t>Afghanistan Conflict</t>
  </si>
  <si>
    <t>Pakistan Conflict</t>
  </si>
  <si>
    <t>Uzbekistan Conflict</t>
  </si>
  <si>
    <t>Iran Conflict</t>
  </si>
  <si>
    <t>Turkmenistan Conflict</t>
  </si>
  <si>
    <t>US Terrorism</t>
  </si>
  <si>
    <t>Mexico Transport</t>
  </si>
  <si>
    <t>Belize Meteorological</t>
  </si>
  <si>
    <t>Belize Transport</t>
  </si>
  <si>
    <t>Honduras Storm</t>
  </si>
  <si>
    <t>Nicaragua Storm</t>
  </si>
  <si>
    <t>Cuba Storm</t>
  </si>
  <si>
    <t>US Transport</t>
  </si>
  <si>
    <t>Cambodia Miscellaneous</t>
  </si>
  <si>
    <t>Albania Storm</t>
  </si>
  <si>
    <t>DR Congo Volcano</t>
  </si>
  <si>
    <t>Nigeria Industrial</t>
  </si>
  <si>
    <t>Afghanistan Earthquake</t>
  </si>
  <si>
    <t>Malawi Food Insecurity</t>
  </si>
  <si>
    <t>Nicaragua  Floods</t>
  </si>
  <si>
    <t>Syria Miscellaneous</t>
  </si>
  <si>
    <t>FS Micronesia Storm</t>
  </si>
  <si>
    <t>Peru Storm</t>
  </si>
  <si>
    <t>Bolivia Storm</t>
  </si>
  <si>
    <t>Germany Floods</t>
  </si>
  <si>
    <t>Czech Republic Floods</t>
  </si>
  <si>
    <t>Slovakia Floods</t>
  </si>
  <si>
    <t>Hungary Floods</t>
  </si>
  <si>
    <t>Austria Floods</t>
  </si>
  <si>
    <t>Paraguay Drought</t>
  </si>
  <si>
    <t>South Korea Storm</t>
  </si>
  <si>
    <t>Indonesia Terrorism</t>
  </si>
  <si>
    <t>Australia Terrorism</t>
  </si>
  <si>
    <t>Vietnam Miscellaneous</t>
  </si>
  <si>
    <t>Lesotho Food Insecurity</t>
  </si>
  <si>
    <t>Kenya Epidemic</t>
  </si>
  <si>
    <t>Solomon Islands Storm</t>
  </si>
  <si>
    <t>South Korea Transport</t>
  </si>
  <si>
    <t>Syria Conflict</t>
  </si>
  <si>
    <t>Turkey Conflict</t>
  </si>
  <si>
    <t>Argentina Floods</t>
  </si>
  <si>
    <t>China Epidemic</t>
  </si>
  <si>
    <t>Hong Kong Epidemic</t>
  </si>
  <si>
    <t>Sri Lanka Floods</t>
  </si>
  <si>
    <t>Canada Wildfire</t>
  </si>
  <si>
    <t>Dominican Republic Earthquake</t>
  </si>
  <si>
    <t>Algeria Earthquake</t>
  </si>
  <si>
    <t>Liberia Conflict</t>
  </si>
  <si>
    <t>Dominican Republic Floods</t>
  </si>
  <si>
    <t>Iran Earthquake</t>
  </si>
  <si>
    <t>Panama Earthquake</t>
  </si>
  <si>
    <t>North Korea Transport</t>
  </si>
  <si>
    <t>Malawi Epidemic</t>
  </si>
  <si>
    <t>Jamaica Conflict</t>
  </si>
  <si>
    <t>2897/2771/2769</t>
  </si>
  <si>
    <t>East Africa</t>
  </si>
  <si>
    <t>Relief on Fed Assessment Team</t>
  </si>
  <si>
    <t xml:space="preserve">DM Delegate </t>
  </si>
  <si>
    <t xml:space="preserve">Greg </t>
  </si>
  <si>
    <t>Interim DM Delegate</t>
  </si>
  <si>
    <t xml:space="preserve">Guillermo </t>
  </si>
  <si>
    <t>Funds provided through Citigroup's ADGP; Federation Appeal for $934,598 / 125,000 beneficiaries / 3 months</t>
  </si>
  <si>
    <t>$10,000 donation from Citigroup for forest fires in British Columbia (Citigroup $ kept in 2099 per a prior agreement)</t>
  </si>
  <si>
    <t>Dominican Republic</t>
  </si>
  <si>
    <t>Puerto Plata</t>
  </si>
  <si>
    <t>$25,000 from Verizon (AP is shared with November 2003 floods in Cibao / Montecristi)</t>
  </si>
  <si>
    <t>Algeria</t>
  </si>
  <si>
    <t>Liberia</t>
  </si>
  <si>
    <t>AFAC is a partnership with the White House.  Final report issued in August 2006.</t>
  </si>
  <si>
    <t>Funds from Region's budget previously sent to Geneva re-allocated  - signed PMN returned to IDRU in October 2003</t>
  </si>
  <si>
    <t>Hurricane Kenna funds ($11,636.16 minus 11.15%); Christine Strater and Nate Cooper deployed 5 October 2003</t>
  </si>
  <si>
    <t>Maemi</t>
  </si>
  <si>
    <t>Alcoa funds for re-stocking KNRC warehouse</t>
  </si>
  <si>
    <t>Cibao / Montecristi</t>
  </si>
  <si>
    <t xml:space="preserve">Transferred directly to DRCS for household items, supplementary food to 100 families, tents &amp; hygiene kits. </t>
  </si>
  <si>
    <t>St. Kitts &amp; Nevis</t>
  </si>
  <si>
    <t xml:space="preserve">Transferred directly to SKNRC for hygiene kits, food packages and bedding </t>
  </si>
  <si>
    <t>Antigua</t>
  </si>
  <si>
    <t xml:space="preserve">$15,000 for mattresses, first aid supplies, and roofing .     </t>
  </si>
  <si>
    <t>Grenada</t>
  </si>
  <si>
    <t>St. Maartens</t>
  </si>
  <si>
    <t>Venezuela</t>
  </si>
  <si>
    <t>South Africa</t>
  </si>
  <si>
    <t>Federation handled funds ($70,000 total)</t>
  </si>
  <si>
    <t>Botswana</t>
  </si>
  <si>
    <t>Zimbabwe</t>
  </si>
  <si>
    <t>Mozambique</t>
  </si>
  <si>
    <t>Madagascar</t>
  </si>
  <si>
    <t>Indonesia</t>
  </si>
  <si>
    <t>625 family kits</t>
  </si>
  <si>
    <t>5,000 relief/food parcels and 5 trucks</t>
  </si>
  <si>
    <t>via Japanese Red Cross for relief supplies</t>
  </si>
  <si>
    <t>TS Wukong</t>
  </si>
  <si>
    <t>OFDA</t>
  </si>
  <si>
    <t xml:space="preserve">As of June 30 2010: CASH &amp; SUPPLIES: See detailed donor report, mob table, etc. for specific amounts to Federation, amount spent, etc. Raised: $468 million. PEOPLE: 65+ deployed to Haiti, DR and PADRU: Relief and IT/Telecoms ERU deployed, and various delegates to Fed and ARC delegation in Haiti, to Fed at PADRU, to Fed logistics in Santo Domingo, DR, plus NHQ to backfill. See the Deployments History tab in this spreadsheet or the RAPs for list of all personnel deploying and roles. </t>
  </si>
  <si>
    <t>Amanda West</t>
  </si>
  <si>
    <t>China/
Mongolia</t>
  </si>
  <si>
    <t>Staff on loan working with Federation Zone on PMER in China and Mongolia</t>
  </si>
  <si>
    <t>China EQ AP</t>
  </si>
  <si>
    <t>CASH: PMN $100k to IFRC from 2799 - 75% operational needs, 25% support costs.</t>
  </si>
  <si>
    <t>2799/2697</t>
  </si>
  <si>
    <t>CASH: PMN $100,000 for Fed Appeal</t>
  </si>
  <si>
    <t>CASH: PMN $50,000 unearmarked to Fed</t>
  </si>
  <si>
    <t>CASH: $100,000 Pledge Letter to ICRC</t>
  </si>
  <si>
    <t>CASH: $44,280 PMN unearmarked, Boeing donation</t>
  </si>
  <si>
    <t>CASH: $50,000 Pledge Letter to ICRC</t>
  </si>
  <si>
    <t>2032/2799/2869</t>
  </si>
  <si>
    <t>Boat Crash</t>
  </si>
  <si>
    <t>Beneficiaries calculated at 5 family members per each 27 families assisted.</t>
  </si>
  <si>
    <t>Tropical Storm</t>
  </si>
  <si>
    <t>Michelle</t>
  </si>
  <si>
    <t xml:space="preserve">$10,000 from Nicaragua delegation for procurement of relief supplies.  $50,000 from OFDA for Honduras. (The 1,000 families assisted were in Honduras through the Emergency Food Rations) </t>
  </si>
  <si>
    <t>Cuba</t>
  </si>
  <si>
    <t>Jamaica</t>
  </si>
  <si>
    <t>AA #587</t>
  </si>
  <si>
    <t>Crash of AA 587 to D.R.  Beneficiaries calculated at 5 family members per each 260 families assisted.</t>
  </si>
  <si>
    <t>Fire</t>
  </si>
  <si>
    <t>Albania</t>
  </si>
  <si>
    <t>Beneficiaries calculated at 5 family members per the 4,000 families assisted.</t>
  </si>
  <si>
    <t>DR Congo</t>
  </si>
  <si>
    <t>3 NEHK (approx. value $20,000 incl. transport) = 30,000 people for 3 months.</t>
  </si>
  <si>
    <t>Nigeria</t>
  </si>
  <si>
    <t>Munitions Explosion</t>
  </si>
  <si>
    <t>Pakistan Monsoon Floods</t>
  </si>
  <si>
    <t>Kyrgyzstan-Uzbekistan Population Movement</t>
  </si>
  <si>
    <t>$20,000 Citicorp donation; $1,612.23 PMN sent to Federation 22 August 03</t>
  </si>
  <si>
    <t>Second Installment for ICU sent in Nov 2002</t>
  </si>
  <si>
    <t>Panama</t>
  </si>
  <si>
    <t>Kenya</t>
  </si>
  <si>
    <t>Food Crisis</t>
  </si>
  <si>
    <t>supervised dist. of $50,000 of supplies given to NRC by USAID</t>
  </si>
  <si>
    <t>Syria</t>
  </si>
  <si>
    <t>Federation appeal15/2002 - Zeyzoun Dam Collapse</t>
  </si>
  <si>
    <t>Federation appeal 16/2002; $75,000 from Region</t>
  </si>
  <si>
    <t>India Floods Total</t>
  </si>
  <si>
    <t>Tajikistan Mudslides and Floods Total</t>
  </si>
  <si>
    <t>Syria Drought Total</t>
  </si>
  <si>
    <t>Mexico Hurricane Jimena Total</t>
  </si>
  <si>
    <t>Java Indonesia Earthquake Total</t>
  </si>
  <si>
    <t>West Sumatra Indonesia Earthquake Total</t>
  </si>
  <si>
    <t>West &amp; Central Africa Floods - Senegal Total</t>
  </si>
  <si>
    <t>West &amp; Central Africa Floods - Burkina Faso Total</t>
  </si>
  <si>
    <t>Southeast Asia Typhoons - Philippines Total</t>
  </si>
  <si>
    <t>Southeast Asia Typhoons - Vietnam Total</t>
  </si>
  <si>
    <t>Samoa Islands Tsunami Total</t>
  </si>
  <si>
    <t>Kenya Drought Total</t>
  </si>
  <si>
    <t>$100,000 from Phillip Morris (AP 2099) in October 2002</t>
  </si>
  <si>
    <t>Nepal Diarrhea Outbreak</t>
  </si>
  <si>
    <t>FS Micronesia</t>
  </si>
  <si>
    <t>Typhoon</t>
  </si>
  <si>
    <t>Chata'an</t>
  </si>
  <si>
    <t>Replenished Supplies sent from ARC/Saipan</t>
  </si>
  <si>
    <t>DREF Replenishment</t>
  </si>
  <si>
    <t>CASH: $50,000 to Italian Red Cross from RRF 2799 - later repaid by 2697 when raised; Receiving donor funds to AP 2697 from public and chapters. Additional $522,180 from donor funds sent 5/29/09. Final amount in Aug. 2009</t>
  </si>
  <si>
    <t>CASH: 50k to KRCS  from 2799 and 50k to ICRC from 2002; CASH from 2099: 200k to ICRC</t>
  </si>
  <si>
    <t>ICRC Relief Delegate: Gina recently served with the International Committee of the Red Cross (ICRC) in northern Sri Lanka. She worked in the Internally Displaced Persons camps distributing relief items.  Gina works for the American Red Cross with the Tsunami Recovery Program in Sri Lanka.</t>
  </si>
  <si>
    <t>H1N1 Flu Outbreak</t>
  </si>
  <si>
    <t>Haiti Cholera Outbreak</t>
  </si>
  <si>
    <t xml:space="preserve">Support N1H1 Pandemic preparedness/monitoring: Cristina provided technical surge capacity and supported information management during the H1N1 Flu Outbreak under the direction of ISD’s Senior Pandemic Advisor. 
</t>
  </si>
  <si>
    <t>10 generators, tents &amp; cooking sets. Delegate from Armenia deployed</t>
  </si>
  <si>
    <t>Sri Lanka</t>
  </si>
  <si>
    <t>Bedsheets and kitchen sets</t>
  </si>
  <si>
    <t>Epidemic</t>
  </si>
  <si>
    <t>Federation Appeal 32/00</t>
  </si>
  <si>
    <t>El Salvador</t>
  </si>
  <si>
    <t>Cash sent to ARC Delegation in region. Supplies from Regional Warehouses.   Total expenditures as of February 2001, post 2.01 expenditures were rolled into the second El Salvador earthquake.</t>
  </si>
  <si>
    <t>Winter Emergency</t>
  </si>
  <si>
    <t>FL-2010-00141-PAK</t>
  </si>
  <si>
    <t>2099/2897</t>
  </si>
  <si>
    <t>fund to purchase food (wheat), winter clothes and cotton quilts</t>
  </si>
  <si>
    <t>ARC also served an additional 190,185 beneficiaries by  distributing inputs from other NS.  Total expenditures as of May 2001.</t>
  </si>
  <si>
    <t>Tropical Storm Agatha</t>
  </si>
  <si>
    <t>To Purchase Warm cloths, footwear, blankets sheets and left over for food. Total expenditures for both earthquakes in El Salvador through May 2001.</t>
  </si>
  <si>
    <t>Fed Appeal 10/2001;  Includes regional supply purchase; one delegate.  Total expenditure also includes Malawi expense.</t>
  </si>
  <si>
    <t>Malawi</t>
  </si>
  <si>
    <t>Fed Appeal 9/2001;  49,000 from CCC seeds, tools and water supply.  See Mozambique Total Expenditure (they are combined.)</t>
  </si>
  <si>
    <t>Bolivia</t>
  </si>
  <si>
    <t>Fed Appeal 5/2001</t>
  </si>
  <si>
    <t>Peru</t>
  </si>
  <si>
    <t>Canada</t>
  </si>
  <si>
    <t>Macedonia</t>
  </si>
  <si>
    <t>10,000 family  packets (Currently only 2,300) a family is 4 persons</t>
  </si>
  <si>
    <t>Bosnia</t>
  </si>
  <si>
    <t>Honduras</t>
  </si>
  <si>
    <t>Guatemala</t>
  </si>
  <si>
    <t>Ecuador</t>
  </si>
  <si>
    <t>FL-2009-000052-COL</t>
  </si>
  <si>
    <t>MDRCO006</t>
  </si>
  <si>
    <t>SUPPLIES: 8,000 ARC Jerry Cans from stock at PADRU shipped to IFRC in Colombia.</t>
  </si>
  <si>
    <t xml:space="preserve">$10,000 from IDRU in addition to $10,000 from the Americas Region to the Ecuador Red Cross for the Tungurahua Volcano Ash Fall </t>
  </si>
  <si>
    <t>Afghanistan</t>
  </si>
  <si>
    <t>Pakistan</t>
  </si>
  <si>
    <t>Uzbekistan</t>
  </si>
  <si>
    <t>Iran</t>
  </si>
  <si>
    <t>Turkmenistan</t>
  </si>
  <si>
    <t>US</t>
  </si>
  <si>
    <t>Terrorism</t>
  </si>
  <si>
    <t>The $3,084,914.31 distributed was to international families of victims of the terrorist attacks.   Beneficiaries: 6 members per each family assisted.</t>
  </si>
  <si>
    <t>Financial contribution made to memorial; beneficiaries: 5 members per each family assisted.</t>
  </si>
  <si>
    <t>Juliette</t>
  </si>
  <si>
    <t>Financial contribution designated for relief supplies.  Beneficiaries: 5 members per each family assisted.</t>
  </si>
  <si>
    <t>Iris</t>
  </si>
  <si>
    <t>$20,000 for hygiene kits; $19,000 given to Guatemala ARC delegation for hygiene kits and $50,000 in relief supplies to BRC.</t>
  </si>
  <si>
    <t>CASH: $50k to IFRC from 2799 earmarked for relief supplies</t>
  </si>
  <si>
    <t>Vietnam: CASH: Cash: $450,000 total:  $50,000 PMN Oct. 2 + $300,000 PMN Oct. 5 to Federation Vietnam Appeal - earmarked for shelter, NFIs and Wat/San + $100,000 PMN to Vietnam Appeal for DRR (plus cost recovery). OFDA grant for $500,000 for cash programming; PEOPLE: Michael Zeleke delegate to Vietnam to work on cash programming.</t>
  </si>
  <si>
    <t>Philippines: SUPPLIES: approx $118,000 in relief supplies from KL warehouse. CASH: $550,000 = $250,000 PMN to Philippines Appeal for early recovery (plus cost recovery) +$300,000 PMN to Philippines appeal for shelter, relief and watsan (plus cost recovery); plus OFDA grant for $500,000 for locally procured NFIs l w/ARC mgmt through Philippines RC (counted as cash to Ntl Soc). PEOPLE: 1) Mariza Rogers deployed as shelter coordinator delegate for one month - started Oct. 5.  2) Cristina Hammond deployed to implement OFDA NFI distribution Oct. 16 for one month</t>
  </si>
  <si>
    <t>CASH: $50,000 from ARCT for Overlooked Disasters Fund (plus cost recovery to be covered from RRF 2799)</t>
  </si>
  <si>
    <t>CASH: $11,500 (plus cost recovery) to IFRC Appeal from 2799</t>
  </si>
  <si>
    <t>1 Total</t>
  </si>
  <si>
    <t>2 Total</t>
  </si>
  <si>
    <t>4 Total</t>
  </si>
  <si>
    <t>5 Total</t>
  </si>
  <si>
    <t>6 Total</t>
  </si>
  <si>
    <t>7 Total</t>
  </si>
  <si>
    <t>8 Total</t>
  </si>
  <si>
    <t>9 Total</t>
  </si>
  <si>
    <t>10 Total</t>
  </si>
  <si>
    <t>11 Total</t>
  </si>
  <si>
    <t>12 Total</t>
  </si>
  <si>
    <t>13 Total</t>
  </si>
  <si>
    <t>14 Total</t>
  </si>
  <si>
    <t>15 Total</t>
  </si>
  <si>
    <t>16 Total</t>
  </si>
  <si>
    <t>17 Total</t>
  </si>
  <si>
    <t>18 Total</t>
  </si>
  <si>
    <t>19 Total</t>
  </si>
  <si>
    <t>20 Total</t>
  </si>
  <si>
    <t>21 Total</t>
  </si>
  <si>
    <t>22 Total</t>
  </si>
  <si>
    <t>23 Total</t>
  </si>
  <si>
    <t>24 Total</t>
  </si>
  <si>
    <t>25 Total</t>
  </si>
  <si>
    <t>26 Total</t>
  </si>
  <si>
    <t>27 Total</t>
  </si>
  <si>
    <t>28 Total</t>
  </si>
  <si>
    <t>29 Total</t>
  </si>
  <si>
    <t>30 Total</t>
  </si>
  <si>
    <t>31 Total</t>
  </si>
  <si>
    <t>32 Total</t>
  </si>
  <si>
    <t>33 Total</t>
  </si>
  <si>
    <t>total beneficiaries:</t>
  </si>
  <si>
    <t>Count of Disaster Name</t>
  </si>
  <si>
    <t>Belize Hurricane Richard Total</t>
  </si>
  <si>
    <t>Bolivia Floods Total</t>
  </si>
  <si>
    <t>Caribbean Hurricane Tomas Total</t>
  </si>
  <si>
    <t>Colombian Floods Total</t>
  </si>
  <si>
    <t>Costa Rica Floods Total</t>
  </si>
  <si>
    <t>Indonesia Tsunami &amp; Volcanic Eruption Total</t>
  </si>
  <si>
    <t>Japan Earthquake &amp; Tsunami Total</t>
  </si>
  <si>
    <t>Mexico Floods Total</t>
  </si>
  <si>
    <t>Namibia Floods Total</t>
  </si>
  <si>
    <t>New Zealand Earthquake Total</t>
  </si>
  <si>
    <t>Pakistan Monsoon Floods Total</t>
  </si>
  <si>
    <t>Panama Floods Total</t>
  </si>
  <si>
    <t>Paraguay Dengue Epidemic Total</t>
  </si>
  <si>
    <t>Philippines Typhoon Megi Total</t>
  </si>
  <si>
    <t>Vietnam Floods Total</t>
  </si>
  <si>
    <t>West African Population Movement Total</t>
  </si>
  <si>
    <t>2799 Total</t>
  </si>
  <si>
    <t>2869/ARCT &amp; and 2025 Total</t>
  </si>
  <si>
    <t>CASH: $75,000 PMN to Federation Appeal from 2799 earmarked for relief. $70,000 PMN to Federation appeal earmarked for relief supplies for St. Lucia (see RAP). PEOPLE: Six bilateral staff from ARC Haiti office deployed on Federation Emergency Response Team</t>
  </si>
  <si>
    <t>2799 /2025 Total</t>
  </si>
  <si>
    <t>2760 OFDA  Total</t>
  </si>
  <si>
    <t>Spent figure directly from HAP as of May 2011. ARC committed to spend $14 million on Cholera. See HAP for additional details.
CASH: $566,133 PMN to Federation Appeal: $537,500 earmarked for Haiti AP2888; $28,634 earmarked for Dominican Republic from AP288</t>
  </si>
  <si>
    <t>2888 Total</t>
  </si>
  <si>
    <t>2687/2841 Total</t>
  </si>
  <si>
    <t>CASH: $100,000 PMN to Federation Appeal from AP2799/RRF - not to be replenished; $3,000,000 ($3M) PMN to Federation Appeal from AP2699 earmarked for relief &amp; emergency shelter;  $300,000 PMN to Federation Appeal from AP 2699 earmarked for relief &amp; emergen</t>
  </si>
  <si>
    <t>2799/ 2699 Total</t>
  </si>
  <si>
    <t>2025 Total</t>
  </si>
  <si>
    <t>2032 Total</t>
  </si>
  <si>
    <t xml:space="preserve">- All data for every known ARC international disaster response is stored under the Disaster Data tab. The full instructions for each field are above.
- This is the master ARC tracking for a - and simply is a running numerical sequence dating back from June 1999, when the IROC was started.  
This number should be the same as the number in the Disaster Folders on G drive.
At the top of the MRL are additional disasters added to the list after 1995 but predate it. These are responses for which there is more patchy information. </t>
  </si>
  <si>
    <t>- After the start of each disaster response, fill in the fields information as it becomes available, starting with Glide, ARC #, name and date
- After a few RAPs for that disaster, update the information again
- Every quarter, before doing PEAF/SIP quarterly updates, be sure that all the disasters from that quarter are up to date with information 
- Every quarter, do a backup of this sheet by making a copy and putting into 'Backup copies' folder where MRL is stored.</t>
  </si>
  <si>
    <t>$10,000 from Alcoa for winter clothing in donor-specified province; $110,000 from CISCO &amp; Lucent for DPP training.</t>
  </si>
  <si>
    <t>Italy</t>
  </si>
  <si>
    <t>Verizon Pass through</t>
  </si>
  <si>
    <t>N</t>
  </si>
  <si>
    <t>Kyrgyzstan</t>
  </si>
  <si>
    <t>ARC People Deployed</t>
  </si>
  <si>
    <t>Total ARC Items Supplied</t>
  </si>
  <si>
    <t>Exxon/Mobil provided  $30,000 for Indonesia (to be programmed by AusCross); Citigroup provided $10,000 (2099), G.E provided $5,000 (2898) and Assoc. of Chartered Accountants provided $1,670</t>
  </si>
  <si>
    <t>Australia</t>
  </si>
  <si>
    <t>count:</t>
  </si>
  <si>
    <t xml:space="preserve">Average per year: </t>
  </si>
  <si>
    <t>Max of Total Contributions</t>
  </si>
  <si>
    <t>Emily Hall</t>
  </si>
  <si>
    <t>Personnel Support for IROC</t>
  </si>
  <si>
    <t>PEOPLE: T. Reines, relief del on Fed assessment team x3 wks (entire Horn of Africa); CASH: Intially $500,000 was approved but issues related to the programming and the appeal kept these funds from being disbursed to IFRC appeal. Eventually appeal was cancelled. Instead, ARC provided the resources to a British Red Cross led effort in Djibouti around livelihoods that was consistent with the appeal and recognized by the Federation as such.</t>
  </si>
  <si>
    <r>
      <t xml:space="preserve">Spent figure directly from HAP as of May 2011. ARC committed to spend $14 million on Cholera. See HAP for additional details.
CASH: $566,133 PMN to Federation Appeal: $537,500 earmarked for Haiti AP2888; $28,634 earmarked for Dominican Republic from AP2884; $1.6 million PMN for relief supplies; Funding transportation/flights of supplies for Partners in Health etc. Funding supplies, etc.
SUPPLIES:Hygiene promotion, soap, oral rehydration salts, water tablets and chlorine for water purification, 5,000 Cots for medical facilities, Transport of medical supplies, vehicle for Haitian Red Cross. 
PEOPLE: 6 ARC Haiti staff deployed for Red Cross Emergency Response Teams for Cholera outbreak in northern Haiti. 
</t>
    </r>
    <r>
      <rPr>
        <i/>
        <sz val="13"/>
        <rFont val="Calibri"/>
        <family val="2"/>
      </rPr>
      <t>See latest response report and RAP for full details of items provided</t>
    </r>
    <r>
      <rPr>
        <sz val="13"/>
        <rFont val="Calibri"/>
        <family val="2"/>
      </rPr>
      <t xml:space="preserve">. </t>
    </r>
  </si>
  <si>
    <t>Various Fiscal Year Analyses:</t>
  </si>
  <si>
    <t>FL-2006-000159-KEN</t>
  </si>
  <si>
    <t>Count of Country</t>
  </si>
  <si>
    <t>(Multiple Items)</t>
  </si>
  <si>
    <t>non Haiti</t>
  </si>
  <si>
    <t>MDRVN001</t>
  </si>
  <si>
    <t>Vietnam Typhoons</t>
  </si>
  <si>
    <t>TC-2006-000144-VNM; TC-2006-000175-VNM</t>
  </si>
  <si>
    <t>MDRPH002</t>
  </si>
  <si>
    <t>Philippines Typhoons</t>
  </si>
  <si>
    <t>TC-2006-000175-PHL</t>
  </si>
  <si>
    <t>MDRSD002</t>
  </si>
  <si>
    <t>FL-2006-000123-SDN</t>
  </si>
  <si>
    <t>MDRET003</t>
  </si>
  <si>
    <t>FL-2006-000122-ETH</t>
  </si>
  <si>
    <t>MDREC002</t>
  </si>
  <si>
    <t>VO-2006-</t>
  </si>
  <si>
    <t>Ecuador Volanic Eruption</t>
  </si>
  <si>
    <t>MDRCN001</t>
  </si>
  <si>
    <t>MDRRO001</t>
  </si>
  <si>
    <t>MDRID001</t>
  </si>
  <si>
    <t>Indonesia Yogyakarta Earthquake</t>
  </si>
  <si>
    <t>EQ-2006-000064-IDN</t>
  </si>
  <si>
    <t>MDRET001</t>
  </si>
  <si>
    <t>Angola Cholera Epidemic</t>
  </si>
  <si>
    <t>MDRPH001</t>
  </si>
  <si>
    <t>Philippines Mudslides</t>
  </si>
  <si>
    <t>MS-2006-000179-PHL</t>
  </si>
  <si>
    <t>MDRTP001</t>
  </si>
  <si>
    <t>-2006-000022-TMP</t>
  </si>
  <si>
    <t>$400K &amp; $100K PMN contribution to support Federation's appeal relief operations in Zambia.</t>
  </si>
  <si>
    <t>Eastern Africa Drought</t>
  </si>
  <si>
    <t>MDRKE001</t>
  </si>
  <si>
    <t>Vietnam Typhoon Damrey</t>
  </si>
  <si>
    <t>05EA019</t>
  </si>
  <si>
    <t>Ethiopia Drought</t>
  </si>
  <si>
    <t>China Floods</t>
  </si>
  <si>
    <t>Grenada Storm</t>
  </si>
  <si>
    <t>Bolivia Floods</t>
  </si>
  <si>
    <t>Mozambique Floods</t>
  </si>
  <si>
    <t>Jamaica Storm</t>
  </si>
  <si>
    <t>Kenya Floods</t>
  </si>
  <si>
    <t>Mexico Storm</t>
  </si>
  <si>
    <t>Panama Floods</t>
  </si>
  <si>
    <t>Romania Floods</t>
  </si>
  <si>
    <t>Haiti Floods</t>
  </si>
  <si>
    <t>Canada Floods</t>
  </si>
  <si>
    <t>Cayman Islands Storm</t>
  </si>
  <si>
    <t>Chad Conflict</t>
  </si>
  <si>
    <t>Guyana Floods</t>
  </si>
  <si>
    <t>Indonesia Tsunami</t>
  </si>
  <si>
    <t>Maldives Tsunami</t>
  </si>
  <si>
    <t>East Africa  in Nairobi for  Uganda, Rwanda Burundi Nairobi Pop Mvt</t>
  </si>
  <si>
    <t>FY08</t>
  </si>
  <si>
    <t>Bilateral Operations Support</t>
  </si>
  <si>
    <t>Eileen Kurtz</t>
  </si>
  <si>
    <t>Bilateral Human Resources Support</t>
  </si>
  <si>
    <t>Relief ERU deployed: McAndrew (TL), Stephenson, Stops, Parry, Strater &amp; Swadzka.  $200,000 PMN sent to Federation; Commodities provide: 10,000 towels and 20,000 nail clippers</t>
  </si>
  <si>
    <t>Grant from Reuters / AlertNet</t>
  </si>
  <si>
    <t>Supplies to Panama RC</t>
  </si>
  <si>
    <t>Nate Cooper deployed to DR with PADRU; stocks deployed ($74,526.50) from PADRU includes 2,430 school kits; $89,000 worth of generators</t>
  </si>
  <si>
    <t>ex London</t>
  </si>
  <si>
    <t>PADRU stocks</t>
  </si>
  <si>
    <t>PMN - March 05; N. Cooper deployed to Grenada and Bahamas w/ PADRU; T. Reines deployed to Grenada.  5 Tents @ $299 each; Jerry Cans @ $1.99 each</t>
  </si>
  <si>
    <t>PMN - March 05; M. Parry deployed with FACT; Jerry Cans @ $1.99 each, blankets @ $3.03 each, 407 flashlights @ $1.20 each,  tarpaulins @ $12.50 each</t>
  </si>
  <si>
    <t>India Floods</t>
  </si>
  <si>
    <t>FL-2009-000217-IND</t>
  </si>
  <si>
    <t>NS</t>
  </si>
  <si>
    <t>2003/2695</t>
  </si>
  <si>
    <t>Coordinate OFDA grant funded NFI distributions with PNRC</t>
  </si>
  <si>
    <t>Typhoons</t>
  </si>
  <si>
    <t>Mariza Rogers</t>
  </si>
  <si>
    <t>Shelter Cluster Coordinator Delegate deployed to Philippines</t>
  </si>
  <si>
    <t>Michael Zeleke</t>
  </si>
  <si>
    <t>PEOPLE: 3 ERU team members deployed jointly with DanishRC for 1 month: Steve McAndrew – ERU Team leader, Shinko Mondori- ERU team member, Luis Matnog- ERU team member . ERUs are part of Appeal Mob table so we can claim multilateral beneficiaries.</t>
  </si>
  <si>
    <t>ARCT Funds used</t>
  </si>
  <si>
    <t>TS-2009-000211-IDN</t>
  </si>
  <si>
    <t>Christy Ferguson</t>
  </si>
  <si>
    <t>Carribean Hurricane Season 2008 -  Jamaica</t>
  </si>
  <si>
    <t>Carribean Hurricane Season 2008 - Bahamas</t>
  </si>
  <si>
    <t>Gaza Conflict - Israel</t>
  </si>
  <si>
    <t>Gaza Conflict - Palestine</t>
  </si>
  <si>
    <t>PMN - March 05; tents @ $299 each; Jerrry Cans @$1.99 each; 1,000 flashlights @ $1.20 each; Hygiene Kits @ $3.54 loaned to British Red Cross</t>
  </si>
  <si>
    <t>Brigitte Gallis deployed; tarpaulins @ $12.50 each; PMN 400K out of AP 2024 Jan 05</t>
  </si>
  <si>
    <t>from PADRU @ $3.54 each</t>
  </si>
  <si>
    <t>Ex PADRU</t>
  </si>
  <si>
    <t>Buckets</t>
  </si>
  <si>
    <t>[rollup]</t>
  </si>
  <si>
    <t>Sum of Total ARC Items Supplied</t>
  </si>
  <si>
    <t>ARC support to the Mvmt in FY 2010</t>
  </si>
  <si>
    <t>Excluding Haiti</t>
  </si>
  <si>
    <t xml:space="preserve">Total </t>
  </si>
  <si>
    <t xml:space="preserve">$XX to the International Federation’s emergency appeals </t>
  </si>
  <si>
    <t xml:space="preserve">$XX in bilateral financial assistance </t>
  </si>
  <si>
    <t xml:space="preserve">Personnel deployed for disasters </t>
  </si>
  <si>
    <t>Relief items</t>
  </si>
  <si>
    <t>$3.54 each + 6,200 (transport) = $14,596.88  plus shipping and handling</t>
  </si>
  <si>
    <t>tents to the CRC - cost of shipping charged to 2099.</t>
  </si>
  <si>
    <t>Mosquito Nets</t>
  </si>
  <si>
    <t>Nets @ $3.69 each + $10,000 (transport) = $46,900</t>
  </si>
  <si>
    <t>PSR</t>
  </si>
  <si>
    <t>CASH:  1st PMN ($100k unearmarked from AP 2099), 2nd PMN ($100k earmarked to tsunami affected areas from AP 2546), 3rd PMN ($300k earmarked for shelter and wat/san from OFDA), 4th PMN ($583k earmarked for shelter and wat/san from OFDA); SUPPLIES: + PSR; PEOPLE: Nek Alam (wat/san); S Wiseman (wat/san), L Malany (shelter)</t>
  </si>
  <si>
    <t>Koshi River Embankment Breach</t>
  </si>
  <si>
    <t>Country</t>
  </si>
  <si>
    <t>Month of Response</t>
  </si>
  <si>
    <t>AP Code</t>
  </si>
  <si>
    <t>Total</t>
  </si>
  <si>
    <t>Comments</t>
  </si>
  <si>
    <t>Ethiopia</t>
  </si>
  <si>
    <t>Drought</t>
  </si>
  <si>
    <t>Region response</t>
  </si>
  <si>
    <t>Mexico</t>
  </si>
  <si>
    <t>Floods</t>
  </si>
  <si>
    <t>Costa Rica</t>
  </si>
  <si>
    <t>China</t>
  </si>
  <si>
    <t>committed</t>
  </si>
  <si>
    <t>expended as of Oct 1</t>
  </si>
  <si>
    <t>TRP in 2005</t>
  </si>
  <si>
    <t>Turkey</t>
  </si>
  <si>
    <t>Earthquake</t>
  </si>
  <si>
    <t>Total expenses combined with (#19, below)</t>
  </si>
  <si>
    <t>Nicaragua</t>
  </si>
  <si>
    <t>Volcano</t>
  </si>
  <si>
    <t>Gisla Dewey and Carol Schimke sent to assist and observe</t>
  </si>
  <si>
    <t>Cambodia</t>
  </si>
  <si>
    <t>Greece</t>
  </si>
  <si>
    <t>Bahamas</t>
  </si>
  <si>
    <t>Hurricane</t>
  </si>
  <si>
    <t>Floyd</t>
  </si>
  <si>
    <t>675 jerry cans from pre-positioned stocks</t>
  </si>
  <si>
    <t>Malaria</t>
  </si>
  <si>
    <t>Africa Region also donated $5,000 to KRC for a total of $10,000</t>
  </si>
  <si>
    <t>Solomon Islands</t>
  </si>
  <si>
    <t>Pre-positioned?</t>
  </si>
  <si>
    <t>mixed</t>
  </si>
  <si>
    <t>Zoe</t>
  </si>
  <si>
    <t xml:space="preserve">Relief FACT Team member </t>
  </si>
  <si>
    <t>Senegal</t>
  </si>
  <si>
    <t>Relief ERU Team Leader (AmCross lead joint ERU with Danish RC)</t>
  </si>
  <si>
    <t>Relief ERU Team Member (AmCross lead joint ERU with Danish RC)</t>
  </si>
  <si>
    <t>Steve McAndrew</t>
  </si>
  <si>
    <t>Shinko Mondori</t>
  </si>
  <si>
    <t>2695 /2692</t>
  </si>
  <si>
    <t>$50,000 PMN to Fed - unearmarked from 2099; $100,000  from 2666 - OFDA grant to Fed via PMN. Earmarked for 1500 food parcels, 1500 tool kits and remaining goes to transport costs.</t>
  </si>
  <si>
    <t>2099 / 2666</t>
  </si>
  <si>
    <t>2936 / 2799</t>
  </si>
  <si>
    <t>Logistics - Emergency Response Team Mbr</t>
  </si>
  <si>
    <t>Lisa McGuire</t>
  </si>
  <si>
    <t>Health - Emergency Response Team Mbr</t>
  </si>
  <si>
    <t>Franklin Vilsaint</t>
  </si>
  <si>
    <t>WatSan - Emergency Response Team Mbr</t>
  </si>
  <si>
    <t>Madushi Lansakara</t>
  </si>
  <si>
    <t>Information and Reporting - Seconded to Federation base camp operation</t>
  </si>
  <si>
    <t>Philippines Typhoon Megi</t>
  </si>
  <si>
    <t>TC-2010-000205-PHL</t>
  </si>
  <si>
    <t>Tsunami &amp; Volcanic Eruption</t>
  </si>
  <si>
    <t>MDRPH006</t>
  </si>
  <si>
    <t>CASH: $30,000 PMN to Federation Appeal from 2032 earmarked for relief distribution.</t>
  </si>
  <si>
    <t>MDRID006</t>
  </si>
  <si>
    <t>CASH: $50,000 PMN to Federation Appeal from 2799 earmarked for relief.</t>
  </si>
  <si>
    <t>MDR49006</t>
  </si>
  <si>
    <t>TC-2010-000216-BRB/LCA/VCT</t>
  </si>
  <si>
    <t xml:space="preserve">Saint Lucia/ Saint Vincent and the Grenadines/ Barbados </t>
  </si>
  <si>
    <t>MDRBZ002</t>
  </si>
  <si>
    <t>CASH: $80,000 bilateral contribution by grant letter to Belize Red Cross earmarked for emergency shelter. 
PEOPLE: Laura Havesi deployed for emergency shelter support and cash voucher program.</t>
  </si>
  <si>
    <t>CASH: PMN  from AP 2099 to Fed unearmarked; PMN from AP 2869 to Fed earmarked purchase/dist household kits;  $100,000 from ARCT for shelter to Federation</t>
  </si>
  <si>
    <t xml:space="preserve">ARCT/ 2869; AP 2010, Middle East R&amp;D – revenue;  2099, IRF – 100k to ICRC (replenished by 2010); 2799, RRF – FACT deployment expenses + PMN for Syria
</t>
  </si>
  <si>
    <t>Horn of Africa Drought</t>
  </si>
  <si>
    <t>DR-2011-000029-KEN</t>
  </si>
  <si>
    <t>Taiwan</t>
  </si>
  <si>
    <t>Money sent to Federation</t>
  </si>
  <si>
    <t>Japan</t>
  </si>
  <si>
    <t>Manuals related to Nuclear disasters sent to JRCS</t>
  </si>
  <si>
    <t xml:space="preserve">Floods </t>
  </si>
  <si>
    <t>Russian Fed.</t>
  </si>
  <si>
    <t>Conflict</t>
  </si>
  <si>
    <t>Chechnya</t>
  </si>
  <si>
    <t>Kevin Kelley sent.</t>
  </si>
  <si>
    <t>Bangladesh</t>
  </si>
  <si>
    <t>India</t>
  </si>
  <si>
    <t>Cyclone</t>
  </si>
  <si>
    <t>Federation handled funds</t>
  </si>
  <si>
    <t>Vietnam</t>
  </si>
  <si>
    <t>Reference Regional Desk information.</t>
  </si>
  <si>
    <t>Dominica</t>
  </si>
  <si>
    <t>Lenny</t>
  </si>
  <si>
    <t>Targeted Beneficiaries</t>
  </si>
  <si>
    <t>ARC Targeted Bens, incl if funds are earmrkd</t>
  </si>
  <si>
    <t># of Supplies</t>
  </si>
  <si>
    <t>RESPONSE IN FY 04</t>
  </si>
  <si>
    <t>Refugees from Iraq in Syria and Jordan</t>
  </si>
  <si>
    <t>Hydrological</t>
  </si>
  <si>
    <t>MDRUZ002</t>
  </si>
  <si>
    <t>MDRGT002</t>
  </si>
  <si>
    <t>MDRIN004</t>
  </si>
  <si>
    <t>Disaster Type</t>
  </si>
  <si>
    <t>Geophysical</t>
  </si>
  <si>
    <t>Climatological</t>
  </si>
  <si>
    <t>Biological</t>
  </si>
  <si>
    <t>Meterological</t>
  </si>
  <si>
    <t>Storm</t>
  </si>
  <si>
    <t>Flood</t>
  </si>
  <si>
    <t>Mass Movement Wet</t>
  </si>
  <si>
    <t>Wildfire</t>
  </si>
  <si>
    <t>Industrial</t>
  </si>
  <si>
    <t>Transport</t>
  </si>
  <si>
    <t>CASH: $100K PMN from AP 2885 earmarked for shelter kits from ARCT; PEOPLE: B. Gaillis (FACT TL), Relief ERU - C. Chaperon (TL), M. Marek, 2nd round - M. Marek (TL), J. Manley, G. Matthews, value at 50k to Fed;  OFDA grant for $500,000. SUPPLIES plus transport/PSR</t>
  </si>
  <si>
    <t>Relief items cost</t>
  </si>
  <si>
    <t>OFDA grant for $500,000 for NFIs</t>
  </si>
  <si>
    <t>FY09 Total</t>
  </si>
  <si>
    <t>FY10 Total</t>
  </si>
  <si>
    <t>Disaster Total</t>
  </si>
  <si>
    <t>Non Total</t>
  </si>
  <si>
    <t>FY11 Total</t>
  </si>
  <si>
    <t>Deployments Total</t>
  </si>
  <si>
    <t>The disaster name is the recognized name used by the Red Cross movement in situation reports and appeals. 
In asia, there tends to be multiple names for typhoons, an international name and a local name. Not sure why the local name isn't just used. 
In some cases, this field is populated with a automatic formula that takes the country name and the disaster type and puts them together in this field. This is because when Amanda started  work on the spreadsheet there was no disaster name field and created this to populate it.</t>
  </si>
  <si>
    <t>Date of response is the date of the first RAP for the response. 
Many times the response will span across several quarters, but we always 'anchor' the activity to the first quarter it was begun.</t>
  </si>
  <si>
    <t>The fiscal year of the date of response</t>
  </si>
  <si>
    <t>The calendar year of the date of response.</t>
  </si>
  <si>
    <t>A running numerical sequence of number of disaster during the calendar year.
Restart at 1 at beginning of calendar year.</t>
  </si>
  <si>
    <t>A running numerical sequence of number of disaster during the fiscal year.
Restart at 1 at beginning of fiscal year.</t>
  </si>
  <si>
    <t>List by ISD region: 
1) Asia/ Middle East/ Europe 
2) Latin America/ Carribean (LAC); or 
3) Africa.  
North America counts as LAC.</t>
  </si>
  <si>
    <t>Name of country. Use internationally recognized names.</t>
  </si>
  <si>
    <t>See  the 'Disaster Typology' tab in this spreadsheet for complete listing of disaster categories and sub types.
This field is usually hidden in the spreadsheet
Use this category when doing over view reports for IROC end of year, pie chart of major types of disasters for year.</t>
  </si>
  <si>
    <t xml:space="preserve">See  the 'Disaster Typology' tab in this spreadsheet for complete listing of disaster categories and sub types.
This field is usually displayed as the only disaster type descriptor in the spreadsheet - the others are hidden for ease of use.
</t>
  </si>
  <si>
    <t xml:space="preserve">See  the 'Disaster Typology' tab in this spreadsheet for complete listing of disaster categories and sub types.
This field is usually hidden in the spreadsheet
</t>
  </si>
  <si>
    <t>PMN Contribution to support Fed Appeal - Chad: Sudanese Refugees (from LDS)</t>
  </si>
  <si>
    <t>Sudan</t>
  </si>
  <si>
    <t>1. 2004 - L. Greenhalgh seconded to Fed, expenses $5400 2. 2006 - Pledge to ICRC Sudan Appeal, $242,000</t>
  </si>
  <si>
    <t>Country-wide</t>
  </si>
  <si>
    <t>PMN: $15,975 from Citigroup and $20,000 from AMEX</t>
  </si>
  <si>
    <t>Mindulle</t>
  </si>
  <si>
    <t>Pass through from Intel ($50,000), Synopsys Community Foundation ($10,000 - 11.15%) and San Gabriel Valley Chapter ($1,000 - 11.15%)</t>
  </si>
  <si>
    <t>Ivan</t>
  </si>
  <si>
    <t>Cayman Islands</t>
  </si>
  <si>
    <t xml:space="preserve">Bahamas </t>
  </si>
  <si>
    <t>PMN - Jan 05; C. Garrison, S. Schaefer deployed 1 month; N. Cooper deployed several times</t>
  </si>
  <si>
    <t>TS Jeanne</t>
  </si>
  <si>
    <t>Darien</t>
  </si>
  <si>
    <t>Pakistan Internally Displaced Persons Crisis</t>
  </si>
  <si>
    <t>Tsunami</t>
  </si>
  <si>
    <t>S &amp; E Provinces</t>
  </si>
  <si>
    <t>Parry, Ragan, Courville, Matthews, Caivano, Blake, Garrison, Szwadzka, Hurd, Chinn, Gaver, Brien, Reines, Thornton, Cummings, deployed with Relief ERU. Stephenson and Cooper deployed with British RC; Hagos deployed for 2 weeks in Feb 2005; L. Wilkinson (DP)   $5 million PMN sent to Federation for Appeal / 100K for emerg phase</t>
  </si>
  <si>
    <t>N. Sumatra</t>
  </si>
  <si>
    <t xml:space="preserve">O'Donnell, Michaud and Card deployed as w/ Relief ERU in Northern Sumatra; Greenhalgh on FACT.   $5 million PMN sent to Federation for Appeal; Caivano transferred from Sri Lanka to Indo; Karnes deployed as IRT (logs/ops) </t>
  </si>
  <si>
    <t>Maldives</t>
  </si>
  <si>
    <t>Hagos on FACT; $5 million PMN sent to Federation for Appeal; Gould wat/san IRT</t>
  </si>
  <si>
    <t>Guyana</t>
  </si>
  <si>
    <t>Georgetown</t>
  </si>
  <si>
    <t>Jim Gould and Jeffery Weiss deployed and purchased and shipped to the GRC $10,000 worth of individual and family First Aid Kits.</t>
  </si>
  <si>
    <t>Alberta Floods</t>
  </si>
  <si>
    <t>CASH: PMN 100k from 2799 unearmarked; PMN 91k - ( $88,500 from 2869 ARCT and $2,500 from 2799); $25,000 from 2882 earmarked for Honduras</t>
  </si>
  <si>
    <t>N/A</t>
  </si>
  <si>
    <t>Contribution from AmEx for the Alberta Floods (GID direct to CRC).</t>
  </si>
  <si>
    <t>Dennis / Emily</t>
  </si>
  <si>
    <t>$200,000 PMN sent: $100,000 to be divided between Jamaica and Grenada at Federation's discretion.</t>
  </si>
  <si>
    <t>4,995 pcs laundry soap &amp; 5,000 pcs bath soap sent from PADRU; $200,000 PMN sent with $100,000 for Haiti</t>
  </si>
  <si>
    <t>Niger</t>
  </si>
  <si>
    <t>Food Insecurity</t>
  </si>
  <si>
    <t>Sahel</t>
  </si>
  <si>
    <t>PMN contribution to support the Federation's operation in response to the Timor-Leste: Storms and Floods Emergency Appeal No. MDRTP001.</t>
  </si>
  <si>
    <t>Philippines</t>
  </si>
  <si>
    <t>How to count: Count Federation beneficiaries from appeals, if we give cash or provide an ERU team or single person for a Federation team, then we count all Fedl appeal beneficiaries. 
If we provide relief supplies, then we only count the number of beneficiaries for those supplies. If we provide a combination of any of these, then we count only the single beneficiary number from the appeal.
And lastly, if its a bilateral contribution directly to a national society, then we count as best we can the number of beneficiaries we have heard it will benefit, using the same rules as above for relief supplies vs. money &amp; people provided</t>
  </si>
  <si>
    <t>Any contribution $50,000 or higher should be noted here.
Express as a 1 for yes, 0 for no. 
This allows a quick count of  number of disasters with $50k or higher contributions.
Began counting $50k amts to ICRC as well per Tracy Sept 2009 for PEAF data tracking</t>
  </si>
  <si>
    <t>List amount of financial contribution to  IFRC here.
Express in US dollars.</t>
  </si>
  <si>
    <t>List amount of financial contribution to  ICRC here.
Express in US dollars.</t>
  </si>
  <si>
    <t>List amount to the affected national society in a bilateral contribution here.
Express in US dollars.</t>
  </si>
  <si>
    <t>Haiti &amp; Dominican Republic Cholera Outbreak</t>
  </si>
  <si>
    <t>Number of tarps provided to the response by ARC, either pre-positioned or procured</t>
  </si>
  <si>
    <t>ARC rarely provides food, but occaisionly does. 
Number of food packets or items provided to the response by ARC, either pre-positioned or procured</t>
  </si>
  <si>
    <t>ARC rarely provides vehicles, but occaisionly does for a large response, like Haiti Earthquake 2010. 
Number of vehicles provided to the response by ARC - procured</t>
  </si>
  <si>
    <t xml:space="preserve">Any other item not mentioned in these standardized categories. </t>
  </si>
  <si>
    <t>Were the relief supplies pre-positioned from a warehouse: Y or N
list warehouse (KL, DB, PD)
This information is used in PEAF reporting</t>
  </si>
  <si>
    <t>Count of Fiscal Year</t>
  </si>
  <si>
    <t>Number of blankets provided to the response by ARC, either pre-positioned or procured
Previously quilts were distributed and are in this column</t>
  </si>
  <si>
    <t>Number of hygiene kits provided to the response by ARC
List both pre-positioned items from warehouses and items procured specfiically for this response</t>
  </si>
  <si>
    <t>Number of jerry cans provided to the response by ARC, either pre-positioned or procured</t>
  </si>
  <si>
    <t>Number of buckets provided to the response by ARC, either pre-positioned or procured</t>
  </si>
  <si>
    <t>Number of tents provided to the response by ARC, either pre-positioned or procured</t>
  </si>
  <si>
    <t>Number of kitchen sets provided to the response by ARC, either pre-positioned or procured</t>
  </si>
  <si>
    <t>Number of sleeping mats or sleeping items provided to the response by ARC, either pre-positioned or procured</t>
  </si>
  <si>
    <t>FL-2011-000137-VNM</t>
  </si>
  <si>
    <t>MDRVN009</t>
  </si>
  <si>
    <t>CASH: PMN contribution of $50,000 towards appeal, earmarked for relief objective.</t>
  </si>
  <si>
    <t>Various - see RAP</t>
  </si>
  <si>
    <t>Thailand Floods</t>
  </si>
  <si>
    <t>FL-2011-000135-THA</t>
  </si>
  <si>
    <t>Thailand</t>
  </si>
  <si>
    <t>regional plan</t>
  </si>
  <si>
    <t>2689 - Southeast Asia Typhoons and Floods. Designated funding for corporate  contributions only.  $189k raised as of 11/22</t>
  </si>
  <si>
    <t>CASH: $167,000 Cash grant to Intl Federation Regional Country Plan (not appeal) due to Thai RC not wanting an appeal.</t>
  </si>
  <si>
    <t>CASH: 1) Oct 26 - $100,000 PMN contribution to Federation appeal earmarked for relief - originally paid by RRF/2799, but later reimbursed by AP 2814. 2) Nov 22 - $709,000 PMN earmarked for shelter.  (Previous Nov 3 PMN contribution to Federation appeal for $500,000 earmarked for relief was nulled as relief objective filled).</t>
  </si>
  <si>
    <t>2814 - Turkey Relief &amp;  Development. Designated fundraising from corporations only. 2799/RRF funds were used for first $100,000, but later reimbursed by 2814 funds.</t>
  </si>
  <si>
    <t>Beneficiaries Served (Final Rpt)</t>
  </si>
  <si>
    <t>Bilateral Request?</t>
  </si>
  <si>
    <t>CASH: $100,000 grant letter bilaterally to Colombian Red Cross in response to their proposal to fund part of their plan of action.</t>
  </si>
  <si>
    <t>Cash to Other Orgs</t>
  </si>
  <si>
    <t>Total Funds Raised</t>
  </si>
  <si>
    <t>Date Fundraising Closed</t>
  </si>
  <si>
    <t>Designated Fundraising?</t>
  </si>
  <si>
    <t>Delegation Surge Support Federation in Islamabad Total</t>
  </si>
  <si>
    <t>Staff on Loan to APDMU: Alex deployed to provide HR support for monsoon and typhoon season and to assist with response and response preparedness activities. This was a generalist role supporting DM activities and operations coordination and support.
 Tota</t>
  </si>
  <si>
    <t>Staff on Loan to APDMU: Stacy deployed to provide HR support for monsoon and typhoon season and to assist with response and response preparedness activities. This was a generalist role supporting DM activities and operations coordination and support.
 Tot</t>
  </si>
  <si>
    <t>Assessment Team Count</t>
  </si>
  <si>
    <t>NHQ Operations Support Count</t>
  </si>
  <si>
    <t>Bilateral Operations Support Count</t>
  </si>
  <si>
    <t>Communications Delegate Count</t>
  </si>
  <si>
    <t>FACT Team Leader Total</t>
  </si>
  <si>
    <t>FACT Team Leader Count</t>
  </si>
  <si>
    <t>FACT Information &amp; Reporting Total</t>
  </si>
  <si>
    <t>FACT Information &amp; Reporting Count</t>
  </si>
  <si>
    <t>FACT Relief Coordinator Total</t>
  </si>
  <si>
    <t>FACT Relief Coordinator Count</t>
  </si>
  <si>
    <t>Federation reporting delegate &amp; ARC representative Total</t>
  </si>
  <si>
    <t>Information &amp; Reporting Delegate Count</t>
  </si>
  <si>
    <t>ARC representative on high level Federation liaison team to Japanese RC Total</t>
  </si>
  <si>
    <t>Advisor/Liaison Count</t>
  </si>
  <si>
    <t>AP Code 2</t>
  </si>
  <si>
    <t>AP1 Amount</t>
  </si>
  <si>
    <t>AP Code 1</t>
  </si>
  <si>
    <t>AP2 Amount</t>
  </si>
  <si>
    <t>As of Date</t>
  </si>
  <si>
    <t>C</t>
  </si>
  <si>
    <t>P</t>
  </si>
  <si>
    <t>ongoing</t>
  </si>
  <si>
    <t>2831/ARCT</t>
  </si>
  <si>
    <t>AP Code 3</t>
  </si>
  <si>
    <t>AP3 Amount</t>
  </si>
  <si>
    <t>2869/ARCT</t>
  </si>
  <si>
    <t>ARCT funding - $100,000. GE corporate contribution - $100,000.</t>
  </si>
  <si>
    <r>
      <rPr>
        <b/>
        <sz val="13"/>
        <rFont val="Calibri"/>
        <family val="2"/>
      </rPr>
      <t>CASH:</t>
    </r>
    <r>
      <rPr>
        <sz val="13"/>
        <rFont val="Calibri"/>
        <family val="2"/>
      </rPr>
      <t xml:space="preserve"> Bilateral contribution via grant letter to Japanese Red Cross  for response activities: 1) $10M March 14, 2) $50M - April 1; 3) $40M - April 11; 4) $30M - April 29; 5) $30M - May 12; 6) $46 M - June 10; 7) $35M - July 11;  8) $15M - Aug. 28
Additional cash grants to JRCS will occur. 
</t>
    </r>
    <r>
      <rPr>
        <b/>
        <sz val="13"/>
        <rFont val="Calibri"/>
        <family val="2"/>
      </rPr>
      <t>To other agencies:</t>
    </r>
    <r>
      <rPr>
        <sz val="13"/>
        <rFont val="Calibri"/>
        <family val="2"/>
      </rPr>
      <t xml:space="preserve"> 1) </t>
    </r>
    <r>
      <rPr>
        <b/>
        <sz val="13"/>
        <rFont val="Calibri"/>
        <family val="2"/>
      </rPr>
      <t>$500,000</t>
    </r>
    <r>
      <rPr>
        <sz val="13"/>
        <rFont val="Calibri"/>
        <family val="2"/>
      </rPr>
      <t xml:space="preserve"> - March 21 -World Food Programme; 2) </t>
    </r>
    <r>
      <rPr>
        <b/>
        <sz val="13"/>
        <rFont val="Calibri"/>
        <family val="2"/>
      </rPr>
      <t>$1M total</t>
    </r>
    <r>
      <rPr>
        <sz val="13"/>
        <rFont val="Calibri"/>
        <family val="2"/>
      </rPr>
      <t xml:space="preserve"> -  $3M - April 11 - IOM; Note refund from IOM due to programming - $2M October 2011. 
</t>
    </r>
    <r>
      <rPr>
        <b/>
        <sz val="13"/>
        <rFont val="Calibri"/>
        <family val="2"/>
      </rPr>
      <t xml:space="preserve">ARC internal: </t>
    </r>
    <r>
      <rPr>
        <sz val="13"/>
        <rFont val="Calibri"/>
        <family val="2"/>
      </rPr>
      <t xml:space="preserve">$300,000 - March 21 - Service to Armed Forces; 
</t>
    </r>
    <r>
      <rPr>
        <b/>
        <sz val="13"/>
        <rFont val="Calibri"/>
        <family val="2"/>
      </rPr>
      <t xml:space="preserve">PEOPLE: </t>
    </r>
    <r>
      <rPr>
        <sz val="13"/>
        <rFont val="Calibri"/>
        <family val="2"/>
      </rPr>
      <t>Nan Buzard on high level Fed Liaison trip; Tom Alcedo to Fed Liaison team; John Manley to Fed Liaison team.</t>
    </r>
  </si>
  <si>
    <t>Sum of contributions to  IFRC and ICRC from FY2009 to FY2012</t>
  </si>
  <si>
    <t>top ten disasters for contributions 2001 - 2010</t>
  </si>
  <si>
    <t>Part of GE $250,000 contribution for Brazil Floods and went to various South American disasters.</t>
  </si>
  <si>
    <t>Online designation on redcross.org.  An overwhelming majority of the $150k funds raised were through the online designation. ARCT/ 2869; AP 2010, Middle East R&amp;D – revenue;  2099, IRF – 100k to ICRC (replenished by 2010); 2799, RRF – FACT deployment expenses + PMN for Syria</t>
  </si>
  <si>
    <t>FACT deployment expenses</t>
  </si>
  <si>
    <t xml:space="preserve">Dow - $120,000; Merck - $10,000; Citigroup - $25,000. </t>
  </si>
  <si>
    <t>Average of Total Cash</t>
  </si>
  <si>
    <t>Min of Total Cash</t>
  </si>
  <si>
    <t>Max of Total Cash</t>
  </si>
  <si>
    <t>MDRGT003</t>
  </si>
  <si>
    <t>MDRSV004</t>
  </si>
  <si>
    <t>CASH: 1) $582,000 +$531,000 contribution to ICRC emergency appeal EA2011 for Somalia - sources:  $182,000 from ARCT/2831, $200,000 + $531,000 from 2836, and $200,000 from IRF/2099 per Sr VP; 2). PMN $1,000,000 contribution to Kenya Drought appeal MDRKE016 from 2836; 3) PMN for$600,000 contribution to Ethiopia appeal MDRE010 from 2836; 4) PMN for $100,000 for Tanzania Drought appeal MDRTZ012 from 2836. 5) Pledge letter to ICRC 2012 Somalia Emergency Appeal for $500,000; 6) PMN to IFRC Regional Framework</t>
  </si>
  <si>
    <t>Row Labels</t>
  </si>
  <si>
    <t>Sum of Appeal Amount</t>
  </si>
  <si>
    <t>Values</t>
  </si>
  <si>
    <t>FL-2011-000170-COL</t>
  </si>
  <si>
    <t>2799 Rapid Response Fund</t>
  </si>
  <si>
    <t>TC-2011-000189-PHL</t>
  </si>
  <si>
    <t>Philippines Typhoon Washi</t>
  </si>
  <si>
    <t>MDRPH008</t>
  </si>
  <si>
    <t xml:space="preserve">Disaster Response Description </t>
  </si>
  <si>
    <t>On October 23rd, a magnitude 7.2 earthquake struck Van province in eastern Turkey, killing more than 600 people, toppling buildings and destroying infrastructure. Two additional 5.6 and 4.5 earthquakes shook Van on November 9, killing 40 people. The Turkish Red Crescent response operation provided immediate food and relief supplies longer term sheltering those left homeless by the quake. It has provided emergency shelter for 272,000 people and now is focused on providing transitional homes for 12,000 people in advance of winter. The American Red Cross has committed $897,000 to the International Federation appeal in support of the Turkish Red Crescent response.</t>
  </si>
  <si>
    <t>More than 3.4 million people were affected by Thailand’s worst flooding in more than five decades. Many communities across the country were isolated for weeks, relying on local authorities and organizations like the Thai Red Cross for basic assistance. The Thai Red Cross assisted in evacuations and distributing food, water and relief supplies in affected rural and urban areas. In isolated communities, Red Cross relief and medical teams used flat-bottom boats to reach those most affected. In the urban Bangkok area, Red Cross mobile kitchens and water purification teams distributed thousands of meals and clean water daily.   The American Red Cross has committed $167,000 to the International Federation1 in support of the Thai Red Cross response.</t>
  </si>
  <si>
    <t>Contributions Description</t>
  </si>
  <si>
    <t>Sum of % of Appeal Covered by ARC</t>
  </si>
  <si>
    <t>Column Labels</t>
  </si>
  <si>
    <t>Designated</t>
  </si>
  <si>
    <t>Undesignated</t>
  </si>
  <si>
    <t># = Count of Disasters</t>
  </si>
  <si>
    <t>Sum of Total ARC Contributions</t>
  </si>
  <si>
    <t># of Appeals</t>
  </si>
  <si>
    <t>Year</t>
  </si>
  <si>
    <t>Monitoring and  Reporting Delegate</t>
  </si>
  <si>
    <t>FY12</t>
  </si>
  <si>
    <t>Total cash</t>
  </si>
  <si>
    <t>Sum of Direct Beneficiaries</t>
  </si>
  <si>
    <t>Total beneficiaries</t>
  </si>
  <si>
    <t>OT-2011-000205-NER</t>
  </si>
  <si>
    <t>Sahel Food Security Crisis</t>
  </si>
  <si>
    <t xml:space="preserve"> FACT Logistics Delegate</t>
  </si>
  <si>
    <t xml:space="preserve"> 2/10/12</t>
  </si>
  <si>
    <t>Deployed</t>
  </si>
  <si>
    <t xml:space="preserve">FACT Logisttics </t>
  </si>
  <si>
    <t>CASH: $285,000 in PMNs to Fed - unearmarked; PEOPLE: T. Betz deployed on FACT as Relief/Logs Ap2897</t>
  </si>
  <si>
    <t xml:space="preserve">When this cyclone struck affecting 1.5 million Pakistanis, the American Red Cross supported the Pakistan Red Crescent response operation with $285,000 and also deployed a specialist to serve on a global Red Cross Field Assessment and Coordination Team to assist in initial coordination of the relief operation. </t>
  </si>
  <si>
    <t>CASH: $100,000 bilateral contribution to purchase relief supplies.</t>
  </si>
  <si>
    <r>
      <rPr>
        <b/>
        <sz val="11"/>
        <rFont val="Calibri"/>
        <family val="2"/>
        <scheme val="minor"/>
      </rPr>
      <t xml:space="preserve">Cyclone Yemyin </t>
    </r>
    <r>
      <rPr>
        <sz val="11"/>
        <rFont val="Calibri"/>
        <family val="2"/>
        <scheme val="minor"/>
      </rPr>
      <t xml:space="preserve">–July 2007: When this cyclone struck affecting 1.5 million Pakistanis, the American Red Cross supported the Pakistan Red Crescent response operation with $285,000 and also deployed a specialist to serve on a global Red Cross Field Assessment and Coordination Team to assist in initial coordination of the relief operation. </t>
    </r>
  </si>
  <si>
    <r>
      <rPr>
        <b/>
        <sz val="11"/>
        <rFont val="Calibri"/>
        <family val="2"/>
        <scheme val="minor"/>
      </rPr>
      <t>Pakistan Baluchistan Earthquake – November 2008:</t>
    </r>
    <r>
      <rPr>
        <sz val="11"/>
        <rFont val="Calibri"/>
        <family val="2"/>
        <scheme val="minor"/>
      </rPr>
      <t xml:space="preserve"> After the Baluchistan earthquake in 2008, the American Red Cross provided $100,000 to the Pakistan Red Crescent for the purchase of relief supplies.</t>
    </r>
  </si>
  <si>
    <t>CASH: Contributions to ICRC - 1. $500,000 2. $150,000 3. $211,136 to MDA specifically from AP2099; Contributions to ICRC - 1. $150,000 2. 47,500 (Dow Chemical Company from AP2649), Contribution to Fed $475,000 (Coca Cola) from AP2649; $200,000 grant to Palestinian Red Crescent for southern Lebanon; $156,000 grant to Lebanese Red Cross for ambulances</t>
  </si>
  <si>
    <t>Soon after violence broke out in Libya in February 2011, hundreds of thousands of people fled to neighboring countries, with the greatest number arriving in Tunisia. Along the border, Red Crescent volunteers greeted the initial droves of migrant workers and provided them with first aid, shelter, food, blankets, clean water, sanitation services, and phone calls to loved ones until they could make arrangements to return to their homelands. To support these efforts, the American Red Cross also led teams of Red Cross and Red Crescent workers from around the world to build and support a tent community in Tunisia for families escaping the violence across the border and provided $300,000 in assistance for the operation.</t>
  </si>
  <si>
    <t xml:space="preserve">A 6.3 magnitude earthquake struck near Christchurch, New Zealand on February 22. There was widespread damage, including collapsed buildings in the city center and damage to roads and bridges. The New Zealand Red Cross operated  recovery assistance centers and conducted home visits to those affected. It provided assistance to 47,800 people. The American Red Cross provided $772,000 to the New Zealand Red Cross in support of its response operations.   </t>
  </si>
  <si>
    <t>An outbreak of Dengue fever in Paraguay caused more than  400 confirmed cases.  The Paraguayan Red Cross responded, targeting 2,000 people to reduce the vector sites and build awareness among community members on how to reduce exposure to mosquitoes. The American Red Cross provided $56,000 in support to the Paraguayan Red Cross for their response.</t>
  </si>
  <si>
    <t>On March 11, a record 9.0 magnitude earthquake struck Sendai, Japan, generating a powerful 32-foot tsunami which caused widespread destruction to northern Japanese coastal areas and communities. More than 19,000 died. The Japanese Red Cross responded by providing medical services, relief supplies, pscychosocial support, and social services. In recovery they rebuilt hospitals and clinics. The American Red Cross committed more than $312 million for the Japan response. See One Year Update report for more information.</t>
  </si>
  <si>
    <t xml:space="preserve">The La Niña effect resulted in heavy rains in Bolivia, causing floods and mudslides affecting 88,000 people in 30% of the country’s municipalities. The American Red Cross provided $182,000 to support Bolivian Red Cross response operations for water and sanitation hygiene, transitional housing and early recovery activities. </t>
  </si>
  <si>
    <t xml:space="preserve">Political turmoil following presidential elections in Cote d’Ivoire caused armed clashes and prompted significant internal and cross border population movements into neighboring countries. Liberia was particularly impacted with thousands of Ivorians crossing its border, placing burdens on communities.  The ICRC and Liberian Red Cross responded, providing  medical services, water and sanitation and distributing food and relief supplies to refugees and host families.The American Red Cross has provided $150,000 in funding to support the Red Cross response in Liberia. </t>
  </si>
  <si>
    <t xml:space="preserve">Months of rain caused large-scale flooding in northern Namibia, displacing thousands of people and destroying homes, crops, roads and other infrastructure.  The Namibia Red Cross Society conducted assessments and provided relief supplies, food, water and sanitation to the most vulnerable families affected. The American Red Cross provided $50,000 to support Namibia Red Cross Society response operations.   
</t>
  </si>
  <si>
    <t xml:space="preserve">In the Democratic People’s Republic of Korea (North Korea), months of heavy rainfall and a typhoon caused flooding.  Homes, infrastructure and crops were destroyed, leaving 27,500 people homeless. The Democratic People’s Republic of Korea Red Cross is distributing relief supplies, performing disaster assessments, helping with evacuations and providing first aid to those in need.  The American Red Cross has committed $50,000 to support Red Cross response activities.
</t>
  </si>
  <si>
    <t xml:space="preserve">Two months of continuous torrential rains caused flooding that has affected more than 1.5 million people in 18 districts in Bangladesh. There was significant damage to homes, property, livelihoods, crops and water sources. The Bangladesh Red Crescent assisted authorities in evacuations and provided food, clothing and relief supplies to those in need. The American Red Cross committed $50,000 to support the Bangladesh Red Crescent response.
</t>
  </si>
  <si>
    <t xml:space="preserve">Monsoon rains caused widespread flooding in southern Pakistan, where communities were recovering from the previous year’s floods. More than 5 million people were affected, 1 million homes damaged or destroyed and an estimated 142,000 people were in temporary camps. The Pakistan Red Crescent, with the support of the global Red Cross and Red Crescent network, reached approximately 73,500 people with food and relief supplies with more assistance to an additional 100,000 people.  The American Red Cross committed $50,000 to support the Pakistan Red Crescent response.
</t>
  </si>
  <si>
    <t xml:space="preserve">Beginning in late September two typhoons hit the Philippines within a five-day span, with rains triggering floods and widespread damage across the entire island of Luzon. More than 3.2 million people wereaffected and an estimated 260,000 people were in evacuation centers.  The Philippines Red Cross responded with more than 2,400 volunteers and  staff providing food, shelter and relief items. It also communicated early warning messages to warn people, prepare volunteers and pre-position supplies prior to the storms’ landfall.  The American Red Cross committed $50,000 to support the Philippines Red Cross response. 
</t>
  </si>
  <si>
    <t xml:space="preserve">In September 2011, floods swept through seven provinces in Vietnam’s Mekong Delta, causing significant losses to agriculture and homes. These surpassed the regular annual floods in scope and damage, extending well beyond the traditional flood plain and affecting more than 590,000 people.  In response to the disaster, the Vietnam Red Cross has performed needs assessments and provided more than 62,500 people with household relief supplies, safe water and cash grants. They also assisted an additional 42,000 people with support from the global Red Cross and Red Crescent network.  The American Red Cross has committed $50,000 to the International Federation appeal in support of the Vietnam Red Cross response.
</t>
  </si>
  <si>
    <t xml:space="preserve">A heavier than normal rainy season affected more than 410,000 people in 80 percent of Colombia. Those affected are relying on government authorities and the Colombian Red Cross for basic assistance. More than 100 people have died and 62,300 homes have been damaged. Colombian Red Cross volunteers have conducted damage assessments, provided search and rescue service and distributed food and relief supplies. They plan to provide water and sanitation services, temporary shelter, food and relief supplies as well as health and emotional support services through mobile health teams.  The American Red Cross has committed $100,000 to the Colombian Red Cross for their expanded response to reach 18,000 people. 
The American Red Cross has committed $100,000 to the Colombian Red Cross for their expanded response to reach 18,000 people.
</t>
  </si>
  <si>
    <t>DR-2012-000011-PRY</t>
  </si>
  <si>
    <t>CASH: $45,000 grant letter bilaterally to Paraguayan Red Cross in support of their proposal for response to fund plan of action for drought.</t>
  </si>
  <si>
    <t xml:space="preserve">More than 11 million people in the Sahel region of West Africa which includes Burkina Faso, Chad, Mali, Mauritania, Niger and some parts of Senegal face severe food shortages due to erratic rainfall and drought which has caused crop failures.  Red Cross and Red Crescent societies in Burkina Faso, Mali, Mauritania, Senegal, Chad and Niger are all responding to the crisis and working with global Red Cross partners on response planning and assessments.  The American Red Cross deployed a logistics specialist to participate in a multi-national Red Cross FACT team which will support planning and assessments for local Red Cross and Red Crescent response operations in affected countries.
</t>
  </si>
  <si>
    <t xml:space="preserve">A La Niña weather pattern has caused a serious drought in southern Paraguay, in one of the most important agricultural regions of the country affecting more than 263,800 families, or 1.3 million people.  The Paraguayan Red Cross performed rapid needs assessments and provided food parcels and seeds to affected farming families.  The American Red Cross  committed $45,000 to the Paraguay Red Cross to support their response efforts. The American Red Cross also supports the LARRA long term disaster risk reduction program in Paraguay.  </t>
  </si>
  <si>
    <t xml:space="preserve">In response to the devastating floods of 2010, the American Red Cross provided assistance valued at $8.2 million.  This consisted of:  $4.8 million for emergency shelter and other support; $2.5 million for vaccinations for measles and other diseases; 131,00 relief items from our regional warehouse; and deployment of two disaster relief specialists to help the Pakistan Red Crescent coordinate international assistance for the operation. </t>
  </si>
  <si>
    <t xml:space="preserve">Continuous rains across Panama caused two deaths and affected more than 24,000 people in eight provinces. Overflowing rivers caused severe floods and landslides which affected thousands and cut off many communities. The Red Cross Society of Panama conducted assessments and distributed relief supplies to over 7,300 people.  The American Red Cross contributed relief supplies totalling $50,000 in relief supplies to support the Red Cross Society of Panama response. </t>
  </si>
  <si>
    <t xml:space="preserve">Colombia suffered an uncommonly long rainy season due to the effects of the La Niña weather phenomenon, with heavy rains for more than eight months. The resulting floods have affected 28 of the 32 departments in the country, triggered landslides and destroyed infrastructure, homes and crops.  The Colombian Red Cross worked in affected areas, delivering food, relief supplies and safe water, as well as providing transitional shelter and logistical support, reaching 575,000 people.  The American Red Cross provided $200,000 plus 6,000 mosquito nets to support integrated mobile health clinics for the Red Cross response operation. 
</t>
  </si>
  <si>
    <t>Torrential rains hit Costa Rica, triggering landslides, floods, the destruction of infrastructure and the movement of thousands of people to shelters along the Pacific coast and in the Central Valley.  The American Red Cross provided $322,330 to the Costa Rican Red Cross for distribution of relief supplies and a cash transfer program for 1,000 families.</t>
  </si>
  <si>
    <t>Hurricane Richard hit Belize with sustained winds of 90 mph, crossing the cities of Belmopan and Belize City, damaging more than 800 homes and destroying local agriculture.  The Belize Red Cross distributed relief supplies to 3,000 people and developed a plan of action to assist with longer term recovery needs.The American Red Cross committed $80,000 to support Belize Red Cross relief efforts and deployed one cash delegate for shelter recovery.</t>
  </si>
  <si>
    <t>In November 2010, Hurricane Tomas struck the Caribbean Islands of Barbados, Saint Lucia, and Saint Vincent and the Grenadines, and Haiti, causing landslides and damage to homes and infrastructure. Although damage in Haiti was less severe than expected, at least 21 deaths were reported.   The Red Cross national societies of Saint Lucia, Saint Vincent and the Grenadines and Barbados have deployed search and rescue teams, conducted damage assessments and distributed relief supplies.   The American Red Cross provided relief supplies and cash totalling $141,000.</t>
  </si>
  <si>
    <t>Following a 7.7 magnitude earthquake, a 9-foot tsunami hit the Mentawai Islands off the coast of Sumatra, travelling at least a quarter of a mile inland and destroying the coastline in many locations. On the island of Java, the Mount Merapi volcano erupted, killling 104 people. The Indonesian Red Cross (PMI) performed search and rescue activities, conducted assessments and distributed relief supplies to those in need.  In response, the American Red Cross committed $50,000 to support Red Cross relief efforts.</t>
  </si>
  <si>
    <t>Typhoon Megi battered the Philippines as a Category 5 typhoon with 140 mph winds and heavy rains.  While evacuation efforts saved many lives, the typhoon caused significant damage to homes, livelihoods and infrastructure.  The Philippine Red Cross provided food and relief supplies to those in need and conducted rapid assessments to determine needs.  In response, the American Red Cross committed $30,000 to support relief efforts.</t>
  </si>
  <si>
    <t xml:space="preserve">A severe cholera outbreak spread from the Artibonite River area to all departments in Haiti.  The American Red Cross reached almost 116,000 people with information on cholera prevention, transmission and symptoms, as well as demonstrations on how to prepare oral rehydration solution and proper hand washing. Some 235 health promoters are going tent-to-tent with these messages in camps in Port-au-Prince, and an additional 130 volunteers are providing information in schools in the Northeast department. 
Teams are also distributing soap, oral rehydration salts and water purification tablets in camps in Port-au-Prince, and have distributed some 253,000 relief items to over 110,000 people to date. In all the American Red Cross provided 14 million in support for the cholera response from its structure already in place in the Haiti Operation.
</t>
  </si>
  <si>
    <t xml:space="preserve">Torrential rains  caused rivers and dams to overflow, inundating five provinces in Central Vietnam.   More than 100 people died and another 660,000 affected in the worst flooding in the country in 20 years.  The Vietnam Red Cross helped evacuate more than 24,000 people, distributed 3,400 household kits of supplies and $22,870 in small cash grants. The American Red Cross committed $30,000 to support relief efforts.
</t>
  </si>
  <si>
    <t>The 2010 hurricane season significantly impacted Mexico with record high seasonal rains combined with two major storms generated extensive flooding in Mexico’s southern states, affecting an estimated 500,000 people.   The American Red Cross committed a total of $400,000 in bilateral support the Mexican Red Cross response.</t>
  </si>
  <si>
    <t xml:space="preserve">Since April 2010, political upheaval and ethnic clashes  escalated between Kyrgyz and Uzbeks living in southwest Kyrgyzstan.  Violent clashes, including looting and targeted killing led an estimated 375,000 residents to flee their homes.  The Kyrgyz Red Crescent Society and the Uzbek Red Cross Society provided relief supplies and other support to those affected by the conflict. The American Red Cross committed $200,000 to ICRC and Federation appeals in support of response efforts. </t>
  </si>
  <si>
    <t>F</t>
  </si>
  <si>
    <t xml:space="preserve">Tropical Storm Agatha brought unusually heavy rainfall to Central America. El Salvador, Guatemala and Honduras were impacted, with Guatemala experiencing the highest amount of rainfall since 1949.  More than 150,000 people were evacuated from their homes and landslides occurred. Red Cross national societies in the affected countries  mobilized to meet the basic needs of the affected population.  The American Red Cross provided $100,000 toward the global Red Cross relief operation in Guatemala and $80,000 in relief supplies. 
</t>
  </si>
  <si>
    <t xml:space="preserve">Diarrhea is endemic to Nepal due to unsafe hygiene practices, open defecation and lack of access to safe drinking water.  Cases rose in remote districts of western Nepal, with 17 deaths and 300 cases officially reported. The Nepal Red Cross Society mobilized to conduct emergency hygiene promotion campaigns and preposition relief supplies.  In response, the American Red Cross provided $50,000 to help distribute diarrhea prevention kits and support hygiene promotion.  </t>
  </si>
  <si>
    <t xml:space="preserve">More than ninety percent of Mongolia experienced severe winter conditions compounded by dzud -- continuous heavy snowfall combined with extreme cold and preceded by dry summers, resulting in the insufficient production of grazing pastures. The dzud   devastated the livelihood of herders by causing a serious loss of livestock, their primary source of income and food.  The Mongolian Red Cross provided relief supplies, health services and psychosocial support and herd restocking support.   The American Red Cross  provided nearly $144,690 to support relief supplies, healthcare support and livelihoods rehabilitation.  </t>
  </si>
  <si>
    <t xml:space="preserve">A 6.9 magnitude earthquake hit northwest China's Qinghai Province on April 14, 2010, the strongest quake to hit the remote mountainous area since 1976. The Red Cross Society of China responded with teams and relief supplies from their regional warehouses.   • Although international assistance was not requested the American Red Cross provided $500,000 in support of the Red Cross response.  
</t>
  </si>
  <si>
    <t>On February 27, 2010, an 8.8 earthquake occurred in Bío-Bío region in central Chile. An ensuing tsunami affected the island of Juan Fernandez and communities along the coast in Bío-Bío region, inflicting loss of life and major damage to infrastructure. The Chile Red Cross mobilized volunteers and provided emergency relief to more than 22,000 Chileans.  The American Red Cross deployeda team to assess recovery needs in the areas of health, shelter, water and sanitation, and disaster preparedness.  The American Red Cross then formed a long ter program in Chile for  more than $3 million to support recovery efforts.</t>
  </si>
  <si>
    <t xml:space="preserve">Heavy rains caused flooding and landslides throughout Central America—most severely in Guatemala, El Salvador, Honduras and Nicaragua—resulting in more than 100 deaths and affecting more than 630,000 people. Red Cross societies throughout Central America  responded in Guatemala, El Salvador, Honduras and Nicaragua. They provided food, shelter, first aid and evacuation assistance.  The American Red Cross has committed $260,000 for relief supplies for 2,300 families (11,500 people) and other support for the Red Cross response operations in El Salvador, Honduras, Guatemala and Nicaragua. It also provided three disaster specialists from its regional office in Panama to assist operations.
</t>
  </si>
  <si>
    <t>A drought beginningin 2009 in the Horn of Africa resulted in massive crop failure, water scarcity, low food supplies, livestock deaths and the migration of people from Ethiopia, Kenya, Djibouti, Tanzania and most severely, Somalia. More than 13 million people were affected.  Red Cross and Red Crescent societies in these countries responded to the disaster with support from partners in the global Red Cross network.  The American Red Cross committed $3.9 million in support of Red Cross and Red Crescent response activities in the region.</t>
  </si>
  <si>
    <t>El Salvador experienced significant floods and mudslides due to the combined effects of Tropical Storm Ida resulting in overflowing rivers, destroyed houses, health centers, crops and infrastructure.  The Salvadoran Red Cross mobilized, providing search and rescue services, transport, first aid, basic relief supplies and safe drinking water. The American Red Cross provided $193,000  to support transitional shelters and kitchen sets and hygiene kits valued at $31,000.</t>
  </si>
  <si>
    <r>
      <t xml:space="preserve">Heavy rains triggered flooding in Haiti’s Carrefour department, causing floods and damaging 500 homes.  The Haitian Red Cross conducted assessments of water systems and distributed water to the affected population.   </t>
    </r>
    <r>
      <rPr>
        <b/>
        <sz val="11"/>
        <rFont val="Calibri"/>
        <family val="2"/>
        <scheme val="minor"/>
      </rPr>
      <t xml:space="preserve">The American Red Cross provided a disaster specialist to assist the Haitian Red Cross in its response operation.  </t>
    </r>
  </si>
  <si>
    <t xml:space="preserve">In Kenya, the cumulative effects of three consecutive failed rainy seasons and the 2008 post election violence crippled food production, reducing it by 40%. An estimated 3.8 million pastoralists and marginal farmers required urgent food assistance. The Kenya Red Cross distributed seeds to farming households, trucked water to areas with severe shortages and provided food.  The American Red Cross provided $100,000 in support of the response. </t>
  </si>
  <si>
    <t>The heaviest rains in more than a century have inundated parts of Andhra Pradesh and Karnataka states in southern India. The Krishna River and its tributaries has flooded surrounding villages, killing 384 people, displacing 674,500 and affecting more than 4.1 million.  The Indian Red Cross provided relief supplies,  damage assessments and issued a $3.1 million national appeal for assistance.  The American Red Cross is providing relief supplies valued at $180,000 to the Indian Red Cross to assist in the response operation.</t>
  </si>
  <si>
    <t>On September 29, an earthquake of magnitude 8.0 occurred in the Pacific Ocean off the coast of American Samoa, causing a destructive tsunami wave that struck American Samoa, Samoa and the island of Niuatoputapu in Tonga.  The Samoa Red Cross Society, the Tonga Red Cross Society, and the domestic Disaster Services of the American Red Cross responded directly with food, shelter and relief supplies.  International Services of the American Red Cross provided $100,000 to support the Federation's appeal for  Samoa.</t>
  </si>
  <si>
    <t xml:space="preserve">During the Internally Displaced Persons Crisis of 2009, the American Red Cross provided $330,000 in support for relief supplies for those living in temporary camps. </t>
  </si>
  <si>
    <t xml:space="preserve">Over a 48-hour period, two earthquakes struck the west coast of the island of Sumatra in Indonesia, killing 1,195 people. The Indonesian Red Cross (PMI) provided relief items, medical support, family reunification and temporary shelters, and  emergency water and sanitation services. The American Red Cross provided $400,000 in relief supplies and received a $500,000 OFDA grant to provide additional relief supplies and potable water. It also  deployed a disaster specialist to monitor and evaluate the progress of relief supply distribution. 
</t>
  </si>
  <si>
    <t xml:space="preserve">In September 2009, a series of typhoons hit Southeast Asia, causing floods and landslides affecting millions.  Typhoons Ketsana and Parma were particularly damaging to communities in the Philippines and Vietnam, although areas of Cambodia and Laos were also impacted.  The Philippine Red Cross and Vietnam Red Cross provided clean water, food parcels and relief items to affected families. In Vietnam, the American Red Cross implemented a $500,000 OFDA grant to provide emergency cash grants and it provided $100,000 to support future disaster risk reduction activities, for a total of $955,750.  In the Philippines, the American Red Cross implemented $500,000 OFDA grant to for  relief supplies. It also provided $250,000 to support early recovery activities, for a totalof $1,168,000. 
</t>
  </si>
  <si>
    <t>In response to an earthquake, the American Red Cross sent Christina Hammond to  to fill the role of IFRC Shelter Cluster Information Manager for Java Earthquake response  for four weeks</t>
  </si>
  <si>
    <t>Hurricane Jimena hit Mexico’s Baja California peninsula as a category two hurricane on September 3, affecting the state of Baja California Sur and Sonora. The hurricane affected 120,000 people, causing damage to homes, businesses, electricity infrastructure, and water and transportation systems.   The Mexican Red Cross performed assessments and mobilized  to provide food and relief items to those affected.  The American Red Cross provided a bilateral contribution of  7,800 relief items, including hygiene kits, kitchen sets and reconstruction kits for distribution to those affected by the storm.</t>
  </si>
  <si>
    <t xml:space="preserve">A heavier than normal rainy season in West and Central Africa has caused serious flooding in 16 countries. Beginning in early September the flooding worsened, affecting more than 600,000 people in Benin, Central African Republic, Chad, Cote d'Ivoire, Gambia, Ghana, Guinea, Guinea Bissau, Liberia, Mali, Mauritania, Niger, Nigeria, Senegal, Sierra Leone and Togo. The rains have caused 159 deaths and considerable damage to homes and infrastructure, leaving thousands homeless.  Red Cross national societies in the affected countries are providing food and relief items, emergency healthcare and psychosocial support, water and sanitation services and livelihoods assistance.  The American Red Cross provided equipment and three delegates for a Relief Emergency Response Unit to be deployed to Senegal. This is in addition to a delegate deployed as part of a Field Assessment and Coordination Team to assess needs in Burkina Faso.  </t>
  </si>
  <si>
    <t xml:space="preserve">Syria experienced a drought since 2006, but conditions have worsened in the last eight months as high temperatures and low rainfall destroyed much of the seasonal crop of grain. Currently 1.3 million people in eastern Syria are affected, and an estimated 800,000 have lost most of their income and are facing extreme hardship. These conditions have triggered a substantial increase in the rate of migration from villages in the affected areas to urban centers during the past year. The Syrian Arab Red Crescent worked to deliver food items, healthcare, hygiene kits, and water and sanitation services to those affected by the drought.   In support of the response, the American Red Cross committed $50,000 to the International Federation appeal.  </t>
  </si>
  <si>
    <t>Yes</t>
  </si>
  <si>
    <t xml:space="preserve">Heavy rainfall resulted in flooding in various parts of Tajikistan, killing 26 and affecting 12,000 people. The Tajikistan Red Crescent responded with relief items, supported by two Regional Disaster Response Teams (RDRT). The American Red Cross provided $11,500 for construction tool kits. </t>
  </si>
  <si>
    <t xml:space="preserve">Cyclone Aila hit southwestern Bangladesh, killing 190 people and causing widespread devastation in 14 districts. Some 600,000 people were evacuated prior to the cyclone - significantly minimizing the loss of life.  The Bangladesh Red Crescent responded, activating thousands of volunteers to provide relief supplies and medical care.   The American Red Cross deployed a relief operations support delegate to assist the Bangladesh Red Crescent in response operations.  </t>
  </si>
  <si>
    <t xml:space="preserve">Polio outbreak were confirmed in 15 countries across Sub-Saharan Africa, undermining progress made to eradicate polio over the last two decades.   The American Red Cross has pledged US $200,000 to the International Federation Emergency Appeal for mass social mobilization activities related to emergency polio vaccination campaigns.  </t>
  </si>
  <si>
    <t xml:space="preserve">In northern Namibia, heavy rains have led to severe flooding in six regions and the worst flooding in over 40 years, affecting more than 350,000 people. It also caused large scale destruction of homes, schools, health facilities, crops and infrastructure. The Namibian Red Cross provided medicines, shelter, water and sanitation, relief items and camp management. The American Red Cross pledged $50,000 to support response efforts through the appeal. 
</t>
  </si>
  <si>
    <t xml:space="preserve">A powerful 6.3 magnitude earthquake struck the city of L'Aquila in central Italy on April 6, the worst to hit the region in nearly 30 years, leaving 298 dead and 28,000 homeless.   The Italian Red Cross supported the affected population with food, shelter, and psychological support.  The American Red Cross provided $981,315 to the Italian Red Cross in support of response efforts. </t>
  </si>
  <si>
    <t xml:space="preserve">Flooding severely affecting 31,250 people in the Andean region of Colombia.  A request from the Colombian Red Cross for relief,shelter, water and sanitation and health support. American Red Cross provided $30,000 in jerry cans from PADRU stocks.
</t>
  </si>
  <si>
    <t xml:space="preserve">Sri Lanka  experienced years of civil conflict between the government and rebel forces which intensified in recent months.   As Sri Lankan government forces advanced  50,000 ethnic Tamils were trapped in a five square kilometer area experiencing intense conflict on the northern coast.  Approximately 194,000 people fled the active conflict zone and were transferred to temporary camps or hospitals by government forces. The International Committee of the Red Cross worked with Sri Lanka Red Cross to assist those trapped in affected areas and provided relief supplies to displaced people in temporary camps.  At the request of the ICRC, the American Red Cross provided a delegate to assist in distribution of relief items in the temporary camps.  
</t>
  </si>
  <si>
    <t xml:space="preserve">Wildfires in southeastern Australia destroyed more than 1,033 homes,  left more than 181 people dead and hundreds injured.  The Australian Red Cross has deployed more than 400 volunteers and staff to operate evacuation centers in 20 locations across the state of Victoria.   The American Red Cross coordinated  US corporate donations and ultimately provided  $1.52 million bilaterally to the Australian Red Cross.
</t>
  </si>
  <si>
    <t>In late December 2008, the Government of Israel began a military offensive in Gaza, with the aim of ending Hamas rocket attacks on Israeli soil.  The most serious outbreak of hostilities in the Gaza Strip in decades, the conflict has resulted in significant civilian casualties and damage to homes, hospitals and infrastructure.   The American Red Cross has pledged a total of US $921,250 in support of Red Cross and Red Crescent response efforts.  This includes a new commitment of $110,625 each to the Palestine Red Crescent Society (PRCS) and the International Committee of the Red Cross (ICRC), as well as US $700,000 in previous contributions to ICRC, PRCS and Magen David Adom (MDA), the Israeli equivalent of the Red Cross.</t>
  </si>
  <si>
    <t>On January 8, a 6.2 earthquake struck  Costa Rica, triggering landslides, blocking roads and isolating communities, affecting more than 100,000 people.  The Costa Rican Red Cross delivered relief supplies, conducted search and rescue activities, provided evacuation, supported temporary shelter and conducted needs assessments.   The American Red Cross contributed $65,000 bilaterally to the CRRC to support a cash voucher program, disaster training and distribution of food packets. In addition, it deployed two delegates to help conduct assessments and develop the cash voucher program.</t>
  </si>
  <si>
    <t xml:space="preserve">On January 12, a magnitude 7 earthquake struck Haiti near Port-au-Prince, causing massive damage, killing more than 200,000 people and displacing 2 million people from their homes. </t>
  </si>
  <si>
    <t>FL-2012-000032-BOL</t>
  </si>
  <si>
    <t>MDRBO007</t>
  </si>
  <si>
    <t>CASH: $75,000 PMN to appeal earmarked for relief activities.</t>
  </si>
  <si>
    <t xml:space="preserve">A La Niña weather phenomenon has created irregular rain patterns throughout South America, causing serious flooding in Bolivia.  The Bolivian Red Cross performed rapid needs assessments and relief supplies, food and water and sanitation to 2,000 affected farming families.  The American Red Cross  committed $75,000 to the Federation appeal in support their response efforts.   </t>
  </si>
  <si>
    <t>PEOPLE: Deployed Rosemary Parnell as logistics delegate to FACT team. Based in Senegal, but she assisted entire operation.</t>
  </si>
  <si>
    <t>CASH: 1) $100,000 to ICRC earmarked for Tunisia from AP2010; PMN for $162,270 earmarked for locally procured supplies by AP2869/ARCT; 2) $135,000 PMN from AP 2799 for $44,000 and AP 2831/ ARCT for $91,000 earmarked for Syria for local procurement of food parcels.  3) $100,000 PMN from AP 2799 for relief for Syria Civil Unrest - 3/7/12.
SUPPLIES:1500 tarps from Dubai warehouse as of March 2011; 
PEOPLE: Deployed for FACT team members: Langdon Greenhalgh, FACT team leader; Marian Spivey-Estrada, FACT Info &amp; Reporting; Colin Chaperon, FACT relief coordinator; Gina Guinta, FACT Info &amp; Reporting - 2nd round; Laura Hevesi FACT relief coordinator.</t>
  </si>
  <si>
    <t>Mali</t>
  </si>
  <si>
    <t>Mauritania</t>
  </si>
  <si>
    <t>CASH: $17,190 bilateral grant letter to El Salvador Red Cross for distribution costs; $18,125 bilateral grant letter to Honduras Red Cross for distribution costs; $13,625 bilateral grant letter to Nicaragua Red Cross for distribution costs.
SUPPLIES: Bilateral contributions - see RAPs for detail: Supplies for 500 families  to Nicaraguan Red Cross valued at$61,000; supplies for 800 families for El Salvador Red Cross valued at$73,000; supplies for 500 families to Honduras Red Cross valued at $60,000. Multilateral contribution - supplies from Guatemala appeal mob table  for 500 families to Guatemalan Red Cross valued at $61,000.  Supplies for bilateral El Salvador and Honduras contribution and Guatemala appeal were paid for by ARCT funds.
PEOPLE:  Three Panama delegation-based ARC staff deployed as disaster management liasons: Raymundo Ortega to assist Nicaragua Red Cross; Luis Guzman to assist El Salvador Red Cross; Alvaro Garita to assist Honduras Red Cross.</t>
  </si>
  <si>
    <t xml:space="preserve">ARCT - 2831 FY12 fund - $200,000
Expenses werecharged to AP 2882, Central America R &amp; D. Any designated funds and the $200,000 ARCT funds backfilled this AP. If we don’t receive enough funding to cover these expenses then the RRF, AP 2799 will supplement outstanding expenses.  </t>
  </si>
  <si>
    <t>Average of % of Appeal Covered by ARC</t>
  </si>
  <si>
    <t>Average of Overall Appeal Coverage</t>
  </si>
  <si>
    <t xml:space="preserve">How much $ were appeals valued at for FY10 and FY11?  </t>
  </si>
  <si>
    <t>How much money did we give to ICRC and IFRC in FY10 and FY11?</t>
  </si>
  <si>
    <t>Total ARC contributions in FY10 and FY11</t>
  </si>
  <si>
    <t>FY 10 and FY11 contributions excluding Haiti</t>
  </si>
  <si>
    <t>ARC contribution</t>
  </si>
  <si>
    <t>FY 10 and FY11 contributions including Haiti</t>
  </si>
  <si>
    <t>Haiti only</t>
  </si>
  <si>
    <t>ICRC appeal amount</t>
  </si>
  <si>
    <t>IFRC appeal amount</t>
  </si>
  <si>
    <t>both</t>
  </si>
  <si>
    <t>need to look up</t>
  </si>
  <si>
    <t>MDRNP004</t>
  </si>
  <si>
    <t>MDRMN004</t>
  </si>
  <si>
    <t>MDRVN006</t>
  </si>
  <si>
    <t>IFRC Region</t>
  </si>
  <si>
    <t>IFRC Appeal Name</t>
  </si>
  <si>
    <t>Disaster Major Type</t>
  </si>
  <si>
    <t>Appeal</t>
  </si>
  <si>
    <t>ARC Fiscal Year</t>
  </si>
  <si>
    <t>Floods (Appeal MDR63001)</t>
  </si>
  <si>
    <t>Hydrometeorological</t>
  </si>
  <si>
    <t>Preliminary emergency appeal</t>
  </si>
  <si>
    <t>Middle East/North Africa</t>
  </si>
  <si>
    <t>Expanding Response to Humanitarian Crisis</t>
  </si>
  <si>
    <t>Emergency Appeal (Appeal no.MDRIQ003)</t>
  </si>
  <si>
    <t>Cameroon</t>
  </si>
  <si>
    <t>Population movement (Appeal MDRCM006)</t>
  </si>
  <si>
    <t>Emergency appeal</t>
  </si>
  <si>
    <t>Cyclone Ivan (MDRMG003)</t>
  </si>
  <si>
    <t>Emergency Appeal</t>
  </si>
  <si>
    <t>Europe</t>
  </si>
  <si>
    <t>Tajikistan: Cold wave (MDRTJ004)</t>
  </si>
  <si>
    <t>Americas</t>
  </si>
  <si>
    <t>Caribbean</t>
  </si>
  <si>
    <t>Hurricane Dean (MDR49001)</t>
  </si>
  <si>
    <t>Revised Appeal</t>
  </si>
  <si>
    <t>Asia Pacific</t>
  </si>
  <si>
    <t>Floods and landslides (MDRNP001)</t>
  </si>
  <si>
    <t>Revised Emergency Appeal</t>
  </si>
  <si>
    <t>Cyclone Nargis (Appeal MDRMM002)</t>
  </si>
  <si>
    <t>Food Insecurity (MDRET005)</t>
  </si>
  <si>
    <t>Preliminary Emergency Appeal</t>
  </si>
  <si>
    <t>Sichuan Earthquake (Appeal MDRCN003)</t>
  </si>
  <si>
    <t>Typhoon Fengshen (Appeal MDRPH004)</t>
  </si>
  <si>
    <t>Surinam</t>
  </si>
  <si>
    <t>Floods (Appeal MDRSR002)</t>
  </si>
  <si>
    <t>Uganda: Epidemics (MDRUG010)</t>
  </si>
  <si>
    <t>West Africa</t>
  </si>
  <si>
    <t>Floods (Appeal MDR61003)</t>
  </si>
  <si>
    <t>Preliminary Appeal</t>
  </si>
  <si>
    <t>Belarus, Russian Federation, Ukraine, Moldova</t>
  </si>
  <si>
    <t>Floods (MDR67003)</t>
  </si>
  <si>
    <t>Zimbabwe - Food Insecurity (MDRZW003)</t>
  </si>
  <si>
    <t>Hurricane Season 2008 (MDRHT005)</t>
  </si>
  <si>
    <t>Cuba: Hurricane Season 2008 (MDRCU001)</t>
  </si>
  <si>
    <t>Caribbean: Hurricane Season 2008 (MDR49003)</t>
  </si>
  <si>
    <t>Central Africa</t>
  </si>
  <si>
    <t>Chad and Cameroon floods (Appeal MDR62003)</t>
  </si>
  <si>
    <t>Floods in Ghardaia</t>
  </si>
  <si>
    <t>Emergency Appeal (Appeal no.MDRDZ001)</t>
  </si>
  <si>
    <t>Floods (MDRNP002)</t>
  </si>
  <si>
    <t>Central America</t>
  </si>
  <si>
    <t>Floods (Appeal MDR43004)</t>
  </si>
  <si>
    <t>Morocco</t>
  </si>
  <si>
    <t>Emergency Appeal (Appeal no.MDRMA001)</t>
  </si>
  <si>
    <t>Flash Floods</t>
  </si>
  <si>
    <t>Preliminary Emergency Appeal (no.MDRYE002)</t>
  </si>
  <si>
    <t>Nigeria Population Movement (N°MDRNG007)</t>
  </si>
  <si>
    <t>Floods (Appeal n° MDRVN005)</t>
  </si>
  <si>
    <t>Baluchistan earthquake (Appeal MDRPK002)</t>
  </si>
  <si>
    <t>Floods (Appeal MDRKE007)</t>
  </si>
  <si>
    <t>Costa Rica, Panama</t>
  </si>
  <si>
    <t>Floods (Appeal MDR43005)</t>
  </si>
  <si>
    <t>Exceptional food security crisis (Appeal MDR64003)</t>
  </si>
  <si>
    <t>Zimbabwe Cholera (MDRZW004)</t>
  </si>
  <si>
    <t xml:space="preserve">Colombia - Floods </t>
  </si>
  <si>
    <t>Namibia Floods (MDRNA004)</t>
  </si>
  <si>
    <t>Polio (Appeal MDR61004-65005-63002)</t>
  </si>
  <si>
    <t xml:space="preserve">MDR00002 </t>
  </si>
  <si>
    <t>Global</t>
  </si>
  <si>
    <t xml:space="preserve">Pandemic Influenza - Response &amp; Mitigation </t>
  </si>
  <si>
    <t>Explosion (MDRTZ009)</t>
  </si>
  <si>
    <t>Technical</t>
  </si>
  <si>
    <t>Europe/Central Asia</t>
  </si>
  <si>
    <t>Tajikistan: Mudslides and floods (MDRTJ005)</t>
  </si>
  <si>
    <t>Humanitarian assistance for internally displaced people (Appeal MDRPK003)</t>
  </si>
  <si>
    <t>MDRCF006</t>
  </si>
  <si>
    <t>Central African Republic</t>
  </si>
  <si>
    <t>Floods (MDRCF006)</t>
  </si>
  <si>
    <t>MDR61005</t>
  </si>
  <si>
    <t>Early Warning/Early Action (MDR61005)</t>
  </si>
  <si>
    <t>Emergency Appeal (no.MDRSY001)</t>
  </si>
  <si>
    <t>MDRSD007</t>
  </si>
  <si>
    <t xml:space="preserve">Sudan </t>
  </si>
  <si>
    <t xml:space="preserve">Sudan - Khartoum State Floods </t>
  </si>
  <si>
    <t>MDRBF008</t>
  </si>
  <si>
    <t>Burkina Faso floods 2009</t>
  </si>
  <si>
    <t>MDRSN002</t>
  </si>
  <si>
    <t>Senegal floods 2009</t>
  </si>
  <si>
    <t xml:space="preserve">Kenya - Drought </t>
  </si>
  <si>
    <t xml:space="preserve">MDRPH005 </t>
  </si>
  <si>
    <t xml:space="preserve">Philippines - Typhoons </t>
  </si>
  <si>
    <t xml:space="preserve">MDRVN006 </t>
  </si>
  <si>
    <t xml:space="preserve">Vietnam - Floods and typhoon </t>
  </si>
  <si>
    <t xml:space="preserve">MDRWS001 </t>
  </si>
  <si>
    <t xml:space="preserve">Samoa - Earthquake &amp; Tsunami </t>
  </si>
  <si>
    <t xml:space="preserve">MDRID004 </t>
  </si>
  <si>
    <t xml:space="preserve">Indonesia - West Sumatra Earthquakes </t>
  </si>
  <si>
    <t xml:space="preserve">MDR64006 </t>
  </si>
  <si>
    <t xml:space="preserve">East Africa - El Nino Preparedness </t>
  </si>
  <si>
    <t xml:space="preserve">MDRSV002 </t>
  </si>
  <si>
    <t xml:space="preserve">El Salvador - Floods </t>
  </si>
  <si>
    <t xml:space="preserve">MDRSY002 </t>
  </si>
  <si>
    <t xml:space="preserve">Middle East and North Africa </t>
  </si>
  <si>
    <t xml:space="preserve">Syria: Population Displaced From Iraq </t>
  </si>
  <si>
    <t xml:space="preserve">MDRHT008 </t>
  </si>
  <si>
    <t xml:space="preserve">Haiti </t>
  </si>
  <si>
    <t xml:space="preserve">Haiti - Earthquake </t>
  </si>
  <si>
    <t xml:space="preserve">MDRTZ010 </t>
  </si>
  <si>
    <t xml:space="preserve">Tanzania - Floods </t>
  </si>
  <si>
    <t xml:space="preserve">MDRET007 </t>
  </si>
  <si>
    <t xml:space="preserve">Ethiopia </t>
  </si>
  <si>
    <t xml:space="preserve">Ethiopia - Drought </t>
  </si>
  <si>
    <t xml:space="preserve">MDRCL006 </t>
  </si>
  <si>
    <t xml:space="preserve">Chile - Earthquake </t>
  </si>
  <si>
    <t xml:space="preserve">MDRNE005 </t>
  </si>
  <si>
    <t xml:space="preserve">Niger </t>
  </si>
  <si>
    <t>Niger - Food Insecurity</t>
  </si>
  <si>
    <t xml:space="preserve">MDRMN004 </t>
  </si>
  <si>
    <t xml:space="preserve">Mongolia </t>
  </si>
  <si>
    <t xml:space="preserve">Mongolia -Severe Winter </t>
  </si>
  <si>
    <t xml:space="preserve">MDRLK002 </t>
  </si>
  <si>
    <t xml:space="preserve">Sri Lanka -Support for IDP </t>
  </si>
  <si>
    <t xml:space="preserve">MDRTD004 </t>
  </si>
  <si>
    <t xml:space="preserve">Chad </t>
  </si>
  <si>
    <t xml:space="preserve">Chad: Food Crisis </t>
  </si>
  <si>
    <t xml:space="preserve">MDRNP004 </t>
  </si>
  <si>
    <t xml:space="preserve">Nepal </t>
  </si>
  <si>
    <t xml:space="preserve">Nepal Potential Diarrhoea Outbreak </t>
  </si>
  <si>
    <t xml:space="preserve">MDRKE012 </t>
  </si>
  <si>
    <t xml:space="preserve">Kenya </t>
  </si>
  <si>
    <t xml:space="preserve">Kenya - Floods </t>
  </si>
  <si>
    <t xml:space="preserve">MDRGT002 </t>
  </si>
  <si>
    <t xml:space="preserve">Guatemala </t>
  </si>
  <si>
    <t xml:space="preserve">Guatemala - Tropical Storm Agatha </t>
  </si>
  <si>
    <t xml:space="preserve">MDRUZ002 </t>
  </si>
  <si>
    <t xml:space="preserve">Uzbekistan </t>
  </si>
  <si>
    <t xml:space="preserve">Uzbekistan - Population Movement </t>
  </si>
  <si>
    <t xml:space="preserve">MDRKG007 </t>
  </si>
  <si>
    <t xml:space="preserve">Kyrgyzstan </t>
  </si>
  <si>
    <t xml:space="preserve">Kyrgyzstan - Civil Unrest </t>
  </si>
  <si>
    <t xml:space="preserve">MDRPK006  </t>
  </si>
  <si>
    <t>Pakistan - Monsoon Floods</t>
  </si>
  <si>
    <t xml:space="preserve">MDRTD005 </t>
  </si>
  <si>
    <t xml:space="preserve">Chad - Floods </t>
  </si>
  <si>
    <t xml:space="preserve">MDRBF010 </t>
  </si>
  <si>
    <t xml:space="preserve">Burkina Faso - Floods </t>
  </si>
  <si>
    <t xml:space="preserve">MDRVN007 </t>
  </si>
  <si>
    <t xml:space="preserve">Vietnam - Floods </t>
  </si>
  <si>
    <t xml:space="preserve">MDRSD009 </t>
  </si>
  <si>
    <t>Sudan - Floods</t>
  </si>
  <si>
    <t xml:space="preserve">MDRPH006 </t>
  </si>
  <si>
    <t xml:space="preserve">Philippines - Typhoon Megi </t>
  </si>
  <si>
    <t xml:space="preserve">MDR49006 </t>
  </si>
  <si>
    <t xml:space="preserve">Caribbean </t>
  </si>
  <si>
    <t xml:space="preserve">Caribbean - Tropical Storm Tomas </t>
  </si>
  <si>
    <t xml:space="preserve">MDR49007 </t>
  </si>
  <si>
    <t>Haiti &amp; Dominican Republic</t>
  </si>
  <si>
    <t xml:space="preserve">Haiti &amp; Dominican Republic - Cholera Outbreak </t>
  </si>
  <si>
    <t xml:space="preserve">MDRID006 </t>
  </si>
  <si>
    <t xml:space="preserve">Indonesia - Java Volcano &amp; Sumatra Tsunami </t>
  </si>
  <si>
    <t>MDRCG006</t>
  </si>
  <si>
    <t>Congo</t>
  </si>
  <si>
    <t xml:space="preserve">Congo - Polio Outbreak </t>
  </si>
  <si>
    <t xml:space="preserve">MDRSD010 </t>
  </si>
  <si>
    <t>Sudan - Preparedness for Civil Unrest</t>
  </si>
  <si>
    <t xml:space="preserve">MDRRS004   </t>
  </si>
  <si>
    <t>Serbia</t>
  </si>
  <si>
    <t>Serbia - Earthquake</t>
  </si>
  <si>
    <t xml:space="preserve">MDRCO008 </t>
  </si>
  <si>
    <t xml:space="preserve">Colombia </t>
  </si>
  <si>
    <t xml:space="preserve">MDRPA007 </t>
  </si>
  <si>
    <t xml:space="preserve">Panama - Floods  </t>
  </si>
  <si>
    <t xml:space="preserve">MDRVE001   </t>
  </si>
  <si>
    <t>Venezuela - Floods</t>
  </si>
  <si>
    <t xml:space="preserve">West Africa - Population Movement </t>
  </si>
  <si>
    <t>MDRLK003</t>
  </si>
  <si>
    <t>Floods and landslides (MDRLK003)</t>
  </si>
  <si>
    <t>Bolivia:floods and landslides (MDRBO006)</t>
  </si>
  <si>
    <t>MDRKE014</t>
  </si>
  <si>
    <t>Kenya: Population Movement (MDRKE014)</t>
  </si>
  <si>
    <t>MDRKE016</t>
  </si>
  <si>
    <t>MDRCM011</t>
  </si>
  <si>
    <t>Cameroon: Cholera outbreak</t>
  </si>
  <si>
    <t>Namibia: Floods</t>
  </si>
  <si>
    <t>MDRCI003</t>
  </si>
  <si>
    <t>Cote d'Ivoire</t>
  </si>
  <si>
    <t>Cote d’Ivoire: Post electoral civil unrest</t>
  </si>
  <si>
    <t>MDRSD011</t>
  </si>
  <si>
    <t>Sudan: Complex Emergency</t>
  </si>
  <si>
    <t>Korea, Democratic People's Republic of</t>
  </si>
  <si>
    <t>Floods (MDRKP003)</t>
  </si>
  <si>
    <t>Bangladesh: Monsoon Floods (MDRBD009)</t>
  </si>
  <si>
    <t xml:space="preserve">Preliminary emergency appeal </t>
  </si>
  <si>
    <t>MDRSO001</t>
  </si>
  <si>
    <t>MDRTZ012</t>
  </si>
  <si>
    <t>Tanzania, United Republic of</t>
  </si>
  <si>
    <t>Drought and food insecurity</t>
  </si>
  <si>
    <t>Floods (MDRGT003)</t>
  </si>
  <si>
    <t>MDRET011</t>
  </si>
  <si>
    <t>Population Movements (MDRET011)</t>
  </si>
  <si>
    <t>Floods (MDRSV004)</t>
  </si>
  <si>
    <t>Asia Pacfic</t>
  </si>
  <si>
    <t>Viet Nam</t>
  </si>
  <si>
    <t>Mekong Delta floods (MDRVN009)</t>
  </si>
  <si>
    <t>MDRKE018</t>
  </si>
  <si>
    <t>Population movement - Somali Refugees (MDRKE018)</t>
  </si>
  <si>
    <t>MDRNE010</t>
  </si>
  <si>
    <t>Food insecurity (MDRNE010)</t>
  </si>
  <si>
    <t>Turkey: Van Earthquake</t>
  </si>
  <si>
    <t xml:space="preserve">Revised Emergency Appeal </t>
  </si>
  <si>
    <t>Tropical Storm Washi</t>
  </si>
  <si>
    <t>Revised Emergnecy Appeal</t>
  </si>
  <si>
    <t>MDRTD008</t>
  </si>
  <si>
    <t>Cholera (MDRTD008)</t>
  </si>
  <si>
    <t>MDRET010</t>
  </si>
  <si>
    <t>Emergency Appeal (revised)</t>
  </si>
  <si>
    <t xml:space="preserve">IFRC &amp; ICRC Appeals %: This is the trickiest question of all, and requires that you research total number of IFRC appeals and  budget extensions.  
Calculating appeals number: 
- First open this spreadsheet that I use to track all the appeals at: G:\International Response Operations Center\Information\Info - Disaster Statistics\IFRC &amp; ICRC Appeals Tracking for SIP and other\ IFRC &amp; ICRC Appeals Tracking Sheet.xls
- Then go to IFRC website and check lists of appeals, then add any new ones in the  IFRC tab sheet. See the Federation's website for list of appeals under their 'publications' tab - warning - they have multiple 'types'  of terms that mean appeals: appeals, emergency appeals, preliminary emergency appeals. You'll have to check them all to be sure you have every appeal released.
- Go to ICRC budget extension section of website (see instructions for log in in above spreadsheet) and add any new budget extensions in the ICRC sheet.  Sometimes ICRC appeals and budget extensions cover the same emergency, so I don't count both, but just as one.  Add both IFRC and ICRC appeals into spreadsheet under each of their tabs, with you adding in yourself, the date of issue, then calendar year and fiscal year. 
- Then sort each tab by fiscal year and get the total for IFRC and for ICRC. Put figures into this spreadsheet, and use combined total as the denominator for the appeals percentage figure in column M20.
Calculating $50k or higher contributions: 
Go to MRL and total up number of responses in the quarter that had a $50k or greater contribution to the ICRC or IFRC. 
Those figures go in quarterly columns. </t>
  </si>
  <si>
    <t>MDR82001</t>
  </si>
  <si>
    <t>Value CHF</t>
  </si>
  <si>
    <t>Total Coverage</t>
  </si>
  <si>
    <t>Vlookup Attempt</t>
  </si>
  <si>
    <t>Value USD</t>
  </si>
  <si>
    <t>Sum of Value USD</t>
  </si>
  <si>
    <t>Total Coverage USD</t>
  </si>
  <si>
    <t>Sum of Total Coverage USD</t>
  </si>
  <si>
    <t>Total appeal coverage</t>
  </si>
  <si>
    <t>Unfunded</t>
  </si>
  <si>
    <t>ARC</t>
  </si>
  <si>
    <t>Total appeal</t>
  </si>
  <si>
    <t>Total appeal value</t>
  </si>
  <si>
    <t>Sum of ARCT?</t>
  </si>
  <si>
    <t>Including Haiti</t>
  </si>
  <si>
    <t>ARC/other</t>
  </si>
  <si>
    <t>ARC/ARCT</t>
  </si>
  <si>
    <t>(excluding Haiti)</t>
  </si>
  <si>
    <t>Support for international Red Cross appeals by funding source</t>
  </si>
  <si>
    <t>(Including Haiti)</t>
  </si>
  <si>
    <t>ARC support as a % of international Red Cross appeals</t>
  </si>
  <si>
    <t>(Excluding Haiti)</t>
  </si>
  <si>
    <t>Comment:  In FY11, an additional $200,000 in ARCT funds supported a response to floods in Mexico.  This number is excluded from these figures as no formal appeal was launched and American Red Cross support went directly to the Mexican Red Cross.</t>
  </si>
  <si>
    <t>Non-ARCT Designated Fundraising?</t>
  </si>
  <si>
    <t>Limited corporate, full public and/or USG?</t>
  </si>
  <si>
    <t>USG</t>
  </si>
  <si>
    <t>Internal funds</t>
  </si>
  <si>
    <t>ARCT funds</t>
  </si>
  <si>
    <t>External funding</t>
  </si>
  <si>
    <t>Internal + ARCT</t>
  </si>
  <si>
    <t>Disaster responses that received no external funding beyond ARCT</t>
  </si>
  <si>
    <t>MDRTZ009</t>
  </si>
  <si>
    <t>MDRKE007</t>
  </si>
  <si>
    <t>MDRPK002</t>
  </si>
  <si>
    <t>MDRNG007</t>
  </si>
  <si>
    <t>MDRZW003</t>
  </si>
  <si>
    <t>MDR61003</t>
  </si>
  <si>
    <t>MDRUG010</t>
  </si>
  <si>
    <t>MDR63001</t>
  </si>
  <si>
    <t>MDRCM006</t>
  </si>
  <si>
    <t>MDRTJ004</t>
  </si>
  <si>
    <t>MDRNP001</t>
  </si>
  <si>
    <t/>
  </si>
  <si>
    <t>Satkhira, Khulna, Bagerhat, Pirojpur, Jhalakathi, Barguna, Patuakhali, Bhola, Lakshmipur, Noakhali, Chittagong, Feni, Cox's Bazar</t>
  </si>
  <si>
    <t>Khulna, Barisal, Chittagong</t>
  </si>
  <si>
    <t>OU1-&gt;7, IB01-&gt;02, Final report, Multiple countries: See also India, TC-2009-000105-IND</t>
  </si>
  <si>
    <t>ICRC, WHO, NGO, UNICEF, UNDP, WFP</t>
  </si>
  <si>
    <t>4618 4620 4623 4626 4636 4698</t>
  </si>
  <si>
    <t>Aila</t>
  </si>
  <si>
    <t>A</t>
  </si>
  <si>
    <t>OU1-&gt;3 REV-&gt;OU4-&gt;9 REV-&gt;10, OU11, See also IB01, Interim final, final report</t>
  </si>
  <si>
    <t>UN-OCHA, ICRC, UNHCR, WHO, UNICEF, WFP, ICRC</t>
  </si>
  <si>
    <t>RDRT</t>
  </si>
  <si>
    <t>04596</t>
  </si>
  <si>
    <t>Humanitarian assistance for IDP</t>
  </si>
  <si>
    <t>Final report</t>
  </si>
  <si>
    <t>MoH, UNICEF, UNSAID</t>
  </si>
  <si>
    <t>4591</t>
  </si>
  <si>
    <t>OT2009000098TZA</t>
  </si>
  <si>
    <t>Explosion in Dar es Salaam</t>
  </si>
  <si>
    <t>MDR00002</t>
  </si>
  <si>
    <t>Global EA, OU1-&gt;2, 20 countries affected</t>
  </si>
  <si>
    <t>WHO, UN, UNSIC, NGOs, ICRC, WFP, UNICEF</t>
  </si>
  <si>
    <t>04561 04563 04568 04610</t>
  </si>
  <si>
    <t>EP2009000084AAA</t>
  </si>
  <si>
    <t>Influenza A (H1N1), response and mitigation</t>
  </si>
  <si>
    <t>DREF OU1-&gt;3, Final report</t>
  </si>
  <si>
    <t>WFP, WHO, UNICEF, UNDP, UN, NGO</t>
  </si>
  <si>
    <t>NDRT, RDRT</t>
  </si>
  <si>
    <t>04555 04557 04703</t>
  </si>
  <si>
    <t>MS-2009-000083-TJK FL-2009-000095-TJK MS-2009-000099-TJK</t>
  </si>
  <si>
    <t>Khuroson District</t>
  </si>
  <si>
    <t>MDR61004</t>
  </si>
  <si>
    <t>OU1-&gt;4,Final report, MDR64005 East Africa, MDR63002 Southern Africa</t>
  </si>
  <si>
    <t>WHO, CDC, UNICEF, MoH</t>
  </si>
  <si>
    <t>Polio</t>
  </si>
  <si>
    <t>OU1-&gt;3, Preleminary final report, Final report</t>
  </si>
  <si>
    <t>UNICEF, WHO, UNDP, Govt, UNDAC, UNICEF, WHO, UNDP</t>
  </si>
  <si>
    <t>4473 4522</t>
  </si>
  <si>
    <t>FL-2009-000062-NAM</t>
  </si>
  <si>
    <t>North-Western and North-Eastern regions</t>
  </si>
  <si>
    <t>OU1-&gt;3, Prelim final report, FInal report</t>
  </si>
  <si>
    <t>Govt, ICRC,  PAHO, OCHA</t>
  </si>
  <si>
    <t>PADRU, RIT, NIT</t>
  </si>
  <si>
    <t>4450 4453 4460 4485 4478</t>
  </si>
  <si>
    <t>OU1-&gt;2 REV-&gt;4, Multiple countries: country entry: See also Kenya, Ethiopia and Somalia MDR64003</t>
  </si>
  <si>
    <t>FAO, UN, WFP, WHO, UNICEF, NGOs, OXFAM, SCF, CARE, ICRC, UNDP, OCHA</t>
  </si>
  <si>
    <t>3711 3712 3683</t>
  </si>
  <si>
    <t>OT-2008-000196-DJI</t>
  </si>
  <si>
    <t>Horn of Africa: Exceptional food security crisis</t>
  </si>
  <si>
    <t>OU1-&gt;REV, final report, Multiple countries: country entry: Rwanda, Burundi. See also DREF Uganda MDRUG012</t>
  </si>
  <si>
    <t>WHO, MSF, UNHCR, ICRC,</t>
  </si>
  <si>
    <t>4213 4277 4289 4297 4278 4233</t>
  </si>
  <si>
    <t>North Kivu Province of DRC</t>
  </si>
  <si>
    <t>OU 1-&gt;3, Final report Multiple Countries: country enrty: See also Panama FL-2008-000158-PAN, See also DREF Costa Rica MDRCR004</t>
  </si>
  <si>
    <t>UN, UNETE, UNDP, UNDAC, NGOs,  UNEP, FAO, UNCT, AECID,  WFP, UNICEF</t>
  </si>
  <si>
    <t>PADRU, NIT</t>
  </si>
  <si>
    <t>4276 4274 4275 4276 4281 4283 4285 4296 4300 4301 4303</t>
  </si>
  <si>
    <t>OU 1-&gt;3, Final report</t>
  </si>
  <si>
    <t>ICRC, IASC, NGOs, UN, WFP</t>
  </si>
  <si>
    <t>4205</t>
  </si>
  <si>
    <t>South-western Baluchistan Province</t>
  </si>
  <si>
    <t>OU 1-&gt;5, Interim final report</t>
  </si>
  <si>
    <t>UN, NGOs, UNICEF, WHO, UNDP, FAO</t>
  </si>
  <si>
    <t>4211 4212 4214</t>
  </si>
  <si>
    <t>North and Central provinces</t>
  </si>
  <si>
    <t>4144 4218</t>
  </si>
  <si>
    <t>FL-2008-000217-KEN</t>
  </si>
  <si>
    <t>Flood in many parts of country</t>
  </si>
  <si>
    <t>MDRMA001</t>
  </si>
  <si>
    <t>OU1-&gt;2, Final report</t>
  </si>
  <si>
    <t>1613</t>
  </si>
  <si>
    <t>FF-2008-000202-MAR</t>
  </si>
  <si>
    <t>MDRYE002</t>
  </si>
  <si>
    <t>Govt, NGOs, ICRC, MSF, UNICEF, UNDAC, WHO, UNHCR, UNEPRT,  OCHA, WFP, UNDP</t>
  </si>
  <si>
    <t>FL-2008-000201-YEM</t>
  </si>
  <si>
    <t>South eastern and south western</t>
  </si>
  <si>
    <t>Final report, OU 1-&gt;Rev-&gt;2, Multiple countries, country entry: See also Guatemala, Nicaragua. Other affected countries: El Salvador, Costa Rica and Belize</t>
  </si>
  <si>
    <t>Govt, COE, WFP, UNDAC, UNICEF</t>
  </si>
  <si>
    <t>2 PADRU  1 RIT</t>
  </si>
  <si>
    <t>4186</t>
  </si>
  <si>
    <t>FL-2008-000198-HND</t>
  </si>
  <si>
    <t>Tropical Depression 16</t>
  </si>
  <si>
    <t>MDRDZ001</t>
  </si>
  <si>
    <t>OU1-&gt;1, Final report</t>
  </si>
  <si>
    <t>NGOs</t>
  </si>
  <si>
    <t>FF-2008-000178-DZA</t>
  </si>
  <si>
    <t>Floods in Ghardaia province</t>
  </si>
  <si>
    <t>MDR62003</t>
  </si>
  <si>
    <t>OU1-&gt;1, See also: Cameroon. Other countries affected: Gambia, Liberia, Burkina, Guinea, Senegal, Niger, Guinea Bissau and Central African Republic</t>
  </si>
  <si>
    <t>Govt</t>
  </si>
  <si>
    <t>4088</t>
  </si>
  <si>
    <t>FL-2008-000126-TCD</t>
  </si>
  <si>
    <t>Chad and Cameroon</t>
  </si>
  <si>
    <t>ICRC, Govt</t>
  </si>
  <si>
    <t>OU1-&gt;1 REV OU-&gt;4, Interim Final report, Final report</t>
  </si>
  <si>
    <t>Govt, UNDP, OCHA, CERF, ICRC, UNFPA</t>
  </si>
  <si>
    <t>PADRU, RIT</t>
  </si>
  <si>
    <t>4032 4042</t>
  </si>
  <si>
    <t>TC-2008-000143-CUB</t>
  </si>
  <si>
    <t>Hurricane Season 2008: Gustav, Ike</t>
  </si>
  <si>
    <t>OU 1-&gt;3, Final report, Multiple country - Country entry: See also Bahamas, Turks &amp; Caicos, Cayman Islands, Haïti, Cuba</t>
  </si>
  <si>
    <t>UNFPA</t>
  </si>
  <si>
    <t>3990 3992 4003 4005 4002 4004 4014 4029 4009</t>
  </si>
  <si>
    <t>TC-2008-000143-AAA</t>
  </si>
  <si>
    <t>Hurricane Season 2008</t>
  </si>
  <si>
    <t>OU 1-&gt;4, Final report</t>
  </si>
  <si>
    <t>Govt, ICRC, NGOs, UNOCHA, UNICEF, WHO, WFP, UNDP</t>
  </si>
  <si>
    <t>3961 3963 3977 3981</t>
  </si>
  <si>
    <t>Saptakoshi River</t>
  </si>
  <si>
    <t>Sud, Sud-Est, Artibonite and the northern coast</t>
  </si>
  <si>
    <t>OU 1 REV OU 2-&gt;REV-&gt;OU4, Hurricane Seaso 2008, Final report</t>
  </si>
  <si>
    <t>WHO, MSF, ICRC, UNICEF, WFP, FAO,  UNDAC, UNDP, OCHA</t>
  </si>
  <si>
    <t>PADRU</t>
  </si>
  <si>
    <t>4013 4031 4039</t>
  </si>
  <si>
    <t>OU 1-&gt; 9, REV-&gt;10, Final report</t>
  </si>
  <si>
    <t>FAO, WFP, Tree Africa, ICRAF, UNICEF</t>
  </si>
  <si>
    <t>JT-2008-000097-ZWE</t>
  </si>
  <si>
    <t>Moldova</t>
  </si>
  <si>
    <t>OU 1-&gt;3, Final report, Multiple country - Country entry, See also DREF Ukraine MDRUA004 DREF Moldova MDRMO002</t>
  </si>
  <si>
    <t>UN, NGOs, ICRC, Govt, USAID</t>
  </si>
  <si>
    <t>3915</t>
  </si>
  <si>
    <t>FL-2008-000122-UKR</t>
  </si>
  <si>
    <t>Dniester and Prut rivers</t>
  </si>
  <si>
    <t>Final report, OU 1-&gt;1 REV &amp; extension OU 2-&gt;4 extension, Multiple country - Country entry: See also Benin, West and Central Africa. Other affected countries: Ghana, Senegal and Gambia</t>
  </si>
  <si>
    <t>ICRC, UNICEF, Caritas, MoH, UN, OCHA, NGOs, USAID</t>
  </si>
  <si>
    <t>Flood preparedness</t>
  </si>
  <si>
    <t>MoH, WHO, UNICEF, OXFAM, IRC, MSF</t>
  </si>
  <si>
    <t>3657 3862</t>
  </si>
  <si>
    <t>EP2008000101UGA</t>
  </si>
  <si>
    <t>Cholera in eastern Uganda</t>
  </si>
  <si>
    <t>OU1-&gt;7, Final report</t>
  </si>
  <si>
    <t>UN-OCHA, WHO, MoH, NGOs, UNICEF, MSF, OXFAM, PSI, GAA</t>
  </si>
  <si>
    <t>OU 1-&gt;5, Final report</t>
  </si>
  <si>
    <t>Govt, ICRC, UN</t>
  </si>
  <si>
    <t>3864 3866 3867 3870 3871 3873 3874</t>
  </si>
  <si>
    <t>Typhoon Fengshen (Frank)</t>
  </si>
  <si>
    <t>Final report, OU 1-&gt;1 REV-&gt;4, Interim final report 26/06/09</t>
  </si>
  <si>
    <t>PAHO, UNICEF, NGO, ECHO, UNICEF,  UNDP</t>
  </si>
  <si>
    <t>3831 3842 3846 3856</t>
  </si>
  <si>
    <t>Marowijne, Lawa and Tapanahoni regions</t>
  </si>
  <si>
    <t>Wenchuan</t>
  </si>
  <si>
    <t>Sichuan, Gansu and Shaanxi</t>
  </si>
  <si>
    <t>OU 1-&gt; 8 REV, OU 9-&gt;17 REV-&gt;19 OU20-&gt;28, REV, OU29-&gt;32</t>
  </si>
  <si>
    <t>Govt, IMO, UNICEF, MSF, ICRC, NGOs</t>
  </si>
  <si>
    <t>3772 3774</t>
  </si>
  <si>
    <t>Sichuan Earthquake, 8 RS</t>
  </si>
  <si>
    <t>OU1-&gt;2 REV OU3-&gt;6, Final report</t>
  </si>
  <si>
    <t>DPPA, FSCB, ICRC, EWWG, STF, OCHA, WFP, NGOs, ECHO</t>
  </si>
  <si>
    <t>Ayeyarwady and Yangon</t>
  </si>
  <si>
    <t>OU 1-&gt; 8 REV 9 -&gt; 17 REV OU 18 -&gt;24 REV-&gt;31, final report</t>
  </si>
  <si>
    <t>IASC, UNHCR, NGOs, UN, OCHA, ICRC, UNICEF, WFP</t>
  </si>
  <si>
    <t>3749 3754 3760 3768 3776 3789 3811 4097 4100 4102</t>
  </si>
  <si>
    <t>Cyclone Nargis</t>
  </si>
  <si>
    <t>OU 1-&gt; 1, Final report</t>
  </si>
  <si>
    <t>Govt, UNICEF</t>
  </si>
  <si>
    <t>3637 3642 3648 3688 3672 3679 3700</t>
  </si>
  <si>
    <t>TC-2008-000023 -MDG</t>
  </si>
  <si>
    <t>Cyclone Ivan</t>
  </si>
  <si>
    <t>OU1-&gt;2 Rev OU 3-&gt; Final report</t>
  </si>
  <si>
    <t>ICRC, UNCHR, Govt of Cameroon, WFP, UNICEF, MSF,</t>
  </si>
  <si>
    <t>3595 3597</t>
  </si>
  <si>
    <t>Pop. Mov.</t>
  </si>
  <si>
    <t>MDRIQ003</t>
  </si>
  <si>
    <t>OU1-&gt;1 REV-&gt;OU2, Final report</t>
  </si>
  <si>
    <t>ICRC, UNHCR, UNDP, UNAMI, NGO, OCHA</t>
  </si>
  <si>
    <t>Expanding response to humanitarian crisis</t>
  </si>
  <si>
    <t>OU1-&gt;3 Final report</t>
  </si>
  <si>
    <t>NOGs, UN, CERF, WFP, CARITAS, CARE, OCHA, FOCUS, UNHCR, WHO</t>
  </si>
  <si>
    <t>3615 3620</t>
  </si>
  <si>
    <t>CW-2008-000015-TJK</t>
  </si>
  <si>
    <t>OU1-&gt;2 REV, Final report, see also  Mozambique, Zambia, Malawi, Zimbabue, Swaziland and Namibia</t>
  </si>
  <si>
    <t>UNOCHA, WFP, UNICEF, FAO, NGOs</t>
  </si>
  <si>
    <t>3475 3486 3543 3541 3540 3542</t>
  </si>
  <si>
    <t>FL-2008-00004-LSO</t>
  </si>
  <si>
    <t>Zambezi river</t>
  </si>
  <si>
    <t>OU1-&gt;3 FS1 OU4 Interim Final report</t>
  </si>
  <si>
    <t>Govt, AUSAID, OCHA, UNICEF, ICRC</t>
  </si>
  <si>
    <t>3402 3404 3423</t>
  </si>
  <si>
    <t>MDRBD003</t>
  </si>
  <si>
    <t>IB1 PREL OU1-&gt;9 FS1 OU 10-&gt;15, Final report</t>
  </si>
  <si>
    <t>Govt, UNICEF, UNDP, WFP, USAID</t>
  </si>
  <si>
    <t>3390 3391 3399 3403</t>
  </si>
  <si>
    <t>TC-2007-000208-BGD</t>
  </si>
  <si>
    <t>SIDR</t>
  </si>
  <si>
    <t>TC-2000-000198-CUB</t>
  </si>
  <si>
    <t>The Bahamas</t>
  </si>
  <si>
    <t>OU-&gt;3, Final report, Dominican Republic, Haiti, The Bahamas and Cuba</t>
  </si>
  <si>
    <t>Govt, OCHA, ICRC, REDLAC, UNADC, WFP, UNICEF,</t>
  </si>
  <si>
    <t>3354 3356 3375 3349 3364 3366</t>
  </si>
  <si>
    <t>TC-2007-000198-BHS</t>
  </si>
  <si>
    <t>Tropical storm Noel</t>
  </si>
  <si>
    <t>PREL OU1-&gt;3 REV-&gt;OU5, final report</t>
  </si>
  <si>
    <t>ICRC, MSF, UNDAC, UN, WFP, UNICEF, WHO, UNFPA, UNDSS</t>
  </si>
  <si>
    <t>3359 3367 3369 3371 3372 3373 3379</t>
  </si>
  <si>
    <t>Dept of Tabasco and Chiapas</t>
  </si>
  <si>
    <t>IB1 PREL OU1-&gt;4 Final report</t>
  </si>
  <si>
    <t>Govt, USAID, ECHO</t>
  </si>
  <si>
    <t>3267 3268 3280 3314</t>
  </si>
  <si>
    <t>TC-2007-000178-VNM</t>
  </si>
  <si>
    <t>Ghana</t>
  </si>
  <si>
    <t>Multiple countries: See also Togo and Burkina Faso. REV OU1-&gt;4 Final report</t>
  </si>
  <si>
    <t>Govt, WFP, UNICEF</t>
  </si>
  <si>
    <t>3209 3256 3272 3273 3292</t>
  </si>
  <si>
    <t>FL-2007-000153-GHA</t>
  </si>
  <si>
    <t>West Africa Floods</t>
  </si>
  <si>
    <t>Final report, DREF Bulletin: MDR43001, Appeal: MDR43002  PREL OU1-&gt;5  REV-&gt;7, Multiple countries See also Aruba, Trinidad and Tobago, Netherlands Antille, Mexico, Guatemala, Beliye, Colombia, El Salvador, Nicaragua.</t>
  </si>
  <si>
    <t>NIT, PADRU</t>
  </si>
  <si>
    <t>3143 3144 3157 3159 3166 3169 3173 3176 3177</t>
  </si>
  <si>
    <t>TC2007000157NIC</t>
  </si>
  <si>
    <t>Aruba</t>
  </si>
  <si>
    <t>See also Honduras, 2007, DREF, Tropical Cyclone, Felix.</t>
  </si>
  <si>
    <t>3134 3135 3136 3137 3138 3140 3142</t>
  </si>
  <si>
    <t>Trinidad and Tobago</t>
  </si>
  <si>
    <t>3130 3131 3132</t>
  </si>
  <si>
    <t>TC-2005-000157-TTO</t>
  </si>
  <si>
    <t>MDRET004</t>
  </si>
  <si>
    <t>Govt, OCHA, UNICEF, MSF</t>
  </si>
  <si>
    <t>EP-2007-000145-ETH</t>
  </si>
  <si>
    <t>Acute Watery Diarrhoea</t>
  </si>
  <si>
    <t>Cayman Is.</t>
  </si>
  <si>
    <t>Multiple countries. See also Dominica, 2007, Tropical Cyclone, Dean. Appeal called "The Caribbean and Mexico: Hurricane Dean".</t>
  </si>
  <si>
    <t>3055 3065 3073 3074 3081</t>
  </si>
  <si>
    <t>OU1-&gt;4 Rev-&gt; OU 5-&gt; Interim final report 31102008, Final report. See Mexico, Jamaica, Cayman Is., Haiti, Belize, Honduras. Appeal called "The Caribbean and Mexico: Hurricane Dean". IB1 PREL OU1-&gt;3 REV</t>
  </si>
  <si>
    <t>Govt, OCHA, NGOs</t>
  </si>
  <si>
    <t>3032 3039 3048 3049 3051 3057 3058 3069 3061 3062 3063 3066 3071 3072 3075 3077 3076 3080 3084 3086 3087 3089 3095 3096 3091 3101 3106 3107 3111 3124 3148 3149 3162 3254</t>
  </si>
  <si>
    <t>TC-2007-000135-DMA</t>
  </si>
  <si>
    <t>Pisco, Chincha and Ica</t>
  </si>
  <si>
    <t>Ica</t>
  </si>
  <si>
    <t>IB1 PRL OU1-&gt;6 REV -&gt; OU7-&gt;REV-&gt;11, DREF allocated without Bulletin, Interim Final Report, Final report</t>
  </si>
  <si>
    <t>Govt, UN, Oxfam, WFP, IOM, NGOs, UNDP, OCHA, ICRC, USAID</t>
  </si>
  <si>
    <t>3033 3034 3037 3059 3064 3067</t>
  </si>
  <si>
    <t>7.9 Central coast</t>
  </si>
  <si>
    <t>PREL OU1-&gt;4 REV OU5 Final report</t>
  </si>
  <si>
    <t>Govt, UNICEF, WHO, WFP</t>
  </si>
  <si>
    <t>3026 3218 3235 3249 3255 3259 3278 3295 3300 3306 3315</t>
  </si>
  <si>
    <t>Sironko</t>
  </si>
  <si>
    <t>MDRKP001</t>
  </si>
  <si>
    <t>DPRK</t>
  </si>
  <si>
    <t>IB1-&gt;2 OU1-&gt;4 final report</t>
  </si>
  <si>
    <t>Govt, World Food Programme, UNICEF, WHO</t>
  </si>
  <si>
    <t>FL-2007-000126-PRK</t>
  </si>
  <si>
    <t>North Hwanghae</t>
  </si>
  <si>
    <t>IB1 PREL OU1-&gt;7 revised OU7-&gt;10, Final report</t>
  </si>
  <si>
    <t>Govt, UNICEF, NGOs, WFP, ICRC, INGOs</t>
  </si>
  <si>
    <t>2984 2993 3002 3016 3569 3570</t>
  </si>
  <si>
    <t>Southern plains</t>
  </si>
  <si>
    <t>PREL OU1-&gt;6 REV Final report</t>
  </si>
  <si>
    <t>Govt, UN, NGOs</t>
  </si>
  <si>
    <t>LDRT</t>
  </si>
  <si>
    <t>2955 2967 2973 2985 3009</t>
  </si>
  <si>
    <t>FL-2007-000093-SDN</t>
  </si>
  <si>
    <t>North Kordofan, White Nile States</t>
  </si>
  <si>
    <t>MDRCN002</t>
  </si>
  <si>
    <t>OU1-&gt;6 final report</t>
  </si>
  <si>
    <t>Govt, UN</t>
  </si>
  <si>
    <t>RDMT</t>
  </si>
  <si>
    <t>2916 3569 3570</t>
  </si>
  <si>
    <t>FL-2007-000097-CHN</t>
  </si>
  <si>
    <t>Hubei</t>
  </si>
  <si>
    <t>data ID</t>
  </si>
  <si>
    <t>document number</t>
  </si>
  <si>
    <t>subregion id</t>
  </si>
  <si>
    <t>region id</t>
  </si>
  <si>
    <t>disaster id</t>
  </si>
  <si>
    <t>Admin suite</t>
  </si>
  <si>
    <t>Admin 4</t>
  </si>
  <si>
    <t>Admin 3</t>
  </si>
  <si>
    <t>Admin 2</t>
  </si>
  <si>
    <t>country id</t>
  </si>
  <si>
    <t>year</t>
  </si>
  <si>
    <t>Comment</t>
  </si>
  <si>
    <t>Appeal: Emergency Appeal launched</t>
  </si>
  <si>
    <t>DREF: Disaster Relief Emergency Fund used</t>
  </si>
  <si>
    <t>ERU: Emergency Response Units deployed</t>
  </si>
  <si>
    <t>FACT: Field Assessment and Coordination Team Deployed</t>
  </si>
  <si>
    <t>Others: Other key actors in the operation</t>
  </si>
  <si>
    <t>Type of RDRT</t>
  </si>
  <si>
    <t>RDRT: Regional Disaster Response Team mobilised</t>
  </si>
  <si>
    <t>Del: Delegation involved in assessment/coordination</t>
  </si>
  <si>
    <t>Volunteers</t>
  </si>
  <si>
    <t>Local Staff</t>
  </si>
  <si>
    <t>Beneficiaries</t>
  </si>
  <si>
    <t>Displaced/Evacuated</t>
  </si>
  <si>
    <t>Affected</t>
  </si>
  <si>
    <t>Missing</t>
  </si>
  <si>
    <t>Dead</t>
  </si>
  <si>
    <t>Injured</t>
  </si>
  <si>
    <t>DMIS field reports</t>
  </si>
  <si>
    <t>NS involved</t>
  </si>
  <si>
    <t>First on DMIS</t>
  </si>
  <si>
    <t>GLIDE number</t>
  </si>
  <si>
    <t>Precision</t>
  </si>
  <si>
    <t>Emergency_Level</t>
  </si>
  <si>
    <t xml:space="preserve">ARC FY </t>
  </si>
  <si>
    <t>Sum of Appeal: Emergency Appeal launched</t>
  </si>
  <si>
    <t>Coverage</t>
  </si>
  <si>
    <t>Total Coverage CHF</t>
  </si>
  <si>
    <t>PMN was for $193,603-rest went to AP 2882</t>
  </si>
  <si>
    <t>Mongolia Severe Weather</t>
  </si>
  <si>
    <t>Syria Drought PMN# 0910021</t>
  </si>
  <si>
    <t>Syria Drought PMN# 0911079</t>
  </si>
  <si>
    <t>Sudan Polio</t>
  </si>
  <si>
    <t>$182,000 minus $67,796.29 of funds returned</t>
  </si>
  <si>
    <t xml:space="preserve">ARCT-supported responses </t>
  </si>
  <si>
    <t>per finance</t>
  </si>
  <si>
    <t>Response</t>
  </si>
  <si>
    <t>Typhoon Lekima Vietnam</t>
  </si>
  <si>
    <t>Cyclone Jokwe Mozambique</t>
  </si>
  <si>
    <t>Haiti hurricanes</t>
  </si>
  <si>
    <t>Typhoon Fengshen/Frank Philippines</t>
  </si>
  <si>
    <t>Sudan polio</t>
  </si>
  <si>
    <t xml:space="preserve">Syria drought </t>
  </si>
  <si>
    <t xml:space="preserve">El Salvador Floods/Landslides </t>
  </si>
  <si>
    <t xml:space="preserve">Tanzania Floods </t>
  </si>
  <si>
    <t xml:space="preserve">Mongolia Severe Winter </t>
  </si>
  <si>
    <t>North Africa Civil Unrest</t>
  </si>
  <si>
    <t>Appeal?</t>
  </si>
  <si>
    <t>n</t>
  </si>
  <si>
    <t>Comments:  ARCT funds, received in the FYs above, were not all spent in the same FY received.  In the case of Sudan Polio, some of the original money was returned unspent by the IFRC and reallocated elsewhere.  In other cases, the money was simply spent near to the end of a FY and therefore was part of carryover funding into the next ARC FY.</t>
  </si>
  <si>
    <t>Including Haiti &amp; China</t>
  </si>
  <si>
    <t>Excluding Haiti &amp; China</t>
  </si>
  <si>
    <t>China Only</t>
  </si>
  <si>
    <t>ARC contributions to appeals FY08-FY11</t>
  </si>
  <si>
    <t>Total IFRC appeal value</t>
  </si>
  <si>
    <t>Sum of Total Coverage CHF</t>
  </si>
  <si>
    <t>Total IFRC appeal coverage</t>
  </si>
  <si>
    <t>ARC total</t>
  </si>
  <si>
    <t>Bangui the capital</t>
  </si>
  <si>
    <t>FL-2009-000129-CAF</t>
  </si>
  <si>
    <t>4735 4748 4753</t>
  </si>
  <si>
    <t>MSF, ICRC, UNFPA, WHO, WFP, UNICEF, UNHCR</t>
  </si>
  <si>
    <t>OU1-&gt;2 Final</t>
  </si>
  <si>
    <t>DR-2009-000149-SYR</t>
  </si>
  <si>
    <t>UNDP, FAO, OCHA, NGOs, WFP, ICRC</t>
  </si>
  <si>
    <t>OU1-&gt;3, See also IB 27.07.09 Final report</t>
  </si>
  <si>
    <t>Benin</t>
  </si>
  <si>
    <t>Early warning/Early action</t>
  </si>
  <si>
    <t>RDRT, RDRT, CDRT</t>
  </si>
  <si>
    <t>WFP, ICRC, FAO</t>
  </si>
  <si>
    <t>OU1-&gt;2 Final report Multiple countries: See also Senegal, Burkina Faso, Niger, Ghana, Nigeria, Mali, Mauritania, Sierra Leone, Benin, Gambia, Cote d'Ivoire, Liberia, Togo and Guinea</t>
  </si>
  <si>
    <t>Khartoum</t>
  </si>
  <si>
    <t>FL2009000166SDN</t>
  </si>
  <si>
    <t>04804 04813</t>
  </si>
  <si>
    <t>Govt, ICRC, UNJLC, WHO</t>
  </si>
  <si>
    <t>OU1-&gt;1 Final</t>
  </si>
  <si>
    <t>West and Central Africa</t>
  </si>
  <si>
    <t>FL2009000164SEN</t>
  </si>
  <si>
    <t>04807 04901</t>
  </si>
  <si>
    <t>Govt, ICRC, UNICEF, WFP, OCHA</t>
  </si>
  <si>
    <t>OU1-&gt;5, Multiples countries: Liberia, Guinea, Burkina Faso,
Niger, Gambia, Gabon, Chad, Togo, Mali, Central
African Republic, Ghana, Benin, Mauritania, Côte
d'Ivoire, Sierra Leone FL-2009-000170-MRT/172-BFA/174-NER/176-MLI/177-GMB, Final report</t>
  </si>
  <si>
    <t>FL-2009-000172-BFA</t>
  </si>
  <si>
    <t>4821 4861</t>
  </si>
  <si>
    <t>UNDAC, ICRC, UNICEF, MSF</t>
  </si>
  <si>
    <t>OU1-&gt;2, REV-&gt;OU5-&gt;6 final report</t>
  </si>
  <si>
    <t>Centre</t>
  </si>
  <si>
    <t>Kadiogo</t>
  </si>
  <si>
    <t>Ouagadougou</t>
  </si>
  <si>
    <t>WFP, NGOs, UNICEF, ICRC, WHO, UNFPA</t>
  </si>
  <si>
    <t>OU1-&gt;2 REV OU3,  final report</t>
  </si>
  <si>
    <t>Tana River, Coast, Lower Eastern, North Rift, Upper Eastern, Central,</t>
  </si>
  <si>
    <t>Typhoons: Ketsana, Parma, Lupit</t>
  </si>
  <si>
    <t>4897 4898 4964</t>
  </si>
  <si>
    <t>ICRC, Govt, UNOCHA</t>
  </si>
  <si>
    <t>OU1-&gt;3 REV, OU1-&gt;17, REV, 18</t>
  </si>
  <si>
    <t>Floods and typhoons (Ketsana)</t>
  </si>
  <si>
    <t>4899 4907 4914</t>
  </si>
  <si>
    <t>ICRC, UNICEF, WHO</t>
  </si>
  <si>
    <t>OU1-&gt;3 REV-&gt;OU6-&gt;9, Rev, OU10, final report</t>
  </si>
  <si>
    <t>8.3 RS Earthquake and Tsunami</t>
  </si>
  <si>
    <t>TS-2009-000210-WSM</t>
  </si>
  <si>
    <t>4908 4920 4924 4929 4934 4918 4937</t>
  </si>
  <si>
    <t>UNDAC, ICRC, UNICEF, FAO</t>
  </si>
  <si>
    <t>OU1-&gt;9, See also: TS-2009-000209-ASM. IFR, Final</t>
  </si>
  <si>
    <t>7.6 RS, Western Sumatra</t>
  </si>
  <si>
    <t>4909 4911 4916 4926 4931 4936 4942 4947</t>
  </si>
  <si>
    <t>Govt, ICRC, WFP, UNOCHA</t>
  </si>
  <si>
    <t>REV-&gt;OU1-&gt;17, prel. Final, final</t>
  </si>
  <si>
    <t>MDR64006</t>
  </si>
  <si>
    <t>Preparedness for El Nino floods</t>
  </si>
  <si>
    <t>RDRT, NDRT</t>
  </si>
  <si>
    <t>UNOCHA, WFP, ICRC</t>
  </si>
  <si>
    <t>OU1-&gt;Final, Multiple countries: Uganda, Tanzania, Rwanda and Burundi</t>
  </si>
  <si>
    <t>4988 4990 4993 4999</t>
  </si>
  <si>
    <t>UNDP, NGOs</t>
  </si>
  <si>
    <t>OU1-&gt;4, Final report</t>
  </si>
  <si>
    <t>San Salvador, San Vicente, Usulután, La Paz, La Libertad, Cabañas and Cuscatlán</t>
  </si>
  <si>
    <t>MDRET007</t>
  </si>
  <si>
    <t>Severe food shortages</t>
  </si>
  <si>
    <t>OT-2010-000016-ETH</t>
  </si>
  <si>
    <t>WFP, NGO, UNICEF, ICRC</t>
  </si>
  <si>
    <t>6m Update, OU1-&gt;3, prel final</t>
  </si>
  <si>
    <t>Oromyia</t>
  </si>
  <si>
    <t>East Hararghe</t>
  </si>
  <si>
    <t>MDRSY002</t>
  </si>
  <si>
    <t>Population displaced from Iraq</t>
  </si>
  <si>
    <t>UNHCR, WFP, UNICEF, NGOs, ICRC</t>
  </si>
  <si>
    <t>OU1-&gt;2, Rev, OU3-&gt;4</t>
  </si>
  <si>
    <t>5040</t>
  </si>
  <si>
    <t>UNICEF, ICRC, WFP</t>
  </si>
  <si>
    <t>OU1-&gt;2 Revised, final report</t>
  </si>
  <si>
    <t>Dodoma</t>
  </si>
  <si>
    <t>Kongwa, Mpwapwa, Kilosa</t>
  </si>
  <si>
    <t>7.3 EQ RS</t>
  </si>
  <si>
    <t>5063 5064 5069</t>
  </si>
  <si>
    <t>UN, ICRC, UNDAC, NGO, WFP, UNICEF, UNDP, FAO, IOM</t>
  </si>
  <si>
    <t>REV-&gt; OU1-&gt;27 rev Summary PoA, 12m, 18m</t>
  </si>
  <si>
    <t>MDRNE005</t>
  </si>
  <si>
    <t>Food crisis</t>
  </si>
  <si>
    <t>OT-2010-000028-NER</t>
  </si>
  <si>
    <t>5108</t>
  </si>
  <si>
    <t>FAO, NGOs, ICRC, WFP</t>
  </si>
  <si>
    <t>OU1 Revised 6m update, prel Final, Final report</t>
  </si>
  <si>
    <t>Diffa, Zinder Tahoua</t>
  </si>
  <si>
    <t>8.8 EQ, Concepcion</t>
  </si>
  <si>
    <t>EQ-2010-000034-CHL</t>
  </si>
  <si>
    <t>05131 05132 05134 05135 05137 05138</t>
  </si>
  <si>
    <t>NIT, PADRU, RIT</t>
  </si>
  <si>
    <t>Govt, UN, ICRC</t>
  </si>
  <si>
    <t>OU 1-&gt;5 REV 6-months progress report rev, update in spanish 11-&gt;13</t>
  </si>
  <si>
    <t>Bio Bío and La Araucanía regions</t>
  </si>
  <si>
    <t>Tirua, Lebu</t>
  </si>
  <si>
    <t>MDRTD004</t>
  </si>
  <si>
    <t>OT-2010-000056-TCD</t>
  </si>
  <si>
    <t>5128</t>
  </si>
  <si>
    <t>Govt, UN, NGOs, FAO, WFP</t>
  </si>
  <si>
    <t>OU1-&gt;2, 6 month update, Final report</t>
  </si>
  <si>
    <t>Lac, Kanem and Bahr El Gazal</t>
  </si>
  <si>
    <t>Govt, World Bank, FAO, UNICEF</t>
  </si>
  <si>
    <t>OU 1-&gt;3, Rev,interim final, final report</t>
  </si>
  <si>
    <t>Khentii, Tov, Omnogboi, Dundgobi, Sukhbaatar, Uvs, Khovd, Bayankhongor</t>
  </si>
  <si>
    <t>MDRLK002</t>
  </si>
  <si>
    <t>ICRC, UN</t>
  </si>
  <si>
    <t>OU1-&gt;7, rev OU8-&gt;9</t>
  </si>
  <si>
    <t>Killinochchi and Mullaittivu, Manhar, Vavuniya, Jaffna</t>
  </si>
  <si>
    <t>Manthai West, Madhu and Musali, Vavuniya North, Nanattan, Vavuniya, Vavuniya South and Cheddikkulam</t>
  </si>
  <si>
    <t>Diarrhoeal diseases</t>
  </si>
  <si>
    <t>5484</t>
  </si>
  <si>
    <t>Govt, UN, save the children, OXFAM, NEWA</t>
  </si>
  <si>
    <t>IB1 EA OU1-&gt;6, final report</t>
  </si>
  <si>
    <t>Central, Eastern, Far-Western, Mid-Western, Western</t>
  </si>
  <si>
    <t>Accham, Arghakanchi, Baitadi, Bajhang, Bajura, Banke, Dadeldhura,  Dailekh, Dang, Dhading, Doti,  Gorkha, Jajarkot, Khotang, Lamjung, Morang, Mustang, Myagdi, Pyuthan, Rolpa,  Rukum, Rupendehi, Sunsari, Surkhet, Tanah</t>
  </si>
  <si>
    <t>MDRKE012</t>
  </si>
  <si>
    <t>FL-2010-000047-KEN</t>
  </si>
  <si>
    <t>DRT</t>
  </si>
  <si>
    <t>Coast, North Rift and South Rift regions.</t>
  </si>
  <si>
    <t>Agatha</t>
  </si>
  <si>
    <t>5529 5532 5533 5536 5539</t>
  </si>
  <si>
    <t>NIT</t>
  </si>
  <si>
    <t>Govt, ICRC, PNSs, NGOs</t>
  </si>
  <si>
    <t>IB 1, Revised Appeal, OU1-&gt;3</t>
  </si>
  <si>
    <t>Guatemala, El Progreso, Zacapa, Izabal, Alta Verapaz, Sololá</t>
  </si>
  <si>
    <t>5555 5557</t>
  </si>
  <si>
    <t>Govt, UNHCR, UNICEF, ICRC</t>
  </si>
  <si>
    <t>OU1-&gt;2 EA OU1-&gt;3 6m, Final report</t>
  </si>
  <si>
    <t>Jalal-Abad, Osh</t>
  </si>
  <si>
    <t>Kara-Suu, Osh</t>
  </si>
  <si>
    <t>OT-2010-000113-UZB</t>
  </si>
  <si>
    <t>5556</t>
  </si>
  <si>
    <t>Govt, ICRC, UNICEF, UNDP</t>
  </si>
  <si>
    <t>OU1-&gt;3 Rev OU4, Final report</t>
  </si>
  <si>
    <t>Andijan, Namangan, Fergana</t>
  </si>
  <si>
    <t>MDRSD009</t>
  </si>
  <si>
    <t>FL-2010-000139-SDN</t>
  </si>
  <si>
    <t>5626 5647 5671 5688</t>
  </si>
  <si>
    <t>UN, Govt, ICRC, PNSs</t>
  </si>
  <si>
    <t>OU1,  final report</t>
  </si>
  <si>
    <t>Jonglie, Lakes, Warrap, Northern Bahr el Ghazal, Unity, Central Equatorial, Upper Nile</t>
  </si>
  <si>
    <t>Monsoon floods</t>
  </si>
  <si>
    <t>FL-2010-000141-PAK</t>
  </si>
  <si>
    <t>5632 5643</t>
  </si>
  <si>
    <t>Govt, UN, NGOs, ICRC</t>
  </si>
  <si>
    <t>IB1, REV EA, OU1-&gt;13, REV, FS 10, 3 months report, Movt FS 12-17, 6month OU14, 1 year</t>
  </si>
  <si>
    <t>75% of the country</t>
  </si>
  <si>
    <t>MDRBF010</t>
  </si>
  <si>
    <t>FL-2010-000145-BFA</t>
  </si>
  <si>
    <t>5634 5635 5636 5637</t>
  </si>
  <si>
    <t>OU1-&gt;2, final report</t>
  </si>
  <si>
    <t>Yagha, Gnagna, Sanmatenga and Namentenga, Houet, Ganzourgou, Bougouriba, Soum, and Oudalan, Yatenga, Poni, Tuy and Banwa</t>
  </si>
  <si>
    <t>MDRTD005</t>
  </si>
  <si>
    <t>EP-2010-000165-TCD</t>
  </si>
  <si>
    <t>5700</t>
  </si>
  <si>
    <t>IB1, OU1-&gt;2, Final report</t>
  </si>
  <si>
    <t>Mayo Kebbi, Lac</t>
  </si>
  <si>
    <t>Gounou Gaya, Fianga, Bol centre, Bagassola, Kiskra, Kiskawa, fitiné</t>
  </si>
  <si>
    <t>FL-2010-000194-VNM</t>
  </si>
  <si>
    <t>5788 5792</t>
  </si>
  <si>
    <t>OU1-&gt;6</t>
  </si>
  <si>
    <t>Nghe An, Ha Tinh, Quang Binh, Quang Tri and Hue</t>
  </si>
  <si>
    <t>25 districts</t>
  </si>
  <si>
    <t>Megi</t>
  </si>
  <si>
    <t>5809 5810 5811 5812 5813 5814</t>
  </si>
  <si>
    <t>IB1-&gt;3 OU1-&gt;6, final report</t>
  </si>
  <si>
    <t>Region I-II-III CAR</t>
  </si>
  <si>
    <t>Ilocos (Region I), Cagayan Valley (Region II), Central Luzon (Region III), and
Cordillera Administrative Region (CAR). Cagayan and Isabela provinces, in Region II</t>
  </si>
  <si>
    <t>Haiti and Dom. Rep.</t>
  </si>
  <si>
    <t>Govt, OCHA, WFP, ICRC</t>
  </si>
  <si>
    <t>OU1-&gt;5, 6m, rev, OU7</t>
  </si>
  <si>
    <t>Dominican rep. Haiti</t>
  </si>
  <si>
    <t>Java eruption and Sumatra earthquake and Tsunami</t>
  </si>
  <si>
    <t>EQ-2010-000213-IDN VO-2010-000214-IDN</t>
  </si>
  <si>
    <t>5832 5836 5850</t>
  </si>
  <si>
    <t>Govt, ICRC</t>
  </si>
  <si>
    <t>IB1-&gt;2 REV OU1-&gt;3, preliminary final, final report</t>
  </si>
  <si>
    <t>West Sumatra</t>
  </si>
  <si>
    <t>Mentawai</t>
  </si>
  <si>
    <t>Tomas</t>
  </si>
  <si>
    <t>TC-2010-000216-XXX</t>
  </si>
  <si>
    <t>OU1-&gt;2, Final</t>
  </si>
  <si>
    <t>Bahamas, Barbados, Dominica, Grenada, Haiti, Jamaica, Saint Lucia, Saint
Vincent and the Grenadines, Trinidad and Tobago, and Turks and Caicos</t>
  </si>
  <si>
    <t>Congo, Republic of</t>
  </si>
  <si>
    <t>Wild polio outbreak</t>
  </si>
  <si>
    <t>EP-2010-000222-COG</t>
  </si>
  <si>
    <t>5858 5897</t>
  </si>
  <si>
    <t>OU1-&gt;3</t>
  </si>
  <si>
    <t>MDRRS004</t>
  </si>
  <si>
    <t>5.4 EQ</t>
  </si>
  <si>
    <t>EQ-2010-000218-SRB</t>
  </si>
  <si>
    <t>5857 5859 5867 5886</t>
  </si>
  <si>
    <t>Govt, USAID, UN</t>
  </si>
  <si>
    <t>OU1-&gt;3, Final report</t>
  </si>
  <si>
    <t>Central Serbia</t>
  </si>
  <si>
    <t>Pomoravlje</t>
  </si>
  <si>
    <t>Kraljevo</t>
  </si>
  <si>
    <t>5872 5891 5906</t>
  </si>
  <si>
    <t>NITs RITs</t>
  </si>
  <si>
    <t>OU1-&gt;1, Prel. EA, OU1</t>
  </si>
  <si>
    <t>Chiriquí, Veraguas, Colón, Darién  and Coclé, East Panama</t>
  </si>
  <si>
    <t>Llano de Chepo, Cañita de Chepo, Santa Rosa, Guayabalito, Nuevo Vijia, Portobelo, Rio Gatun, Palenque, Barrio Norte, El Salto, Lajas Blancas, Peñita, Belisario Frias</t>
  </si>
  <si>
    <t>La Nina</t>
  </si>
  <si>
    <t>5889 5893 5894 5919 5929</t>
  </si>
  <si>
    <t>IB1, Prel., EA., OU 1-&gt;2, Rev., OU3</t>
  </si>
  <si>
    <t>Atlantico, Magdalena, Bolivar, Cundinamarca, Valle del Cauca</t>
  </si>
  <si>
    <t>MDRSD010</t>
  </si>
  <si>
    <t>Preparedness for Civil Unres</t>
  </si>
  <si>
    <t>ICRC, UN, NGOs, Govt</t>
  </si>
  <si>
    <t>OU1-&gt;2</t>
  </si>
  <si>
    <t>Floods and landslides</t>
  </si>
  <si>
    <t>FL-2010-000253-LKA</t>
  </si>
  <si>
    <t>5923 5943 5974</t>
  </si>
  <si>
    <t>Prel, Revised, OU1-&gt;3</t>
  </si>
  <si>
    <t>Nuwara Eliya, Ampara, Moneragala, Batticaloa, Trincomalee, Vavuniya, Polonnaruwa, Matale, Anuradhapura, Kandy, Hambantota, Badulla, Mullaitivu, Killinochchi, Mannar</t>
  </si>
  <si>
    <t>Côte d'Ivoire</t>
  </si>
  <si>
    <t>Political crisis</t>
  </si>
  <si>
    <t>5926</t>
  </si>
  <si>
    <t>IB1, EA, PoA, OU1</t>
  </si>
  <si>
    <t>MDRVE001</t>
  </si>
  <si>
    <t>FL-2010-000240-VEN</t>
  </si>
  <si>
    <t>Falcón, Miranda, Vargas, Merida, Zulia, Trujillo, Nueva Esparta and the Caracas</t>
  </si>
  <si>
    <t>West Africa: Pop. Movement</t>
  </si>
  <si>
    <t>Multiple countries: Liberia, Guinea-Conakry, Ghana, Mali and Burkina Faso, OU1-&gt;3, Rev, 6m, Rev</t>
  </si>
  <si>
    <t>Libya</t>
  </si>
  <si>
    <t>OT-2011-0000025-TUN/LBY/EGY/SYR/YEM</t>
  </si>
  <si>
    <t>OT-2011-000025-XXX</t>
  </si>
  <si>
    <t>OU1-&gt;10, 6m MULTIPLE</t>
  </si>
  <si>
    <t>Lybia, Tunisia, Egypt</t>
  </si>
  <si>
    <t>6011 6018</t>
  </si>
  <si>
    <t>PAHO, Govt,</t>
  </si>
  <si>
    <t>OU1-&gt;4</t>
  </si>
  <si>
    <t>Beni, Cochabamba,
Chuquisaca and La Paz</t>
  </si>
  <si>
    <t>6009</t>
  </si>
  <si>
    <t>Oshana, Omusati, Ohangwena, Oshikoto, Kavango and Caprivi</t>
  </si>
  <si>
    <t>Final</t>
  </si>
  <si>
    <t>North Eastern</t>
  </si>
  <si>
    <t>Mandera</t>
  </si>
  <si>
    <t>Govt, OCHA, ICRC</t>
  </si>
  <si>
    <t>OU1-&gt;2, rev, 8 month summary</t>
  </si>
  <si>
    <t>Turkana, Marsabit, Isiolo,
Moyale, Mandera, Wajir and Garissa and several parts of the Southeastern and Coastal Lowlands including
Kitui, Mwingi, Makueni, Machakos, Tharaka, Mbeere and Meru North</t>
  </si>
  <si>
    <t>EP-2011-000034-CMR</t>
  </si>
  <si>
    <t>6087</t>
  </si>
  <si>
    <t>Govt, WHO, UNICEF</t>
  </si>
  <si>
    <t>Ou1-&gt;2, 6 m</t>
  </si>
  <si>
    <t>Centre, Littoral, South-West
and West</t>
  </si>
  <si>
    <t>CE-2011-000079-SDN</t>
  </si>
  <si>
    <t>6192</t>
  </si>
  <si>
    <t>EA, OU1-&gt;2</t>
  </si>
  <si>
    <t>South Kordofan</t>
  </si>
  <si>
    <t>6235</t>
  </si>
  <si>
    <t>Govt, Action Aid, Oxfam, Christian Aid,
Muslim Aid, World Food Programme, Dan Church Aid, Solidarities International, Islamic Relief, etc</t>
  </si>
  <si>
    <t>Patuakhali, Pirojpur, Barguna, Cox’s Bazar, Bagerhat, Noakhali, Chittagong, Pheni, Chandpur, Satkhira, Jessore</t>
  </si>
  <si>
    <t>Tala, Sadar, Keshobpur</t>
  </si>
  <si>
    <t>FL-2011-000198-PER</t>
  </si>
  <si>
    <t xml:space="preserve">CASH: $100,000 to national society for relief activities. </t>
  </si>
  <si>
    <t>Beneficiary number from DREF</t>
  </si>
  <si>
    <t>FL-2012-000087-AFG</t>
  </si>
  <si>
    <t>Afghanistan Floods</t>
  </si>
  <si>
    <t xml:space="preserve">Hydro-meteorological disturbances and La Niña weather phenomenon have worsened Peru’s annual rainy season, causing major flooding across the country. The Peruvian Red Cross is performing needs assessments and plans to help 4,000 of the most vulnerable people in the department of Loreto with locally procured relief items, access to safe water, disease prevention efforts, and activities to improve conditions in evacuation centers. The American Red Cross committed $100,000 to the Peruvian Red Cross for relief supplies and technical support. </t>
  </si>
  <si>
    <t>CASH: $50,000 to Federation for relief objective.</t>
  </si>
  <si>
    <t>Melting snow and heavy rain caused flash floods in the Sar-e-Pol and Jawzjan provinces of Afghanistan, damaging property and livelihoods.  Over five thousand homes have been damaged or destroyed, leaving many families unable to find alternative shelter. Water supply systems are inundated and local markets are difficult to access, making shelter, food, water and healthcare the top priorities for the response efforts. The Afghan Red Crescent Society have completed a needs assessment and deployed mobile health teams, water and sanitation kits and relief items to the affected areas. The American Red Cross committed $50,000 to the Federation appeal to support the relief objective.</t>
  </si>
  <si>
    <t>2799 Rapid Response Fund &amp; 2032 Philippines R&amp;D</t>
  </si>
  <si>
    <r>
      <t xml:space="preserve">Typhoon Washi hit the southern Philippines on December 17, bringing heavy rains and strong winds which resulted in massive flooding and widespread damage in the Northern Mindanao area.  More than 10,000 homes were damaged or destroyed, displacing 284,600 people.  The Philippine Red Cross deployed search and rescue units to perform evacuations and volunteers to provide hot meals and food supplies to more than 3,000 people in affected areas. Through support from the global Red Cross and Red Crescent network, they provided 25,000 affected people with food, relief supplies, water and sanitation, hygiene, shelter and livelihoods assistance.  </t>
    </r>
    <r>
      <rPr>
        <sz val="12"/>
        <color rgb="FFFF0000"/>
        <rFont val="Calibri"/>
        <family val="2"/>
      </rPr>
      <t>The American Red Cross committed $75,000  in support of the Philippine Red Cross response.</t>
    </r>
    <r>
      <rPr>
        <sz val="12"/>
        <rFont val="Calibri"/>
        <family val="2"/>
      </rPr>
      <t xml:space="preserve">
</t>
    </r>
  </si>
  <si>
    <t>CASH: $75,000 cash pledge to the Federation appeal earmarked for relief from AP 2799/RRF. CASH: $153,000 cash pledge to IFRC appeal for relief from AP 2032, CASH: $40,000 cash pledge to IFRC appeal for relief from AP 2032</t>
  </si>
  <si>
    <t>Date of Last Update</t>
  </si>
  <si>
    <t>FL-2011-000133-MEX</t>
  </si>
  <si>
    <t>AP 2020, Mexico R &amp; D</t>
  </si>
  <si>
    <t>Heavy rains associated with various recent tropical depressions and storms have caused flooding in more than 850 communities in the southeast Mexican states of Tabasco and Chiapas.</t>
  </si>
  <si>
    <t>CASH: $270, 00 to Meixco NS from AP2020 after donation of $287,000 to fund.</t>
  </si>
  <si>
    <t>[Rollup]</t>
  </si>
  <si>
    <t>IFRC: MDR82001, ICRC:REX2011/114</t>
  </si>
  <si>
    <t>Syria Crisis</t>
  </si>
  <si>
    <t xml:space="preserve">Syria </t>
  </si>
  <si>
    <t>OT-2011-000025-SYR</t>
  </si>
  <si>
    <t>MDRSY003</t>
  </si>
  <si>
    <t>MDRAF001</t>
  </si>
  <si>
    <t>$200,00</t>
  </si>
  <si>
    <t xml:space="preserve">• More than a year of unrest in Syria has affected an estimated1.5 million people and thousands have been displaced, wounded or killed. 
• The overall humanitarian situation is deteriorating as violence has spread across the country, as a result the ICRC has publicly announced that hostilities in Syria amount to an internal conflict.
• People caught in neighborhoods affected by violence often have only limited access to food, water, health care and other basic needs.
• Resources are being stretched to capacity and vulnerabilities are growing as host communities and neighbouring countries host thousands of displaced people and refugees. 
</t>
  </si>
  <si>
    <t>CASH: $200,000 to IFRC for food</t>
  </si>
  <si>
    <t>Philippines Floods</t>
  </si>
  <si>
    <t>MDRPH010</t>
  </si>
  <si>
    <t xml:space="preserve">• Following the heaviest rains recorded in three years, the Philippines are experiencing severe floods that have impacted 2 million people.  To date, the floods have led to 19 deaths and damaged more than 2,600 homes. 
• The southwest monsoon was triggered by two storms, Typhoon Saola and Tropical Storm Haikui. In a three-day period earlier this month, downpours exceeded half the average monthly rainfall for the month of August.
• Heavy rain caused dams to overflow and generated flash flooding that has affected a large majority of the country. 
• Thousands of people have sought refuge in evacuation centers, and are receiving basic provisions from the Philippine Red Cross.
</t>
  </si>
  <si>
    <t>FL-2012-000130-PHL</t>
  </si>
  <si>
    <t>Sierra Leone</t>
  </si>
  <si>
    <t>Sierra Leone Cholera Outbreak</t>
  </si>
  <si>
    <t xml:space="preserve">• Since the first cases were reported in February, the latest cholera outbreak in Sierra Leone has caused 81 deaths and affected 4,893 people.
• Poor sanitary conditions leading to contamination of water sources are thought to be the primary cause of this outbreak. The number of cases are expected to increase in the coming weeks due to heavy rains and flooding at this time of year.
• The outbreak has spread to seven districts including the capital city of Freetown, which currently has the highest rates of infection. 
</t>
  </si>
  <si>
    <t>EP-2012-000041-SLE</t>
  </si>
  <si>
    <t>MDRSL003</t>
  </si>
  <si>
    <t xml:space="preserve">•  Glen Bradley deployed to Sierra Leone as an IT/Telecoms FACT delegate on 9/25/12
•  Cristina Hammond deployed on August 13th  returned from Sierra Leone on 9/25/12
</t>
  </si>
  <si>
    <t>FL-2012-000106-BGD</t>
  </si>
  <si>
    <t>MDRBD010</t>
  </si>
  <si>
    <r>
      <t>·</t>
    </r>
    <r>
      <rPr>
        <sz val="7"/>
        <rFont val="Times New Roman"/>
        <family val="1"/>
      </rPr>
      <t xml:space="preserve">         </t>
    </r>
    <r>
      <rPr>
        <sz val="10"/>
        <rFont val="Arial"/>
        <family val="2"/>
      </rPr>
      <t xml:space="preserve">In June 2012, heavy rains caused floods and landslides in ten districts of Bangladesh affecting approximately five million people and destroying more than 350,000 homes. </t>
    </r>
  </si>
  <si>
    <t>CASH: $100,000 to federation appeal for CTP component</t>
  </si>
  <si>
    <t>Nigeria Flooda</t>
  </si>
  <si>
    <t>Hurricane Sandy</t>
  </si>
  <si>
    <t>Philippines Typhoon Bopha</t>
  </si>
  <si>
    <t>Malawi Food Security</t>
  </si>
  <si>
    <t>Palestine Gaza Crisis</t>
  </si>
  <si>
    <t>Zimbabwe food Security</t>
  </si>
  <si>
    <t>DRC Population Movement</t>
  </si>
  <si>
    <t>Bangladesh Tropical Cyclone</t>
  </si>
  <si>
    <t>Jamaica, Haiti, Cuba</t>
  </si>
  <si>
    <t>DRC</t>
  </si>
  <si>
    <t>IFRC RIT</t>
  </si>
  <si>
    <t>MDRNG014</t>
  </si>
  <si>
    <t>Relief Operations; 70 operations 30 administrative support</t>
  </si>
  <si>
    <t>MDRJM003</t>
  </si>
  <si>
    <t>x</t>
  </si>
  <si>
    <t>Appeal for Jamaica</t>
  </si>
  <si>
    <t>MDRHT010</t>
  </si>
  <si>
    <t>2885/2888</t>
  </si>
  <si>
    <t>2885 = $46k  &amp;  2888=$54k</t>
  </si>
  <si>
    <t>Appeal for Haiti</t>
  </si>
  <si>
    <t>MDRCU002</t>
  </si>
  <si>
    <t>Appeal for Cuba - earmarked for Shelter Kits</t>
  </si>
  <si>
    <t>MDRMW008</t>
  </si>
  <si>
    <t>Earmarked for Relief Ops - 70 operations, 30% support</t>
  </si>
  <si>
    <t>MDRPH011    (IFRC)  REX2012/706 (ICRC)</t>
  </si>
  <si>
    <t>$50k -&gt; IFRC earmarked for Relief Ops ----------- $50k -&gt; ICRC earmarked for Cooperation &amp; Protection (funds will be replenished by donations)</t>
  </si>
  <si>
    <t>NSPLA2012</t>
  </si>
  <si>
    <t>Earmarked for Relief Ops - relief and shelter</t>
  </si>
  <si>
    <t>MDRZW006</t>
  </si>
  <si>
    <t>earmarked for WASH</t>
  </si>
  <si>
    <t>NSPAN2012</t>
  </si>
  <si>
    <t>2882 for expenses,2799 for funding source</t>
  </si>
  <si>
    <t>Operations costs to support operation and distribution costs (15k +misc services MG&amp;F)</t>
  </si>
  <si>
    <t>MDRMZ010</t>
  </si>
  <si>
    <t>2002; 2598</t>
  </si>
  <si>
    <t>earmarked for Shelter Kits - For relief items, shelter kits, &amp; kitchen sets</t>
  </si>
  <si>
    <t>MDRCD013</t>
  </si>
  <si>
    <t>$150k earmarked for Relief Distribution</t>
  </si>
  <si>
    <t>2799, 2025</t>
  </si>
  <si>
    <t>Appeal Type:  Personnel Request; CTP Delegate with IFRC</t>
  </si>
  <si>
    <t>MDRKE025</t>
  </si>
  <si>
    <t>Earmarked for cash disbursements</t>
  </si>
  <si>
    <t>MDRBD013</t>
  </si>
  <si>
    <t>Earmarked for cash grants</t>
  </si>
</sst>
</file>

<file path=xl/styles.xml><?xml version="1.0" encoding="utf-8"?>
<styleSheet xmlns="http://schemas.openxmlformats.org/spreadsheetml/2006/main">
  <numFmts count="12">
    <numFmt numFmtId="6" formatCode="&quot;$&quot;#,##0_);[Red]\(&quot;$&quot;#,##0\)"/>
    <numFmt numFmtId="44" formatCode="_(&quot;$&quot;* #,##0.00_);_(&quot;$&quot;* \(#,##0.00\);_(&quot;$&quot;* &quot;-&quot;??_);_(@_)"/>
    <numFmt numFmtId="43" formatCode="_(* #,##0.00_);_(* \(#,##0.00\);_(* &quot;-&quot;??_);_(@_)"/>
    <numFmt numFmtId="164" formatCode="&quot;$&quot;#,##0.00"/>
    <numFmt numFmtId="165" formatCode="_(* #,##0_);_(* \(#,##0\);_(* &quot;-&quot;??_);_(@_)"/>
    <numFmt numFmtId="166" formatCode="&quot;$&quot;#,##0"/>
    <numFmt numFmtId="167" formatCode="[$-409]mmm\-yy;@"/>
    <numFmt numFmtId="168" formatCode="[$-409]mmmm\-yy;@"/>
    <numFmt numFmtId="169" formatCode="0.0%"/>
    <numFmt numFmtId="170" formatCode="&quot;SFr. &quot;#\'##0.00;&quot;SFr.-&quot;#\'##0.00"/>
    <numFmt numFmtId="171" formatCode="&quot;SFr. &quot;#,##0.00;&quot;SFr.-&quot;#,##0.00"/>
    <numFmt numFmtId="172" formatCode="dd\-mmm\-yy"/>
  </numFmts>
  <fonts count="83">
    <font>
      <sz val="10"/>
      <name val="Arial"/>
    </font>
    <font>
      <sz val="10"/>
      <name val="Arial"/>
      <family val="2"/>
    </font>
    <font>
      <b/>
      <sz val="11"/>
      <name val="Arial"/>
      <family val="2"/>
    </font>
    <font>
      <sz val="11"/>
      <name val="Arial"/>
      <family val="2"/>
    </font>
    <font>
      <b/>
      <sz val="11"/>
      <name val="Arial"/>
      <family val="2"/>
    </font>
    <font>
      <sz val="11"/>
      <name val="Arial"/>
      <family val="2"/>
    </font>
    <font>
      <b/>
      <sz val="10"/>
      <name val="Arial"/>
      <family val="2"/>
    </font>
    <font>
      <b/>
      <sz val="8"/>
      <color indexed="81"/>
      <name val="Tahoma"/>
      <family val="2"/>
    </font>
    <font>
      <b/>
      <sz val="12"/>
      <color indexed="81"/>
      <name val="Tahoma"/>
      <family val="2"/>
    </font>
    <font>
      <sz val="12"/>
      <color indexed="81"/>
      <name val="Tahoma"/>
      <family val="2"/>
    </font>
    <font>
      <b/>
      <sz val="11"/>
      <color indexed="81"/>
      <name val="Tahoma"/>
      <family val="2"/>
    </font>
    <font>
      <sz val="11"/>
      <color indexed="81"/>
      <name val="Tahoma"/>
      <family val="2"/>
    </font>
    <font>
      <sz val="8"/>
      <name val="Arial"/>
      <family val="2"/>
    </font>
    <font>
      <sz val="10"/>
      <name val="Arial"/>
      <family val="2"/>
    </font>
    <font>
      <sz val="8"/>
      <color indexed="81"/>
      <name val="Tahoma"/>
      <family val="2"/>
    </font>
    <font>
      <u/>
      <sz val="10"/>
      <color indexed="12"/>
      <name val="Arial"/>
      <family val="2"/>
    </font>
    <font>
      <sz val="10"/>
      <name val="Arial"/>
      <family val="2"/>
    </font>
    <font>
      <b/>
      <sz val="10"/>
      <color indexed="81"/>
      <name val="Tahoma"/>
      <family val="2"/>
    </font>
    <font>
      <sz val="10"/>
      <color indexed="81"/>
      <name val="Tahoma"/>
      <family val="2"/>
    </font>
    <font>
      <b/>
      <sz val="8"/>
      <name val="Arial"/>
      <family val="2"/>
    </font>
    <font>
      <b/>
      <sz val="10"/>
      <name val="Arial"/>
      <family val="2"/>
    </font>
    <font>
      <sz val="14"/>
      <name val="Arial"/>
      <family val="2"/>
    </font>
    <font>
      <b/>
      <sz val="12"/>
      <name val="Arial"/>
      <family val="2"/>
    </font>
    <font>
      <sz val="10"/>
      <name val="Arial Narrow"/>
      <family val="2"/>
    </font>
    <font>
      <sz val="10"/>
      <color indexed="18"/>
      <name val="Arial Narrow"/>
      <family val="2"/>
    </font>
    <font>
      <sz val="10"/>
      <name val="Arial"/>
      <family val="2"/>
    </font>
    <font>
      <b/>
      <sz val="10"/>
      <name val="Arial Narrow"/>
      <family val="2"/>
    </font>
    <font>
      <sz val="10"/>
      <color indexed="8"/>
      <name val="Arial Narrow"/>
      <family val="2"/>
    </font>
    <font>
      <sz val="10"/>
      <name val="Arial"/>
      <family val="2"/>
    </font>
    <font>
      <b/>
      <u/>
      <sz val="10"/>
      <color indexed="12"/>
      <name val="Arial"/>
      <family val="2"/>
    </font>
    <font>
      <b/>
      <u/>
      <sz val="10"/>
      <name val="Arial"/>
      <family val="2"/>
    </font>
    <font>
      <b/>
      <u/>
      <sz val="11"/>
      <name val="Arial"/>
      <family val="2"/>
    </font>
    <font>
      <b/>
      <sz val="13"/>
      <name val="Arial"/>
      <family val="2"/>
    </font>
    <font>
      <i/>
      <sz val="10"/>
      <name val="Arial"/>
      <family val="2"/>
    </font>
    <font>
      <b/>
      <i/>
      <sz val="10"/>
      <name val="Arial"/>
      <family val="2"/>
    </font>
    <font>
      <sz val="10"/>
      <color indexed="12"/>
      <name val="Arial"/>
      <family val="2"/>
    </font>
    <font>
      <b/>
      <sz val="10"/>
      <color indexed="12"/>
      <name val="Arial"/>
      <family val="2"/>
    </font>
    <font>
      <b/>
      <i/>
      <u/>
      <sz val="10"/>
      <name val="Arial"/>
      <family val="2"/>
    </font>
    <font>
      <u/>
      <sz val="10"/>
      <name val="Arial"/>
      <family val="2"/>
    </font>
    <font>
      <b/>
      <sz val="16"/>
      <color indexed="9"/>
      <name val="Calibri"/>
      <family val="2"/>
    </font>
    <font>
      <sz val="11"/>
      <name val="Calibri"/>
      <family val="2"/>
    </font>
    <font>
      <sz val="10"/>
      <name val="Calibri"/>
      <family val="2"/>
    </font>
    <font>
      <b/>
      <sz val="12"/>
      <name val="Calibri"/>
      <family val="2"/>
    </font>
    <font>
      <sz val="12"/>
      <name val="Calibri"/>
      <family val="2"/>
    </font>
    <font>
      <b/>
      <sz val="10"/>
      <color indexed="9"/>
      <name val="Calibri"/>
      <family val="2"/>
    </font>
    <font>
      <b/>
      <sz val="14"/>
      <name val="Calibri"/>
      <family val="2"/>
    </font>
    <font>
      <b/>
      <sz val="11"/>
      <name val="Calibri"/>
      <family val="2"/>
    </font>
    <font>
      <u/>
      <sz val="11"/>
      <color indexed="12"/>
      <name val="Calibri"/>
      <family val="2"/>
    </font>
    <font>
      <sz val="13"/>
      <name val="Calibri"/>
      <family val="2"/>
    </font>
    <font>
      <b/>
      <sz val="13"/>
      <name val="Calibri"/>
      <family val="2"/>
    </font>
    <font>
      <sz val="13"/>
      <color indexed="8"/>
      <name val="Calibri"/>
      <family val="2"/>
    </font>
    <font>
      <u/>
      <sz val="13"/>
      <color indexed="12"/>
      <name val="Calibri"/>
      <family val="2"/>
    </font>
    <font>
      <i/>
      <sz val="13"/>
      <name val="Calibri"/>
      <family val="2"/>
    </font>
    <font>
      <sz val="14"/>
      <name val="Calibri"/>
      <family val="2"/>
    </font>
    <font>
      <sz val="9"/>
      <name val="Arial Narrow"/>
      <family val="2"/>
    </font>
    <font>
      <sz val="11"/>
      <name val="Symbol"/>
      <family val="1"/>
      <charset val="2"/>
    </font>
    <font>
      <sz val="11"/>
      <name val="Akzidenz-Grotesk Std Regular"/>
    </font>
    <font>
      <sz val="11"/>
      <name val="Calibri"/>
      <family val="2"/>
      <scheme val="minor"/>
    </font>
    <font>
      <b/>
      <sz val="11"/>
      <name val="Calibri"/>
      <family val="2"/>
      <scheme val="minor"/>
    </font>
    <font>
      <b/>
      <sz val="10"/>
      <name val="Verdana"/>
      <family val="2"/>
    </font>
    <font>
      <sz val="8"/>
      <name val="Verdana"/>
      <family val="2"/>
    </font>
    <font>
      <sz val="10"/>
      <name val="Verdana"/>
      <family val="2"/>
    </font>
    <font>
      <b/>
      <sz val="9"/>
      <color indexed="81"/>
      <name val="Tahoma"/>
      <family val="2"/>
    </font>
    <font>
      <sz val="11"/>
      <color rgb="FF000000"/>
      <name val="Calibri"/>
      <family val="2"/>
    </font>
    <font>
      <sz val="10"/>
      <name val="MS Sans Serif"/>
      <family val="2"/>
    </font>
    <font>
      <b/>
      <sz val="11"/>
      <color rgb="FF000000"/>
      <name val="Calibri"/>
      <family val="2"/>
    </font>
    <font>
      <b/>
      <sz val="11"/>
      <color rgb="FF000000"/>
      <name val="Calibri"/>
      <family val="2"/>
    </font>
    <font>
      <sz val="11"/>
      <color rgb="FF000000"/>
      <name val="Calibri"/>
      <family val="2"/>
    </font>
    <font>
      <sz val="11"/>
      <color rgb="FF1F497D"/>
      <name val="Calibri"/>
      <family val="2"/>
    </font>
    <font>
      <sz val="9"/>
      <color indexed="81"/>
      <name val="Tahoma"/>
      <family val="2"/>
    </font>
    <font>
      <sz val="11"/>
      <color rgb="FFFF0000"/>
      <name val="Calibri"/>
      <family val="2"/>
      <scheme val="minor"/>
    </font>
    <font>
      <sz val="11"/>
      <color rgb="FF000000"/>
      <name val="Calibri"/>
      <family val="2"/>
      <scheme val="minor"/>
    </font>
    <font>
      <sz val="12"/>
      <color rgb="FF000000"/>
      <name val="Arial"/>
      <family val="2"/>
    </font>
    <font>
      <sz val="12"/>
      <name val="Calibri"/>
      <family val="2"/>
      <scheme val="minor"/>
    </font>
    <font>
      <sz val="12"/>
      <color rgb="FFFF0000"/>
      <name val="Calibri"/>
      <family val="2"/>
    </font>
    <font>
      <sz val="11"/>
      <color rgb="FFFF0000"/>
      <name val="Calibri"/>
      <family val="2"/>
    </font>
    <font>
      <sz val="13"/>
      <color rgb="FFFF0000"/>
      <name val="Calibri"/>
      <family val="2"/>
    </font>
    <font>
      <b/>
      <sz val="13"/>
      <color rgb="FFFF0000"/>
      <name val="Calibri"/>
      <family val="2"/>
    </font>
    <font>
      <sz val="12"/>
      <name val="Arial"/>
      <family val="2"/>
    </font>
    <font>
      <sz val="10"/>
      <name val="Symbol"/>
      <family val="1"/>
      <charset val="2"/>
    </font>
    <font>
      <sz val="7"/>
      <name val="Times New Roman"/>
      <family val="1"/>
    </font>
    <font>
      <sz val="12"/>
      <color rgb="FF222222"/>
      <name val="Arial"/>
      <family val="2"/>
    </font>
    <font>
      <sz val="9"/>
      <name val="Calibri"/>
      <family val="2"/>
    </font>
  </fonts>
  <fills count="13">
    <fill>
      <patternFill patternType="none"/>
    </fill>
    <fill>
      <patternFill patternType="gray125"/>
    </fill>
    <fill>
      <patternFill patternType="solid">
        <fgColor indexed="22"/>
        <bgColor indexed="64"/>
      </patternFill>
    </fill>
    <fill>
      <patternFill patternType="solid">
        <fgColor indexed="13"/>
        <bgColor indexed="64"/>
      </patternFill>
    </fill>
    <fill>
      <patternFill patternType="solid">
        <fgColor indexed="8"/>
        <bgColor indexed="64"/>
      </patternFill>
    </fill>
    <fill>
      <patternFill patternType="solid">
        <fgColor indexed="43"/>
        <bgColor indexed="64"/>
      </patternFill>
    </fill>
    <fill>
      <patternFill patternType="solid">
        <fgColor indexed="9"/>
        <bgColor indexed="64"/>
      </patternFill>
    </fill>
    <fill>
      <patternFill patternType="solid">
        <fgColor indexed="41"/>
        <bgColor indexed="64"/>
      </patternFill>
    </fill>
    <fill>
      <patternFill patternType="solid">
        <fgColor theme="0"/>
        <bgColor indexed="64"/>
      </patternFill>
    </fill>
    <fill>
      <patternFill patternType="solid">
        <fgColor rgb="FFFFFF00"/>
        <bgColor indexed="64"/>
      </patternFill>
    </fill>
    <fill>
      <patternFill patternType="solid">
        <fgColor rgb="FFC0C0C0"/>
        <bgColor rgb="FFC0C0C0"/>
      </patternFill>
    </fill>
    <fill>
      <patternFill patternType="solid">
        <fgColor rgb="FF92D050"/>
        <bgColor indexed="64"/>
      </patternFill>
    </fill>
    <fill>
      <patternFill patternType="solid">
        <fgColor rgb="FFFFC000"/>
        <bgColor indexed="64"/>
      </patternFill>
    </fill>
  </fills>
  <borders count="77">
    <border>
      <left/>
      <right/>
      <top/>
      <bottom/>
      <diagonal/>
    </border>
    <border>
      <left style="thin">
        <color indexed="64"/>
      </left>
      <right style="thin">
        <color indexed="64"/>
      </right>
      <top style="thin">
        <color indexed="64"/>
      </top>
      <bottom style="thin">
        <color indexed="64"/>
      </bottom>
      <diagonal/>
    </border>
    <border>
      <left style="thin">
        <color indexed="8"/>
      </left>
      <right/>
      <top style="thin">
        <color indexed="8"/>
      </top>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65"/>
      </left>
      <right/>
      <top style="thin">
        <color indexed="8"/>
      </top>
      <bottom/>
      <diagonal/>
    </border>
    <border>
      <left style="thin">
        <color indexed="8"/>
      </left>
      <right/>
      <top style="thin">
        <color indexed="65"/>
      </top>
      <bottom/>
      <diagonal/>
    </border>
    <border>
      <left style="thin">
        <color indexed="65"/>
      </left>
      <right/>
      <top style="thin">
        <color indexed="8"/>
      </top>
      <bottom style="thin">
        <color indexed="8"/>
      </bottom>
      <diagonal/>
    </border>
    <border>
      <left/>
      <right style="thin">
        <color indexed="64"/>
      </right>
      <top style="thin">
        <color indexed="64"/>
      </top>
      <bottom style="thin">
        <color indexed="64"/>
      </bottom>
      <diagonal/>
    </border>
    <border>
      <left style="medium">
        <color indexed="64"/>
      </left>
      <right/>
      <top/>
      <bottom/>
      <diagonal/>
    </border>
    <border>
      <left/>
      <right style="medium">
        <color indexed="64"/>
      </right>
      <top/>
      <bottom/>
      <diagonal/>
    </border>
    <border>
      <left/>
      <right style="medium">
        <color indexed="64"/>
      </right>
      <top/>
      <bottom style="medium">
        <color indexed="64"/>
      </bottom>
      <diagonal/>
    </border>
    <border>
      <left style="medium">
        <color indexed="64"/>
      </left>
      <right/>
      <top/>
      <bottom style="medium">
        <color indexed="64"/>
      </bottom>
      <diagonal/>
    </border>
    <border>
      <left style="thin">
        <color indexed="65"/>
      </left>
      <right style="thin">
        <color indexed="8"/>
      </right>
      <top style="thin">
        <color indexed="8"/>
      </top>
      <bottom/>
      <diagonal/>
    </border>
    <border>
      <left style="thin">
        <color indexed="65"/>
      </left>
      <right/>
      <top style="thin">
        <color indexed="65"/>
      </top>
      <bottom/>
      <diagonal/>
    </border>
    <border>
      <left style="thin">
        <color indexed="65"/>
      </left>
      <right style="thin">
        <color indexed="8"/>
      </right>
      <top style="thin">
        <color indexed="65"/>
      </top>
      <bottom/>
      <diagonal/>
    </border>
    <border>
      <left style="thin">
        <color indexed="8"/>
      </left>
      <right/>
      <top style="thin">
        <color indexed="65"/>
      </top>
      <bottom style="thin">
        <color indexed="8"/>
      </bottom>
      <diagonal/>
    </border>
    <border>
      <left style="thin">
        <color indexed="65"/>
      </left>
      <right/>
      <top style="thin">
        <color indexed="65"/>
      </top>
      <bottom style="thin">
        <color indexed="8"/>
      </bottom>
      <diagonal/>
    </border>
    <border>
      <left style="thin">
        <color indexed="65"/>
      </left>
      <right style="thin">
        <color indexed="8"/>
      </right>
      <top style="thin">
        <color indexed="65"/>
      </top>
      <bottom style="thin">
        <color indexed="8"/>
      </bottom>
      <diagonal/>
    </border>
    <border>
      <left style="thin">
        <color indexed="8"/>
      </left>
      <right style="thin">
        <color indexed="8"/>
      </right>
      <top/>
      <bottom/>
      <diagonal/>
    </border>
    <border>
      <left style="thin">
        <color indexed="8"/>
      </left>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medium">
        <color indexed="64"/>
      </bottom>
      <diagonal/>
    </border>
    <border>
      <left style="thin">
        <color indexed="8"/>
      </left>
      <right style="thin">
        <color indexed="8"/>
      </right>
      <top/>
      <bottom style="thin">
        <color indexed="8"/>
      </bottom>
      <diagonal/>
    </border>
    <border>
      <left style="thin">
        <color indexed="8"/>
      </left>
      <right style="thin">
        <color indexed="64"/>
      </right>
      <top style="thin">
        <color indexed="64"/>
      </top>
      <bottom/>
      <diagonal/>
    </border>
    <border>
      <left style="thin">
        <color indexed="64"/>
      </left>
      <right/>
      <top style="thin">
        <color indexed="8"/>
      </top>
      <bottom/>
      <diagonal/>
    </border>
    <border>
      <left style="thin">
        <color indexed="8"/>
      </left>
      <right style="thin">
        <color indexed="64"/>
      </right>
      <top style="thin">
        <color indexed="8"/>
      </top>
      <bottom/>
      <diagonal/>
    </border>
    <border>
      <left style="thin">
        <color indexed="64"/>
      </left>
      <right/>
      <top/>
      <bottom/>
      <diagonal/>
    </border>
    <border>
      <left style="thin">
        <color indexed="8"/>
      </left>
      <right style="thin">
        <color indexed="64"/>
      </right>
      <top/>
      <bottom/>
      <diagonal/>
    </border>
    <border>
      <left style="thin">
        <color indexed="64"/>
      </left>
      <right style="thin">
        <color indexed="8"/>
      </right>
      <top style="thin">
        <color indexed="64"/>
      </top>
      <bottom style="thin">
        <color indexed="64"/>
      </bottom>
      <diagonal/>
    </border>
    <border>
      <left style="thin">
        <color indexed="8"/>
      </left>
      <right style="thin">
        <color indexed="64"/>
      </right>
      <top style="thin">
        <color indexed="64"/>
      </top>
      <bottom style="thin">
        <color indexed="64"/>
      </bottom>
      <diagonal/>
    </border>
    <border>
      <left style="thin">
        <color indexed="8"/>
      </left>
      <right style="thin">
        <color indexed="64"/>
      </right>
      <top/>
      <bottom style="thin">
        <color indexed="64"/>
      </bottom>
      <diagonal/>
    </border>
    <border>
      <left/>
      <right/>
      <top style="thin">
        <color indexed="8"/>
      </top>
      <bottom/>
      <diagonal/>
    </border>
    <border>
      <left/>
      <right/>
      <top style="thin">
        <color indexed="8"/>
      </top>
      <bottom style="thin">
        <color indexed="8"/>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thin">
        <color indexed="64"/>
      </bottom>
      <diagonal/>
    </border>
    <border>
      <left style="medium">
        <color indexed="64"/>
      </left>
      <right/>
      <top/>
      <bottom style="thin">
        <color indexed="64"/>
      </bottom>
      <diagonal/>
    </border>
    <border>
      <left style="medium">
        <color indexed="64"/>
      </left>
      <right style="medium">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thin">
        <color indexed="64"/>
      </top>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medium">
        <color indexed="64"/>
      </left>
      <right style="medium">
        <color indexed="64"/>
      </right>
      <top/>
      <bottom/>
      <diagonal/>
    </border>
    <border>
      <left style="dashed">
        <color indexed="64"/>
      </left>
      <right style="thin">
        <color indexed="64"/>
      </right>
      <top/>
      <bottom/>
      <diagonal/>
    </border>
    <border>
      <left style="thin">
        <color indexed="64"/>
      </left>
      <right style="thin">
        <color indexed="64"/>
      </right>
      <top/>
      <bottom/>
      <diagonal/>
    </border>
    <border>
      <left style="thin">
        <color indexed="8"/>
      </left>
      <right style="thin">
        <color indexed="8"/>
      </right>
      <top style="thin">
        <color indexed="65"/>
      </top>
      <bottom/>
      <diagonal/>
    </border>
    <border>
      <left style="thin">
        <color indexed="8"/>
      </left>
      <right style="thin">
        <color indexed="8"/>
      </right>
      <top style="thin">
        <color indexed="65"/>
      </top>
      <bottom style="thin">
        <color indexed="8"/>
      </bottom>
      <diagonal/>
    </border>
    <border>
      <left style="thin">
        <color indexed="64"/>
      </left>
      <right style="thin">
        <color indexed="64"/>
      </right>
      <top style="medium">
        <color indexed="64"/>
      </top>
      <bottom style="thin">
        <color indexed="64"/>
      </bottom>
      <diagonal/>
    </border>
    <border>
      <left/>
      <right style="thin">
        <color indexed="8"/>
      </right>
      <top style="thin">
        <color indexed="8"/>
      </top>
      <bottom/>
      <diagonal/>
    </border>
    <border>
      <left/>
      <right style="thin">
        <color indexed="8"/>
      </right>
      <top style="thin">
        <color indexed="8"/>
      </top>
      <bottom style="thin">
        <color indexed="8"/>
      </bottom>
      <diagonal/>
    </border>
    <border>
      <left style="thin">
        <color rgb="FFD0D7E5"/>
      </left>
      <right style="thin">
        <color rgb="FFD0D7E5"/>
      </right>
      <top style="thin">
        <color rgb="FFD0D7E5"/>
      </top>
      <bottom style="thin">
        <color rgb="FFD0D7E5"/>
      </bottom>
      <diagonal/>
    </border>
    <border>
      <left style="thin">
        <color auto="1"/>
      </left>
      <right style="thin">
        <color auto="1"/>
      </right>
      <top style="thin">
        <color auto="1"/>
      </top>
      <bottom style="thin">
        <color auto="1"/>
      </bottom>
      <diagonal/>
    </border>
    <border>
      <left style="medium">
        <color indexed="64"/>
      </left>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auto="1"/>
      </right>
      <top/>
      <bottom style="thin">
        <color auto="1"/>
      </bottom>
      <diagonal/>
    </border>
  </borders>
  <cellStyleXfs count="6">
    <xf numFmtId="0" fontId="0" fillId="0" borderId="0"/>
    <xf numFmtId="43" fontId="1" fillId="0" borderId="0" applyFont="0" applyFill="0" applyBorder="0" applyAlignment="0" applyProtection="0"/>
    <xf numFmtId="44" fontId="1" fillId="0" borderId="0" applyFont="0" applyFill="0" applyBorder="0" applyAlignment="0" applyProtection="0"/>
    <xf numFmtId="0" fontId="15" fillId="0" borderId="0" applyNumberFormat="0" applyFill="0" applyBorder="0" applyAlignment="0" applyProtection="0">
      <alignment vertical="top"/>
      <protection locked="0"/>
    </xf>
    <xf numFmtId="0" fontId="1" fillId="0" borderId="0"/>
    <xf numFmtId="0" fontId="64" fillId="0" borderId="0"/>
  </cellStyleXfs>
  <cellXfs count="1077">
    <xf numFmtId="0" fontId="0" fillId="0" borderId="0" xfId="0"/>
    <xf numFmtId="0" fontId="5" fillId="0" borderId="1" xfId="0" applyFont="1" applyBorder="1" applyAlignment="1">
      <alignment wrapText="1"/>
    </xf>
    <xf numFmtId="0" fontId="0" fillId="0" borderId="1" xfId="0" applyBorder="1" applyAlignment="1">
      <alignment wrapText="1"/>
    </xf>
    <xf numFmtId="0" fontId="0" fillId="0" borderId="1" xfId="0" applyBorder="1"/>
    <xf numFmtId="0" fontId="6" fillId="0" borderId="0" xfId="0" applyFont="1"/>
    <xf numFmtId="0" fontId="0" fillId="0" borderId="2" xfId="0" applyBorder="1"/>
    <xf numFmtId="0" fontId="0" fillId="0" borderId="2" xfId="0" pivotButton="1" applyBorder="1"/>
    <xf numFmtId="0" fontId="0" fillId="0" borderId="3" xfId="0" applyBorder="1"/>
    <xf numFmtId="0" fontId="0" fillId="0" borderId="4" xfId="0" pivotButton="1" applyBorder="1"/>
    <xf numFmtId="0" fontId="0" fillId="0" borderId="5" xfId="0" applyBorder="1"/>
    <xf numFmtId="0" fontId="0" fillId="0" borderId="4" xfId="0" applyBorder="1" applyAlignment="1">
      <alignment horizontal="left"/>
    </xf>
    <xf numFmtId="166" fontId="0" fillId="0" borderId="1" xfId="0" applyNumberFormat="1" applyBorder="1"/>
    <xf numFmtId="0" fontId="0" fillId="0" borderId="6" xfId="0" applyBorder="1"/>
    <xf numFmtId="0" fontId="0" fillId="0" borderId="7" xfId="0" applyBorder="1"/>
    <xf numFmtId="0" fontId="0" fillId="0" borderId="4" xfId="0" applyNumberFormat="1" applyBorder="1"/>
    <xf numFmtId="0" fontId="0" fillId="0" borderId="3" xfId="0" applyNumberFormat="1" applyBorder="1"/>
    <xf numFmtId="0" fontId="0" fillId="0" borderId="8" xfId="0" applyBorder="1"/>
    <xf numFmtId="0" fontId="2" fillId="0" borderId="1" xfId="0" applyFont="1" applyFill="1" applyBorder="1" applyAlignment="1">
      <alignment horizontal="left" wrapText="1"/>
    </xf>
    <xf numFmtId="168" fontId="2" fillId="0" borderId="1" xfId="0" applyNumberFormat="1" applyFont="1" applyFill="1" applyBorder="1" applyAlignment="1">
      <alignment horizontal="left" wrapText="1"/>
    </xf>
    <xf numFmtId="3" fontId="4" fillId="0" borderId="1" xfId="0" applyNumberFormat="1" applyFont="1" applyFill="1" applyBorder="1" applyAlignment="1">
      <alignment horizontal="left" wrapText="1"/>
    </xf>
    <xf numFmtId="3" fontId="2" fillId="0" borderId="1" xfId="0" applyNumberFormat="1" applyFont="1" applyFill="1" applyBorder="1" applyAlignment="1">
      <alignment horizontal="left" wrapText="1"/>
    </xf>
    <xf numFmtId="166" fontId="4" fillId="0" borderId="1" xfId="0" applyNumberFormat="1" applyFont="1" applyFill="1" applyBorder="1" applyAlignment="1">
      <alignment horizontal="left" wrapText="1"/>
    </xf>
    <xf numFmtId="1" fontId="2" fillId="0" borderId="1" xfId="0" applyNumberFormat="1" applyFont="1" applyFill="1" applyBorder="1" applyAlignment="1">
      <alignment horizontal="left" wrapText="1"/>
    </xf>
    <xf numFmtId="0" fontId="0" fillId="0" borderId="0" xfId="0" applyFill="1" applyAlignment="1">
      <alignment horizontal="left"/>
    </xf>
    <xf numFmtId="3" fontId="2" fillId="0" borderId="0" xfId="0" applyNumberFormat="1" applyFont="1" applyFill="1" applyBorder="1" applyAlignment="1">
      <alignment horizontal="left" wrapText="1"/>
    </xf>
    <xf numFmtId="0" fontId="5" fillId="0" borderId="1" xfId="0" applyFont="1" applyFill="1" applyBorder="1" applyAlignment="1">
      <alignment horizontal="left" wrapText="1"/>
    </xf>
    <xf numFmtId="0" fontId="16" fillId="0" borderId="1" xfId="0" applyFont="1" applyFill="1" applyBorder="1" applyAlignment="1">
      <alignment wrapText="1"/>
    </xf>
    <xf numFmtId="0" fontId="16" fillId="0" borderId="0" xfId="0" applyFont="1"/>
    <xf numFmtId="3" fontId="5" fillId="0" borderId="0" xfId="0" applyNumberFormat="1" applyFont="1" applyFill="1" applyBorder="1" applyAlignment="1">
      <alignment horizontal="left" wrapText="1"/>
    </xf>
    <xf numFmtId="0" fontId="16" fillId="0" borderId="0" xfId="0" applyFont="1" applyFill="1" applyAlignment="1">
      <alignment horizontal="left"/>
    </xf>
    <xf numFmtId="0" fontId="16" fillId="0" borderId="0" xfId="0" applyFont="1" applyFill="1" applyAlignment="1">
      <alignment horizontal="left" wrapText="1"/>
    </xf>
    <xf numFmtId="0" fontId="16" fillId="0" borderId="9" xfId="0" applyFont="1" applyFill="1" applyBorder="1" applyAlignment="1">
      <alignment wrapText="1"/>
    </xf>
    <xf numFmtId="0" fontId="16" fillId="0" borderId="1" xfId="0" applyFont="1" applyFill="1" applyBorder="1" applyAlignment="1">
      <alignment horizontal="left" wrapText="1"/>
    </xf>
    <xf numFmtId="168" fontId="5" fillId="0" borderId="1" xfId="0" applyNumberFormat="1" applyFont="1" applyFill="1" applyBorder="1" applyAlignment="1">
      <alignment horizontal="left" wrapText="1"/>
    </xf>
    <xf numFmtId="0" fontId="16" fillId="0" borderId="1" xfId="0" applyFont="1" applyBorder="1"/>
    <xf numFmtId="3" fontId="5" fillId="0" borderId="1" xfId="0" applyNumberFormat="1" applyFont="1" applyFill="1" applyBorder="1" applyAlignment="1">
      <alignment horizontal="left" wrapText="1"/>
    </xf>
    <xf numFmtId="166" fontId="5" fillId="0" borderId="1" xfId="0" applyNumberFormat="1" applyFont="1" applyFill="1" applyBorder="1" applyAlignment="1">
      <alignment horizontal="left" wrapText="1"/>
    </xf>
    <xf numFmtId="1" fontId="5" fillId="0" borderId="1" xfId="0" applyNumberFormat="1" applyFont="1" applyFill="1" applyBorder="1" applyAlignment="1">
      <alignment horizontal="left" wrapText="1"/>
    </xf>
    <xf numFmtId="0" fontId="0" fillId="0" borderId="0" xfId="0" applyFill="1" applyBorder="1" applyAlignment="1">
      <alignment horizontal="left"/>
    </xf>
    <xf numFmtId="0" fontId="16" fillId="0" borderId="0" xfId="0" applyFont="1" applyFill="1" applyBorder="1" applyAlignment="1">
      <alignment horizontal="left"/>
    </xf>
    <xf numFmtId="0" fontId="16" fillId="0" borderId="0" xfId="0" applyFont="1" applyFill="1" applyBorder="1" applyAlignment="1">
      <alignment horizontal="left" wrapText="1"/>
    </xf>
    <xf numFmtId="0" fontId="0" fillId="0" borderId="1" xfId="0" applyFill="1" applyBorder="1" applyAlignment="1">
      <alignment horizontal="left" wrapText="1"/>
    </xf>
    <xf numFmtId="0" fontId="0" fillId="0" borderId="0" xfId="0" applyAlignment="1">
      <alignment wrapText="1"/>
    </xf>
    <xf numFmtId="0" fontId="16" fillId="0" borderId="1" xfId="0" applyFont="1" applyBorder="1" applyAlignment="1">
      <alignment wrapText="1"/>
    </xf>
    <xf numFmtId="0" fontId="16" fillId="0" borderId="0" xfId="0" applyFont="1" applyAlignment="1">
      <alignment wrapText="1"/>
    </xf>
    <xf numFmtId="0" fontId="0" fillId="0" borderId="2" xfId="0" applyBorder="1" applyAlignment="1">
      <alignment wrapText="1"/>
    </xf>
    <xf numFmtId="0" fontId="0" fillId="0" borderId="0" xfId="0" applyBorder="1"/>
    <xf numFmtId="0" fontId="6" fillId="0" borderId="0" xfId="0" applyFont="1" applyBorder="1"/>
    <xf numFmtId="0" fontId="6" fillId="0" borderId="10" xfId="0" applyFont="1" applyBorder="1"/>
    <xf numFmtId="0" fontId="6" fillId="0" borderId="11" xfId="0" applyFont="1" applyBorder="1"/>
    <xf numFmtId="0" fontId="0" fillId="0" borderId="11" xfId="0" applyBorder="1"/>
    <xf numFmtId="0" fontId="0" fillId="0" borderId="10" xfId="0" applyBorder="1" applyAlignment="1">
      <alignment horizontal="left"/>
    </xf>
    <xf numFmtId="0" fontId="0" fillId="0" borderId="0" xfId="0" applyBorder="1" applyAlignment="1">
      <alignment horizontal="left"/>
    </xf>
    <xf numFmtId="0" fontId="0" fillId="0" borderId="12" xfId="0" applyBorder="1"/>
    <xf numFmtId="0" fontId="0" fillId="0" borderId="0" xfId="0" applyBorder="1" applyAlignment="1">
      <alignment horizontal="right"/>
    </xf>
    <xf numFmtId="0" fontId="6" fillId="0" borderId="0" xfId="0" applyFont="1" applyBorder="1" applyAlignment="1">
      <alignment horizontal="right"/>
    </xf>
    <xf numFmtId="0" fontId="6" fillId="0" borderId="0" xfId="0" applyFont="1" applyBorder="1" applyAlignment="1">
      <alignment horizontal="left"/>
    </xf>
    <xf numFmtId="0" fontId="0" fillId="0" borderId="13" xfId="0" applyBorder="1" applyAlignment="1">
      <alignment horizontal="left"/>
    </xf>
    <xf numFmtId="0" fontId="1" fillId="0" borderId="11" xfId="0" applyFont="1" applyFill="1" applyBorder="1"/>
    <xf numFmtId="166" fontId="0" fillId="0" borderId="0" xfId="0" applyNumberFormat="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NumberFormat="1" applyBorder="1"/>
    <xf numFmtId="166" fontId="0" fillId="0" borderId="3" xfId="0" applyNumberFormat="1" applyBorder="1"/>
    <xf numFmtId="0" fontId="0" fillId="0" borderId="21" xfId="0" applyBorder="1"/>
    <xf numFmtId="166" fontId="0" fillId="0" borderId="20" xfId="0" applyNumberFormat="1" applyBorder="1"/>
    <xf numFmtId="0" fontId="0" fillId="0" borderId="0" xfId="0" applyAlignment="1">
      <alignment horizontal="left"/>
    </xf>
    <xf numFmtId="166" fontId="0" fillId="0" borderId="0" xfId="0" applyNumberFormat="1" applyAlignment="1">
      <alignment horizontal="left"/>
    </xf>
    <xf numFmtId="3" fontId="0" fillId="0" borderId="0" xfId="0" applyNumberFormat="1" applyAlignment="1">
      <alignment horizontal="left"/>
    </xf>
    <xf numFmtId="0" fontId="6" fillId="0" borderId="0" xfId="0" applyFont="1" applyAlignment="1">
      <alignment wrapText="1"/>
    </xf>
    <xf numFmtId="167" fontId="0" fillId="0" borderId="0" xfId="0" applyNumberFormat="1" applyAlignment="1">
      <alignment horizontal="left"/>
    </xf>
    <xf numFmtId="14" fontId="0" fillId="0" borderId="2" xfId="0" applyNumberFormat="1" applyBorder="1"/>
    <xf numFmtId="0" fontId="0" fillId="0" borderId="6" xfId="0" applyBorder="1" applyAlignment="1">
      <alignment wrapText="1"/>
    </xf>
    <xf numFmtId="0" fontId="20" fillId="0" borderId="2" xfId="0" pivotButton="1" applyFont="1" applyBorder="1" applyAlignment="1">
      <alignment wrapText="1"/>
    </xf>
    <xf numFmtId="0" fontId="20" fillId="0" borderId="2" xfId="0" pivotButton="1" applyFont="1" applyBorder="1" applyAlignment="1">
      <alignment horizontal="left" wrapText="1"/>
    </xf>
    <xf numFmtId="3" fontId="20" fillId="0" borderId="2" xfId="0" pivotButton="1" applyNumberFormat="1" applyFont="1" applyBorder="1" applyAlignment="1">
      <alignment horizontal="left" wrapText="1"/>
    </xf>
    <xf numFmtId="166" fontId="20" fillId="0" borderId="2" xfId="0" pivotButton="1" applyNumberFormat="1" applyFont="1" applyBorder="1" applyAlignment="1">
      <alignment horizontal="left" wrapText="1"/>
    </xf>
    <xf numFmtId="167" fontId="20" fillId="0" borderId="2" xfId="0" pivotButton="1" applyNumberFormat="1" applyFont="1" applyBorder="1" applyAlignment="1">
      <alignment horizontal="left" wrapText="1"/>
    </xf>
    <xf numFmtId="0" fontId="0" fillId="0" borderId="4" xfId="0" applyBorder="1"/>
    <xf numFmtId="0" fontId="21" fillId="0" borderId="0" xfId="0" applyFont="1" applyAlignment="1">
      <alignment wrapText="1"/>
    </xf>
    <xf numFmtId="0" fontId="21" fillId="0" borderId="0" xfId="0" applyFont="1"/>
    <xf numFmtId="166" fontId="21" fillId="0" borderId="0" xfId="0" applyNumberFormat="1" applyFont="1" applyAlignment="1">
      <alignment horizontal="left"/>
    </xf>
    <xf numFmtId="0" fontId="0" fillId="0" borderId="0" xfId="0" applyNumberFormat="1" applyBorder="1"/>
    <xf numFmtId="0" fontId="0" fillId="0" borderId="0" xfId="0" applyAlignment="1">
      <alignment vertical="center" wrapText="1"/>
    </xf>
    <xf numFmtId="0" fontId="6" fillId="0" borderId="0" xfId="0" applyFont="1" applyAlignment="1">
      <alignment vertical="center" wrapText="1"/>
    </xf>
    <xf numFmtId="0" fontId="0" fillId="0" borderId="0" xfId="0" applyNumberFormat="1" applyAlignment="1">
      <alignment vertical="center" wrapText="1"/>
    </xf>
    <xf numFmtId="14" fontId="0" fillId="0" borderId="0" xfId="0" applyNumberFormat="1" applyAlignment="1">
      <alignment vertical="center" wrapText="1"/>
    </xf>
    <xf numFmtId="14" fontId="23" fillId="0" borderId="1" xfId="0" applyNumberFormat="1" applyFont="1" applyBorder="1" applyAlignment="1">
      <alignment vertical="center" wrapText="1"/>
    </xf>
    <xf numFmtId="0" fontId="25" fillId="0" borderId="0" xfId="0" applyFont="1" applyAlignment="1">
      <alignment vertical="center" wrapText="1"/>
    </xf>
    <xf numFmtId="0" fontId="23" fillId="0" borderId="1" xfId="0" applyFont="1" applyBorder="1" applyAlignment="1">
      <alignment vertical="center" wrapText="1"/>
    </xf>
    <xf numFmtId="0" fontId="23" fillId="0" borderId="22" xfId="0" applyFont="1" applyBorder="1" applyAlignment="1">
      <alignment vertical="center" wrapText="1"/>
    </xf>
    <xf numFmtId="0" fontId="23" fillId="0" borderId="23" xfId="0" applyFont="1" applyBorder="1" applyAlignment="1">
      <alignment vertical="center" wrapText="1"/>
    </xf>
    <xf numFmtId="0" fontId="23" fillId="0" borderId="24" xfId="0" applyFont="1" applyBorder="1" applyAlignment="1">
      <alignment vertical="center" wrapText="1"/>
    </xf>
    <xf numFmtId="0" fontId="23" fillId="0" borderId="25" xfId="0" applyFont="1" applyBorder="1" applyAlignment="1">
      <alignment vertical="center" wrapText="1"/>
    </xf>
    <xf numFmtId="0" fontId="23" fillId="0" borderId="1" xfId="0" applyNumberFormat="1" applyFont="1" applyBorder="1" applyAlignment="1">
      <alignment vertical="center" wrapText="1"/>
    </xf>
    <xf numFmtId="0" fontId="23" fillId="0" borderId="26" xfId="0" applyFont="1" applyBorder="1" applyAlignment="1">
      <alignment vertical="center" wrapText="1"/>
    </xf>
    <xf numFmtId="0" fontId="13" fillId="0" borderId="0" xfId="0" applyNumberFormat="1" applyFont="1" applyAlignment="1">
      <alignment vertical="center" wrapText="1"/>
    </xf>
    <xf numFmtId="14" fontId="13" fillId="0" borderId="0" xfId="0" applyNumberFormat="1" applyFont="1" applyAlignment="1">
      <alignment vertical="center" wrapText="1"/>
    </xf>
    <xf numFmtId="0" fontId="13" fillId="0" borderId="0" xfId="0" applyFont="1" applyAlignment="1">
      <alignment vertical="center" wrapText="1"/>
    </xf>
    <xf numFmtId="0" fontId="22" fillId="0" borderId="0" xfId="0" applyFont="1" applyAlignment="1">
      <alignment vertical="center"/>
    </xf>
    <xf numFmtId="0" fontId="6" fillId="0" borderId="0" xfId="0" applyFont="1" applyAlignment="1">
      <alignment vertical="center"/>
    </xf>
    <xf numFmtId="0" fontId="26" fillId="2" borderId="1" xfId="0" applyFont="1" applyFill="1" applyBorder="1" applyAlignment="1">
      <alignment vertical="center" wrapText="1"/>
    </xf>
    <xf numFmtId="14" fontId="0" fillId="0" borderId="0" xfId="0" applyNumberFormat="1" applyAlignment="1">
      <alignment horizontal="right" vertical="center" wrapText="1"/>
    </xf>
    <xf numFmtId="14" fontId="23" fillId="0" borderId="1" xfId="0" applyNumberFormat="1" applyFont="1" applyBorder="1" applyAlignment="1">
      <alignment horizontal="right" vertical="center" wrapText="1"/>
    </xf>
    <xf numFmtId="14" fontId="13" fillId="0" borderId="0" xfId="0" applyNumberFormat="1" applyFont="1" applyAlignment="1">
      <alignment horizontal="right" vertical="center" wrapText="1"/>
    </xf>
    <xf numFmtId="14" fontId="0" fillId="0" borderId="0" xfId="0" applyNumberFormat="1" applyAlignment="1">
      <alignment horizontal="center" vertical="center" wrapText="1"/>
    </xf>
    <xf numFmtId="14" fontId="23" fillId="0" borderId="1" xfId="0" applyNumberFormat="1" applyFont="1" applyBorder="1" applyAlignment="1">
      <alignment horizontal="center" vertical="center" wrapText="1"/>
    </xf>
    <xf numFmtId="14" fontId="13" fillId="0" borderId="0" xfId="0" applyNumberFormat="1" applyFont="1" applyAlignment="1">
      <alignment horizontal="center" vertical="center" wrapText="1"/>
    </xf>
    <xf numFmtId="14" fontId="23" fillId="0" borderId="25" xfId="0" applyNumberFormat="1" applyFont="1" applyBorder="1" applyAlignment="1">
      <alignment horizontal="center" vertical="center" wrapText="1"/>
    </xf>
    <xf numFmtId="14" fontId="26" fillId="2" borderId="1" xfId="0" applyNumberFormat="1" applyFont="1" applyFill="1" applyBorder="1" applyAlignment="1">
      <alignment horizontal="right" vertical="center" wrapText="1"/>
    </xf>
    <xf numFmtId="14" fontId="26" fillId="2" borderId="1" xfId="0" applyNumberFormat="1" applyFont="1" applyFill="1" applyBorder="1" applyAlignment="1">
      <alignment horizontal="center" vertical="center" wrapText="1"/>
    </xf>
    <xf numFmtId="0" fontId="20" fillId="0" borderId="1" xfId="0" applyFont="1" applyBorder="1" applyAlignment="1">
      <alignment vertical="center" wrapText="1"/>
    </xf>
    <xf numFmtId="14" fontId="23" fillId="0" borderId="25" xfId="0" applyNumberFormat="1" applyFont="1" applyBorder="1" applyAlignment="1">
      <alignment vertical="center" wrapText="1"/>
    </xf>
    <xf numFmtId="14" fontId="23" fillId="0" borderId="25" xfId="0" applyNumberFormat="1" applyFont="1" applyBorder="1" applyAlignment="1">
      <alignment horizontal="right" vertical="center" wrapText="1"/>
    </xf>
    <xf numFmtId="0" fontId="25" fillId="0" borderId="1" xfId="0" applyFont="1" applyBorder="1" applyAlignment="1">
      <alignment vertical="center" wrapText="1"/>
    </xf>
    <xf numFmtId="0" fontId="23" fillId="0" borderId="1" xfId="0" applyFont="1" applyFill="1" applyBorder="1" applyAlignment="1">
      <alignment vertical="center" wrapText="1"/>
    </xf>
    <xf numFmtId="14" fontId="23" fillId="0" borderId="1" xfId="0" applyNumberFormat="1" applyFont="1" applyFill="1" applyBorder="1" applyAlignment="1">
      <alignment horizontal="center" vertical="center" wrapText="1"/>
    </xf>
    <xf numFmtId="0" fontId="23" fillId="0" borderId="25" xfId="0" applyFont="1" applyFill="1" applyBorder="1" applyAlignment="1">
      <alignment vertical="center" wrapText="1"/>
    </xf>
    <xf numFmtId="0" fontId="23" fillId="0" borderId="23" xfId="0" applyFont="1" applyFill="1" applyBorder="1" applyAlignment="1">
      <alignment vertical="center" wrapText="1"/>
    </xf>
    <xf numFmtId="0" fontId="23" fillId="0" borderId="1" xfId="0" applyFont="1" applyBorder="1" applyAlignment="1">
      <alignment horizontal="left" vertical="center" wrapText="1"/>
    </xf>
    <xf numFmtId="0" fontId="0" fillId="0" borderId="0" xfId="0" applyAlignment="1">
      <alignment horizontal="center" vertical="center" wrapText="1"/>
    </xf>
    <xf numFmtId="0" fontId="26" fillId="2" borderId="1" xfId="0" applyFont="1" applyFill="1" applyBorder="1" applyAlignment="1">
      <alignment horizontal="center" vertical="center" wrapText="1"/>
    </xf>
    <xf numFmtId="0" fontId="23" fillId="0" borderId="1" xfId="0" applyFont="1" applyBorder="1" applyAlignment="1">
      <alignment horizontal="center" vertical="center" wrapText="1"/>
    </xf>
    <xf numFmtId="0" fontId="27" fillId="0" borderId="1" xfId="0" applyFont="1" applyBorder="1" applyAlignment="1">
      <alignment horizontal="center" vertical="center" wrapText="1"/>
    </xf>
    <xf numFmtId="0" fontId="27" fillId="0" borderId="25" xfId="0" applyFont="1" applyBorder="1" applyAlignment="1">
      <alignment horizontal="center" vertical="center" wrapText="1"/>
    </xf>
    <xf numFmtId="0" fontId="13" fillId="0" borderId="0" xfId="0" applyFont="1" applyAlignment="1">
      <alignment horizontal="center" vertical="center" wrapText="1"/>
    </xf>
    <xf numFmtId="14" fontId="23" fillId="0" borderId="25" xfId="0" applyNumberFormat="1" applyFont="1" applyFill="1" applyBorder="1" applyAlignment="1">
      <alignment horizontal="center" vertical="center" wrapText="1"/>
    </xf>
    <xf numFmtId="0" fontId="27" fillId="0" borderId="23" xfId="0" applyFont="1" applyBorder="1" applyAlignment="1">
      <alignment horizontal="center" vertical="center" wrapText="1"/>
    </xf>
    <xf numFmtId="0" fontId="6" fillId="0" borderId="0" xfId="0" applyFont="1" applyAlignment="1"/>
    <xf numFmtId="166" fontId="20" fillId="0" borderId="4" xfId="0" applyNumberFormat="1" applyFont="1" applyBorder="1"/>
    <xf numFmtId="0" fontId="20" fillId="0" borderId="5" xfId="0" applyFont="1" applyBorder="1"/>
    <xf numFmtId="3" fontId="0" fillId="0" borderId="3" xfId="0" applyNumberFormat="1" applyBorder="1"/>
    <xf numFmtId="3" fontId="0" fillId="0" borderId="20" xfId="0" applyNumberFormat="1" applyBorder="1"/>
    <xf numFmtId="3" fontId="0" fillId="0" borderId="0" xfId="0" applyNumberFormat="1" applyBorder="1"/>
    <xf numFmtId="0" fontId="6" fillId="0" borderId="0" xfId="0" applyFont="1" applyFill="1" applyBorder="1"/>
    <xf numFmtId="14" fontId="23" fillId="0" borderId="23" xfId="0" applyNumberFormat="1" applyFont="1" applyBorder="1" applyAlignment="1">
      <alignment vertical="center" wrapText="1"/>
    </xf>
    <xf numFmtId="14" fontId="23" fillId="0" borderId="23" xfId="0" applyNumberFormat="1" applyFont="1" applyBorder="1" applyAlignment="1">
      <alignment horizontal="right" vertical="center" wrapText="1"/>
    </xf>
    <xf numFmtId="14" fontId="23" fillId="0" borderId="23" xfId="0" applyNumberFormat="1" applyFont="1" applyBorder="1" applyAlignment="1">
      <alignment horizontal="center" vertical="center" wrapText="1"/>
    </xf>
    <xf numFmtId="14" fontId="23" fillId="0" borderId="23" xfId="0" applyNumberFormat="1" applyFont="1" applyFill="1" applyBorder="1" applyAlignment="1">
      <alignment horizontal="center" vertical="center" wrapText="1"/>
    </xf>
    <xf numFmtId="0" fontId="28" fillId="0" borderId="1" xfId="0" applyFont="1" applyBorder="1" applyAlignment="1">
      <alignment vertical="center" wrapText="1"/>
    </xf>
    <xf numFmtId="166" fontId="0" fillId="0" borderId="0" xfId="0" applyNumberFormat="1" applyAlignment="1">
      <alignment vertical="center" wrapText="1"/>
    </xf>
    <xf numFmtId="166" fontId="20" fillId="0" borderId="1" xfId="0" applyNumberFormat="1" applyFont="1" applyBorder="1" applyAlignment="1">
      <alignment vertical="center" wrapText="1"/>
    </xf>
    <xf numFmtId="166" fontId="25" fillId="0" borderId="1" xfId="0" applyNumberFormat="1" applyFont="1" applyBorder="1" applyAlignment="1">
      <alignment vertical="center" wrapText="1"/>
    </xf>
    <xf numFmtId="166" fontId="25" fillId="0" borderId="0" xfId="0" applyNumberFormat="1" applyFont="1" applyAlignment="1">
      <alignment vertical="center" wrapText="1"/>
    </xf>
    <xf numFmtId="166" fontId="28" fillId="0" borderId="1" xfId="0" applyNumberFormat="1" applyFont="1" applyBorder="1" applyAlignment="1">
      <alignment vertical="center" wrapText="1"/>
    </xf>
    <xf numFmtId="166" fontId="13" fillId="0" borderId="0" xfId="0" applyNumberFormat="1" applyFont="1" applyAlignment="1">
      <alignment vertical="center" wrapText="1"/>
    </xf>
    <xf numFmtId="3" fontId="0" fillId="0" borderId="2" xfId="0" applyNumberFormat="1" applyBorder="1"/>
    <xf numFmtId="3" fontId="0" fillId="0" borderId="6" xfId="0" applyNumberFormat="1" applyBorder="1"/>
    <xf numFmtId="0" fontId="6" fillId="0" borderId="10" xfId="0" applyFont="1" applyBorder="1" applyAlignment="1">
      <alignment horizontal="left"/>
    </xf>
    <xf numFmtId="0" fontId="29" fillId="0" borderId="10" xfId="3" applyFont="1" applyBorder="1" applyAlignment="1" applyProtection="1"/>
    <xf numFmtId="0" fontId="31" fillId="0" borderId="10" xfId="0" applyFont="1" applyBorder="1"/>
    <xf numFmtId="0" fontId="32" fillId="0" borderId="27" xfId="0" applyFont="1" applyBorder="1" applyAlignment="1">
      <alignment vertical="center"/>
    </xf>
    <xf numFmtId="0" fontId="6" fillId="0" borderId="28" xfId="0" applyFont="1" applyBorder="1"/>
    <xf numFmtId="0" fontId="6" fillId="0" borderId="29" xfId="0" applyFont="1" applyBorder="1"/>
    <xf numFmtId="0" fontId="6" fillId="0" borderId="28" xfId="0" applyFont="1" applyBorder="1" applyAlignment="1">
      <alignment horizontal="right"/>
    </xf>
    <xf numFmtId="0" fontId="6" fillId="0" borderId="27" xfId="0" applyFont="1" applyBorder="1" applyAlignment="1">
      <alignment horizontal="left"/>
    </xf>
    <xf numFmtId="0" fontId="6" fillId="0" borderId="30" xfId="0" applyFont="1" applyBorder="1"/>
    <xf numFmtId="0" fontId="0" fillId="0" borderId="0" xfId="0" applyFill="1" applyBorder="1"/>
    <xf numFmtId="0" fontId="30" fillId="0" borderId="0" xfId="0" applyFont="1" applyBorder="1"/>
    <xf numFmtId="0" fontId="33" fillId="0" borderId="10" xfId="0" applyFont="1" applyBorder="1"/>
    <xf numFmtId="0" fontId="33" fillId="0" borderId="0" xfId="0" applyFont="1" applyFill="1" applyBorder="1" applyAlignment="1">
      <alignment wrapText="1"/>
    </xf>
    <xf numFmtId="0" fontId="6" fillId="0" borderId="0" xfId="0" applyFont="1" applyFill="1" applyBorder="1" applyAlignment="1">
      <alignment horizontal="right"/>
    </xf>
    <xf numFmtId="0" fontId="6" fillId="0" borderId="0" xfId="0" applyFont="1" applyFill="1" applyBorder="1" applyAlignment="1">
      <alignment horizontal="left"/>
    </xf>
    <xf numFmtId="0" fontId="6" fillId="0" borderId="28" xfId="0" applyFont="1" applyBorder="1" applyAlignment="1"/>
    <xf numFmtId="0" fontId="31" fillId="0" borderId="0" xfId="0" applyFont="1" applyBorder="1" applyAlignment="1">
      <alignment horizontal="left"/>
    </xf>
    <xf numFmtId="0" fontId="5" fillId="0" borderId="0" xfId="0" applyFont="1" applyBorder="1" applyAlignment="1">
      <alignment horizontal="left"/>
    </xf>
    <xf numFmtId="0" fontId="31" fillId="0" borderId="0" xfId="0" applyFont="1" applyBorder="1"/>
    <xf numFmtId="0" fontId="32" fillId="0" borderId="28" xfId="0" applyFont="1" applyBorder="1" applyAlignment="1">
      <alignment vertical="center"/>
    </xf>
    <xf numFmtId="0" fontId="33" fillId="0" borderId="0" xfId="0" applyFont="1" applyBorder="1"/>
    <xf numFmtId="0" fontId="29" fillId="0" borderId="0" xfId="3" applyFont="1" applyBorder="1" applyAlignment="1" applyProtection="1"/>
    <xf numFmtId="0" fontId="33" fillId="0" borderId="10" xfId="0" applyFont="1" applyBorder="1" applyAlignment="1">
      <alignment wrapText="1"/>
    </xf>
    <xf numFmtId="0" fontId="20" fillId="0" borderId="8" xfId="0" applyFont="1" applyBorder="1"/>
    <xf numFmtId="166" fontId="0" fillId="3" borderId="20" xfId="0" applyNumberFormat="1" applyFill="1" applyBorder="1"/>
    <xf numFmtId="166" fontId="0" fillId="0" borderId="20" xfId="0" applyNumberFormat="1" applyFill="1" applyBorder="1"/>
    <xf numFmtId="166" fontId="0" fillId="3" borderId="3" xfId="0" applyNumberFormat="1" applyFill="1" applyBorder="1"/>
    <xf numFmtId="0" fontId="0" fillId="0" borderId="31" xfId="0" pivotButton="1" applyBorder="1" applyAlignment="1">
      <alignment wrapText="1"/>
    </xf>
    <xf numFmtId="0" fontId="0" fillId="0" borderId="31" xfId="0" applyBorder="1" applyAlignment="1">
      <alignment horizontal="left"/>
    </xf>
    <xf numFmtId="166" fontId="0" fillId="0" borderId="0" xfId="0" applyNumberFormat="1" applyBorder="1"/>
    <xf numFmtId="0" fontId="0" fillId="0" borderId="24" xfId="0" pivotButton="1" applyBorder="1"/>
    <xf numFmtId="0" fontId="0" fillId="0" borderId="32" xfId="0" applyBorder="1"/>
    <xf numFmtId="0" fontId="20" fillId="0" borderId="33" xfId="0" applyFont="1" applyBorder="1"/>
    <xf numFmtId="166" fontId="20" fillId="0" borderId="34" xfId="0" applyNumberFormat="1" applyFont="1" applyBorder="1"/>
    <xf numFmtId="0" fontId="0" fillId="0" borderId="35" xfId="0" applyBorder="1"/>
    <xf numFmtId="166" fontId="0" fillId="0" borderId="36" xfId="0" applyNumberFormat="1" applyBorder="1"/>
    <xf numFmtId="0" fontId="0" fillId="0" borderId="37" xfId="0" pivotButton="1" applyBorder="1"/>
    <xf numFmtId="0" fontId="0" fillId="0" borderId="38" xfId="0" applyBorder="1" applyAlignment="1">
      <alignment horizontal="left"/>
    </xf>
    <xf numFmtId="0" fontId="0" fillId="0" borderId="38" xfId="0" applyBorder="1"/>
    <xf numFmtId="166" fontId="20" fillId="0" borderId="39" xfId="0" applyNumberFormat="1" applyFont="1" applyBorder="1"/>
    <xf numFmtId="0" fontId="20" fillId="0" borderId="26" xfId="0" applyFont="1" applyBorder="1"/>
    <xf numFmtId="0" fontId="23" fillId="2" borderId="1" xfId="0" applyFont="1" applyFill="1" applyBorder="1" applyAlignment="1">
      <alignment vertical="center" wrapText="1"/>
    </xf>
    <xf numFmtId="0" fontId="23" fillId="2" borderId="23" xfId="0" applyFont="1" applyFill="1" applyBorder="1" applyAlignment="1">
      <alignment vertical="center" wrapText="1"/>
    </xf>
    <xf numFmtId="14" fontId="23" fillId="2" borderId="1" xfId="0" applyNumberFormat="1" applyFont="1" applyFill="1" applyBorder="1" applyAlignment="1">
      <alignment vertical="center" wrapText="1"/>
    </xf>
    <xf numFmtId="14" fontId="23" fillId="2" borderId="1" xfId="0" applyNumberFormat="1" applyFont="1" applyFill="1" applyBorder="1" applyAlignment="1">
      <alignment horizontal="right" vertical="center" wrapText="1"/>
    </xf>
    <xf numFmtId="14" fontId="23" fillId="2" borderId="1" xfId="0" applyNumberFormat="1" applyFont="1" applyFill="1" applyBorder="1" applyAlignment="1">
      <alignment horizontal="center" vertical="center" wrapText="1"/>
    </xf>
    <xf numFmtId="0" fontId="27" fillId="2" borderId="1" xfId="0" applyFont="1" applyFill="1" applyBorder="1" applyAlignment="1">
      <alignment horizontal="center" vertical="center" wrapText="1"/>
    </xf>
    <xf numFmtId="0" fontId="23" fillId="2" borderId="1" xfId="0" applyFont="1" applyFill="1" applyBorder="1" applyAlignment="1">
      <alignment horizontal="left" vertical="center" wrapText="1"/>
    </xf>
    <xf numFmtId="0" fontId="25" fillId="2" borderId="1" xfId="0" applyFont="1" applyFill="1" applyBorder="1" applyAlignment="1">
      <alignment vertical="center" wrapText="1"/>
    </xf>
    <xf numFmtId="166" fontId="25" fillId="2" borderId="1" xfId="0" applyNumberFormat="1" applyFont="1" applyFill="1" applyBorder="1" applyAlignment="1">
      <alignment vertical="center" wrapText="1"/>
    </xf>
    <xf numFmtId="0" fontId="6" fillId="0" borderId="0" xfId="0" applyFont="1" applyAlignment="1">
      <alignment horizontal="left" vertical="center" wrapText="1"/>
    </xf>
    <xf numFmtId="3" fontId="13" fillId="0" borderId="0" xfId="0" applyNumberFormat="1" applyFont="1" applyAlignment="1">
      <alignment vertical="center" wrapText="1"/>
    </xf>
    <xf numFmtId="3" fontId="13" fillId="0" borderId="0" xfId="0" applyNumberFormat="1" applyFont="1" applyAlignment="1">
      <alignment horizontal="right" vertical="center" wrapText="1"/>
    </xf>
    <xf numFmtId="1" fontId="0" fillId="0" borderId="0" xfId="0" applyNumberFormat="1" applyAlignment="1">
      <alignment wrapText="1"/>
    </xf>
    <xf numFmtId="0" fontId="0" fillId="0" borderId="0" xfId="0" applyAlignment="1">
      <alignment horizontal="right" wrapText="1"/>
    </xf>
    <xf numFmtId="0" fontId="34" fillId="0" borderId="0" xfId="0" applyFont="1" applyAlignment="1">
      <alignment horizontal="right" wrapText="1"/>
    </xf>
    <xf numFmtId="3" fontId="0" fillId="0" borderId="4" xfId="0" applyNumberFormat="1" applyBorder="1"/>
    <xf numFmtId="3" fontId="0" fillId="0" borderId="0" xfId="0" applyNumberFormat="1"/>
    <xf numFmtId="3" fontId="0" fillId="0" borderId="6" xfId="0" applyNumberFormat="1" applyBorder="1" applyAlignment="1">
      <alignment wrapText="1"/>
    </xf>
    <xf numFmtId="3" fontId="0" fillId="0" borderId="8" xfId="0" applyNumberFormat="1" applyBorder="1"/>
    <xf numFmtId="0" fontId="0" fillId="0" borderId="4" xfId="0" applyNumberFormat="1" applyBorder="1" applyAlignment="1">
      <alignment horizontal="left"/>
    </xf>
    <xf numFmtId="0" fontId="16" fillId="0" borderId="1" xfId="0" applyFont="1" applyBorder="1" applyAlignment="1">
      <alignment vertical="top" wrapText="1"/>
    </xf>
    <xf numFmtId="6" fontId="16" fillId="0" borderId="1" xfId="0" applyNumberFormat="1" applyFont="1" applyBorder="1" applyAlignment="1">
      <alignment vertical="top" wrapText="1"/>
    </xf>
    <xf numFmtId="3" fontId="16" fillId="0" borderId="1" xfId="0" applyNumberFormat="1" applyFont="1" applyBorder="1" applyAlignment="1">
      <alignment vertical="top" wrapText="1"/>
    </xf>
    <xf numFmtId="0" fontId="6" fillId="0" borderId="1" xfId="0" applyFont="1" applyBorder="1" applyAlignment="1">
      <alignment vertical="top" wrapText="1"/>
    </xf>
    <xf numFmtId="1" fontId="6" fillId="0" borderId="0" xfId="0" applyNumberFormat="1" applyFont="1" applyAlignment="1">
      <alignment horizontal="right" wrapText="1"/>
    </xf>
    <xf numFmtId="14" fontId="13" fillId="0" borderId="0" xfId="0" applyNumberFormat="1" applyFont="1" applyAlignment="1">
      <alignment horizontal="right" vertical="center"/>
    </xf>
    <xf numFmtId="166" fontId="0" fillId="0" borderId="4" xfId="0" applyNumberFormat="1" applyBorder="1"/>
    <xf numFmtId="6" fontId="35" fillId="0" borderId="0" xfId="0" applyNumberFormat="1" applyFont="1"/>
    <xf numFmtId="1" fontId="0" fillId="0" borderId="0" xfId="0" applyNumberFormat="1"/>
    <xf numFmtId="1" fontId="0" fillId="0" borderId="1" xfId="0" applyNumberFormat="1" applyBorder="1"/>
    <xf numFmtId="167" fontId="0" fillId="0" borderId="0" xfId="0" applyNumberFormat="1"/>
    <xf numFmtId="167" fontId="0" fillId="0" borderId="2" xfId="0" pivotButton="1" applyNumberFormat="1" applyBorder="1"/>
    <xf numFmtId="14" fontId="0" fillId="0" borderId="1" xfId="0" applyNumberFormat="1" applyBorder="1"/>
    <xf numFmtId="0" fontId="0" fillId="0" borderId="0" xfId="0" applyFill="1"/>
    <xf numFmtId="0" fontId="0" fillId="0" borderId="40" xfId="0" applyBorder="1"/>
    <xf numFmtId="0" fontId="0" fillId="0" borderId="5" xfId="0" applyNumberFormat="1" applyBorder="1"/>
    <xf numFmtId="0" fontId="0" fillId="0" borderId="41" xfId="0" applyNumberFormat="1" applyBorder="1"/>
    <xf numFmtId="0" fontId="0" fillId="0" borderId="0" xfId="0" applyAlignment="1">
      <alignment vertical="top"/>
    </xf>
    <xf numFmtId="0" fontId="36" fillId="0" borderId="2" xfId="0" pivotButton="1" applyFont="1" applyBorder="1"/>
    <xf numFmtId="0" fontId="0" fillId="0" borderId="42" xfId="0" applyBorder="1"/>
    <xf numFmtId="0" fontId="0" fillId="0" borderId="0" xfId="0" applyAlignment="1"/>
    <xf numFmtId="166" fontId="0" fillId="0" borderId="2" xfId="0" applyNumberFormat="1" applyBorder="1"/>
    <xf numFmtId="166" fontId="0" fillId="0" borderId="6" xfId="0" applyNumberFormat="1" applyBorder="1"/>
    <xf numFmtId="166" fontId="0" fillId="0" borderId="2" xfId="0" pivotButton="1" applyNumberFormat="1" applyBorder="1"/>
    <xf numFmtId="3" fontId="6" fillId="0" borderId="0" xfId="0" applyNumberFormat="1" applyFont="1"/>
    <xf numFmtId="0" fontId="34" fillId="0" borderId="0" xfId="0" applyFont="1"/>
    <xf numFmtId="0" fontId="0" fillId="0" borderId="41" xfId="0" applyBorder="1"/>
    <xf numFmtId="0" fontId="37" fillId="0" borderId="0" xfId="0" applyFont="1" applyFill="1" applyBorder="1" applyAlignment="1">
      <alignment vertical="top" wrapText="1"/>
    </xf>
    <xf numFmtId="0" fontId="38" fillId="0" borderId="0" xfId="0" applyFont="1" applyAlignment="1">
      <alignment vertical="top" wrapText="1"/>
    </xf>
    <xf numFmtId="0" fontId="34" fillId="0" borderId="0" xfId="0" applyFont="1" applyAlignment="1">
      <alignment vertical="top" wrapText="1"/>
    </xf>
    <xf numFmtId="0" fontId="0" fillId="0" borderId="0" xfId="0" applyAlignment="1">
      <alignment vertical="top" wrapText="1"/>
    </xf>
    <xf numFmtId="0" fontId="16" fillId="0" borderId="0" xfId="0" applyNumberFormat="1" applyFont="1" applyFill="1" applyBorder="1" applyAlignment="1">
      <alignment vertical="top" wrapText="1"/>
    </xf>
    <xf numFmtId="0" fontId="16" fillId="0" borderId="0" xfId="0" applyFont="1" applyAlignment="1">
      <alignment vertical="top" wrapText="1"/>
    </xf>
    <xf numFmtId="0" fontId="16" fillId="0" borderId="21" xfId="0" applyNumberFormat="1" applyFont="1" applyFill="1" applyBorder="1" applyAlignment="1">
      <alignment vertical="top" wrapText="1"/>
    </xf>
    <xf numFmtId="167" fontId="0" fillId="0" borderId="0" xfId="0" applyNumberFormat="1" applyAlignment="1">
      <alignment vertical="top" wrapText="1"/>
    </xf>
    <xf numFmtId="0" fontId="16" fillId="0" borderId="0" xfId="0" applyFont="1" applyFill="1" applyBorder="1" applyAlignment="1">
      <alignment vertical="top" wrapText="1"/>
    </xf>
    <xf numFmtId="3" fontId="0" fillId="0" borderId="7" xfId="0" applyNumberFormat="1" applyBorder="1"/>
    <xf numFmtId="3" fontId="0" fillId="0" borderId="15" xfId="0" applyNumberFormat="1" applyBorder="1"/>
    <xf numFmtId="3" fontId="0" fillId="0" borderId="16" xfId="0" applyNumberFormat="1" applyBorder="1"/>
    <xf numFmtId="3" fontId="0" fillId="0" borderId="14" xfId="0" applyNumberFormat="1" applyBorder="1"/>
    <xf numFmtId="0" fontId="31" fillId="0" borderId="0" xfId="0" applyFont="1"/>
    <xf numFmtId="0" fontId="31" fillId="0" borderId="0" xfId="0" applyFont="1" applyAlignment="1"/>
    <xf numFmtId="0" fontId="39" fillId="4" borderId="0" xfId="0" applyFont="1" applyFill="1" applyBorder="1" applyAlignment="1">
      <alignment horizontal="left" vertical="top"/>
    </xf>
    <xf numFmtId="0" fontId="39" fillId="4" borderId="10" xfId="0" applyFont="1" applyFill="1" applyBorder="1" applyAlignment="1">
      <alignment horizontal="left" vertical="top"/>
    </xf>
    <xf numFmtId="0" fontId="42" fillId="5" borderId="1" xfId="0" applyFont="1" applyFill="1" applyBorder="1" applyAlignment="1">
      <alignment horizontal="left" wrapText="1"/>
    </xf>
    <xf numFmtId="0" fontId="42" fillId="5" borderId="43" xfId="0" applyFont="1" applyFill="1" applyBorder="1" applyAlignment="1">
      <alignment horizontal="left" wrapText="1"/>
    </xf>
    <xf numFmtId="0" fontId="42" fillId="5" borderId="44" xfId="0" applyFont="1" applyFill="1" applyBorder="1" applyAlignment="1">
      <alignment horizontal="left" wrapText="1"/>
    </xf>
    <xf numFmtId="0" fontId="42" fillId="5" borderId="26" xfId="0" applyFont="1" applyFill="1" applyBorder="1" applyAlignment="1">
      <alignment horizontal="left" wrapText="1"/>
    </xf>
    <xf numFmtId="3" fontId="42" fillId="5" borderId="1" xfId="0" applyNumberFormat="1" applyFont="1" applyFill="1" applyBorder="1" applyAlignment="1">
      <alignment horizontal="left" wrapText="1"/>
    </xf>
    <xf numFmtId="166" fontId="42" fillId="5" borderId="1" xfId="0" applyNumberFormat="1" applyFont="1" applyFill="1" applyBorder="1" applyAlignment="1">
      <alignment horizontal="left" wrapText="1"/>
    </xf>
    <xf numFmtId="1" fontId="42" fillId="5" borderId="1" xfId="0" applyNumberFormat="1" applyFont="1" applyFill="1" applyBorder="1" applyAlignment="1">
      <alignment horizontal="left" wrapText="1"/>
    </xf>
    <xf numFmtId="6" fontId="42" fillId="5" borderId="1" xfId="0" applyNumberFormat="1" applyFont="1" applyFill="1" applyBorder="1" applyAlignment="1">
      <alignment horizontal="left" wrapText="1"/>
    </xf>
    <xf numFmtId="0" fontId="43" fillId="0" borderId="1" xfId="0" applyFont="1" applyFill="1" applyBorder="1" applyAlignment="1">
      <alignment horizontal="left" wrapText="1"/>
    </xf>
    <xf numFmtId="0" fontId="44" fillId="4" borderId="45" xfId="0" applyFont="1" applyFill="1" applyBorder="1" applyAlignment="1">
      <alignment vertical="center"/>
    </xf>
    <xf numFmtId="0" fontId="42" fillId="5" borderId="25" xfId="0" applyFont="1" applyFill="1" applyBorder="1" applyAlignment="1">
      <alignment horizontal="left" wrapText="1"/>
    </xf>
    <xf numFmtId="167" fontId="42" fillId="5" borderId="25" xfId="0" applyNumberFormat="1" applyFont="1" applyFill="1" applyBorder="1" applyAlignment="1">
      <alignment horizontal="left" wrapText="1"/>
    </xf>
    <xf numFmtId="3" fontId="42" fillId="5" borderId="25" xfId="0" applyNumberFormat="1" applyFont="1" applyFill="1" applyBorder="1" applyAlignment="1">
      <alignment horizontal="left" wrapText="1"/>
    </xf>
    <xf numFmtId="166" fontId="42" fillId="5" borderId="25" xfId="0" applyNumberFormat="1" applyFont="1" applyFill="1" applyBorder="1" applyAlignment="1">
      <alignment horizontal="left" wrapText="1"/>
    </xf>
    <xf numFmtId="0" fontId="39" fillId="4" borderId="0" xfId="0" applyFont="1" applyFill="1" applyBorder="1" applyAlignment="1">
      <alignment horizontal="left"/>
    </xf>
    <xf numFmtId="0" fontId="44" fillId="4" borderId="46" xfId="0" applyFont="1" applyFill="1" applyBorder="1" applyAlignment="1"/>
    <xf numFmtId="0" fontId="46" fillId="0" borderId="1" xfId="0" applyFont="1" applyFill="1" applyBorder="1" applyAlignment="1">
      <alignment wrapText="1"/>
    </xf>
    <xf numFmtId="0" fontId="40" fillId="0" borderId="1" xfId="0" applyFont="1" applyFill="1" applyBorder="1"/>
    <xf numFmtId="0" fontId="40" fillId="0" borderId="9" xfId="0" applyFont="1" applyFill="1" applyBorder="1"/>
    <xf numFmtId="0" fontId="40" fillId="0" borderId="9" xfId="0" applyFont="1" applyBorder="1"/>
    <xf numFmtId="0" fontId="40" fillId="0" borderId="1" xfId="0" applyFont="1" applyBorder="1"/>
    <xf numFmtId="0" fontId="40" fillId="0" borderId="0" xfId="0" applyFont="1"/>
    <xf numFmtId="0" fontId="41" fillId="0" borderId="0" xfId="0" applyFont="1"/>
    <xf numFmtId="0" fontId="43" fillId="0" borderId="0" xfId="0" applyFont="1"/>
    <xf numFmtId="0" fontId="43" fillId="0" borderId="0" xfId="0" applyFont="1" applyFill="1"/>
    <xf numFmtId="0" fontId="43" fillId="0" borderId="0" xfId="0" applyFont="1" applyAlignment="1"/>
    <xf numFmtId="0" fontId="43" fillId="0" borderId="0" xfId="0" applyFont="1" applyAlignment="1">
      <alignment wrapText="1"/>
    </xf>
    <xf numFmtId="0" fontId="43" fillId="0" borderId="0" xfId="0" applyFont="1" applyAlignment="1">
      <alignment vertical="top"/>
    </xf>
    <xf numFmtId="0" fontId="48" fillId="0" borderId="1" xfId="0" applyFont="1" applyBorder="1"/>
    <xf numFmtId="0" fontId="48" fillId="0" borderId="1" xfId="0" applyFont="1" applyBorder="1" applyAlignment="1">
      <alignment horizontal="left" wrapText="1"/>
    </xf>
    <xf numFmtId="167" fontId="48" fillId="0" borderId="1" xfId="0" applyNumberFormat="1" applyFont="1" applyBorder="1" applyAlignment="1">
      <alignment horizontal="left"/>
    </xf>
    <xf numFmtId="0" fontId="48" fillId="0" borderId="1" xfId="0" applyFont="1" applyBorder="1" applyAlignment="1">
      <alignment horizontal="center"/>
    </xf>
    <xf numFmtId="0" fontId="48" fillId="0" borderId="47" xfId="0" applyFont="1" applyBorder="1" applyAlignment="1">
      <alignment horizontal="center"/>
    </xf>
    <xf numFmtId="0" fontId="48" fillId="0" borderId="1" xfId="0" applyFont="1" applyBorder="1" applyAlignment="1"/>
    <xf numFmtId="0" fontId="48" fillId="0" borderId="9" xfId="0" applyFont="1" applyBorder="1" applyAlignment="1">
      <alignment horizontal="center"/>
    </xf>
    <xf numFmtId="0" fontId="48" fillId="0" borderId="22" xfId="0" applyFont="1" applyBorder="1" applyAlignment="1">
      <alignment horizontal="center"/>
    </xf>
    <xf numFmtId="3" fontId="48" fillId="0" borderId="1" xfId="0" applyNumberFormat="1" applyFont="1" applyFill="1" applyBorder="1" applyAlignment="1">
      <alignment horizontal="right"/>
    </xf>
    <xf numFmtId="3" fontId="48" fillId="0" borderId="1" xfId="0" applyNumberFormat="1" applyFont="1" applyFill="1" applyBorder="1" applyAlignment="1">
      <alignment horizontal="center"/>
    </xf>
    <xf numFmtId="166" fontId="48" fillId="0" borderId="1" xfId="0" applyNumberFormat="1" applyFont="1" applyFill="1" applyBorder="1" applyAlignment="1">
      <alignment horizontal="right"/>
    </xf>
    <xf numFmtId="169" fontId="48" fillId="6" borderId="1" xfId="0" applyNumberFormat="1" applyFont="1" applyFill="1" applyBorder="1"/>
    <xf numFmtId="9" fontId="48" fillId="0" borderId="1" xfId="0" applyNumberFormat="1" applyFont="1" applyBorder="1" applyAlignment="1">
      <alignment horizontal="center"/>
    </xf>
    <xf numFmtId="166" fontId="48" fillId="0" borderId="1" xfId="0" applyNumberFormat="1" applyFont="1" applyBorder="1"/>
    <xf numFmtId="166" fontId="48" fillId="0" borderId="1" xfId="0" applyNumberFormat="1" applyFont="1" applyFill="1" applyBorder="1"/>
    <xf numFmtId="0" fontId="48" fillId="0" borderId="1" xfId="0" applyFont="1" applyBorder="1" applyAlignment="1">
      <alignment horizontal="center" wrapText="1"/>
    </xf>
    <xf numFmtId="3" fontId="48" fillId="0" borderId="1" xfId="0" applyNumberFormat="1" applyFont="1" applyBorder="1" applyAlignment="1">
      <alignment horizontal="right"/>
    </xf>
    <xf numFmtId="3" fontId="48" fillId="0" borderId="1" xfId="0" applyNumberFormat="1" applyFont="1" applyBorder="1"/>
    <xf numFmtId="0" fontId="48" fillId="0" borderId="1" xfId="0" applyFont="1" applyFill="1" applyBorder="1" applyAlignment="1">
      <alignment horizontal="center" wrapText="1"/>
    </xf>
    <xf numFmtId="0" fontId="48" fillId="0" borderId="1" xfId="0" applyFont="1" applyBorder="1" applyAlignment="1">
      <alignment vertical="top" wrapText="1"/>
    </xf>
    <xf numFmtId="0" fontId="48" fillId="0" borderId="1" xfId="0" applyFont="1" applyFill="1" applyBorder="1"/>
    <xf numFmtId="0" fontId="48" fillId="0" borderId="1" xfId="0" applyFont="1" applyFill="1" applyBorder="1" applyAlignment="1">
      <alignment horizontal="left" wrapText="1"/>
    </xf>
    <xf numFmtId="0" fontId="49" fillId="0" borderId="1" xfId="0" applyFont="1" applyFill="1" applyBorder="1" applyAlignment="1">
      <alignment wrapText="1"/>
    </xf>
    <xf numFmtId="167" fontId="48" fillId="0" borderId="1" xfId="0" applyNumberFormat="1" applyFont="1" applyFill="1" applyBorder="1" applyAlignment="1">
      <alignment horizontal="left"/>
    </xf>
    <xf numFmtId="0" fontId="49" fillId="0" borderId="1" xfId="0" applyFont="1" applyFill="1" applyBorder="1" applyAlignment="1">
      <alignment horizontal="center" wrapText="1"/>
    </xf>
    <xf numFmtId="0" fontId="49" fillId="0" borderId="47" xfId="0" applyFont="1" applyFill="1" applyBorder="1" applyAlignment="1">
      <alignment horizontal="center" wrapText="1"/>
    </xf>
    <xf numFmtId="0" fontId="49" fillId="0" borderId="9" xfId="0" applyFont="1" applyFill="1" applyBorder="1" applyAlignment="1">
      <alignment horizontal="center" wrapText="1"/>
    </xf>
    <xf numFmtId="0" fontId="49" fillId="0" borderId="22" xfId="0" applyFont="1" applyFill="1" applyBorder="1" applyAlignment="1">
      <alignment horizontal="center" wrapText="1"/>
    </xf>
    <xf numFmtId="3" fontId="49" fillId="0" borderId="1" xfId="0" applyNumberFormat="1" applyFont="1" applyFill="1" applyBorder="1" applyAlignment="1">
      <alignment horizontal="center" wrapText="1"/>
    </xf>
    <xf numFmtId="166" fontId="49" fillId="0" borderId="1" xfId="0" applyNumberFormat="1" applyFont="1" applyFill="1" applyBorder="1" applyAlignment="1">
      <alignment horizontal="center" wrapText="1"/>
    </xf>
    <xf numFmtId="1" fontId="49" fillId="0" borderId="1" xfId="0" applyNumberFormat="1" applyFont="1" applyFill="1" applyBorder="1" applyAlignment="1">
      <alignment horizontal="center" wrapText="1"/>
    </xf>
    <xf numFmtId="3" fontId="49" fillId="0" borderId="1" xfId="0" applyNumberFormat="1" applyFont="1" applyFill="1" applyBorder="1" applyAlignment="1">
      <alignment horizontal="right" wrapText="1"/>
    </xf>
    <xf numFmtId="6" fontId="49" fillId="0" borderId="1" xfId="0" applyNumberFormat="1" applyFont="1" applyFill="1" applyBorder="1" applyAlignment="1">
      <alignment horizontal="center" wrapText="1"/>
    </xf>
    <xf numFmtId="0" fontId="48" fillId="0" borderId="1" xfId="0" applyFont="1" applyFill="1" applyBorder="1" applyAlignment="1">
      <alignment vertical="top" wrapText="1"/>
    </xf>
    <xf numFmtId="3" fontId="48" fillId="0" borderId="1" xfId="0" applyNumberFormat="1" applyFont="1" applyFill="1" applyBorder="1" applyAlignment="1">
      <alignment horizontal="center" wrapText="1"/>
    </xf>
    <xf numFmtId="0" fontId="48" fillId="0" borderId="48" xfId="0" applyFont="1" applyBorder="1" applyAlignment="1">
      <alignment horizontal="center"/>
    </xf>
    <xf numFmtId="167" fontId="48" fillId="0" borderId="44" xfId="0" applyNumberFormat="1" applyFont="1" applyFill="1" applyBorder="1" applyAlignment="1">
      <alignment horizontal="left"/>
    </xf>
    <xf numFmtId="0" fontId="48" fillId="0" borderId="25" xfId="0" applyFont="1" applyBorder="1" applyAlignment="1">
      <alignment horizontal="center"/>
    </xf>
    <xf numFmtId="0" fontId="48" fillId="0" borderId="25" xfId="0" applyFont="1" applyFill="1" applyBorder="1" applyAlignment="1">
      <alignment horizontal="center"/>
    </xf>
    <xf numFmtId="0" fontId="48" fillId="0" borderId="25" xfId="0" applyFont="1" applyFill="1" applyBorder="1" applyAlignment="1"/>
    <xf numFmtId="3" fontId="48" fillId="0" borderId="50" xfId="0" applyNumberFormat="1" applyFont="1" applyFill="1" applyBorder="1" applyAlignment="1">
      <alignment horizontal="right"/>
    </xf>
    <xf numFmtId="3" fontId="48" fillId="0" borderId="51" xfId="0" applyNumberFormat="1" applyFont="1" applyFill="1" applyBorder="1" applyAlignment="1">
      <alignment horizontal="center"/>
    </xf>
    <xf numFmtId="3" fontId="48" fillId="0" borderId="25" xfId="0" applyNumberFormat="1" applyFont="1" applyFill="1" applyBorder="1" applyAlignment="1">
      <alignment horizontal="center"/>
    </xf>
    <xf numFmtId="166" fontId="48" fillId="0" borderId="25" xfId="0" applyNumberFormat="1" applyFont="1" applyFill="1" applyBorder="1" applyAlignment="1">
      <alignment horizontal="right"/>
    </xf>
    <xf numFmtId="9" fontId="48" fillId="0" borderId="26" xfId="0" applyNumberFormat="1" applyFont="1" applyFill="1" applyBorder="1" applyAlignment="1">
      <alignment horizontal="center"/>
    </xf>
    <xf numFmtId="166" fontId="49" fillId="0" borderId="1" xfId="0" applyNumberFormat="1" applyFont="1" applyFill="1" applyBorder="1"/>
    <xf numFmtId="3" fontId="48" fillId="0" borderId="44" xfId="0" applyNumberFormat="1" applyFont="1" applyFill="1" applyBorder="1" applyAlignment="1">
      <alignment horizontal="right"/>
    </xf>
    <xf numFmtId="3" fontId="48" fillId="0" borderId="25" xfId="0" applyNumberFormat="1" applyFont="1" applyFill="1" applyBorder="1" applyAlignment="1">
      <alignment horizontal="right"/>
    </xf>
    <xf numFmtId="166" fontId="48" fillId="0" borderId="51" xfId="0" applyNumberFormat="1" applyFont="1" applyFill="1" applyBorder="1"/>
    <xf numFmtId="166" fontId="48" fillId="0" borderId="25" xfId="0" applyNumberFormat="1" applyFont="1" applyFill="1" applyBorder="1"/>
    <xf numFmtId="166" fontId="48" fillId="0" borderId="50" xfId="0" applyNumberFormat="1" applyFont="1" applyFill="1" applyBorder="1"/>
    <xf numFmtId="0" fontId="48" fillId="0" borderId="49" xfId="0" applyFont="1" applyFill="1" applyBorder="1" applyAlignment="1">
      <alignment horizontal="center"/>
    </xf>
    <xf numFmtId="0" fontId="48" fillId="0" borderId="48" xfId="0" applyFont="1" applyFill="1" applyBorder="1" applyAlignment="1">
      <alignment horizontal="center" wrapText="1"/>
    </xf>
    <xf numFmtId="3" fontId="48" fillId="0" borderId="51" xfId="0" applyNumberFormat="1" applyFont="1" applyFill="1" applyBorder="1" applyAlignment="1">
      <alignment horizontal="right"/>
    </xf>
    <xf numFmtId="3" fontId="48" fillId="0" borderId="25" xfId="0" applyNumberFormat="1" applyFont="1" applyFill="1" applyBorder="1"/>
    <xf numFmtId="3" fontId="48" fillId="0" borderId="26" xfId="0" applyNumberFormat="1" applyFont="1" applyFill="1" applyBorder="1"/>
    <xf numFmtId="164" fontId="48" fillId="0" borderId="51" xfId="0" applyNumberFormat="1" applyFont="1" applyFill="1" applyBorder="1"/>
    <xf numFmtId="164" fontId="48" fillId="0" borderId="50" xfId="0" applyNumberFormat="1" applyFont="1" applyFill="1" applyBorder="1"/>
    <xf numFmtId="165" fontId="48" fillId="0" borderId="51" xfId="1" applyNumberFormat="1" applyFont="1" applyFill="1" applyBorder="1" applyAlignment="1">
      <alignment horizontal="center"/>
    </xf>
    <xf numFmtId="0" fontId="48" fillId="0" borderId="44" xfId="0" applyFont="1" applyFill="1" applyBorder="1" applyAlignment="1">
      <alignment horizontal="center" wrapText="1"/>
    </xf>
    <xf numFmtId="0" fontId="48" fillId="0" borderId="25" xfId="0" applyFont="1" applyFill="1" applyBorder="1" applyAlignment="1">
      <alignment wrapText="1"/>
    </xf>
    <xf numFmtId="164" fontId="48" fillId="0" borderId="25" xfId="0" applyNumberFormat="1" applyFont="1" applyBorder="1" applyAlignment="1">
      <alignment vertical="top" wrapText="1"/>
    </xf>
    <xf numFmtId="0" fontId="48" fillId="0" borderId="25" xfId="0" applyFont="1" applyFill="1" applyBorder="1"/>
    <xf numFmtId="0" fontId="48" fillId="0" borderId="52" xfId="0" applyFont="1" applyBorder="1" applyAlignment="1">
      <alignment horizontal="center"/>
    </xf>
    <xf numFmtId="167" fontId="48" fillId="0" borderId="9" xfId="0" applyNumberFormat="1" applyFont="1" applyBorder="1" applyAlignment="1">
      <alignment horizontal="left"/>
    </xf>
    <xf numFmtId="0" fontId="48" fillId="0" borderId="25" xfId="0" applyFont="1" applyBorder="1" applyAlignment="1"/>
    <xf numFmtId="3" fontId="48" fillId="0" borderId="50" xfId="0" applyNumberFormat="1" applyFont="1" applyBorder="1" applyAlignment="1">
      <alignment horizontal="right"/>
    </xf>
    <xf numFmtId="166" fontId="48" fillId="0" borderId="54" xfId="0" applyNumberFormat="1" applyFont="1" applyFill="1" applyBorder="1"/>
    <xf numFmtId="0" fontId="48" fillId="0" borderId="25" xfId="0" applyFont="1" applyBorder="1" applyAlignment="1">
      <alignment vertical="top" wrapText="1"/>
    </xf>
    <xf numFmtId="165" fontId="48" fillId="0" borderId="51" xfId="1" applyNumberFormat="1" applyFont="1" applyFill="1" applyBorder="1" applyAlignment="1">
      <alignment horizontal="right"/>
    </xf>
    <xf numFmtId="0" fontId="48" fillId="0" borderId="52" xfId="0" applyFont="1" applyFill="1" applyBorder="1" applyAlignment="1">
      <alignment horizontal="center"/>
    </xf>
    <xf numFmtId="167" fontId="48" fillId="0" borderId="9" xfId="0" applyNumberFormat="1" applyFont="1" applyFill="1" applyBorder="1" applyAlignment="1">
      <alignment horizontal="left"/>
    </xf>
    <xf numFmtId="0" fontId="48" fillId="0" borderId="25" xfId="0" applyFont="1" applyFill="1" applyBorder="1" applyAlignment="1">
      <alignment vertical="top" wrapText="1"/>
    </xf>
    <xf numFmtId="0" fontId="48" fillId="0" borderId="1" xfId="0" applyFont="1" applyFill="1" applyBorder="1" applyAlignment="1">
      <alignment horizontal="center"/>
    </xf>
    <xf numFmtId="0" fontId="48" fillId="0" borderId="1" xfId="0" applyFont="1" applyFill="1" applyBorder="1" applyAlignment="1"/>
    <xf numFmtId="3" fontId="48" fillId="0" borderId="54" xfId="0" applyNumberFormat="1" applyFont="1" applyFill="1" applyBorder="1" applyAlignment="1">
      <alignment horizontal="right"/>
    </xf>
    <xf numFmtId="3" fontId="48" fillId="0" borderId="55" xfId="0" applyNumberFormat="1" applyFont="1" applyFill="1" applyBorder="1" applyAlignment="1">
      <alignment horizontal="center"/>
    </xf>
    <xf numFmtId="9" fontId="48" fillId="0" borderId="22" xfId="0" applyNumberFormat="1" applyFont="1" applyFill="1" applyBorder="1" applyAlignment="1">
      <alignment horizontal="center"/>
    </xf>
    <xf numFmtId="3" fontId="48" fillId="0" borderId="9" xfId="0" applyNumberFormat="1" applyFont="1" applyFill="1" applyBorder="1" applyAlignment="1">
      <alignment horizontal="right"/>
    </xf>
    <xf numFmtId="166" fontId="48" fillId="0" borderId="55" xfId="0" applyNumberFormat="1" applyFont="1" applyFill="1" applyBorder="1"/>
    <xf numFmtId="0" fontId="48" fillId="0" borderId="53" xfId="0" applyFont="1" applyFill="1" applyBorder="1" applyAlignment="1">
      <alignment horizontal="center"/>
    </xf>
    <xf numFmtId="0" fontId="48" fillId="0" borderId="52" xfId="0" applyFont="1" applyFill="1" applyBorder="1" applyAlignment="1">
      <alignment horizontal="center" wrapText="1"/>
    </xf>
    <xf numFmtId="3" fontId="48" fillId="0" borderId="55" xfId="0" applyNumberFormat="1" applyFont="1" applyFill="1" applyBorder="1" applyAlignment="1">
      <alignment horizontal="right"/>
    </xf>
    <xf numFmtId="3" fontId="48" fillId="0" borderId="1" xfId="0" applyNumberFormat="1" applyFont="1" applyFill="1" applyBorder="1"/>
    <xf numFmtId="3" fontId="48" fillId="0" borderId="22" xfId="0" applyNumberFormat="1" applyFont="1" applyFill="1" applyBorder="1"/>
    <xf numFmtId="164" fontId="48" fillId="0" borderId="55" xfId="0" applyNumberFormat="1" applyFont="1" applyFill="1" applyBorder="1"/>
    <xf numFmtId="164" fontId="48" fillId="0" borderId="54" xfId="0" applyNumberFormat="1" applyFont="1" applyFill="1" applyBorder="1"/>
    <xf numFmtId="165" fontId="48" fillId="0" borderId="55" xfId="1" applyNumberFormat="1" applyFont="1" applyFill="1" applyBorder="1" applyAlignment="1">
      <alignment horizontal="right"/>
    </xf>
    <xf numFmtId="0" fontId="48" fillId="0" borderId="9" xfId="0" applyFont="1" applyFill="1" applyBorder="1" applyAlignment="1">
      <alignment horizontal="center" wrapText="1"/>
    </xf>
    <xf numFmtId="0" fontId="48" fillId="0" borderId="1" xfId="0" applyFont="1" applyFill="1" applyBorder="1" applyAlignment="1">
      <alignment wrapText="1"/>
    </xf>
    <xf numFmtId="3" fontId="48" fillId="0" borderId="54" xfId="0" applyNumberFormat="1" applyFont="1" applyBorder="1" applyAlignment="1">
      <alignment horizontal="right"/>
    </xf>
    <xf numFmtId="166" fontId="48" fillId="0" borderId="54" xfId="1" applyNumberFormat="1" applyFont="1" applyFill="1" applyBorder="1" applyAlignment="1">
      <alignment horizontal="right"/>
    </xf>
    <xf numFmtId="0" fontId="48" fillId="0" borderId="0" xfId="0" applyFont="1" applyFill="1" applyBorder="1" applyAlignment="1">
      <alignment horizontal="center"/>
    </xf>
    <xf numFmtId="166" fontId="48" fillId="0" borderId="54" xfId="2" applyNumberFormat="1" applyFont="1" applyFill="1" applyBorder="1" applyAlignment="1">
      <alignment horizontal="center"/>
    </xf>
    <xf numFmtId="166" fontId="49" fillId="0" borderId="54" xfId="0" applyNumberFormat="1" applyFont="1" applyFill="1" applyBorder="1"/>
    <xf numFmtId="0" fontId="48" fillId="0" borderId="0" xfId="0" applyFont="1" applyFill="1" applyBorder="1" applyAlignment="1"/>
    <xf numFmtId="0" fontId="48" fillId="0" borderId="0" xfId="0" applyFont="1" applyBorder="1" applyAlignment="1"/>
    <xf numFmtId="164" fontId="48" fillId="0" borderId="1" xfId="0" applyNumberFormat="1" applyFont="1" applyBorder="1" applyAlignment="1">
      <alignment vertical="top" wrapText="1"/>
    </xf>
    <xf numFmtId="0" fontId="48" fillId="0" borderId="53" xfId="0" applyFont="1" applyBorder="1" applyAlignment="1">
      <alignment horizontal="center"/>
    </xf>
    <xf numFmtId="0" fontId="48" fillId="0" borderId="52" xfId="0" applyFont="1" applyBorder="1" applyAlignment="1">
      <alignment horizontal="center" wrapText="1"/>
    </xf>
    <xf numFmtId="166" fontId="48" fillId="0" borderId="54" xfId="0" applyNumberFormat="1" applyFont="1" applyBorder="1"/>
    <xf numFmtId="165" fontId="48" fillId="0" borderId="55" xfId="1" applyNumberFormat="1" applyFont="1" applyBorder="1" applyAlignment="1">
      <alignment horizontal="center"/>
    </xf>
    <xf numFmtId="166" fontId="48" fillId="0" borderId="55" xfId="0" applyNumberFormat="1" applyFont="1" applyBorder="1"/>
    <xf numFmtId="3" fontId="48" fillId="0" borderId="55" xfId="0" applyNumberFormat="1" applyFont="1" applyBorder="1" applyAlignment="1">
      <alignment horizontal="right"/>
    </xf>
    <xf numFmtId="3" fontId="48" fillId="0" borderId="9" xfId="0" applyNumberFormat="1" applyFont="1" applyBorder="1" applyAlignment="1">
      <alignment horizontal="right"/>
    </xf>
    <xf numFmtId="3" fontId="48" fillId="0" borderId="22" xfId="0" applyNumberFormat="1" applyFont="1" applyBorder="1"/>
    <xf numFmtId="0" fontId="48" fillId="0" borderId="9" xfId="0" applyFont="1" applyBorder="1" applyAlignment="1">
      <alignment horizontal="center" wrapText="1"/>
    </xf>
    <xf numFmtId="9" fontId="48" fillId="0" borderId="22" xfId="0" applyNumberFormat="1" applyFont="1" applyBorder="1" applyAlignment="1">
      <alignment horizontal="center"/>
    </xf>
    <xf numFmtId="166" fontId="49" fillId="0" borderId="54" xfId="0" applyNumberFormat="1" applyFont="1" applyBorder="1"/>
    <xf numFmtId="164" fontId="48" fillId="0" borderId="55" xfId="0" applyNumberFormat="1" applyFont="1" applyBorder="1"/>
    <xf numFmtId="164" fontId="48" fillId="0" borderId="54" xfId="0" applyNumberFormat="1" applyFont="1" applyBorder="1"/>
    <xf numFmtId="0" fontId="48" fillId="0" borderId="56" xfId="0" applyFont="1" applyBorder="1" applyAlignment="1">
      <alignment horizontal="center"/>
    </xf>
    <xf numFmtId="167" fontId="48" fillId="0" borderId="58" xfId="0" applyNumberFormat="1" applyFont="1" applyBorder="1" applyAlignment="1">
      <alignment horizontal="left"/>
    </xf>
    <xf numFmtId="0" fontId="48" fillId="0" borderId="23" xfId="0" applyFont="1" applyBorder="1" applyAlignment="1">
      <alignment horizontal="center"/>
    </xf>
    <xf numFmtId="0" fontId="48" fillId="0" borderId="23" xfId="0" applyFont="1" applyBorder="1" applyAlignment="1"/>
    <xf numFmtId="3" fontId="48" fillId="0" borderId="59" xfId="0" applyNumberFormat="1" applyFont="1" applyBorder="1" applyAlignment="1">
      <alignment horizontal="right"/>
    </xf>
    <xf numFmtId="3" fontId="48" fillId="0" borderId="60" xfId="0" applyNumberFormat="1" applyFont="1" applyFill="1" applyBorder="1" applyAlignment="1">
      <alignment horizontal="center"/>
    </xf>
    <xf numFmtId="3" fontId="48" fillId="0" borderId="23" xfId="0" applyNumberFormat="1" applyFont="1" applyFill="1" applyBorder="1" applyAlignment="1">
      <alignment horizontal="center"/>
    </xf>
    <xf numFmtId="166" fontId="48" fillId="0" borderId="23" xfId="0" applyNumberFormat="1" applyFont="1" applyFill="1" applyBorder="1" applyAlignment="1">
      <alignment horizontal="right"/>
    </xf>
    <xf numFmtId="9" fontId="48" fillId="0" borderId="24" xfId="0" applyNumberFormat="1" applyFont="1" applyFill="1" applyBorder="1" applyAlignment="1">
      <alignment horizontal="center"/>
    </xf>
    <xf numFmtId="166" fontId="49" fillId="0" borderId="59" xfId="0" applyNumberFormat="1" applyFont="1" applyFill="1" applyBorder="1"/>
    <xf numFmtId="3" fontId="48" fillId="0" borderId="23" xfId="0" applyNumberFormat="1" applyFont="1" applyFill="1" applyBorder="1" applyAlignment="1">
      <alignment horizontal="right"/>
    </xf>
    <xf numFmtId="0" fontId="48" fillId="0" borderId="57" xfId="0" applyFont="1" applyBorder="1" applyAlignment="1">
      <alignment horizontal="center"/>
    </xf>
    <xf numFmtId="166" fontId="48" fillId="0" borderId="60" xfId="0" applyNumberFormat="1" applyFont="1" applyBorder="1"/>
    <xf numFmtId="166" fontId="48" fillId="0" borderId="23" xfId="0" applyNumberFormat="1" applyFont="1" applyBorder="1"/>
    <xf numFmtId="166" fontId="48" fillId="0" borderId="59" xfId="0" applyNumberFormat="1" applyFont="1" applyFill="1" applyBorder="1"/>
    <xf numFmtId="0" fontId="48" fillId="0" borderId="56" xfId="0" applyFont="1" applyBorder="1" applyAlignment="1">
      <alignment horizontal="center" wrapText="1"/>
    </xf>
    <xf numFmtId="3" fontId="48" fillId="0" borderId="60" xfId="0" applyNumberFormat="1" applyFont="1" applyBorder="1" applyAlignment="1">
      <alignment horizontal="right"/>
    </xf>
    <xf numFmtId="3" fontId="48" fillId="0" borderId="58" xfId="0" applyNumberFormat="1" applyFont="1" applyBorder="1" applyAlignment="1">
      <alignment horizontal="right"/>
    </xf>
    <xf numFmtId="3" fontId="48" fillId="0" borderId="23" xfId="0" applyNumberFormat="1" applyFont="1" applyBorder="1"/>
    <xf numFmtId="3" fontId="48" fillId="0" borderId="24" xfId="0" applyNumberFormat="1" applyFont="1" applyBorder="1"/>
    <xf numFmtId="166" fontId="48" fillId="0" borderId="59" xfId="0" applyNumberFormat="1" applyFont="1" applyBorder="1"/>
    <xf numFmtId="166" fontId="48" fillId="0" borderId="60" xfId="0" applyNumberFormat="1" applyFont="1" applyFill="1" applyBorder="1"/>
    <xf numFmtId="166" fontId="48" fillId="0" borderId="23" xfId="0" applyNumberFormat="1" applyFont="1" applyFill="1" applyBorder="1"/>
    <xf numFmtId="164" fontId="48" fillId="0" borderId="60" xfId="0" applyNumberFormat="1" applyFont="1" applyFill="1" applyBorder="1"/>
    <xf numFmtId="164" fontId="48" fillId="0" borderId="59" xfId="0" applyNumberFormat="1" applyFont="1" applyFill="1" applyBorder="1"/>
    <xf numFmtId="165" fontId="48" fillId="0" borderId="60" xfId="1" applyNumberFormat="1" applyFont="1" applyBorder="1" applyAlignment="1">
      <alignment horizontal="center"/>
    </xf>
    <xf numFmtId="0" fontId="48" fillId="0" borderId="58" xfId="0" applyFont="1" applyBorder="1" applyAlignment="1">
      <alignment horizontal="center" wrapText="1"/>
    </xf>
    <xf numFmtId="0" fontId="48" fillId="0" borderId="23" xfId="0" applyFont="1" applyFill="1" applyBorder="1" applyAlignment="1">
      <alignment wrapText="1"/>
    </xf>
    <xf numFmtId="0" fontId="48" fillId="0" borderId="23" xfId="0" applyFont="1" applyBorder="1" applyAlignment="1">
      <alignment vertical="top" wrapText="1"/>
    </xf>
    <xf numFmtId="0" fontId="48" fillId="0" borderId="23" xfId="0" applyFont="1" applyFill="1" applyBorder="1"/>
    <xf numFmtId="9" fontId="48" fillId="0" borderId="1" xfId="0" applyNumberFormat="1" applyFont="1" applyFill="1" applyBorder="1" applyAlignment="1">
      <alignment horizontal="center"/>
    </xf>
    <xf numFmtId="164" fontId="48" fillId="0" borderId="1" xfId="0" applyNumberFormat="1" applyFont="1" applyFill="1" applyBorder="1"/>
    <xf numFmtId="165" fontId="48" fillId="0" borderId="1" xfId="1" applyNumberFormat="1" applyFont="1" applyBorder="1" applyAlignment="1">
      <alignment horizontal="center"/>
    </xf>
    <xf numFmtId="167" fontId="48" fillId="0" borderId="44" xfId="0" applyNumberFormat="1" applyFont="1" applyBorder="1" applyAlignment="1">
      <alignment horizontal="left"/>
    </xf>
    <xf numFmtId="0" fontId="48" fillId="0" borderId="25" xfId="0" applyFont="1" applyFill="1" applyBorder="1" applyAlignment="1">
      <alignment horizontal="center" wrapText="1"/>
    </xf>
    <xf numFmtId="166" fontId="49" fillId="0" borderId="50" xfId="0" applyNumberFormat="1" applyFont="1" applyFill="1" applyBorder="1"/>
    <xf numFmtId="0" fontId="48" fillId="0" borderId="49" xfId="0" applyFont="1" applyBorder="1" applyAlignment="1">
      <alignment horizontal="center"/>
    </xf>
    <xf numFmtId="166" fontId="48" fillId="0" borderId="51" xfId="0" applyNumberFormat="1" applyFont="1" applyBorder="1"/>
    <xf numFmtId="166" fontId="48" fillId="0" borderId="25" xfId="0" applyNumberFormat="1" applyFont="1" applyBorder="1"/>
    <xf numFmtId="0" fontId="48" fillId="0" borderId="48" xfId="0" applyFont="1" applyBorder="1" applyAlignment="1">
      <alignment horizontal="center" wrapText="1"/>
    </xf>
    <xf numFmtId="3" fontId="48" fillId="0" borderId="51" xfId="0" applyNumberFormat="1" applyFont="1" applyBorder="1" applyAlignment="1">
      <alignment horizontal="right"/>
    </xf>
    <xf numFmtId="3" fontId="48" fillId="0" borderId="44" xfId="0" applyNumberFormat="1" applyFont="1" applyBorder="1" applyAlignment="1">
      <alignment horizontal="right"/>
    </xf>
    <xf numFmtId="3" fontId="48" fillId="0" borderId="25" xfId="0" applyNumberFormat="1" applyFont="1" applyBorder="1"/>
    <xf numFmtId="3" fontId="48" fillId="0" borderId="26" xfId="0" applyNumberFormat="1" applyFont="1" applyBorder="1"/>
    <xf numFmtId="166" fontId="48" fillId="0" borderId="50" xfId="0" applyNumberFormat="1" applyFont="1" applyBorder="1"/>
    <xf numFmtId="165" fontId="48" fillId="0" borderId="51" xfId="1" applyNumberFormat="1" applyFont="1" applyBorder="1" applyAlignment="1">
      <alignment horizontal="center"/>
    </xf>
    <xf numFmtId="0" fontId="48" fillId="0" borderId="44" xfId="0" applyFont="1" applyBorder="1" applyAlignment="1">
      <alignment horizontal="center" wrapText="1"/>
    </xf>
    <xf numFmtId="3" fontId="48" fillId="0" borderId="53" xfId="0" applyNumberFormat="1" applyFont="1" applyBorder="1" applyAlignment="1">
      <alignment horizontal="center"/>
    </xf>
    <xf numFmtId="3" fontId="48" fillId="0" borderId="52" xfId="0" applyNumberFormat="1" applyFont="1" applyBorder="1" applyAlignment="1">
      <alignment horizontal="center" wrapText="1"/>
    </xf>
    <xf numFmtId="165" fontId="48" fillId="0" borderId="55" xfId="1" applyNumberFormat="1" applyFont="1" applyBorder="1" applyAlignment="1">
      <alignment horizontal="right"/>
    </xf>
    <xf numFmtId="165" fontId="48" fillId="0" borderId="55" xfId="1" applyNumberFormat="1" applyFont="1" applyFill="1" applyBorder="1"/>
    <xf numFmtId="166" fontId="48" fillId="0" borderId="1" xfId="2" applyNumberFormat="1" applyFont="1" applyFill="1" applyBorder="1"/>
    <xf numFmtId="166" fontId="48" fillId="0" borderId="54" xfId="2" applyNumberFormat="1" applyFont="1" applyFill="1" applyBorder="1"/>
    <xf numFmtId="0" fontId="48" fillId="0" borderId="1" xfId="0" applyFont="1" applyBorder="1" applyAlignment="1">
      <alignment wrapText="1"/>
    </xf>
    <xf numFmtId="166" fontId="48" fillId="0" borderId="55" xfId="0" applyNumberFormat="1" applyFont="1" applyFill="1" applyBorder="1" applyAlignment="1">
      <alignment horizontal="center"/>
    </xf>
    <xf numFmtId="166" fontId="48" fillId="0" borderId="1" xfId="0" applyNumberFormat="1" applyFont="1" applyFill="1" applyBorder="1" applyAlignment="1">
      <alignment horizontal="center"/>
    </xf>
    <xf numFmtId="3" fontId="48" fillId="0" borderId="22" xfId="0" applyNumberFormat="1" applyFont="1" applyFill="1" applyBorder="1" applyAlignment="1">
      <alignment horizontal="center"/>
    </xf>
    <xf numFmtId="166" fontId="48" fillId="0" borderId="54" xfId="0" applyNumberFormat="1" applyFont="1" applyFill="1" applyBorder="1" applyAlignment="1">
      <alignment horizontal="center"/>
    </xf>
    <xf numFmtId="3" fontId="48" fillId="0" borderId="55" xfId="1" applyNumberFormat="1" applyFont="1" applyFill="1" applyBorder="1" applyAlignment="1">
      <alignment horizontal="right"/>
    </xf>
    <xf numFmtId="165" fontId="48" fillId="0" borderId="53" xfId="1" applyNumberFormat="1" applyFont="1" applyFill="1" applyBorder="1" applyAlignment="1">
      <alignment horizontal="center"/>
    </xf>
    <xf numFmtId="165" fontId="48" fillId="0" borderId="52" xfId="1" applyNumberFormat="1" applyFont="1" applyFill="1" applyBorder="1" applyAlignment="1">
      <alignment horizontal="center" wrapText="1"/>
    </xf>
    <xf numFmtId="1" fontId="48" fillId="0" borderId="53" xfId="0" quotePrefix="1" applyNumberFormat="1" applyFont="1" applyFill="1" applyBorder="1" applyAlignment="1">
      <alignment horizontal="center" wrapText="1"/>
    </xf>
    <xf numFmtId="1" fontId="48" fillId="0" borderId="9" xfId="0" quotePrefix="1" applyNumberFormat="1" applyFont="1" applyFill="1" applyBorder="1" applyAlignment="1">
      <alignment horizontal="center" wrapText="1"/>
    </xf>
    <xf numFmtId="0" fontId="48" fillId="0" borderId="53" xfId="1" applyNumberFormat="1" applyFont="1" applyFill="1" applyBorder="1" applyAlignment="1">
      <alignment horizontal="center"/>
    </xf>
    <xf numFmtId="0" fontId="48" fillId="0" borderId="52" xfId="1" applyNumberFormat="1" applyFont="1" applyFill="1" applyBorder="1" applyAlignment="1">
      <alignment horizontal="center" wrapText="1"/>
    </xf>
    <xf numFmtId="0" fontId="48" fillId="0" borderId="53" xfId="0" applyNumberFormat="1" applyFont="1" applyBorder="1" applyAlignment="1">
      <alignment horizontal="center"/>
    </xf>
    <xf numFmtId="0" fontId="48" fillId="0" borderId="52" xfId="0" applyNumberFormat="1" applyFont="1" applyBorder="1" applyAlignment="1">
      <alignment horizontal="center" wrapText="1"/>
    </xf>
    <xf numFmtId="3" fontId="48" fillId="0" borderId="55" xfId="0" applyNumberFormat="1" applyFont="1" applyBorder="1"/>
    <xf numFmtId="0" fontId="48" fillId="3" borderId="1" xfId="0" applyFont="1" applyFill="1" applyBorder="1" applyAlignment="1">
      <alignment wrapText="1"/>
    </xf>
    <xf numFmtId="0" fontId="48" fillId="0" borderId="1" xfId="0" applyFont="1" applyFill="1" applyBorder="1" applyAlignment="1" applyProtection="1">
      <alignment horizontal="center"/>
      <protection locked="0"/>
    </xf>
    <xf numFmtId="3" fontId="48" fillId="0" borderId="54" xfId="0" applyNumberFormat="1" applyFont="1" applyFill="1" applyBorder="1" applyAlignment="1" applyProtection="1">
      <alignment horizontal="right"/>
      <protection locked="0"/>
    </xf>
    <xf numFmtId="3" fontId="48" fillId="0" borderId="55" xfId="0" applyNumberFormat="1" applyFont="1" applyFill="1" applyBorder="1" applyAlignment="1" applyProtection="1">
      <alignment horizontal="center"/>
      <protection locked="0"/>
    </xf>
    <xf numFmtId="3" fontId="48" fillId="0" borderId="1" xfId="0" applyNumberFormat="1" applyFont="1" applyFill="1" applyBorder="1" applyAlignment="1" applyProtection="1">
      <alignment horizontal="center"/>
      <protection locked="0"/>
    </xf>
    <xf numFmtId="166" fontId="48" fillId="0" borderId="1" xfId="0" applyNumberFormat="1" applyFont="1" applyFill="1" applyBorder="1" applyAlignment="1" applyProtection="1">
      <alignment horizontal="right"/>
      <protection locked="0"/>
    </xf>
    <xf numFmtId="9" fontId="48" fillId="0" borderId="22" xfId="0" applyNumberFormat="1" applyFont="1" applyFill="1" applyBorder="1" applyAlignment="1" applyProtection="1">
      <alignment horizontal="center"/>
      <protection locked="0"/>
    </xf>
    <xf numFmtId="166" fontId="49" fillId="0" borderId="54" xfId="0" applyNumberFormat="1" applyFont="1" applyFill="1" applyBorder="1" applyProtection="1">
      <protection locked="0"/>
    </xf>
    <xf numFmtId="3" fontId="48" fillId="0" borderId="1" xfId="0" applyNumberFormat="1" applyFont="1" applyFill="1" applyBorder="1" applyAlignment="1" applyProtection="1">
      <alignment horizontal="right"/>
      <protection locked="0"/>
    </xf>
    <xf numFmtId="0" fontId="48" fillId="0" borderId="53" xfId="0" applyFont="1" applyFill="1" applyBorder="1" applyAlignment="1" applyProtection="1">
      <alignment horizontal="center"/>
      <protection locked="0"/>
    </xf>
    <xf numFmtId="166" fontId="48" fillId="0" borderId="55" xfId="0" applyNumberFormat="1" applyFont="1" applyFill="1" applyBorder="1" applyProtection="1">
      <protection locked="0"/>
    </xf>
    <xf numFmtId="166" fontId="48" fillId="0" borderId="1" xfId="0" applyNumberFormat="1" applyFont="1" applyFill="1" applyBorder="1" applyProtection="1">
      <protection locked="0"/>
    </xf>
    <xf numFmtId="0" fontId="48" fillId="0" borderId="53" xfId="1" applyNumberFormat="1" applyFont="1" applyFill="1" applyBorder="1" applyAlignment="1" applyProtection="1">
      <alignment horizontal="center"/>
      <protection locked="0"/>
    </xf>
    <xf numFmtId="0" fontId="48" fillId="0" borderId="52" xfId="1" applyNumberFormat="1" applyFont="1" applyFill="1" applyBorder="1" applyAlignment="1" applyProtection="1">
      <alignment horizontal="center" wrapText="1"/>
      <protection locked="0"/>
    </xf>
    <xf numFmtId="3" fontId="48" fillId="0" borderId="55" xfId="0" applyNumberFormat="1" applyFont="1" applyFill="1" applyBorder="1" applyAlignment="1" applyProtection="1">
      <alignment horizontal="right"/>
      <protection locked="0"/>
    </xf>
    <xf numFmtId="3" fontId="48" fillId="0" borderId="9" xfId="0" applyNumberFormat="1" applyFont="1" applyFill="1" applyBorder="1" applyAlignment="1" applyProtection="1">
      <alignment horizontal="right"/>
      <protection locked="0"/>
    </xf>
    <xf numFmtId="3" fontId="48" fillId="0" borderId="1" xfId="0" applyNumberFormat="1" applyFont="1" applyFill="1" applyBorder="1" applyProtection="1">
      <protection locked="0"/>
    </xf>
    <xf numFmtId="3" fontId="48" fillId="0" borderId="22" xfId="0" applyNumberFormat="1" applyFont="1" applyFill="1" applyBorder="1" applyProtection="1">
      <protection locked="0"/>
    </xf>
    <xf numFmtId="166" fontId="48" fillId="0" borderId="54" xfId="2" applyNumberFormat="1" applyFont="1" applyFill="1" applyBorder="1" applyProtection="1">
      <protection locked="0"/>
    </xf>
    <xf numFmtId="164" fontId="48" fillId="0" borderId="55" xfId="0" applyNumberFormat="1" applyFont="1" applyFill="1" applyBorder="1" applyProtection="1">
      <protection locked="0"/>
    </xf>
    <xf numFmtId="164" fontId="48" fillId="0" borderId="54" xfId="0" applyNumberFormat="1" applyFont="1" applyFill="1" applyBorder="1" applyProtection="1">
      <protection locked="0"/>
    </xf>
    <xf numFmtId="3" fontId="48" fillId="0" borderId="55" xfId="1" applyNumberFormat="1" applyFont="1" applyFill="1" applyBorder="1" applyAlignment="1" applyProtection="1">
      <alignment horizontal="right"/>
      <protection locked="0"/>
    </xf>
    <xf numFmtId="0" fontId="48" fillId="0" borderId="9" xfId="0" applyFont="1" applyFill="1" applyBorder="1" applyAlignment="1" applyProtection="1">
      <alignment horizontal="center" wrapText="1"/>
      <protection locked="0"/>
    </xf>
    <xf numFmtId="167" fontId="48" fillId="0" borderId="9" xfId="0" applyNumberFormat="1" applyFont="1" applyFill="1" applyBorder="1" applyAlignment="1" applyProtection="1">
      <alignment horizontal="left"/>
      <protection locked="0"/>
    </xf>
    <xf numFmtId="0" fontId="48" fillId="0" borderId="1" xfId="0" applyFont="1" applyFill="1" applyBorder="1" applyAlignment="1" applyProtection="1">
      <protection locked="0"/>
    </xf>
    <xf numFmtId="3" fontId="48" fillId="0" borderId="53" xfId="0" applyNumberFormat="1" applyFont="1" applyFill="1" applyBorder="1" applyAlignment="1">
      <alignment horizontal="center"/>
    </xf>
    <xf numFmtId="3" fontId="48" fillId="0" borderId="52" xfId="0" applyNumberFormat="1" applyFont="1" applyFill="1" applyBorder="1" applyAlignment="1">
      <alignment horizontal="center" wrapText="1"/>
    </xf>
    <xf numFmtId="3" fontId="48" fillId="0" borderId="55" xfId="0" applyNumberFormat="1" applyFont="1" applyFill="1" applyBorder="1"/>
    <xf numFmtId="0" fontId="50" fillId="0" borderId="1" xfId="0" applyFont="1" applyFill="1" applyBorder="1" applyAlignment="1">
      <alignment wrapText="1"/>
    </xf>
    <xf numFmtId="0" fontId="48" fillId="0" borderId="53" xfId="0" quotePrefix="1" applyFont="1" applyFill="1" applyBorder="1" applyAlignment="1">
      <alignment horizontal="center"/>
    </xf>
    <xf numFmtId="0" fontId="48" fillId="0" borderId="9" xfId="0" quotePrefix="1" applyFont="1" applyFill="1" applyBorder="1" applyAlignment="1">
      <alignment horizontal="center" wrapText="1"/>
    </xf>
    <xf numFmtId="3" fontId="48" fillId="0" borderId="1" xfId="0" applyNumberFormat="1" applyFont="1" applyBorder="1" applyAlignment="1">
      <alignment vertical="top" wrapText="1"/>
    </xf>
    <xf numFmtId="0" fontId="48" fillId="0" borderId="53" xfId="0" quotePrefix="1" applyFont="1" applyFill="1" applyBorder="1" applyAlignment="1">
      <alignment horizontal="center" wrapText="1"/>
    </xf>
    <xf numFmtId="0" fontId="48" fillId="3" borderId="1" xfId="0" applyFont="1" applyFill="1" applyBorder="1" applyAlignment="1">
      <alignment vertical="top" wrapText="1"/>
    </xf>
    <xf numFmtId="166" fontId="48" fillId="3" borderId="55" xfId="0" applyNumberFormat="1" applyFont="1" applyFill="1" applyBorder="1"/>
    <xf numFmtId="1" fontId="48" fillId="0" borderId="53" xfId="0" applyNumberFormat="1" applyFont="1" applyFill="1" applyBorder="1" applyAlignment="1">
      <alignment horizontal="center"/>
    </xf>
    <xf numFmtId="1" fontId="48" fillId="0" borderId="52" xfId="0" applyNumberFormat="1" applyFont="1" applyFill="1" applyBorder="1" applyAlignment="1">
      <alignment horizontal="center" wrapText="1"/>
    </xf>
    <xf numFmtId="0" fontId="48" fillId="0" borderId="55" xfId="0" applyFont="1" applyBorder="1"/>
    <xf numFmtId="1" fontId="48" fillId="0" borderId="53" xfId="0" applyNumberFormat="1" applyFont="1" applyBorder="1" applyAlignment="1">
      <alignment horizontal="center"/>
    </xf>
    <xf numFmtId="1" fontId="48" fillId="0" borderId="52" xfId="0" applyNumberFormat="1" applyFont="1" applyBorder="1" applyAlignment="1">
      <alignment horizontal="center" wrapText="1"/>
    </xf>
    <xf numFmtId="164" fontId="48" fillId="0" borderId="1" xfId="0" applyNumberFormat="1" applyFont="1" applyFill="1" applyBorder="1" applyAlignment="1">
      <alignment wrapText="1"/>
    </xf>
    <xf numFmtId="166" fontId="49" fillId="0" borderId="54" xfId="0" applyNumberFormat="1" applyFont="1" applyFill="1" applyBorder="1" applyAlignment="1" applyProtection="1">
      <alignment horizontal="center"/>
      <protection locked="0"/>
    </xf>
    <xf numFmtId="166" fontId="48" fillId="0" borderId="55" xfId="0" applyNumberFormat="1" applyFont="1" applyFill="1" applyBorder="1" applyAlignment="1" applyProtection="1">
      <alignment horizontal="right"/>
      <protection locked="0"/>
    </xf>
    <xf numFmtId="3" fontId="48" fillId="0" borderId="22" xfId="0" applyNumberFormat="1" applyFont="1" applyFill="1" applyBorder="1" applyAlignment="1" applyProtection="1">
      <alignment horizontal="right"/>
      <protection locked="0"/>
    </xf>
    <xf numFmtId="166" fontId="48" fillId="0" borderId="54" xfId="0" applyNumberFormat="1" applyFont="1" applyFill="1" applyBorder="1" applyAlignment="1" applyProtection="1">
      <alignment horizontal="center"/>
      <protection locked="0"/>
    </xf>
    <xf numFmtId="166" fontId="48" fillId="0" borderId="55" xfId="0" applyNumberFormat="1" applyFont="1" applyFill="1" applyBorder="1" applyAlignment="1" applyProtection="1">
      <alignment horizontal="center"/>
      <protection locked="0"/>
    </xf>
    <xf numFmtId="0" fontId="48" fillId="0" borderId="55" xfId="0" applyFont="1" applyFill="1" applyBorder="1" applyAlignment="1" applyProtection="1">
      <alignment horizontal="center"/>
      <protection locked="0"/>
    </xf>
    <xf numFmtId="0" fontId="48" fillId="0" borderId="54" xfId="0" applyFont="1" applyFill="1" applyBorder="1" applyAlignment="1" applyProtection="1">
      <alignment horizontal="center"/>
      <protection locked="0"/>
    </xf>
    <xf numFmtId="3" fontId="48" fillId="0" borderId="54" xfId="0" applyNumberFormat="1" applyFont="1" applyBorder="1" applyAlignment="1">
      <alignment horizontal="right" wrapText="1"/>
    </xf>
    <xf numFmtId="3" fontId="48" fillId="0" borderId="55" xfId="0" applyNumberFormat="1" applyFont="1" applyFill="1" applyBorder="1" applyAlignment="1">
      <alignment horizontal="center" wrapText="1"/>
    </xf>
    <xf numFmtId="166" fontId="48" fillId="0" borderId="1" xfId="0" applyNumberFormat="1" applyFont="1" applyFill="1" applyBorder="1" applyAlignment="1">
      <alignment horizontal="right" wrapText="1"/>
    </xf>
    <xf numFmtId="3" fontId="48" fillId="0" borderId="1" xfId="0" applyNumberFormat="1" applyFont="1" applyFill="1" applyBorder="1" applyAlignment="1">
      <alignment horizontal="right" wrapText="1"/>
    </xf>
    <xf numFmtId="166" fontId="48" fillId="0" borderId="0" xfId="0" applyNumberFormat="1" applyFont="1" applyFill="1" applyAlignment="1">
      <alignment horizontal="right"/>
    </xf>
    <xf numFmtId="9" fontId="48" fillId="0" borderId="22" xfId="0" applyNumberFormat="1" applyFont="1" applyBorder="1" applyAlignment="1">
      <alignment horizontal="center" wrapText="1"/>
    </xf>
    <xf numFmtId="166" fontId="49" fillId="0" borderId="54" xfId="0" applyNumberFormat="1" applyFont="1" applyBorder="1" applyAlignment="1">
      <alignment horizontal="right" wrapText="1"/>
    </xf>
    <xf numFmtId="166" fontId="48" fillId="0" borderId="55" xfId="2" applyNumberFormat="1" applyFont="1" applyBorder="1" applyAlignment="1">
      <alignment horizontal="right" wrapText="1"/>
    </xf>
    <xf numFmtId="166" fontId="48" fillId="0" borderId="1" xfId="2" applyNumberFormat="1" applyFont="1" applyBorder="1" applyAlignment="1">
      <alignment horizontal="right" wrapText="1"/>
    </xf>
    <xf numFmtId="0" fontId="48" fillId="0" borderId="53" xfId="0" applyFont="1" applyBorder="1" applyAlignment="1">
      <alignment horizontal="right" wrapText="1"/>
    </xf>
    <xf numFmtId="0" fontId="48" fillId="0" borderId="52" xfId="0" applyFont="1" applyBorder="1" applyAlignment="1">
      <alignment horizontal="right" wrapText="1"/>
    </xf>
    <xf numFmtId="3" fontId="48" fillId="0" borderId="55" xfId="2" applyNumberFormat="1" applyFont="1" applyBorder="1" applyAlignment="1">
      <alignment horizontal="right" wrapText="1"/>
    </xf>
    <xf numFmtId="3" fontId="48" fillId="0" borderId="9" xfId="2" applyNumberFormat="1" applyFont="1" applyBorder="1" applyAlignment="1">
      <alignment horizontal="right" wrapText="1"/>
    </xf>
    <xf numFmtId="3" fontId="48" fillId="0" borderId="1" xfId="2" applyNumberFormat="1" applyFont="1" applyBorder="1" applyAlignment="1">
      <alignment horizontal="right" wrapText="1"/>
    </xf>
    <xf numFmtId="3" fontId="48" fillId="0" borderId="22" xfId="2" applyNumberFormat="1" applyFont="1" applyBorder="1" applyAlignment="1">
      <alignment horizontal="right" wrapText="1"/>
    </xf>
    <xf numFmtId="166" fontId="48" fillId="0" borderId="54" xfId="0" applyNumberFormat="1" applyFont="1" applyBorder="1" applyAlignment="1">
      <alignment horizontal="right" wrapText="1"/>
    </xf>
    <xf numFmtId="166" fontId="48" fillId="0" borderId="55" xfId="0" applyNumberFormat="1" applyFont="1" applyBorder="1" applyAlignment="1">
      <alignment horizontal="right" wrapText="1"/>
    </xf>
    <xf numFmtId="0" fontId="48" fillId="0" borderId="55" xfId="0" applyFont="1" applyBorder="1" applyAlignment="1">
      <alignment horizontal="right" wrapText="1"/>
    </xf>
    <xf numFmtId="0" fontId="48" fillId="0" borderId="54" xfId="0" applyFont="1" applyBorder="1" applyAlignment="1">
      <alignment horizontal="right" wrapText="1"/>
    </xf>
    <xf numFmtId="165" fontId="48" fillId="0" borderId="55" xfId="1" applyNumberFormat="1" applyFont="1" applyBorder="1" applyAlignment="1">
      <alignment horizontal="right" wrapText="1"/>
    </xf>
    <xf numFmtId="167" fontId="48" fillId="0" borderId="9" xfId="0" applyNumberFormat="1" applyFont="1" applyBorder="1" applyAlignment="1">
      <alignment horizontal="left" wrapText="1"/>
    </xf>
    <xf numFmtId="166" fontId="49" fillId="0" borderId="54" xfId="0" applyNumberFormat="1" applyFont="1" applyBorder="1" applyAlignment="1">
      <alignment horizontal="right"/>
    </xf>
    <xf numFmtId="166" fontId="48" fillId="0" borderId="55" xfId="0" applyNumberFormat="1" applyFont="1" applyBorder="1" applyAlignment="1">
      <alignment horizontal="right"/>
    </xf>
    <xf numFmtId="166" fontId="48" fillId="0" borderId="1" xfId="0" applyNumberFormat="1" applyFont="1" applyBorder="1" applyAlignment="1">
      <alignment horizontal="right"/>
    </xf>
    <xf numFmtId="3" fontId="48" fillId="0" borderId="22" xfId="0" applyNumberFormat="1" applyFont="1" applyBorder="1" applyAlignment="1">
      <alignment horizontal="right"/>
    </xf>
    <xf numFmtId="166" fontId="48" fillId="0" borderId="54" xfId="0" applyNumberFormat="1" applyFont="1" applyBorder="1" applyAlignment="1">
      <alignment horizontal="right"/>
    </xf>
    <xf numFmtId="164" fontId="48" fillId="0" borderId="55" xfId="0" applyNumberFormat="1" applyFont="1" applyBorder="1" applyAlignment="1">
      <alignment horizontal="right"/>
    </xf>
    <xf numFmtId="164" fontId="48" fillId="0" borderId="54" xfId="0" applyNumberFormat="1" applyFont="1" applyBorder="1" applyAlignment="1">
      <alignment horizontal="right"/>
    </xf>
    <xf numFmtId="0" fontId="48" fillId="0" borderId="55" xfId="0" applyFont="1" applyBorder="1" applyAlignment="1">
      <alignment horizontal="right"/>
    </xf>
    <xf numFmtId="169" fontId="48" fillId="0" borderId="1" xfId="0" applyNumberFormat="1" applyFont="1" applyFill="1" applyBorder="1" applyAlignment="1">
      <alignment horizontal="right"/>
    </xf>
    <xf numFmtId="166" fontId="49" fillId="0" borderId="54" xfId="0" applyNumberFormat="1" applyFont="1" applyFill="1" applyBorder="1" applyAlignment="1">
      <alignment horizontal="right"/>
    </xf>
    <xf numFmtId="166" fontId="48" fillId="0" borderId="55" xfId="0" applyNumberFormat="1" applyFont="1" applyFill="1" applyBorder="1" applyAlignment="1">
      <alignment horizontal="right"/>
    </xf>
    <xf numFmtId="3" fontId="48" fillId="0" borderId="22" xfId="0" applyNumberFormat="1" applyFont="1" applyFill="1" applyBorder="1" applyAlignment="1">
      <alignment horizontal="right"/>
    </xf>
    <xf numFmtId="166" fontId="48" fillId="0" borderId="54" xfId="0" applyNumberFormat="1" applyFont="1" applyFill="1" applyBorder="1" applyAlignment="1">
      <alignment horizontal="right"/>
    </xf>
    <xf numFmtId="164" fontId="48" fillId="0" borderId="55" xfId="0" applyNumberFormat="1" applyFont="1" applyFill="1" applyBorder="1" applyAlignment="1">
      <alignment horizontal="right"/>
    </xf>
    <xf numFmtId="164" fontId="48" fillId="0" borderId="54" xfId="0" applyNumberFormat="1" applyFont="1" applyFill="1" applyBorder="1" applyAlignment="1">
      <alignment horizontal="right"/>
    </xf>
    <xf numFmtId="0" fontId="48" fillId="0" borderId="55" xfId="0" applyFont="1" applyFill="1" applyBorder="1" applyAlignment="1">
      <alignment horizontal="right"/>
    </xf>
    <xf numFmtId="0" fontId="48" fillId="0" borderId="55" xfId="0" applyFont="1" applyFill="1" applyBorder="1"/>
    <xf numFmtId="166" fontId="49" fillId="0" borderId="54" xfId="0" applyNumberFormat="1" applyFont="1" applyFill="1" applyBorder="1" applyAlignment="1">
      <alignment horizontal="center"/>
    </xf>
    <xf numFmtId="0" fontId="48" fillId="0" borderId="52" xfId="0" applyFont="1" applyFill="1" applyBorder="1" applyAlignment="1" applyProtection="1">
      <alignment horizontal="center" wrapText="1"/>
      <protection locked="0"/>
    </xf>
    <xf numFmtId="0" fontId="48" fillId="0" borderId="55" xfId="0" applyFont="1" applyFill="1" applyBorder="1" applyAlignment="1">
      <alignment horizontal="center"/>
    </xf>
    <xf numFmtId="0" fontId="48" fillId="0" borderId="54" xfId="0" applyFont="1" applyFill="1" applyBorder="1" applyAlignment="1">
      <alignment horizontal="center"/>
    </xf>
    <xf numFmtId="166" fontId="48" fillId="0" borderId="9" xfId="0" applyNumberFormat="1" applyFont="1" applyFill="1" applyBorder="1" applyAlignment="1">
      <alignment horizontal="right"/>
    </xf>
    <xf numFmtId="166" fontId="48" fillId="0" borderId="54" xfId="0" applyNumberFormat="1" applyFont="1" applyFill="1" applyBorder="1" applyAlignment="1" applyProtection="1">
      <alignment horizontal="right"/>
      <protection locked="0"/>
    </xf>
    <xf numFmtId="166" fontId="51" fillId="0" borderId="1" xfId="3" applyNumberFormat="1" applyFont="1" applyFill="1" applyBorder="1" applyAlignment="1" applyProtection="1">
      <alignment horizontal="right"/>
    </xf>
    <xf numFmtId="3" fontId="48" fillId="0" borderId="1" xfId="0" applyNumberFormat="1" applyFont="1" applyBorder="1" applyAlignment="1">
      <alignment horizontal="center"/>
    </xf>
    <xf numFmtId="9" fontId="48" fillId="0" borderId="22" xfId="3" applyNumberFormat="1" applyFont="1" applyFill="1" applyBorder="1" applyAlignment="1" applyProtection="1">
      <alignment horizontal="center"/>
    </xf>
    <xf numFmtId="0" fontId="48" fillId="0" borderId="23" xfId="0" applyFont="1" applyBorder="1" applyAlignment="1">
      <alignment wrapText="1"/>
    </xf>
    <xf numFmtId="0" fontId="48" fillId="0" borderId="25" xfId="0" applyFont="1" applyBorder="1" applyAlignment="1">
      <alignment wrapText="1"/>
    </xf>
    <xf numFmtId="0" fontId="48" fillId="0" borderId="1" xfId="0" applyNumberFormat="1" applyFont="1" applyBorder="1" applyAlignment="1">
      <alignment horizontal="left" wrapText="1"/>
    </xf>
    <xf numFmtId="0" fontId="48" fillId="0" borderId="1" xfId="0" applyFont="1" applyFill="1" applyBorder="1" applyAlignment="1">
      <alignment horizontal="right"/>
    </xf>
    <xf numFmtId="3" fontId="51" fillId="0" borderId="1" xfId="3" applyNumberFormat="1" applyFont="1" applyFill="1" applyBorder="1" applyAlignment="1" applyProtection="1">
      <alignment horizontal="center"/>
    </xf>
    <xf numFmtId="9" fontId="48" fillId="0" borderId="22" xfId="3" applyNumberFormat="1" applyFont="1" applyBorder="1" applyAlignment="1" applyProtection="1">
      <alignment horizontal="center"/>
    </xf>
    <xf numFmtId="164" fontId="48" fillId="0" borderId="1" xfId="0" applyNumberFormat="1" applyFont="1" applyBorder="1" applyAlignment="1">
      <alignment horizontal="right"/>
    </xf>
    <xf numFmtId="164" fontId="51" fillId="0" borderId="1" xfId="3" applyNumberFormat="1" applyFont="1" applyFill="1" applyBorder="1" applyAlignment="1" applyProtection="1">
      <alignment horizontal="right"/>
    </xf>
    <xf numFmtId="3" fontId="49" fillId="0" borderId="1" xfId="0" applyNumberFormat="1" applyFont="1" applyFill="1" applyBorder="1"/>
    <xf numFmtId="3" fontId="49" fillId="0" borderId="22" xfId="0" applyNumberFormat="1" applyFont="1" applyFill="1" applyBorder="1"/>
    <xf numFmtId="166" fontId="49" fillId="0" borderId="55" xfId="0" applyNumberFormat="1" applyFont="1" applyFill="1" applyBorder="1"/>
    <xf numFmtId="164" fontId="49" fillId="0" borderId="55" xfId="0" applyNumberFormat="1" applyFont="1" applyFill="1" applyBorder="1"/>
    <xf numFmtId="164" fontId="49" fillId="0" borderId="54" xfId="0" applyNumberFormat="1" applyFont="1" applyFill="1" applyBorder="1"/>
    <xf numFmtId="0" fontId="48" fillId="0" borderId="62" xfId="0" applyFont="1" applyFill="1" applyBorder="1" applyAlignment="1">
      <alignment wrapText="1"/>
    </xf>
    <xf numFmtId="166" fontId="48" fillId="0" borderId="54" xfId="3" applyNumberFormat="1" applyFont="1" applyFill="1" applyBorder="1" applyAlignment="1" applyProtection="1"/>
    <xf numFmtId="3" fontId="48" fillId="0" borderId="1" xfId="0" applyNumberFormat="1" applyFont="1" applyFill="1" applyBorder="1" applyAlignment="1">
      <alignment horizontal="left"/>
    </xf>
    <xf numFmtId="166" fontId="48" fillId="0" borderId="55" xfId="0" applyNumberFormat="1" applyFont="1" applyBorder="1" applyAlignment="1">
      <alignment horizontal="center"/>
    </xf>
    <xf numFmtId="166" fontId="48" fillId="0" borderId="1" xfId="0" applyNumberFormat="1" applyFont="1" applyBorder="1" applyAlignment="1">
      <alignment horizontal="center"/>
    </xf>
    <xf numFmtId="0" fontId="48" fillId="0" borderId="54" xfId="0" applyFont="1" applyBorder="1"/>
    <xf numFmtId="6" fontId="48" fillId="0" borderId="54" xfId="0" applyNumberFormat="1" applyFont="1" applyFill="1" applyBorder="1"/>
    <xf numFmtId="0" fontId="48" fillId="0" borderId="47" xfId="0" applyFont="1" applyFill="1" applyBorder="1" applyAlignment="1">
      <alignment horizontal="center"/>
    </xf>
    <xf numFmtId="0" fontId="48" fillId="0" borderId="9" xfId="0" applyFont="1" applyFill="1" applyBorder="1" applyAlignment="1">
      <alignment horizontal="center"/>
    </xf>
    <xf numFmtId="0" fontId="48" fillId="0" borderId="22" xfId="0" applyFont="1" applyFill="1" applyBorder="1" applyAlignment="1">
      <alignment horizontal="center"/>
    </xf>
    <xf numFmtId="6" fontId="48" fillId="0" borderId="1" xfId="0" applyNumberFormat="1" applyFont="1" applyFill="1" applyBorder="1"/>
    <xf numFmtId="1" fontId="48" fillId="0" borderId="1" xfId="0" applyNumberFormat="1" applyFont="1" applyFill="1" applyBorder="1" applyAlignment="1">
      <alignment horizontal="center"/>
    </xf>
    <xf numFmtId="1" fontId="48" fillId="0" borderId="1" xfId="0" applyNumberFormat="1" applyFont="1" applyFill="1" applyBorder="1" applyAlignment="1">
      <alignment horizontal="center" wrapText="1"/>
    </xf>
    <xf numFmtId="1" fontId="48" fillId="0" borderId="1" xfId="0" applyNumberFormat="1" applyFont="1" applyBorder="1" applyAlignment="1">
      <alignment horizontal="center"/>
    </xf>
    <xf numFmtId="1" fontId="48" fillId="0" borderId="1" xfId="0" applyNumberFormat="1" applyFont="1" applyBorder="1" applyAlignment="1">
      <alignment horizontal="center" wrapText="1"/>
    </xf>
    <xf numFmtId="164" fontId="48" fillId="0" borderId="1" xfId="0" applyNumberFormat="1" applyFont="1" applyBorder="1"/>
    <xf numFmtId="0" fontId="48" fillId="0" borderId="1" xfId="0" applyFont="1" applyBorder="1" applyAlignment="1">
      <alignment vertical="top"/>
    </xf>
    <xf numFmtId="0" fontId="48" fillId="0" borderId="1" xfId="0" applyFont="1" applyFill="1" applyBorder="1" applyAlignment="1">
      <alignment vertical="center" wrapText="1"/>
    </xf>
    <xf numFmtId="3" fontId="48" fillId="6" borderId="1" xfId="0" applyNumberFormat="1" applyFont="1" applyFill="1" applyBorder="1" applyAlignment="1">
      <alignment horizontal="right"/>
    </xf>
    <xf numFmtId="0" fontId="40" fillId="0" borderId="44" xfId="0" applyFont="1" applyBorder="1"/>
    <xf numFmtId="0" fontId="40" fillId="0" borderId="44" xfId="0" applyFont="1" applyFill="1" applyBorder="1"/>
    <xf numFmtId="0" fontId="40" fillId="0" borderId="58" xfId="0" applyFont="1" applyBorder="1"/>
    <xf numFmtId="0" fontId="47" fillId="0" borderId="9" xfId="3" applyFont="1" applyBorder="1" applyAlignment="1" applyProtection="1"/>
    <xf numFmtId="0" fontId="47" fillId="0" borderId="9" xfId="3" applyFont="1" applyFill="1" applyBorder="1" applyAlignment="1" applyProtection="1"/>
    <xf numFmtId="0" fontId="40" fillId="0" borderId="0" xfId="0" applyFont="1" applyBorder="1"/>
    <xf numFmtId="0" fontId="40" fillId="0" borderId="0" xfId="0" applyFont="1" applyFill="1" applyBorder="1"/>
    <xf numFmtId="0" fontId="3" fillId="0" borderId="0" xfId="0" applyFont="1"/>
    <xf numFmtId="0" fontId="45" fillId="5" borderId="1" xfId="0" applyFont="1" applyFill="1" applyBorder="1" applyAlignment="1">
      <alignment horizontal="left" wrapText="1"/>
    </xf>
    <xf numFmtId="167" fontId="45" fillId="5" borderId="1" xfId="0" applyNumberFormat="1" applyFont="1" applyFill="1" applyBorder="1" applyAlignment="1">
      <alignment horizontal="left" wrapText="1"/>
    </xf>
    <xf numFmtId="3" fontId="45" fillId="5" borderId="1" xfId="0" applyNumberFormat="1" applyFont="1" applyFill="1" applyBorder="1" applyAlignment="1">
      <alignment horizontal="left" wrapText="1"/>
    </xf>
    <xf numFmtId="166" fontId="45" fillId="5" borderId="1" xfId="0" applyNumberFormat="1" applyFont="1" applyFill="1" applyBorder="1" applyAlignment="1">
      <alignment horizontal="left" wrapText="1"/>
    </xf>
    <xf numFmtId="169" fontId="45" fillId="5" borderId="1" xfId="0" applyNumberFormat="1" applyFont="1" applyFill="1" applyBorder="1" applyAlignment="1">
      <alignment horizontal="left" wrapText="1"/>
    </xf>
    <xf numFmtId="1" fontId="45" fillId="5" borderId="1" xfId="0" applyNumberFormat="1" applyFont="1" applyFill="1" applyBorder="1" applyAlignment="1">
      <alignment horizontal="left" wrapText="1"/>
    </xf>
    <xf numFmtId="6" fontId="45" fillId="5" borderId="1" xfId="0" applyNumberFormat="1" applyFont="1" applyFill="1" applyBorder="1" applyAlignment="1">
      <alignment horizontal="left" wrapText="1"/>
    </xf>
    <xf numFmtId="0" fontId="53" fillId="0" borderId="1" xfId="0" applyFont="1" applyFill="1" applyBorder="1" applyAlignment="1">
      <alignment horizontal="left" wrapText="1"/>
    </xf>
    <xf numFmtId="0" fontId="16" fillId="0" borderId="0" xfId="0" applyFont="1" applyAlignment="1">
      <alignment vertical="top"/>
    </xf>
    <xf numFmtId="0" fontId="0" fillId="0" borderId="2" xfId="0" applyNumberFormat="1" applyBorder="1"/>
    <xf numFmtId="0" fontId="0" fillId="0" borderId="40" xfId="0" applyNumberFormat="1" applyBorder="1"/>
    <xf numFmtId="0" fontId="0" fillId="0" borderId="21" xfId="0" applyNumberFormat="1" applyBorder="1"/>
    <xf numFmtId="0" fontId="0" fillId="0" borderId="0" xfId="0" applyNumberFormat="1"/>
    <xf numFmtId="0" fontId="0" fillId="0" borderId="0" xfId="0" applyAlignment="1">
      <alignment horizontal="right"/>
    </xf>
    <xf numFmtId="0" fontId="6" fillId="0" borderId="0" xfId="0" applyFont="1" applyAlignment="1">
      <alignment horizontal="right"/>
    </xf>
    <xf numFmtId="0" fontId="6" fillId="0" borderId="0" xfId="0" applyFont="1" applyAlignment="1">
      <alignment horizontal="left"/>
    </xf>
    <xf numFmtId="0" fontId="0" fillId="0" borderId="2" xfId="0" pivotButton="1" applyBorder="1" applyAlignment="1">
      <alignment horizontal="left"/>
    </xf>
    <xf numFmtId="0" fontId="48" fillId="0" borderId="63" xfId="0" applyFont="1" applyFill="1" applyBorder="1" applyAlignment="1">
      <alignment vertical="top" wrapText="1"/>
    </xf>
    <xf numFmtId="0" fontId="40" fillId="0" borderId="1" xfId="0" applyFont="1" applyFill="1" applyBorder="1" applyAlignment="1">
      <alignment horizontal="left"/>
    </xf>
    <xf numFmtId="0" fontId="48" fillId="0" borderId="1" xfId="0" applyFont="1" applyFill="1" applyBorder="1" applyAlignment="1">
      <alignment vertical="top"/>
    </xf>
    <xf numFmtId="0" fontId="48" fillId="0" borderId="0" xfId="0" applyFont="1" applyFill="1"/>
    <xf numFmtId="0" fontId="48" fillId="7" borderId="1" xfId="0" applyFont="1" applyFill="1" applyBorder="1" applyAlignment="1">
      <alignment horizontal="center"/>
    </xf>
    <xf numFmtId="0" fontId="48" fillId="7" borderId="1" xfId="0" applyFont="1" applyFill="1" applyBorder="1" applyAlignment="1">
      <alignment horizontal="center" wrapText="1"/>
    </xf>
    <xf numFmtId="0" fontId="48" fillId="7" borderId="1" xfId="0" applyFont="1" applyFill="1" applyBorder="1" applyAlignment="1" applyProtection="1">
      <alignment horizontal="center"/>
      <protection locked="0"/>
    </xf>
    <xf numFmtId="0" fontId="40" fillId="6" borderId="1" xfId="0" applyFont="1" applyFill="1" applyBorder="1"/>
    <xf numFmtId="0" fontId="48" fillId="6" borderId="1" xfId="0" applyFont="1" applyFill="1" applyBorder="1"/>
    <xf numFmtId="167" fontId="48" fillId="6" borderId="1" xfId="0" applyNumberFormat="1" applyFont="1" applyFill="1" applyBorder="1" applyAlignment="1">
      <alignment horizontal="left"/>
    </xf>
    <xf numFmtId="0" fontId="48" fillId="6" borderId="1" xfId="0" applyFont="1" applyFill="1" applyBorder="1" applyAlignment="1">
      <alignment horizontal="center"/>
    </xf>
    <xf numFmtId="0" fontId="48" fillId="6" borderId="47" xfId="0" applyFont="1" applyFill="1" applyBorder="1" applyAlignment="1">
      <alignment horizontal="center"/>
    </xf>
    <xf numFmtId="0" fontId="48" fillId="6" borderId="1" xfId="0" applyFont="1" applyFill="1" applyBorder="1" applyAlignment="1"/>
    <xf numFmtId="0" fontId="48" fillId="6" borderId="9" xfId="0" applyFont="1" applyFill="1" applyBorder="1" applyAlignment="1">
      <alignment horizontal="center"/>
    </xf>
    <xf numFmtId="0" fontId="48" fillId="6" borderId="22" xfId="0" applyFont="1" applyFill="1" applyBorder="1" applyAlignment="1">
      <alignment horizontal="center"/>
    </xf>
    <xf numFmtId="3" fontId="48" fillId="6" borderId="1" xfId="0" applyNumberFormat="1" applyFont="1" applyFill="1" applyBorder="1" applyAlignment="1">
      <alignment horizontal="center"/>
    </xf>
    <xf numFmtId="166" fontId="48" fillId="6" borderId="1" xfId="0" applyNumberFormat="1" applyFont="1" applyFill="1" applyBorder="1" applyAlignment="1">
      <alignment horizontal="right"/>
    </xf>
    <xf numFmtId="9" fontId="48" fillId="6" borderId="1" xfId="0" applyNumberFormat="1" applyFont="1" applyFill="1" applyBorder="1" applyAlignment="1">
      <alignment horizontal="center"/>
    </xf>
    <xf numFmtId="166" fontId="48" fillId="6" borderId="1" xfId="0" applyNumberFormat="1" applyFont="1" applyFill="1" applyBorder="1"/>
    <xf numFmtId="0" fontId="48" fillId="6" borderId="1" xfId="0" applyFont="1" applyFill="1" applyBorder="1" applyAlignment="1">
      <alignment horizontal="center" wrapText="1"/>
    </xf>
    <xf numFmtId="3" fontId="48" fillId="6" borderId="1" xfId="0" applyNumberFormat="1" applyFont="1" applyFill="1" applyBorder="1"/>
    <xf numFmtId="0" fontId="48" fillId="6" borderId="1" xfId="0" applyFont="1" applyFill="1" applyBorder="1" applyAlignment="1">
      <alignment vertical="top" wrapText="1"/>
    </xf>
    <xf numFmtId="0" fontId="48" fillId="6" borderId="0" xfId="0" applyFont="1" applyFill="1"/>
    <xf numFmtId="0" fontId="48" fillId="6" borderId="1" xfId="0" applyFont="1" applyFill="1" applyBorder="1" applyAlignment="1">
      <alignment wrapText="1"/>
    </xf>
    <xf numFmtId="0" fontId="40" fillId="6" borderId="1" xfId="0" applyFont="1" applyFill="1" applyBorder="1" applyAlignment="1">
      <alignment horizontal="left"/>
    </xf>
    <xf numFmtId="0" fontId="48" fillId="6" borderId="58" xfId="0" applyFont="1" applyFill="1" applyBorder="1" applyAlignment="1">
      <alignment horizontal="center"/>
    </xf>
    <xf numFmtId="0" fontId="48" fillId="6" borderId="24" xfId="0" applyFont="1" applyFill="1" applyBorder="1" applyAlignment="1">
      <alignment horizontal="center"/>
    </xf>
    <xf numFmtId="6" fontId="48" fillId="6" borderId="1" xfId="0" applyNumberFormat="1" applyFont="1" applyFill="1" applyBorder="1"/>
    <xf numFmtId="0" fontId="40" fillId="6" borderId="9" xfId="0" applyFont="1" applyFill="1" applyBorder="1"/>
    <xf numFmtId="0" fontId="48" fillId="6" borderId="52" xfId="0" applyFont="1" applyFill="1" applyBorder="1" applyAlignment="1">
      <alignment horizontal="center"/>
    </xf>
    <xf numFmtId="167" fontId="48" fillId="6" borderId="9" xfId="0" applyNumberFormat="1" applyFont="1" applyFill="1" applyBorder="1" applyAlignment="1">
      <alignment horizontal="left"/>
    </xf>
    <xf numFmtId="3" fontId="48" fillId="6" borderId="54" xfId="0" applyNumberFormat="1" applyFont="1" applyFill="1" applyBorder="1" applyAlignment="1">
      <alignment horizontal="right"/>
    </xf>
    <xf numFmtId="3" fontId="48" fillId="6" borderId="55" xfId="0" applyNumberFormat="1" applyFont="1" applyFill="1" applyBorder="1" applyAlignment="1">
      <alignment horizontal="center"/>
    </xf>
    <xf numFmtId="9" fontId="48" fillId="6" borderId="22" xfId="0" applyNumberFormat="1" applyFont="1" applyFill="1" applyBorder="1" applyAlignment="1">
      <alignment horizontal="center"/>
    </xf>
    <xf numFmtId="166" fontId="48" fillId="6" borderId="54" xfId="0" applyNumberFormat="1" applyFont="1" applyFill="1" applyBorder="1"/>
    <xf numFmtId="166" fontId="48" fillId="6" borderId="55" xfId="0" applyNumberFormat="1" applyFont="1" applyFill="1" applyBorder="1"/>
    <xf numFmtId="1" fontId="48" fillId="6" borderId="53" xfId="0" applyNumberFormat="1" applyFont="1" applyFill="1" applyBorder="1" applyAlignment="1">
      <alignment horizontal="center"/>
    </xf>
    <xf numFmtId="1" fontId="48" fillId="6" borderId="52" xfId="0" applyNumberFormat="1" applyFont="1" applyFill="1" applyBorder="1" applyAlignment="1">
      <alignment horizontal="center" wrapText="1"/>
    </xf>
    <xf numFmtId="3" fontId="48" fillId="6" borderId="55" xfId="0" applyNumberFormat="1" applyFont="1" applyFill="1" applyBorder="1" applyAlignment="1">
      <alignment horizontal="right"/>
    </xf>
    <xf numFmtId="3" fontId="48" fillId="6" borderId="9" xfId="0" applyNumberFormat="1" applyFont="1" applyFill="1" applyBorder="1" applyAlignment="1">
      <alignment horizontal="right"/>
    </xf>
    <xf numFmtId="3" fontId="48" fillId="6" borderId="22" xfId="0" applyNumberFormat="1" applyFont="1" applyFill="1" applyBorder="1"/>
    <xf numFmtId="164" fontId="48" fillId="6" borderId="55" xfId="0" applyNumberFormat="1" applyFont="1" applyFill="1" applyBorder="1"/>
    <xf numFmtId="164" fontId="48" fillId="6" borderId="54" xfId="0" applyNumberFormat="1" applyFont="1" applyFill="1" applyBorder="1"/>
    <xf numFmtId="0" fontId="48" fillId="6" borderId="55" xfId="0" applyFont="1" applyFill="1" applyBorder="1"/>
    <xf numFmtId="0" fontId="48" fillId="6" borderId="9" xfId="0" applyFont="1" applyFill="1" applyBorder="1" applyAlignment="1">
      <alignment horizontal="center" wrapText="1"/>
    </xf>
    <xf numFmtId="6" fontId="50" fillId="0" borderId="0" xfId="0" applyNumberFormat="1" applyFont="1" applyFill="1" applyBorder="1"/>
    <xf numFmtId="49" fontId="48" fillId="0" borderId="1" xfId="0" applyNumberFormat="1" applyFont="1" applyFill="1" applyBorder="1" applyAlignment="1">
      <alignment horizontal="center"/>
    </xf>
    <xf numFmtId="0" fontId="43" fillId="6" borderId="1" xfId="0" applyFont="1" applyFill="1" applyBorder="1" applyAlignment="1">
      <alignment horizontal="left" wrapText="1"/>
    </xf>
    <xf numFmtId="0" fontId="48" fillId="6" borderId="25" xfId="0" applyFont="1" applyFill="1" applyBorder="1"/>
    <xf numFmtId="0" fontId="48" fillId="6" borderId="23" xfId="0" applyFont="1" applyFill="1" applyBorder="1"/>
    <xf numFmtId="0" fontId="43" fillId="6" borderId="0" xfId="0" applyFont="1" applyFill="1"/>
    <xf numFmtId="0" fontId="0" fillId="6" borderId="0" xfId="0" applyFill="1"/>
    <xf numFmtId="166" fontId="48" fillId="0" borderId="1" xfId="0" applyNumberFormat="1" applyFont="1" applyFill="1" applyBorder="1" applyAlignment="1">
      <alignment horizontal="center" wrapText="1"/>
    </xf>
    <xf numFmtId="166" fontId="48" fillId="6" borderId="1" xfId="0" applyNumberFormat="1" applyFont="1" applyFill="1" applyBorder="1" applyAlignment="1">
      <alignment horizontal="center" wrapText="1"/>
    </xf>
    <xf numFmtId="166" fontId="48" fillId="0" borderId="22" xfId="0" applyNumberFormat="1" applyFont="1" applyFill="1" applyBorder="1"/>
    <xf numFmtId="0" fontId="42" fillId="5" borderId="1" xfId="0" applyFont="1" applyFill="1" applyBorder="1" applyAlignment="1">
      <alignment horizontal="left" vertical="top" wrapText="1"/>
    </xf>
    <xf numFmtId="3" fontId="48" fillId="0" borderId="44" xfId="0" applyNumberFormat="1" applyFont="1" applyFill="1" applyBorder="1" applyAlignment="1">
      <alignment horizontal="center"/>
    </xf>
    <xf numFmtId="3" fontId="48" fillId="0" borderId="9" xfId="0" applyNumberFormat="1" applyFont="1" applyFill="1" applyBorder="1" applyAlignment="1">
      <alignment horizontal="center"/>
    </xf>
    <xf numFmtId="0" fontId="43" fillId="0" borderId="0" xfId="0" applyFont="1" applyAlignment="1">
      <alignment horizontal="center"/>
    </xf>
    <xf numFmtId="0" fontId="0" fillId="0" borderId="0" xfId="0" applyAlignment="1">
      <alignment horizontal="center"/>
    </xf>
    <xf numFmtId="166" fontId="48" fillId="0" borderId="26" xfId="0" applyNumberFormat="1" applyFont="1" applyFill="1" applyBorder="1"/>
    <xf numFmtId="166" fontId="48" fillId="0" borderId="22" xfId="0" applyNumberFormat="1" applyFont="1" applyBorder="1"/>
    <xf numFmtId="166" fontId="48" fillId="0" borderId="24" xfId="0" applyNumberFormat="1" applyFont="1" applyBorder="1"/>
    <xf numFmtId="166" fontId="48" fillId="0" borderId="26" xfId="0" applyNumberFormat="1" applyFont="1" applyBorder="1"/>
    <xf numFmtId="166" fontId="48" fillId="0" borderId="22" xfId="2" applyNumberFormat="1" applyFont="1" applyFill="1" applyBorder="1"/>
    <xf numFmtId="166" fontId="48" fillId="0" borderId="22" xfId="0" applyNumberFormat="1" applyFont="1" applyFill="1" applyBorder="1" applyProtection="1">
      <protection locked="0"/>
    </xf>
    <xf numFmtId="166" fontId="48" fillId="0" borderId="22" xfId="0" applyNumberFormat="1" applyFont="1" applyFill="1" applyBorder="1" applyAlignment="1" applyProtection="1">
      <alignment horizontal="right"/>
      <protection locked="0"/>
    </xf>
    <xf numFmtId="166" fontId="48" fillId="0" borderId="22" xfId="2" applyNumberFormat="1" applyFont="1" applyBorder="1" applyAlignment="1">
      <alignment horizontal="right" wrapText="1"/>
    </xf>
    <xf numFmtId="166" fontId="48" fillId="0" borderId="22" xfId="0" applyNumberFormat="1" applyFont="1" applyBorder="1" applyAlignment="1">
      <alignment horizontal="right"/>
    </xf>
    <xf numFmtId="166" fontId="48" fillId="0" borderId="22" xfId="0" applyNumberFormat="1" applyFont="1" applyFill="1" applyBorder="1" applyAlignment="1">
      <alignment horizontal="right"/>
    </xf>
    <xf numFmtId="166" fontId="48" fillId="0" borderId="22" xfId="0" applyNumberFormat="1" applyFont="1" applyFill="1" applyBorder="1" applyAlignment="1">
      <alignment horizontal="center"/>
    </xf>
    <xf numFmtId="166" fontId="48" fillId="6" borderId="22" xfId="0" applyNumberFormat="1" applyFont="1" applyFill="1" applyBorder="1"/>
    <xf numFmtId="166" fontId="42" fillId="5" borderId="1" xfId="0" applyNumberFormat="1" applyFont="1" applyFill="1" applyBorder="1" applyAlignment="1">
      <alignment horizontal="center" wrapText="1"/>
    </xf>
    <xf numFmtId="166" fontId="48" fillId="6" borderId="1" xfId="0" applyNumberFormat="1" applyFont="1" applyFill="1" applyBorder="1" applyAlignment="1">
      <alignment horizontal="center"/>
    </xf>
    <xf numFmtId="0" fontId="13" fillId="0" borderId="3" xfId="0" applyNumberFormat="1" applyFont="1" applyBorder="1" applyAlignment="1">
      <alignment vertical="center" wrapText="1"/>
    </xf>
    <xf numFmtId="0" fontId="0" fillId="0" borderId="64" xfId="0" applyBorder="1"/>
    <xf numFmtId="0" fontId="0" fillId="0" borderId="65" xfId="0" applyBorder="1"/>
    <xf numFmtId="1" fontId="48" fillId="0" borderId="1" xfId="0" quotePrefix="1" applyNumberFormat="1" applyFont="1" applyFill="1" applyBorder="1" applyAlignment="1">
      <alignment horizontal="center" wrapText="1"/>
    </xf>
    <xf numFmtId="0" fontId="48" fillId="0" borderId="1" xfId="0" applyFont="1" applyFill="1" applyBorder="1" applyAlignment="1" applyProtection="1">
      <alignment horizontal="center" wrapText="1"/>
      <protection locked="0"/>
    </xf>
    <xf numFmtId="0" fontId="48" fillId="0" borderId="1" xfId="0" quotePrefix="1" applyFont="1" applyFill="1" applyBorder="1" applyAlignment="1">
      <alignment horizontal="center" wrapText="1"/>
    </xf>
    <xf numFmtId="166" fontId="49" fillId="0" borderId="1" xfId="0" applyNumberFormat="1" applyFont="1" applyFill="1" applyBorder="1" applyAlignment="1">
      <alignment horizontal="center"/>
    </xf>
    <xf numFmtId="14" fontId="42" fillId="5" borderId="1" xfId="0" applyNumberFormat="1" applyFont="1" applyFill="1" applyBorder="1" applyAlignment="1">
      <alignment horizontal="center" wrapText="1"/>
    </xf>
    <xf numFmtId="14" fontId="48" fillId="0" borderId="1" xfId="0" applyNumberFormat="1" applyFont="1" applyFill="1" applyBorder="1" applyAlignment="1">
      <alignment horizontal="center"/>
    </xf>
    <xf numFmtId="14" fontId="49" fillId="0" borderId="1" xfId="0" applyNumberFormat="1" applyFont="1" applyFill="1" applyBorder="1" applyAlignment="1">
      <alignment horizontal="center"/>
    </xf>
    <xf numFmtId="14" fontId="48" fillId="6" borderId="1" xfId="0" applyNumberFormat="1" applyFont="1" applyFill="1" applyBorder="1" applyAlignment="1">
      <alignment horizontal="center"/>
    </xf>
    <xf numFmtId="14" fontId="48" fillId="0" borderId="22" xfId="0" applyNumberFormat="1" applyFont="1" applyFill="1" applyBorder="1" applyAlignment="1">
      <alignment horizontal="center"/>
    </xf>
    <xf numFmtId="14" fontId="48" fillId="0" borderId="1" xfId="0" applyNumberFormat="1" applyFont="1" applyBorder="1" applyAlignment="1">
      <alignment horizontal="center"/>
    </xf>
    <xf numFmtId="14" fontId="43" fillId="0" borderId="0" xfId="0" applyNumberFormat="1" applyFont="1" applyAlignment="1">
      <alignment horizontal="center"/>
    </xf>
    <xf numFmtId="14" fontId="0" fillId="0" borderId="0" xfId="0" applyNumberFormat="1" applyAlignment="1">
      <alignment horizontal="center"/>
    </xf>
    <xf numFmtId="166" fontId="48" fillId="0" borderId="44" xfId="0" applyNumberFormat="1" applyFont="1" applyFill="1" applyBorder="1" applyAlignment="1">
      <alignment horizontal="center" wrapText="1"/>
    </xf>
    <xf numFmtId="166" fontId="48" fillId="0" borderId="9" xfId="0" applyNumberFormat="1" applyFont="1" applyFill="1" applyBorder="1" applyAlignment="1">
      <alignment horizontal="center" wrapText="1"/>
    </xf>
    <xf numFmtId="166" fontId="48" fillId="0" borderId="9" xfId="0" applyNumberFormat="1" applyFont="1" applyBorder="1" applyAlignment="1">
      <alignment horizontal="center" wrapText="1"/>
    </xf>
    <xf numFmtId="166" fontId="48" fillId="0" borderId="58" xfId="0" applyNumberFormat="1" applyFont="1" applyBorder="1" applyAlignment="1">
      <alignment horizontal="center" wrapText="1"/>
    </xf>
    <xf numFmtId="166" fontId="48" fillId="0" borderId="1" xfId="0" applyNumberFormat="1" applyFont="1" applyBorder="1" applyAlignment="1">
      <alignment horizontal="center" wrapText="1"/>
    </xf>
    <xf numFmtId="166" fontId="48" fillId="0" borderId="44" xfId="0" applyNumberFormat="1" applyFont="1" applyBorder="1" applyAlignment="1">
      <alignment horizontal="center" wrapText="1"/>
    </xf>
    <xf numFmtId="166" fontId="48" fillId="0" borderId="9" xfId="0" quotePrefix="1" applyNumberFormat="1" applyFont="1" applyFill="1" applyBorder="1" applyAlignment="1">
      <alignment horizontal="center" wrapText="1"/>
    </xf>
    <xf numFmtId="166" fontId="48" fillId="0" borderId="9" xfId="0" applyNumberFormat="1" applyFont="1" applyFill="1" applyBorder="1" applyAlignment="1" applyProtection="1">
      <alignment horizontal="center" wrapText="1"/>
      <protection locked="0"/>
    </xf>
    <xf numFmtId="166" fontId="48" fillId="6" borderId="9" xfId="0" applyNumberFormat="1" applyFont="1" applyFill="1" applyBorder="1" applyAlignment="1">
      <alignment horizontal="center" wrapText="1"/>
    </xf>
    <xf numFmtId="166" fontId="43" fillId="0" borderId="0" xfId="0" applyNumberFormat="1" applyFont="1"/>
    <xf numFmtId="1" fontId="48" fillId="0" borderId="44" xfId="0" applyNumberFormat="1" applyFont="1" applyFill="1" applyBorder="1" applyAlignment="1">
      <alignment horizontal="center" wrapText="1"/>
    </xf>
    <xf numFmtId="1" fontId="48" fillId="0" borderId="9" xfId="0" applyNumberFormat="1" applyFont="1" applyFill="1" applyBorder="1" applyAlignment="1">
      <alignment horizontal="center" wrapText="1"/>
    </xf>
    <xf numFmtId="1" fontId="48" fillId="0" borderId="9" xfId="0" applyNumberFormat="1" applyFont="1" applyBorder="1" applyAlignment="1">
      <alignment horizontal="center" wrapText="1"/>
    </xf>
    <xf numFmtId="1" fontId="48" fillId="0" borderId="58" xfId="0" applyNumberFormat="1" applyFont="1" applyBorder="1" applyAlignment="1">
      <alignment horizontal="center" wrapText="1"/>
    </xf>
    <xf numFmtId="1" fontId="48" fillId="0" borderId="44" xfId="0" applyNumberFormat="1" applyFont="1" applyBorder="1" applyAlignment="1">
      <alignment horizontal="center" wrapText="1"/>
    </xf>
    <xf numFmtId="1" fontId="48" fillId="0" borderId="9" xfId="0" applyNumberFormat="1" applyFont="1" applyFill="1" applyBorder="1" applyAlignment="1" applyProtection="1">
      <alignment horizontal="center" wrapText="1"/>
      <protection locked="0"/>
    </xf>
    <xf numFmtId="1" fontId="48" fillId="6" borderId="9" xfId="0" applyNumberFormat="1" applyFont="1" applyFill="1" applyBorder="1" applyAlignment="1">
      <alignment horizontal="center" wrapText="1"/>
    </xf>
    <xf numFmtId="1" fontId="48" fillId="6" borderId="1" xfId="0" applyNumberFormat="1" applyFont="1" applyFill="1" applyBorder="1" applyAlignment="1">
      <alignment horizontal="center" wrapText="1"/>
    </xf>
    <xf numFmtId="1" fontId="43" fillId="0" borderId="0" xfId="0" applyNumberFormat="1" applyFont="1"/>
    <xf numFmtId="0" fontId="49" fillId="0" borderId="1" xfId="0" applyFont="1" applyFill="1" applyBorder="1" applyAlignment="1">
      <alignment horizontal="left"/>
    </xf>
    <xf numFmtId="0" fontId="49" fillId="0" borderId="49" xfId="0" applyFont="1" applyFill="1" applyBorder="1" applyAlignment="1">
      <alignment horizontal="left"/>
    </xf>
    <xf numFmtId="0" fontId="49" fillId="0" borderId="53" xfId="0" applyFont="1" applyFill="1" applyBorder="1" applyAlignment="1">
      <alignment horizontal="left"/>
    </xf>
    <xf numFmtId="0" fontId="49" fillId="0" borderId="57" xfId="0" applyFont="1" applyFill="1" applyBorder="1" applyAlignment="1">
      <alignment horizontal="left"/>
    </xf>
    <xf numFmtId="0" fontId="49" fillId="0" borderId="53" xfId="0" applyFont="1" applyFill="1" applyBorder="1"/>
    <xf numFmtId="0" fontId="49" fillId="0" borderId="61" xfId="0" applyFont="1" applyFill="1" applyBorder="1" applyAlignment="1">
      <alignment horizontal="left"/>
    </xf>
    <xf numFmtId="0" fontId="49" fillId="6" borderId="53" xfId="0" applyFont="1" applyFill="1" applyBorder="1" applyAlignment="1">
      <alignment horizontal="left"/>
    </xf>
    <xf numFmtId="0" fontId="49" fillId="0" borderId="53" xfId="0" applyFont="1" applyBorder="1" applyAlignment="1">
      <alignment horizontal="left" wrapText="1"/>
    </xf>
    <xf numFmtId="0" fontId="49" fillId="0" borderId="53" xfId="0" applyFont="1" applyFill="1" applyBorder="1" applyAlignment="1">
      <alignment horizontal="left" wrapText="1"/>
    </xf>
    <xf numFmtId="0" fontId="49" fillId="0" borderId="1" xfId="0" applyFont="1" applyFill="1" applyBorder="1" applyAlignment="1">
      <alignment horizontal="left" wrapText="1"/>
    </xf>
    <xf numFmtId="0" fontId="49" fillId="0" borderId="1" xfId="0" applyFont="1" applyBorder="1" applyAlignment="1">
      <alignment horizontal="left" wrapText="1"/>
    </xf>
    <xf numFmtId="0" fontId="49" fillId="6" borderId="1" xfId="0" applyFont="1" applyFill="1" applyBorder="1" applyAlignment="1">
      <alignment horizontal="left" wrapText="1"/>
    </xf>
    <xf numFmtId="0" fontId="49" fillId="6" borderId="1" xfId="0" applyFont="1" applyFill="1" applyBorder="1" applyAlignment="1">
      <alignment horizontal="left"/>
    </xf>
    <xf numFmtId="0" fontId="49" fillId="0" borderId="1" xfId="0" applyFont="1" applyFill="1" applyBorder="1"/>
    <xf numFmtId="0" fontId="42" fillId="0" borderId="0" xfId="0" applyFont="1"/>
    <xf numFmtId="3" fontId="6" fillId="0" borderId="4" xfId="0" applyNumberFormat="1" applyFont="1" applyBorder="1"/>
    <xf numFmtId="0" fontId="46" fillId="0" borderId="0" xfId="0" applyFont="1"/>
    <xf numFmtId="0" fontId="6" fillId="0" borderId="2" xfId="0" pivotButton="1" applyFont="1" applyBorder="1"/>
    <xf numFmtId="0" fontId="6" fillId="0" borderId="2" xfId="0" applyFont="1" applyBorder="1"/>
    <xf numFmtId="0" fontId="42" fillId="0" borderId="0" xfId="0" applyFont="1" applyAlignment="1">
      <alignment vertical="top"/>
    </xf>
    <xf numFmtId="0" fontId="42" fillId="6" borderId="0" xfId="0" applyFont="1" applyFill="1"/>
    <xf numFmtId="0" fontId="42" fillId="0" borderId="0" xfId="0" applyFont="1" applyFill="1"/>
    <xf numFmtId="0" fontId="0" fillId="0" borderId="1" xfId="0" pivotButton="1" applyBorder="1"/>
    <xf numFmtId="0" fontId="6" fillId="0" borderId="1" xfId="0" applyFont="1" applyBorder="1"/>
    <xf numFmtId="0" fontId="43" fillId="0" borderId="0" xfId="0" applyFont="1" applyBorder="1"/>
    <xf numFmtId="0" fontId="6" fillId="0" borderId="6" xfId="0" applyFont="1" applyBorder="1"/>
    <xf numFmtId="166" fontId="6" fillId="0" borderId="1" xfId="0" applyNumberFormat="1" applyFont="1" applyBorder="1"/>
    <xf numFmtId="166" fontId="42" fillId="5" borderId="66" xfId="0" applyNumberFormat="1" applyFont="1" applyFill="1" applyBorder="1" applyAlignment="1">
      <alignment horizontal="center" wrapText="1"/>
    </xf>
    <xf numFmtId="0" fontId="42" fillId="5" borderId="66" xfId="0" applyFont="1" applyFill="1" applyBorder="1" applyAlignment="1">
      <alignment horizontal="left" wrapText="1"/>
    </xf>
    <xf numFmtId="166" fontId="0" fillId="0" borderId="5" xfId="0" applyNumberFormat="1" applyBorder="1"/>
    <xf numFmtId="166" fontId="0" fillId="0" borderId="40" xfId="0" applyNumberFormat="1" applyBorder="1"/>
    <xf numFmtId="166" fontId="0" fillId="0" borderId="41" xfId="0" applyNumberFormat="1" applyBorder="1"/>
    <xf numFmtId="166" fontId="0" fillId="0" borderId="67" xfId="0" applyNumberFormat="1" applyBorder="1"/>
    <xf numFmtId="166" fontId="0" fillId="0" borderId="68" xfId="0" applyNumberFormat="1" applyBorder="1"/>
    <xf numFmtId="0" fontId="6" fillId="0" borderId="67" xfId="0" applyFont="1" applyBorder="1"/>
    <xf numFmtId="0" fontId="6" fillId="0" borderId="4" xfId="0" pivotButton="1" applyFont="1" applyBorder="1"/>
    <xf numFmtId="0" fontId="6" fillId="0" borderId="5" xfId="0" applyFont="1" applyBorder="1"/>
    <xf numFmtId="0" fontId="6" fillId="0" borderId="40" xfId="0" applyFont="1" applyBorder="1"/>
    <xf numFmtId="0" fontId="6" fillId="0" borderId="8" xfId="0" applyFont="1" applyBorder="1"/>
    <xf numFmtId="3" fontId="6" fillId="0" borderId="2" xfId="0" pivotButton="1" applyNumberFormat="1" applyFont="1" applyBorder="1"/>
    <xf numFmtId="0" fontId="1" fillId="0" borderId="0" xfId="4"/>
    <xf numFmtId="3" fontId="1" fillId="0" borderId="0" xfId="4" applyNumberFormat="1"/>
    <xf numFmtId="0" fontId="6" fillId="0" borderId="0" xfId="4" applyFont="1"/>
    <xf numFmtId="0" fontId="0" fillId="0" borderId="0" xfId="0" pivotButton="1"/>
    <xf numFmtId="0" fontId="0" fillId="0" borderId="0" xfId="0" applyAlignment="1">
      <alignment horizontal="left" indent="1"/>
    </xf>
    <xf numFmtId="0" fontId="43" fillId="0" borderId="1" xfId="0" applyFont="1" applyBorder="1"/>
    <xf numFmtId="0" fontId="43" fillId="0" borderId="1" xfId="0" applyFont="1" applyFill="1" applyBorder="1"/>
    <xf numFmtId="0" fontId="43" fillId="6" borderId="1" xfId="0" applyFont="1" applyFill="1" applyBorder="1"/>
    <xf numFmtId="0" fontId="43" fillId="0" borderId="1" xfId="0" applyFont="1" applyBorder="1" applyAlignment="1">
      <alignment horizontal="center"/>
    </xf>
    <xf numFmtId="0" fontId="43" fillId="0" borderId="1" xfId="0" applyFont="1" applyBorder="1" applyAlignment="1">
      <alignment wrapText="1"/>
    </xf>
    <xf numFmtId="14" fontId="43" fillId="0" borderId="1" xfId="0" applyNumberFormat="1" applyFont="1" applyBorder="1" applyAlignment="1">
      <alignment horizontal="center"/>
    </xf>
    <xf numFmtId="166" fontId="43" fillId="0" borderId="1" xfId="0" applyNumberFormat="1" applyFont="1" applyBorder="1"/>
    <xf numFmtId="1" fontId="43" fillId="0" borderId="1" xfId="0" applyNumberFormat="1" applyFont="1" applyBorder="1"/>
    <xf numFmtId="0" fontId="43" fillId="0" borderId="1" xfId="0" applyFont="1" applyBorder="1" applyAlignment="1">
      <alignment vertical="top"/>
    </xf>
    <xf numFmtId="3" fontId="48" fillId="0" borderId="1" xfId="0" applyNumberFormat="1" applyFont="1" applyFill="1" applyBorder="1" applyAlignment="1">
      <alignment horizontal="center" vertical="center"/>
    </xf>
    <xf numFmtId="3" fontId="42" fillId="5" borderId="25" xfId="0" applyNumberFormat="1" applyFont="1" applyFill="1" applyBorder="1" applyAlignment="1">
      <alignment vertical="center" wrapText="1"/>
    </xf>
    <xf numFmtId="3" fontId="48" fillId="0" borderId="1" xfId="0" applyNumberFormat="1" applyFont="1" applyFill="1" applyBorder="1" applyAlignment="1">
      <alignment vertical="center"/>
    </xf>
    <xf numFmtId="3" fontId="48" fillId="0" borderId="1" xfId="0" applyNumberFormat="1" applyFont="1" applyFill="1" applyBorder="1" applyAlignment="1">
      <alignment vertical="center" wrapText="1"/>
    </xf>
    <xf numFmtId="3" fontId="48" fillId="6" borderId="1" xfId="0" applyNumberFormat="1" applyFont="1" applyFill="1" applyBorder="1" applyAlignment="1">
      <alignment vertical="center"/>
    </xf>
    <xf numFmtId="3" fontId="48" fillId="0" borderId="22" xfId="0" applyNumberFormat="1" applyFont="1" applyFill="1" applyBorder="1" applyAlignment="1">
      <alignment vertical="center"/>
    </xf>
    <xf numFmtId="0" fontId="43" fillId="0" borderId="0" xfId="0" applyFont="1" applyAlignment="1">
      <alignment vertical="center"/>
    </xf>
    <xf numFmtId="0" fontId="0" fillId="0" borderId="0" xfId="0" applyAlignment="1">
      <alignment vertical="center"/>
    </xf>
    <xf numFmtId="3" fontId="48" fillId="8" borderId="1" xfId="0" applyNumberFormat="1" applyFont="1" applyFill="1" applyBorder="1" applyAlignment="1">
      <alignment horizontal="right"/>
    </xf>
    <xf numFmtId="0" fontId="42" fillId="5" borderId="1" xfId="0" applyFont="1" applyFill="1" applyBorder="1" applyAlignment="1">
      <alignment wrapText="1"/>
    </xf>
    <xf numFmtId="16" fontId="48" fillId="0" borderId="1" xfId="0" applyNumberFormat="1" applyFont="1" applyFill="1" applyBorder="1" applyAlignment="1"/>
    <xf numFmtId="3" fontId="48" fillId="0" borderId="1" xfId="0" applyNumberFormat="1" applyFont="1" applyBorder="1" applyAlignment="1"/>
    <xf numFmtId="10" fontId="0" fillId="0" borderId="0" xfId="0" applyNumberFormat="1"/>
    <xf numFmtId="0" fontId="6" fillId="0" borderId="5" xfId="0" applyNumberFormat="1" applyFont="1" applyBorder="1"/>
    <xf numFmtId="0" fontId="6" fillId="0" borderId="41" xfId="0" applyNumberFormat="1" applyFont="1" applyBorder="1"/>
    <xf numFmtId="166" fontId="6" fillId="0" borderId="4" xfId="0" applyNumberFormat="1" applyFont="1" applyBorder="1"/>
    <xf numFmtId="0" fontId="1" fillId="0" borderId="0" xfId="0" applyFont="1"/>
    <xf numFmtId="0" fontId="54" fillId="0" borderId="12" xfId="0" applyFont="1" applyBorder="1" applyAlignment="1">
      <alignment wrapText="1"/>
    </xf>
    <xf numFmtId="0" fontId="56" fillId="0" borderId="0" xfId="0" applyFont="1" applyAlignment="1">
      <alignment horizontal="left" indent="2"/>
    </xf>
    <xf numFmtId="0" fontId="57" fillId="0" borderId="1" xfId="0" applyFont="1" applyFill="1" applyBorder="1" applyAlignment="1">
      <alignment wrapText="1"/>
    </xf>
    <xf numFmtId="0" fontId="57" fillId="0" borderId="1" xfId="0" applyFont="1" applyFill="1" applyBorder="1" applyAlignment="1">
      <alignment vertical="top" wrapText="1"/>
    </xf>
    <xf numFmtId="0" fontId="43" fillId="0" borderId="1" xfId="0" applyFont="1" applyBorder="1" applyAlignment="1">
      <alignment vertical="top" wrapText="1"/>
    </xf>
    <xf numFmtId="0" fontId="43" fillId="6" borderId="1" xfId="0" applyFont="1" applyFill="1" applyBorder="1" applyAlignment="1">
      <alignment vertical="top" wrapText="1"/>
    </xf>
    <xf numFmtId="0" fontId="42" fillId="5" borderId="1" xfId="0" applyFont="1" applyFill="1" applyBorder="1" applyAlignment="1">
      <alignment horizontal="center" wrapText="1"/>
    </xf>
    <xf numFmtId="9" fontId="0" fillId="0" borderId="0" xfId="0" applyNumberFormat="1"/>
    <xf numFmtId="0" fontId="48" fillId="6" borderId="1" xfId="0" applyFont="1" applyFill="1" applyBorder="1" applyAlignment="1">
      <alignment horizontal="right"/>
    </xf>
    <xf numFmtId="0" fontId="6" fillId="0" borderId="0" xfId="4" applyFont="1" applyBorder="1"/>
    <xf numFmtId="0" fontId="59" fillId="0" borderId="0" xfId="4" applyFont="1"/>
    <xf numFmtId="14" fontId="59" fillId="0" borderId="0" xfId="4" applyNumberFormat="1" applyFont="1"/>
    <xf numFmtId="0" fontId="59" fillId="0" borderId="43" xfId="4" applyFont="1" applyBorder="1" applyAlignment="1">
      <alignment horizontal="center"/>
    </xf>
    <xf numFmtId="0" fontId="59" fillId="0" borderId="43" xfId="4" applyFont="1" applyBorder="1" applyAlignment="1">
      <alignment horizontal="right"/>
    </xf>
    <xf numFmtId="0" fontId="6" fillId="0" borderId="43" xfId="4" applyFont="1" applyBorder="1"/>
    <xf numFmtId="0" fontId="60" fillId="0" borderId="0" xfId="4" applyFont="1"/>
    <xf numFmtId="14" fontId="60" fillId="0" borderId="0" xfId="4" applyNumberFormat="1" applyFont="1"/>
    <xf numFmtId="0" fontId="61" fillId="0" borderId="0" xfId="4" applyFont="1" applyAlignment="1">
      <alignment horizontal="center"/>
    </xf>
    <xf numFmtId="0" fontId="61" fillId="0" borderId="0" xfId="4" applyFont="1"/>
    <xf numFmtId="0" fontId="15" fillId="0" borderId="0" xfId="3" applyAlignment="1" applyProtection="1">
      <alignment wrapText="1"/>
    </xf>
    <xf numFmtId="0" fontId="1" fillId="0" borderId="0" xfId="4" applyFont="1" applyAlignment="1">
      <alignment wrapText="1"/>
    </xf>
    <xf numFmtId="15" fontId="1" fillId="0" borderId="0" xfId="4" applyNumberFormat="1" applyFont="1" applyAlignment="1">
      <alignment wrapText="1"/>
    </xf>
    <xf numFmtId="0" fontId="22" fillId="0" borderId="0" xfId="4" applyFont="1" applyAlignment="1">
      <alignment wrapText="1"/>
    </xf>
    <xf numFmtId="9" fontId="6" fillId="0" borderId="0" xfId="4" applyNumberFormat="1" applyFont="1" applyBorder="1"/>
    <xf numFmtId="9" fontId="1" fillId="0" borderId="0" xfId="4" applyNumberFormat="1"/>
    <xf numFmtId="9" fontId="1" fillId="0" borderId="0" xfId="4" applyNumberFormat="1" applyFont="1" applyAlignment="1">
      <alignment wrapText="1"/>
    </xf>
    <xf numFmtId="166" fontId="1" fillId="0" borderId="0" xfId="4" applyNumberFormat="1"/>
    <xf numFmtId="166" fontId="0" fillId="0" borderId="0" xfId="0" pivotButton="1" applyNumberFormat="1"/>
    <xf numFmtId="166" fontId="6" fillId="0" borderId="0" xfId="4" applyNumberFormat="1" applyFont="1" applyBorder="1"/>
    <xf numFmtId="166" fontId="1" fillId="0" borderId="0" xfId="4" applyNumberFormat="1" applyFont="1" applyAlignment="1">
      <alignment wrapText="1"/>
    </xf>
    <xf numFmtId="0" fontId="0" fillId="0" borderId="0" xfId="0" applyAlignment="1">
      <alignment vertical="top" wrapText="1"/>
    </xf>
    <xf numFmtId="0" fontId="60" fillId="9" borderId="0" xfId="4" applyFont="1" applyFill="1"/>
    <xf numFmtId="0" fontId="1" fillId="9" borderId="0" xfId="4" applyFill="1"/>
    <xf numFmtId="0" fontId="64" fillId="0" borderId="0" xfId="5"/>
    <xf numFmtId="0" fontId="63" fillId="0" borderId="69" xfId="5" applyFont="1" applyFill="1" applyBorder="1" applyAlignment="1" applyProtection="1">
      <alignment horizontal="right" vertical="center" wrapText="1"/>
    </xf>
    <xf numFmtId="0" fontId="63" fillId="0" borderId="69" xfId="5" applyFont="1" applyFill="1" applyBorder="1" applyAlignment="1" applyProtection="1">
      <alignment vertical="center" wrapText="1"/>
    </xf>
    <xf numFmtId="170" fontId="63" fillId="0" borderId="0" xfId="5" applyNumberFormat="1" applyFont="1" applyFill="1" applyAlignment="1" applyProtection="1">
      <alignment horizontal="right" vertical="center" wrapText="1"/>
    </xf>
    <xf numFmtId="171" fontId="63" fillId="0" borderId="0" xfId="5" applyNumberFormat="1" applyFont="1" applyFill="1" applyAlignment="1" applyProtection="1">
      <alignment horizontal="right" vertical="center" wrapText="1"/>
    </xf>
    <xf numFmtId="0" fontId="63" fillId="0" borderId="0" xfId="5" applyFont="1" applyFill="1" applyAlignment="1" applyProtection="1">
      <alignment horizontal="right" vertical="center" wrapText="1"/>
    </xf>
    <xf numFmtId="4" fontId="63" fillId="0" borderId="0" xfId="5" applyNumberFormat="1" applyFont="1" applyFill="1" applyAlignment="1" applyProtection="1">
      <alignment horizontal="right" vertical="center" wrapText="1"/>
    </xf>
    <xf numFmtId="0" fontId="64" fillId="0" borderId="69" xfId="5" applyBorder="1"/>
    <xf numFmtId="4" fontId="63" fillId="0" borderId="69" xfId="5" applyNumberFormat="1" applyFont="1" applyFill="1" applyBorder="1" applyAlignment="1" applyProtection="1">
      <alignment horizontal="right" vertical="center" wrapText="1"/>
    </xf>
    <xf numFmtId="172" fontId="63" fillId="0" borderId="69" xfId="5" applyNumberFormat="1" applyFont="1" applyFill="1" applyBorder="1" applyAlignment="1" applyProtection="1">
      <alignment horizontal="right" vertical="center" wrapText="1"/>
    </xf>
    <xf numFmtId="0" fontId="65" fillId="10" borderId="70" xfId="5" applyFont="1" applyFill="1" applyBorder="1" applyAlignment="1" applyProtection="1">
      <alignment horizontal="center" vertical="center"/>
    </xf>
    <xf numFmtId="0" fontId="63" fillId="0" borderId="0" xfId="0" applyFont="1" applyFill="1" applyBorder="1" applyAlignment="1" applyProtection="1">
      <alignment vertical="center" wrapText="1"/>
    </xf>
    <xf numFmtId="0" fontId="1" fillId="0" borderId="69" xfId="4" applyBorder="1"/>
    <xf numFmtId="0" fontId="1" fillId="9" borderId="69" xfId="4" applyFill="1" applyBorder="1"/>
    <xf numFmtId="0" fontId="1" fillId="0" borderId="0" xfId="4" applyBorder="1"/>
    <xf numFmtId="0" fontId="63" fillId="0" borderId="0" xfId="5" applyFont="1" applyFill="1" applyBorder="1" applyAlignment="1" applyProtection="1">
      <alignment horizontal="right" vertical="center" wrapText="1"/>
    </xf>
    <xf numFmtId="0" fontId="64" fillId="0" borderId="0" xfId="5" applyBorder="1"/>
    <xf numFmtId="4" fontId="63" fillId="0" borderId="0" xfId="5" applyNumberFormat="1" applyFont="1" applyFill="1" applyBorder="1" applyAlignment="1" applyProtection="1">
      <alignment horizontal="right" vertical="center" wrapText="1"/>
    </xf>
    <xf numFmtId="0" fontId="63" fillId="9" borderId="69" xfId="5" applyFont="1" applyFill="1" applyBorder="1" applyAlignment="1" applyProtection="1">
      <alignment vertical="center" wrapText="1"/>
    </xf>
    <xf numFmtId="0" fontId="66" fillId="10" borderId="70" xfId="5" applyFont="1" applyFill="1" applyBorder="1" applyAlignment="1" applyProtection="1">
      <alignment horizontal="center" vertical="center"/>
    </xf>
    <xf numFmtId="9" fontId="66" fillId="10" borderId="70" xfId="5" applyNumberFormat="1" applyFont="1" applyFill="1" applyBorder="1" applyAlignment="1" applyProtection="1">
      <alignment horizontal="center" vertical="center"/>
    </xf>
    <xf numFmtId="9" fontId="63" fillId="0" borderId="0" xfId="5" applyNumberFormat="1" applyFont="1" applyFill="1" applyAlignment="1" applyProtection="1">
      <alignment horizontal="right" vertical="center" wrapText="1"/>
    </xf>
    <xf numFmtId="9" fontId="64" fillId="0" borderId="0" xfId="5" applyNumberFormat="1" applyBorder="1"/>
    <xf numFmtId="9" fontId="64" fillId="0" borderId="0" xfId="5" applyNumberFormat="1"/>
    <xf numFmtId="9" fontId="63" fillId="0" borderId="69" xfId="5" applyNumberFormat="1" applyFont="1" applyFill="1" applyBorder="1" applyAlignment="1" applyProtection="1">
      <alignment horizontal="right" vertical="center" wrapText="1"/>
    </xf>
    <xf numFmtId="9" fontId="63" fillId="0" borderId="0" xfId="5" applyNumberFormat="1" applyFont="1" applyFill="1" applyBorder="1" applyAlignment="1" applyProtection="1">
      <alignment horizontal="right" vertical="center" wrapText="1"/>
    </xf>
    <xf numFmtId="166" fontId="66" fillId="10" borderId="70" xfId="5" applyNumberFormat="1" applyFont="1" applyFill="1" applyBorder="1" applyAlignment="1" applyProtection="1">
      <alignment horizontal="center" vertical="center"/>
    </xf>
    <xf numFmtId="166" fontId="63" fillId="0" borderId="0" xfId="5" applyNumberFormat="1" applyFont="1" applyFill="1" applyAlignment="1" applyProtection="1">
      <alignment horizontal="right" vertical="center" wrapText="1"/>
    </xf>
    <xf numFmtId="166" fontId="64" fillId="0" borderId="0" xfId="5" applyNumberFormat="1"/>
    <xf numFmtId="0" fontId="67" fillId="0" borderId="69" xfId="5" applyFont="1" applyFill="1" applyBorder="1" applyAlignment="1" applyProtection="1">
      <alignment vertical="center" wrapText="1"/>
    </xf>
    <xf numFmtId="0" fontId="67" fillId="9" borderId="69" xfId="5" applyFont="1" applyFill="1" applyBorder="1" applyAlignment="1" applyProtection="1">
      <alignment vertical="center" wrapText="1"/>
    </xf>
    <xf numFmtId="0" fontId="67" fillId="0" borderId="0" xfId="0" applyFont="1" applyAlignment="1">
      <alignment vertical="center"/>
    </xf>
    <xf numFmtId="0" fontId="67" fillId="11" borderId="0" xfId="0" applyFont="1" applyFill="1" applyAlignment="1">
      <alignment vertical="center"/>
    </xf>
    <xf numFmtId="6" fontId="67" fillId="11" borderId="0" xfId="0" applyNumberFormat="1" applyFont="1" applyFill="1" applyAlignment="1">
      <alignment horizontal="right" vertical="center"/>
    </xf>
    <xf numFmtId="0" fontId="67" fillId="9" borderId="0" xfId="0" applyFont="1" applyFill="1" applyAlignment="1">
      <alignment vertical="center"/>
    </xf>
    <xf numFmtId="6" fontId="67" fillId="9" borderId="0" xfId="0" applyNumberFormat="1" applyFont="1" applyFill="1" applyAlignment="1">
      <alignment horizontal="right" vertical="center"/>
    </xf>
    <xf numFmtId="0" fontId="67" fillId="12" borderId="0" xfId="0" applyFont="1" applyFill="1" applyAlignment="1">
      <alignment vertical="center"/>
    </xf>
    <xf numFmtId="6" fontId="67" fillId="12" borderId="0" xfId="0" applyNumberFormat="1" applyFont="1" applyFill="1" applyAlignment="1">
      <alignment horizontal="right" vertical="center"/>
    </xf>
    <xf numFmtId="6" fontId="67" fillId="0" borderId="0" xfId="0" applyNumberFormat="1" applyFont="1" applyAlignment="1">
      <alignment horizontal="right" vertical="center"/>
    </xf>
    <xf numFmtId="0" fontId="68" fillId="0" borderId="0" xfId="0" applyFont="1"/>
    <xf numFmtId="0" fontId="6" fillId="0" borderId="70" xfId="0" applyFont="1" applyBorder="1"/>
    <xf numFmtId="0" fontId="1" fillId="0" borderId="70" xfId="0" applyFont="1" applyBorder="1"/>
    <xf numFmtId="166" fontId="0" fillId="0" borderId="70" xfId="0" applyNumberFormat="1" applyBorder="1"/>
    <xf numFmtId="0" fontId="63" fillId="0" borderId="69" xfId="0" applyFont="1" applyFill="1" applyBorder="1" applyAlignment="1" applyProtection="1">
      <alignment vertical="center" wrapText="1"/>
    </xf>
    <xf numFmtId="170" fontId="63" fillId="0" borderId="69" xfId="0" applyNumberFormat="1" applyFont="1" applyFill="1" applyBorder="1" applyAlignment="1" applyProtection="1">
      <alignment horizontal="right" vertical="center" wrapText="1"/>
    </xf>
    <xf numFmtId="0" fontId="63" fillId="0" borderId="69" xfId="0" applyFont="1" applyFill="1" applyBorder="1" applyAlignment="1" applyProtection="1">
      <alignment horizontal="right" vertical="center" wrapText="1"/>
    </xf>
    <xf numFmtId="172" fontId="63" fillId="0" borderId="69" xfId="0" applyNumberFormat="1" applyFont="1" applyFill="1" applyBorder="1" applyAlignment="1" applyProtection="1">
      <alignment horizontal="right" vertical="center" wrapText="1"/>
    </xf>
    <xf numFmtId="4" fontId="63" fillId="0" borderId="69" xfId="0" applyNumberFormat="1" applyFont="1" applyFill="1" applyBorder="1" applyAlignment="1" applyProtection="1">
      <alignment horizontal="right" vertical="center" wrapText="1"/>
    </xf>
    <xf numFmtId="171" fontId="63" fillId="0" borderId="69" xfId="0" applyNumberFormat="1" applyFont="1" applyFill="1" applyBorder="1" applyAlignment="1" applyProtection="1">
      <alignment horizontal="right" vertical="center" wrapText="1"/>
    </xf>
    <xf numFmtId="165" fontId="48" fillId="0" borderId="1" xfId="1" applyNumberFormat="1" applyFont="1" applyFill="1" applyBorder="1" applyAlignment="1">
      <alignment horizontal="right"/>
    </xf>
    <xf numFmtId="0" fontId="1" fillId="0" borderId="0" xfId="0" applyFont="1" applyAlignment="1">
      <alignment vertical="top" wrapText="1"/>
    </xf>
    <xf numFmtId="0" fontId="71" fillId="0" borderId="0" xfId="0" applyFont="1"/>
    <xf numFmtId="0" fontId="73" fillId="0" borderId="0" xfId="0" applyFont="1" applyAlignment="1">
      <alignment horizontal="justify"/>
    </xf>
    <xf numFmtId="166" fontId="74" fillId="0" borderId="1" xfId="0" applyNumberFormat="1" applyFont="1" applyBorder="1"/>
    <xf numFmtId="0" fontId="74" fillId="0" borderId="1" xfId="0" applyFont="1" applyBorder="1"/>
    <xf numFmtId="0" fontId="75" fillId="6" borderId="1" xfId="0" applyFont="1" applyFill="1" applyBorder="1"/>
    <xf numFmtId="0" fontId="76" fillId="6" borderId="1" xfId="0" applyFont="1" applyFill="1" applyBorder="1" applyAlignment="1">
      <alignment horizontal="center"/>
    </xf>
    <xf numFmtId="0" fontId="77" fillId="6" borderId="1" xfId="0" applyFont="1" applyFill="1" applyBorder="1" applyAlignment="1">
      <alignment horizontal="left" wrapText="1"/>
    </xf>
    <xf numFmtId="167" fontId="76" fillId="6" borderId="1" xfId="0" applyNumberFormat="1" applyFont="1" applyFill="1" applyBorder="1" applyAlignment="1">
      <alignment horizontal="left"/>
    </xf>
    <xf numFmtId="0" fontId="76" fillId="6" borderId="1" xfId="0" applyFont="1" applyFill="1" applyBorder="1" applyAlignment="1"/>
    <xf numFmtId="0" fontId="76" fillId="6" borderId="9" xfId="0" applyFont="1" applyFill="1" applyBorder="1" applyAlignment="1">
      <alignment horizontal="center"/>
    </xf>
    <xf numFmtId="0" fontId="76" fillId="6" borderId="22" xfId="0" applyFont="1" applyFill="1" applyBorder="1" applyAlignment="1">
      <alignment horizontal="center"/>
    </xf>
    <xf numFmtId="3" fontId="76" fillId="6" borderId="1" xfId="0" applyNumberFormat="1" applyFont="1" applyFill="1" applyBorder="1" applyAlignment="1">
      <alignment horizontal="right"/>
    </xf>
    <xf numFmtId="3" fontId="76" fillId="6" borderId="1" xfId="0" applyNumberFormat="1" applyFont="1" applyFill="1" applyBorder="1" applyAlignment="1">
      <alignment horizontal="center"/>
    </xf>
    <xf numFmtId="166" fontId="76" fillId="6" borderId="1" xfId="0" applyNumberFormat="1" applyFont="1" applyFill="1" applyBorder="1" applyAlignment="1">
      <alignment horizontal="right"/>
    </xf>
    <xf numFmtId="9" fontId="76" fillId="6" borderId="1" xfId="0" applyNumberFormat="1" applyFont="1" applyFill="1" applyBorder="1" applyAlignment="1">
      <alignment horizontal="center"/>
    </xf>
    <xf numFmtId="166" fontId="76" fillId="6" borderId="1" xfId="0" applyNumberFormat="1" applyFont="1" applyFill="1" applyBorder="1"/>
    <xf numFmtId="3" fontId="76" fillId="6" borderId="1" xfId="0" applyNumberFormat="1" applyFont="1" applyFill="1" applyBorder="1" applyAlignment="1">
      <alignment vertical="center"/>
    </xf>
    <xf numFmtId="0" fontId="76" fillId="0" borderId="53" xfId="0" applyFont="1" applyFill="1" applyBorder="1" applyAlignment="1">
      <alignment horizontal="center"/>
    </xf>
    <xf numFmtId="0" fontId="76" fillId="6" borderId="1" xfId="0" applyFont="1" applyFill="1" applyBorder="1" applyAlignment="1">
      <alignment horizontal="center" wrapText="1"/>
    </xf>
    <xf numFmtId="3" fontId="76" fillId="6" borderId="1" xfId="0" applyNumberFormat="1" applyFont="1" applyFill="1" applyBorder="1"/>
    <xf numFmtId="0" fontId="76" fillId="6" borderId="1" xfId="0" applyFont="1" applyFill="1" applyBorder="1"/>
    <xf numFmtId="166" fontId="76" fillId="0" borderId="1" xfId="0" applyNumberFormat="1" applyFont="1" applyFill="1" applyBorder="1" applyAlignment="1">
      <alignment horizontal="center"/>
    </xf>
    <xf numFmtId="166" fontId="76" fillId="6" borderId="1" xfId="0" applyNumberFormat="1" applyFont="1" applyFill="1" applyBorder="1" applyAlignment="1">
      <alignment horizontal="center"/>
    </xf>
    <xf numFmtId="14" fontId="76" fillId="6" borderId="1" xfId="0" applyNumberFormat="1" applyFont="1" applyFill="1" applyBorder="1" applyAlignment="1">
      <alignment horizontal="center"/>
    </xf>
    <xf numFmtId="166" fontId="76" fillId="6" borderId="1" xfId="0" applyNumberFormat="1" applyFont="1" applyFill="1" applyBorder="1" applyAlignment="1">
      <alignment horizontal="center" vertical="top" wrapText="1"/>
    </xf>
    <xf numFmtId="1" fontId="76" fillId="6" borderId="1" xfId="0" applyNumberFormat="1" applyFont="1" applyFill="1" applyBorder="1" applyAlignment="1">
      <alignment horizontal="center" wrapText="1"/>
    </xf>
    <xf numFmtId="166" fontId="76" fillId="6" borderId="1" xfId="0" applyNumberFormat="1" applyFont="1" applyFill="1" applyBorder="1" applyAlignment="1">
      <alignment horizontal="center" wrapText="1"/>
    </xf>
    <xf numFmtId="0" fontId="76" fillId="6" borderId="1" xfId="0" applyFont="1" applyFill="1" applyBorder="1" applyAlignment="1">
      <alignment horizontal="center" vertical="top" wrapText="1"/>
    </xf>
    <xf numFmtId="0" fontId="76" fillId="6" borderId="1" xfId="0" applyFont="1" applyFill="1" applyBorder="1" applyAlignment="1">
      <alignment vertical="top" wrapText="1"/>
    </xf>
    <xf numFmtId="0" fontId="70" fillId="0" borderId="1" xfId="0" applyFont="1" applyFill="1" applyBorder="1" applyAlignment="1">
      <alignment vertical="top" wrapText="1"/>
    </xf>
    <xf numFmtId="0" fontId="76" fillId="6" borderId="0" xfId="0" applyFont="1" applyFill="1"/>
    <xf numFmtId="0" fontId="42" fillId="5" borderId="25" xfId="0" applyFont="1" applyFill="1" applyBorder="1" applyAlignment="1">
      <alignment horizontal="center" wrapText="1"/>
    </xf>
    <xf numFmtId="0" fontId="48" fillId="0" borderId="70" xfId="0" applyFont="1" applyBorder="1" applyAlignment="1">
      <alignment horizontal="center"/>
    </xf>
    <xf numFmtId="0" fontId="48" fillId="0" borderId="71" xfId="0" applyFont="1" applyBorder="1" applyAlignment="1">
      <alignment horizontal="center"/>
    </xf>
    <xf numFmtId="0" fontId="48" fillId="0" borderId="72" xfId="0" applyFont="1" applyBorder="1" applyAlignment="1">
      <alignment horizontal="center"/>
    </xf>
    <xf numFmtId="0" fontId="48" fillId="0" borderId="10" xfId="0" applyFont="1" applyFill="1" applyBorder="1" applyAlignment="1">
      <alignment horizontal="center"/>
    </xf>
    <xf numFmtId="0" fontId="48" fillId="0" borderId="70" xfId="0" applyFont="1" applyFill="1" applyBorder="1" applyAlignment="1">
      <alignment horizontal="center"/>
    </xf>
    <xf numFmtId="0" fontId="48" fillId="6" borderId="70" xfId="0" applyFont="1" applyFill="1" applyBorder="1" applyAlignment="1">
      <alignment horizontal="center"/>
    </xf>
    <xf numFmtId="0" fontId="76" fillId="6" borderId="70" xfId="0" applyFont="1" applyFill="1" applyBorder="1" applyAlignment="1">
      <alignment horizontal="center"/>
    </xf>
    <xf numFmtId="0" fontId="43" fillId="0" borderId="70" xfId="0" applyFont="1" applyBorder="1"/>
    <xf numFmtId="0" fontId="49" fillId="0" borderId="70" xfId="0" applyFont="1" applyBorder="1" applyAlignment="1">
      <alignment horizontal="left" wrapText="1"/>
    </xf>
    <xf numFmtId="167" fontId="48" fillId="0" borderId="70" xfId="0" applyNumberFormat="1" applyFont="1" applyBorder="1" applyAlignment="1">
      <alignment horizontal="left"/>
    </xf>
    <xf numFmtId="0" fontId="48" fillId="0" borderId="70" xfId="0" applyFont="1" applyBorder="1" applyAlignment="1"/>
    <xf numFmtId="0" fontId="48" fillId="0" borderId="73" xfId="0" applyFont="1" applyBorder="1" applyAlignment="1">
      <alignment horizontal="center"/>
    </xf>
    <xf numFmtId="0" fontId="48" fillId="0" borderId="74" xfId="0" applyFont="1" applyBorder="1" applyAlignment="1">
      <alignment horizontal="center"/>
    </xf>
    <xf numFmtId="3" fontId="48" fillId="0" borderId="70" xfId="0" applyNumberFormat="1" applyFont="1" applyFill="1" applyBorder="1" applyAlignment="1">
      <alignment horizontal="right"/>
    </xf>
    <xf numFmtId="3" fontId="48" fillId="0" borderId="70" xfId="0" applyNumberFormat="1" applyFont="1" applyFill="1" applyBorder="1" applyAlignment="1">
      <alignment horizontal="center"/>
    </xf>
    <xf numFmtId="166" fontId="48" fillId="0" borderId="70" xfId="0" applyNumberFormat="1" applyFont="1" applyFill="1" applyBorder="1" applyAlignment="1">
      <alignment horizontal="right"/>
    </xf>
    <xf numFmtId="166" fontId="48" fillId="0" borderId="70" xfId="0" applyNumberFormat="1" applyFont="1" applyFill="1" applyBorder="1" applyAlignment="1">
      <alignment horizontal="center"/>
    </xf>
    <xf numFmtId="169" fontId="48" fillId="6" borderId="70" xfId="0" applyNumberFormat="1" applyFont="1" applyFill="1" applyBorder="1"/>
    <xf numFmtId="9" fontId="48" fillId="0" borderId="70" xfId="0" applyNumberFormat="1" applyFont="1" applyBorder="1" applyAlignment="1">
      <alignment horizontal="center"/>
    </xf>
    <xf numFmtId="166" fontId="48" fillId="0" borderId="70" xfId="0" applyNumberFormat="1" applyFont="1" applyBorder="1"/>
    <xf numFmtId="3" fontId="48" fillId="0" borderId="0" xfId="0" applyNumberFormat="1" applyFont="1" applyFill="1" applyBorder="1" applyAlignment="1">
      <alignment horizontal="right"/>
    </xf>
    <xf numFmtId="0" fontId="48" fillId="0" borderId="70" xfId="0" applyFont="1" applyBorder="1" applyAlignment="1">
      <alignment horizontal="center" wrapText="1"/>
    </xf>
    <xf numFmtId="3" fontId="48" fillId="0" borderId="70" xfId="0" applyNumberFormat="1" applyFont="1" applyBorder="1" applyAlignment="1">
      <alignment horizontal="right"/>
    </xf>
    <xf numFmtId="3" fontId="48" fillId="0" borderId="70" xfId="0" applyNumberFormat="1" applyFont="1" applyBorder="1"/>
    <xf numFmtId="0" fontId="48" fillId="0" borderId="70" xfId="0" applyFont="1" applyBorder="1"/>
    <xf numFmtId="166" fontId="48" fillId="0" borderId="70" xfId="0" applyNumberFormat="1" applyFont="1" applyBorder="1" applyAlignment="1">
      <alignment horizontal="center"/>
    </xf>
    <xf numFmtId="14" fontId="48" fillId="0" borderId="70" xfId="0" applyNumberFormat="1" applyFont="1" applyBorder="1" applyAlignment="1">
      <alignment horizontal="center"/>
    </xf>
    <xf numFmtId="0" fontId="48" fillId="0" borderId="70" xfId="0" applyFont="1" applyFill="1" applyBorder="1" applyAlignment="1">
      <alignment horizontal="center" wrapText="1"/>
    </xf>
    <xf numFmtId="166" fontId="48" fillId="0" borderId="70" xfId="0" applyNumberFormat="1" applyFont="1" applyFill="1" applyBorder="1" applyAlignment="1">
      <alignment horizontal="center" wrapText="1"/>
    </xf>
    <xf numFmtId="1" fontId="48" fillId="0" borderId="70" xfId="0" applyNumberFormat="1" applyFont="1" applyFill="1" applyBorder="1" applyAlignment="1">
      <alignment horizontal="center" wrapText="1"/>
    </xf>
    <xf numFmtId="0" fontId="48" fillId="0" borderId="70" xfId="0" applyFont="1" applyBorder="1" applyAlignment="1">
      <alignment wrapText="1"/>
    </xf>
    <xf numFmtId="3" fontId="48" fillId="9" borderId="70" xfId="0" applyNumberFormat="1" applyFont="1" applyFill="1" applyBorder="1" applyAlignment="1">
      <alignment horizontal="center" vertical="center"/>
    </xf>
    <xf numFmtId="0" fontId="1" fillId="0" borderId="0" xfId="0" applyFont="1" applyAlignment="1">
      <alignment wrapText="1"/>
    </xf>
    <xf numFmtId="0" fontId="48" fillId="0" borderId="0" xfId="0" applyFont="1" applyFill="1" applyAlignment="1">
      <alignment wrapText="1"/>
    </xf>
    <xf numFmtId="166" fontId="76" fillId="6" borderId="1" xfId="0" applyNumberFormat="1" applyFont="1" applyFill="1" applyBorder="1" applyAlignment="1">
      <alignment horizontal="right" wrapText="1"/>
    </xf>
    <xf numFmtId="0" fontId="49" fillId="0" borderId="53" xfId="0" applyFont="1" applyFill="1" applyBorder="1" applyAlignment="1">
      <alignment horizontal="center"/>
    </xf>
    <xf numFmtId="0" fontId="42" fillId="0" borderId="1" xfId="0" applyFont="1" applyBorder="1" applyAlignment="1">
      <alignment horizontal="center"/>
    </xf>
    <xf numFmtId="14" fontId="43" fillId="0" borderId="70" xfId="0" applyNumberFormat="1" applyFont="1" applyBorder="1" applyAlignment="1">
      <alignment horizontal="center"/>
    </xf>
    <xf numFmtId="167" fontId="48" fillId="0" borderId="1" xfId="0" applyNumberFormat="1" applyFont="1" applyBorder="1" applyAlignment="1">
      <alignment horizontal="center"/>
    </xf>
    <xf numFmtId="169" fontId="48" fillId="6" borderId="1" xfId="0" applyNumberFormat="1" applyFont="1" applyFill="1" applyBorder="1" applyAlignment="1">
      <alignment horizontal="center"/>
    </xf>
    <xf numFmtId="166" fontId="43" fillId="0" borderId="1" xfId="0" applyNumberFormat="1" applyFont="1" applyBorder="1" applyAlignment="1">
      <alignment horizontal="center"/>
    </xf>
    <xf numFmtId="0" fontId="43" fillId="0" borderId="1" xfId="0" applyFont="1" applyBorder="1" applyAlignment="1">
      <alignment horizontal="center" wrapText="1"/>
    </xf>
    <xf numFmtId="1" fontId="43" fillId="0" borderId="1" xfId="0" applyNumberFormat="1" applyFont="1" applyBorder="1" applyAlignment="1">
      <alignment horizontal="center"/>
    </xf>
    <xf numFmtId="0" fontId="43" fillId="6" borderId="1" xfId="0" applyFont="1" applyFill="1" applyBorder="1" applyAlignment="1">
      <alignment horizontal="center"/>
    </xf>
    <xf numFmtId="0" fontId="43" fillId="0" borderId="1" xfId="0" applyFont="1" applyFill="1" applyBorder="1" applyAlignment="1">
      <alignment horizontal="center"/>
    </xf>
    <xf numFmtId="0" fontId="40" fillId="0" borderId="1" xfId="0" applyFont="1" applyBorder="1" applyAlignment="1">
      <alignment horizontal="center"/>
    </xf>
    <xf numFmtId="0" fontId="43" fillId="0" borderId="1" xfId="0" applyFont="1" applyBorder="1" applyAlignment="1">
      <alignment horizontal="center" vertical="top"/>
    </xf>
    <xf numFmtId="0" fontId="43" fillId="0" borderId="70" xfId="0" applyFont="1" applyBorder="1" applyAlignment="1">
      <alignment horizontal="center"/>
    </xf>
    <xf numFmtId="0" fontId="73" fillId="0" borderId="0" xfId="0" applyFont="1" applyAlignment="1">
      <alignment horizontal="left" wrapText="1"/>
    </xf>
    <xf numFmtId="3" fontId="21" fillId="0" borderId="0" xfId="0" applyNumberFormat="1" applyFont="1" applyAlignment="1">
      <alignment horizontal="left"/>
    </xf>
    <xf numFmtId="6" fontId="21" fillId="0" borderId="0" xfId="0" applyNumberFormat="1" applyFont="1"/>
    <xf numFmtId="0" fontId="43" fillId="0" borderId="1" xfId="0" applyFont="1" applyBorder="1" applyAlignment="1">
      <alignment horizontal="left" wrapText="1"/>
    </xf>
    <xf numFmtId="0" fontId="78" fillId="0" borderId="0" xfId="0" applyFont="1"/>
    <xf numFmtId="0" fontId="40" fillId="0" borderId="75" xfId="0" applyFont="1" applyBorder="1"/>
    <xf numFmtId="0" fontId="43" fillId="0" borderId="75" xfId="0" applyFont="1" applyBorder="1"/>
    <xf numFmtId="0" fontId="49" fillId="0" borderId="75" xfId="0" applyFont="1" applyBorder="1" applyAlignment="1">
      <alignment horizontal="left" wrapText="1"/>
    </xf>
    <xf numFmtId="167" fontId="48" fillId="0" borderId="75" xfId="0" applyNumberFormat="1" applyFont="1" applyBorder="1" applyAlignment="1">
      <alignment horizontal="left"/>
    </xf>
    <xf numFmtId="0" fontId="43" fillId="0" borderId="75" xfId="0" applyFont="1" applyBorder="1" applyAlignment="1">
      <alignment horizontal="center"/>
    </xf>
    <xf numFmtId="0" fontId="48" fillId="0" borderId="75" xfId="0" applyFont="1" applyBorder="1" applyAlignment="1"/>
    <xf numFmtId="3" fontId="48" fillId="0" borderId="75" xfId="0" applyNumberFormat="1" applyFont="1" applyFill="1" applyBorder="1" applyAlignment="1">
      <alignment horizontal="right"/>
    </xf>
    <xf numFmtId="169" fontId="48" fillId="6" borderId="75" xfId="0" applyNumberFormat="1" applyFont="1" applyFill="1" applyBorder="1"/>
    <xf numFmtId="166" fontId="48" fillId="0" borderId="75" xfId="0" applyNumberFormat="1" applyFont="1" applyFill="1" applyBorder="1" applyAlignment="1">
      <alignment horizontal="right"/>
    </xf>
    <xf numFmtId="3" fontId="48" fillId="0" borderId="75" xfId="0" applyNumberFormat="1" applyFont="1" applyFill="1" applyBorder="1" applyAlignment="1">
      <alignment horizontal="center"/>
    </xf>
    <xf numFmtId="166" fontId="48" fillId="0" borderId="75" xfId="0" applyNumberFormat="1" applyFont="1" applyBorder="1"/>
    <xf numFmtId="166" fontId="43" fillId="0" borderId="75" xfId="0" applyNumberFormat="1" applyFont="1" applyBorder="1"/>
    <xf numFmtId="0" fontId="43" fillId="0" borderId="75" xfId="0" applyFont="1" applyBorder="1" applyAlignment="1">
      <alignment wrapText="1"/>
    </xf>
    <xf numFmtId="14" fontId="43" fillId="0" borderId="75" xfId="0" applyNumberFormat="1" applyFont="1" applyBorder="1" applyAlignment="1">
      <alignment horizontal="center"/>
    </xf>
    <xf numFmtId="1" fontId="43" fillId="0" borderId="75" xfId="0" applyNumberFormat="1" applyFont="1" applyBorder="1"/>
    <xf numFmtId="0" fontId="43" fillId="6" borderId="75" xfId="0" applyFont="1" applyFill="1" applyBorder="1"/>
    <xf numFmtId="0" fontId="43" fillId="0" borderId="75" xfId="0" applyFont="1" applyFill="1" applyBorder="1"/>
    <xf numFmtId="0" fontId="43" fillId="0" borderId="0" xfId="0" applyFont="1" applyBorder="1" applyAlignment="1">
      <alignment horizontal="center"/>
    </xf>
    <xf numFmtId="166" fontId="48" fillId="0" borderId="0" xfId="0" applyNumberFormat="1" applyFont="1" applyBorder="1"/>
    <xf numFmtId="166" fontId="43" fillId="0" borderId="0" xfId="0" applyNumberFormat="1" applyFont="1" applyBorder="1"/>
    <xf numFmtId="0" fontId="43" fillId="0" borderId="0" xfId="0" applyFont="1" applyBorder="1" applyAlignment="1">
      <alignment wrapText="1"/>
    </xf>
    <xf numFmtId="14" fontId="43" fillId="0" borderId="0" xfId="0" applyNumberFormat="1" applyFont="1" applyBorder="1" applyAlignment="1">
      <alignment horizontal="center"/>
    </xf>
    <xf numFmtId="1" fontId="43" fillId="0" borderId="0" xfId="0" applyNumberFormat="1" applyFont="1" applyBorder="1"/>
    <xf numFmtId="0" fontId="43" fillId="0" borderId="0" xfId="0" applyFont="1" applyBorder="1" applyAlignment="1">
      <alignment vertical="top"/>
    </xf>
    <xf numFmtId="0" fontId="43" fillId="0" borderId="0" xfId="0" applyFont="1" applyBorder="1" applyAlignment="1"/>
    <xf numFmtId="0" fontId="43" fillId="6" borderId="0" xfId="0" applyFont="1" applyFill="1" applyBorder="1"/>
    <xf numFmtId="0" fontId="43" fillId="0" borderId="0" xfId="0" applyFont="1" applyFill="1" applyBorder="1"/>
    <xf numFmtId="0" fontId="42" fillId="0" borderId="0" xfId="0" applyFont="1" applyBorder="1"/>
    <xf numFmtId="0" fontId="43" fillId="0" borderId="0" xfId="0" applyFont="1" applyBorder="1" applyAlignment="1">
      <alignment vertical="center"/>
    </xf>
    <xf numFmtId="6" fontId="43" fillId="0" borderId="1" xfId="0" applyNumberFormat="1" applyFont="1" applyBorder="1" applyAlignment="1">
      <alignment horizontal="center"/>
    </xf>
    <xf numFmtId="0" fontId="79" fillId="0" borderId="0" xfId="0" applyFont="1" applyAlignment="1">
      <alignment horizontal="left" indent="4"/>
    </xf>
    <xf numFmtId="0" fontId="79" fillId="0" borderId="0" xfId="0" applyFont="1" applyAlignment="1">
      <alignment horizontal="left" wrapText="1" indent="4"/>
    </xf>
    <xf numFmtId="0" fontId="40" fillId="0" borderId="70" xfId="0" applyFont="1" applyBorder="1"/>
    <xf numFmtId="0" fontId="43" fillId="0" borderId="70" xfId="0" applyFont="1" applyBorder="1" applyAlignment="1"/>
    <xf numFmtId="166" fontId="43" fillId="0" borderId="70" xfId="0" applyNumberFormat="1" applyFont="1" applyBorder="1"/>
    <xf numFmtId="0" fontId="43" fillId="0" borderId="70" xfId="0" applyFont="1" applyBorder="1" applyAlignment="1">
      <alignment wrapText="1"/>
    </xf>
    <xf numFmtId="1" fontId="43" fillId="0" borderId="70" xfId="0" applyNumberFormat="1" applyFont="1" applyBorder="1"/>
    <xf numFmtId="0" fontId="43" fillId="0" borderId="70" xfId="0" applyFont="1" applyBorder="1" applyAlignment="1">
      <alignment vertical="top"/>
    </xf>
    <xf numFmtId="0" fontId="55" fillId="0" borderId="70" xfId="0" applyFont="1" applyBorder="1" applyAlignment="1">
      <alignment horizontal="left" indent="2"/>
    </xf>
    <xf numFmtId="0" fontId="56" fillId="0" borderId="70" xfId="0" applyFont="1" applyBorder="1" applyAlignment="1">
      <alignment horizontal="left" indent="2"/>
    </xf>
    <xf numFmtId="0" fontId="42" fillId="0" borderId="70" xfId="0" applyFont="1" applyBorder="1"/>
    <xf numFmtId="0" fontId="43" fillId="0" borderId="70" xfId="0" applyFont="1" applyBorder="1" applyAlignment="1">
      <alignment vertical="center"/>
    </xf>
    <xf numFmtId="0" fontId="40" fillId="0" borderId="76" xfId="0" applyFont="1" applyBorder="1"/>
    <xf numFmtId="0" fontId="43" fillId="0" borderId="76" xfId="0" applyFont="1" applyBorder="1"/>
    <xf numFmtId="0" fontId="49" fillId="0" borderId="76" xfId="0" applyFont="1" applyBorder="1" applyAlignment="1">
      <alignment horizontal="left" wrapText="1"/>
    </xf>
    <xf numFmtId="0" fontId="43" fillId="0" borderId="76" xfId="0" applyFont="1" applyBorder="1" applyAlignment="1">
      <alignment horizontal="center"/>
    </xf>
    <xf numFmtId="0" fontId="43" fillId="0" borderId="76" xfId="0" applyFont="1" applyBorder="1" applyAlignment="1"/>
    <xf numFmtId="3" fontId="48" fillId="0" borderId="76" xfId="0" applyNumberFormat="1" applyFont="1" applyFill="1" applyBorder="1" applyAlignment="1">
      <alignment horizontal="right"/>
    </xf>
    <xf numFmtId="166" fontId="48" fillId="0" borderId="76" xfId="0" applyNumberFormat="1" applyFont="1" applyFill="1" applyBorder="1" applyAlignment="1">
      <alignment horizontal="right"/>
    </xf>
    <xf numFmtId="165" fontId="43" fillId="0" borderId="76" xfId="1" applyNumberFormat="1" applyFont="1" applyBorder="1"/>
    <xf numFmtId="3" fontId="48" fillId="0" borderId="76" xfId="0" applyNumberFormat="1" applyFont="1" applyFill="1" applyBorder="1" applyAlignment="1">
      <alignment horizontal="center"/>
    </xf>
    <xf numFmtId="166" fontId="48" fillId="0" borderId="76" xfId="0" applyNumberFormat="1" applyFont="1" applyBorder="1"/>
    <xf numFmtId="166" fontId="43" fillId="0" borderId="76" xfId="0" applyNumberFormat="1" applyFont="1" applyBorder="1"/>
    <xf numFmtId="0" fontId="43" fillId="0" borderId="76" xfId="0" applyFont="1" applyBorder="1" applyAlignment="1">
      <alignment wrapText="1"/>
    </xf>
    <xf numFmtId="14" fontId="43" fillId="0" borderId="76" xfId="0" applyNumberFormat="1" applyFont="1" applyBorder="1" applyAlignment="1">
      <alignment horizontal="center"/>
    </xf>
    <xf numFmtId="1" fontId="43" fillId="0" borderId="76" xfId="0" applyNumberFormat="1" applyFont="1" applyBorder="1"/>
    <xf numFmtId="0" fontId="43" fillId="0" borderId="76" xfId="0" applyFont="1" applyBorder="1" applyAlignment="1">
      <alignment vertical="top"/>
    </xf>
    <xf numFmtId="0" fontId="79" fillId="0" borderId="70" xfId="0" applyFont="1" applyBorder="1" applyAlignment="1">
      <alignment horizontal="left" indent="4"/>
    </xf>
    <xf numFmtId="0" fontId="43" fillId="6" borderId="70" xfId="0" applyFont="1" applyFill="1" applyBorder="1"/>
    <xf numFmtId="0" fontId="43" fillId="0" borderId="70" xfId="0" applyFont="1" applyFill="1" applyBorder="1"/>
    <xf numFmtId="0" fontId="1" fillId="0" borderId="0" xfId="0" applyFont="1" applyAlignment="1">
      <alignment vertical="top" wrapText="1"/>
    </xf>
    <xf numFmtId="0" fontId="0" fillId="0" borderId="0" xfId="0" applyAlignment="1">
      <alignment vertical="top" wrapText="1"/>
    </xf>
    <xf numFmtId="0" fontId="19" fillId="0" borderId="0" xfId="0" applyFont="1" applyAlignment="1">
      <alignment horizontal="left" vertical="center" wrapText="1"/>
    </xf>
    <xf numFmtId="0" fontId="16" fillId="0" borderId="0" xfId="0" quotePrefix="1" applyNumberFormat="1" applyFont="1" applyAlignment="1">
      <alignment horizontal="left" vertical="top" wrapText="1"/>
    </xf>
    <xf numFmtId="0" fontId="16" fillId="0" borderId="0" xfId="0" applyNumberFormat="1" applyFont="1" applyAlignment="1">
      <alignment horizontal="left" vertical="top"/>
    </xf>
    <xf numFmtId="0" fontId="45" fillId="0" borderId="30" xfId="0" applyFont="1" applyBorder="1" applyAlignment="1">
      <alignment horizontal="left"/>
    </xf>
    <xf numFmtId="0" fontId="3" fillId="0" borderId="1" xfId="0" applyFont="1" applyBorder="1" applyAlignment="1">
      <alignment wrapText="1"/>
    </xf>
    <xf numFmtId="164" fontId="42" fillId="5" borderId="1" xfId="0" applyNumberFormat="1" applyFont="1" applyFill="1" applyBorder="1" applyAlignment="1">
      <alignment horizontal="left" wrapText="1"/>
    </xf>
    <xf numFmtId="164" fontId="49" fillId="0" borderId="1" xfId="0" applyNumberFormat="1" applyFont="1" applyFill="1" applyBorder="1" applyAlignment="1">
      <alignment horizontal="center" wrapText="1"/>
    </xf>
    <xf numFmtId="164" fontId="48" fillId="6" borderId="1" xfId="0" applyNumberFormat="1" applyFont="1" applyFill="1" applyBorder="1"/>
    <xf numFmtId="164" fontId="76" fillId="6" borderId="1" xfId="0" applyNumberFormat="1" applyFont="1" applyFill="1" applyBorder="1"/>
    <xf numFmtId="164" fontId="48" fillId="0" borderId="70" xfId="0" applyNumberFormat="1" applyFont="1" applyFill="1" applyBorder="1"/>
    <xf numFmtId="164" fontId="48" fillId="0" borderId="1" xfId="0" applyNumberFormat="1" applyFont="1" applyFill="1" applyBorder="1" applyAlignment="1">
      <alignment horizontal="center"/>
    </xf>
    <xf numFmtId="164" fontId="43" fillId="0" borderId="1" xfId="0" applyNumberFormat="1" applyFont="1" applyBorder="1"/>
    <xf numFmtId="164" fontId="43" fillId="0" borderId="75" xfId="0" applyNumberFormat="1" applyFont="1" applyBorder="1"/>
    <xf numFmtId="164" fontId="43" fillId="0" borderId="70" xfId="0" applyNumberFormat="1" applyFont="1" applyBorder="1"/>
    <xf numFmtId="164" fontId="43" fillId="0" borderId="76" xfId="0" applyNumberFormat="1" applyFont="1" applyBorder="1"/>
    <xf numFmtId="164" fontId="43" fillId="0" borderId="0" xfId="0" applyNumberFormat="1" applyFont="1" applyBorder="1"/>
    <xf numFmtId="164" fontId="43" fillId="0" borderId="0" xfId="0" applyNumberFormat="1" applyFont="1"/>
    <xf numFmtId="164" fontId="0" fillId="0" borderId="0" xfId="0" applyNumberFormat="1"/>
    <xf numFmtId="164" fontId="48" fillId="0" borderId="25" xfId="0" applyNumberFormat="1" applyFont="1" applyFill="1" applyBorder="1"/>
    <xf numFmtId="164" fontId="48" fillId="0" borderId="23" xfId="0" applyNumberFormat="1" applyFont="1" applyBorder="1"/>
    <xf numFmtId="164" fontId="48" fillId="0" borderId="25" xfId="0" applyNumberFormat="1" applyFont="1" applyBorder="1"/>
    <xf numFmtId="164" fontId="48" fillId="0" borderId="1" xfId="0" applyNumberFormat="1" applyFont="1" applyFill="1" applyBorder="1" applyProtection="1">
      <protection locked="0"/>
    </xf>
    <xf numFmtId="164" fontId="48" fillId="0" borderId="1" xfId="0" applyNumberFormat="1" applyFont="1" applyFill="1" applyBorder="1" applyAlignment="1" applyProtection="1">
      <alignment horizontal="right"/>
      <protection locked="0"/>
    </xf>
    <xf numFmtId="164" fontId="48" fillId="0" borderId="1" xfId="2" applyNumberFormat="1" applyFont="1" applyBorder="1" applyAlignment="1">
      <alignment horizontal="right" wrapText="1"/>
    </xf>
    <xf numFmtId="164" fontId="48" fillId="0" borderId="1" xfId="0" applyNumberFormat="1" applyFont="1" applyFill="1" applyBorder="1" applyAlignment="1">
      <alignment horizontal="right"/>
    </xf>
    <xf numFmtId="164" fontId="48" fillId="0" borderId="1" xfId="0" applyNumberFormat="1" applyFont="1" applyBorder="1" applyAlignment="1">
      <alignment horizontal="center"/>
    </xf>
    <xf numFmtId="164" fontId="48" fillId="0" borderId="70" xfId="0" applyNumberFormat="1" applyFont="1" applyBorder="1"/>
    <xf numFmtId="164" fontId="43" fillId="0" borderId="1" xfId="0" applyNumberFormat="1" applyFont="1" applyBorder="1" applyAlignment="1">
      <alignment horizontal="center"/>
    </xf>
    <xf numFmtId="164" fontId="42" fillId="5" borderId="25" xfId="0" applyNumberFormat="1" applyFont="1" applyFill="1" applyBorder="1" applyAlignment="1">
      <alignment horizontal="left" wrapText="1"/>
    </xf>
    <xf numFmtId="164" fontId="72" fillId="0" borderId="0" xfId="0" applyNumberFormat="1" applyFont="1"/>
    <xf numFmtId="164" fontId="42" fillId="0" borderId="1" xfId="0" applyNumberFormat="1" applyFont="1" applyFill="1" applyBorder="1" applyAlignment="1">
      <alignment horizontal="center" wrapText="1"/>
    </xf>
    <xf numFmtId="164" fontId="43" fillId="0" borderId="25" xfId="0" applyNumberFormat="1" applyFont="1" applyFill="1" applyBorder="1" applyAlignment="1">
      <alignment horizontal="right"/>
    </xf>
    <xf numFmtId="164" fontId="43" fillId="0" borderId="1" xfId="0" applyNumberFormat="1" applyFont="1" applyFill="1" applyBorder="1" applyAlignment="1">
      <alignment horizontal="right"/>
    </xf>
    <xf numFmtId="164" fontId="43" fillId="0" borderId="23" xfId="0" applyNumberFormat="1" applyFont="1" applyFill="1" applyBorder="1" applyAlignment="1">
      <alignment horizontal="right"/>
    </xf>
    <xf numFmtId="164" fontId="43" fillId="0" borderId="1" xfId="0" applyNumberFormat="1" applyFont="1" applyFill="1" applyBorder="1" applyAlignment="1" applyProtection="1">
      <alignment horizontal="right"/>
      <protection locked="0"/>
    </xf>
    <xf numFmtId="164" fontId="43" fillId="0" borderId="0" xfId="0" applyNumberFormat="1" applyFont="1" applyFill="1" applyAlignment="1">
      <alignment horizontal="right"/>
    </xf>
    <xf numFmtId="164" fontId="43" fillId="0" borderId="1" xfId="0" applyNumberFormat="1" applyFont="1" applyFill="1" applyBorder="1" applyAlignment="1">
      <alignment horizontal="right" wrapText="1"/>
    </xf>
    <xf numFmtId="164" fontId="43" fillId="6" borderId="1" xfId="0" applyNumberFormat="1" applyFont="1" applyFill="1" applyBorder="1" applyAlignment="1">
      <alignment horizontal="right"/>
    </xf>
    <xf numFmtId="164" fontId="43" fillId="6" borderId="1" xfId="0" applyNumberFormat="1" applyFont="1" applyFill="1" applyBorder="1"/>
    <xf numFmtId="164" fontId="74" fillId="6" borderId="1" xfId="0" applyNumberFormat="1" applyFont="1" applyFill="1" applyBorder="1" applyAlignment="1">
      <alignment horizontal="right"/>
    </xf>
    <xf numFmtId="164" fontId="43" fillId="0" borderId="1" xfId="0" applyNumberFormat="1" applyFont="1" applyFill="1" applyBorder="1" applyAlignment="1">
      <alignment horizontal="center" wrapText="1"/>
    </xf>
    <xf numFmtId="164" fontId="43" fillId="0" borderId="70" xfId="0" applyNumberFormat="1" applyFont="1" applyFill="1" applyBorder="1" applyAlignment="1">
      <alignment horizontal="right"/>
    </xf>
    <xf numFmtId="164" fontId="43" fillId="0" borderId="1" xfId="0" applyNumberFormat="1" applyFont="1" applyFill="1" applyBorder="1" applyAlignment="1">
      <alignment horizontal="center"/>
    </xf>
    <xf numFmtId="164" fontId="43" fillId="0" borderId="75" xfId="0" applyNumberFormat="1" applyFont="1" applyFill="1" applyBorder="1" applyAlignment="1">
      <alignment horizontal="right"/>
    </xf>
    <xf numFmtId="164" fontId="81" fillId="0" borderId="0" xfId="0" applyNumberFormat="1" applyFont="1"/>
    <xf numFmtId="164" fontId="43" fillId="0" borderId="76" xfId="0" applyNumberFormat="1" applyFont="1" applyFill="1" applyBorder="1" applyAlignment="1">
      <alignment horizontal="right"/>
    </xf>
    <xf numFmtId="164" fontId="78" fillId="0" borderId="0" xfId="0" applyNumberFormat="1" applyFont="1"/>
    <xf numFmtId="17" fontId="43" fillId="0" borderId="70" xfId="0" applyNumberFormat="1" applyFont="1" applyBorder="1"/>
    <xf numFmtId="0" fontId="82" fillId="0" borderId="0" xfId="0" applyFont="1"/>
    <xf numFmtId="6" fontId="82" fillId="0" borderId="0" xfId="0" applyNumberFormat="1" applyFont="1"/>
    <xf numFmtId="17" fontId="43" fillId="0" borderId="76" xfId="0" applyNumberFormat="1" applyFont="1" applyBorder="1"/>
  </cellXfs>
  <cellStyles count="6">
    <cellStyle name="Comma" xfId="1" builtinId="3"/>
    <cellStyle name="Currency" xfId="2" builtinId="4"/>
    <cellStyle name="Hyperlink" xfId="3" builtinId="8"/>
    <cellStyle name="Normal" xfId="0" builtinId="0"/>
    <cellStyle name="Normal 2" xfId="4"/>
    <cellStyle name="Normal 3" xfId="5"/>
  </cellStyles>
  <dxfs count="219">
    <dxf>
      <font>
        <b/>
        <i val="0"/>
        <condense val="0"/>
        <extend val="0"/>
        <color indexed="10"/>
      </font>
    </dxf>
    <dxf>
      <numFmt numFmtId="166" formatCode="&quot;$&quot;#,##0"/>
    </dxf>
    <dxf>
      <numFmt numFmtId="166" formatCode="&quot;$&quot;#,##0"/>
    </dxf>
    <dxf>
      <alignment horizontal="left" readingOrder="0"/>
    </dxf>
    <dxf>
      <numFmt numFmtId="166" formatCode="&quot;$&quot;#,##0"/>
    </dxf>
    <dxf>
      <numFmt numFmtId="166" formatCode="&quot;$&quot;#,##0"/>
    </dxf>
    <dxf>
      <numFmt numFmtId="166" formatCode="&quot;$&quot;#,##0"/>
    </dxf>
    <dxf>
      <numFmt numFmtId="166" formatCode="&quot;$&quot;#,##0"/>
    </dxf>
    <dxf>
      <numFmt numFmtId="166" formatCode="&quot;$&quot;#,##0"/>
    </dxf>
    <dxf>
      <numFmt numFmtId="3" formatCode="#,##0"/>
    </dxf>
    <dxf>
      <numFmt numFmtId="3" formatCode="#,##0"/>
    </dxf>
    <dxf>
      <numFmt numFmtId="166" formatCode="&quot;$&quot;#,##0"/>
    </dxf>
    <dxf>
      <numFmt numFmtId="166" formatCode="&quot;$&quot;#,##0"/>
    </dxf>
    <dxf>
      <numFmt numFmtId="3" formatCode="#,##0"/>
    </dxf>
    <dxf>
      <numFmt numFmtId="3" formatCode="#,##0"/>
    </dxf>
    <dxf>
      <numFmt numFmtId="166" formatCode="&quot;$&quot;#,##0"/>
    </dxf>
    <dxf>
      <numFmt numFmtId="166" formatCode="&quot;$&quot;#,##0"/>
    </dxf>
    <dxf>
      <font>
        <b/>
      </font>
    </dxf>
    <dxf>
      <font>
        <b/>
      </font>
    </dxf>
    <dxf>
      <font>
        <b/>
      </font>
    </dxf>
    <dxf>
      <font>
        <b/>
      </font>
    </dxf>
    <dxf>
      <font>
        <b/>
      </font>
    </dxf>
    <dxf>
      <font>
        <b/>
      </font>
    </dxf>
    <dxf>
      <font>
        <b/>
      </font>
    </dxf>
    <dxf>
      <font>
        <b/>
      </font>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font>
        <b/>
      </font>
    </dxf>
    <dxf>
      <numFmt numFmtId="3" formatCode="#,##0"/>
    </dxf>
    <dxf>
      <font>
        <b/>
      </font>
    </dxf>
    <dxf>
      <numFmt numFmtId="3" formatCode="#,##0"/>
    </dxf>
    <dxf>
      <numFmt numFmtId="167" formatCode="[$-409]mmm\-yy;@"/>
    </dxf>
    <dxf>
      <numFmt numFmtId="166" formatCode="&quot;$&quot;#,##0"/>
    </dxf>
    <dxf>
      <numFmt numFmtId="167" formatCode="[$-409]mmm\-yy;@"/>
    </dxf>
    <dxf>
      <numFmt numFmtId="167" formatCode="[$-409]mmm\-yy;@"/>
    </dxf>
    <dxf>
      <numFmt numFmtId="167" formatCode="[$-409]mmm\-yy;@"/>
    </dxf>
    <dxf>
      <numFmt numFmtId="167" formatCode="[$-409]mmm\-yy;@"/>
    </dxf>
    <dxf>
      <numFmt numFmtId="167" formatCode="[$-409]mmm\-yy;@"/>
    </dxf>
    <dxf>
      <numFmt numFmtId="167" formatCode="[$-409]mmm\-yy;@"/>
    </dxf>
    <dxf>
      <fill>
        <patternFill patternType="solid">
          <bgColor indexed="13"/>
        </patternFill>
      </fill>
    </dxf>
    <dxf>
      <fill>
        <patternFill patternType="solid">
          <bgColor indexed="13"/>
        </patternFill>
      </fill>
    </dxf>
    <dxf>
      <fill>
        <patternFill patternType="solid">
          <bgColor indexed="13"/>
        </patternFill>
      </fill>
    </dxf>
    <dxf>
      <fill>
        <patternFill patternType="solid">
          <bgColor indexed="13"/>
        </patternFill>
      </fill>
    </dxf>
    <dxf>
      <fill>
        <patternFill patternType="solid">
          <bgColor indexed="13"/>
        </patternFill>
      </fill>
    </dxf>
    <dxf>
      <fill>
        <patternFill patternType="solid">
          <bgColor indexed="13"/>
        </patternFill>
      </fill>
    </dxf>
    <dxf>
      <fill>
        <patternFill patternType="solid">
          <bgColor indexed="13"/>
        </patternFill>
      </fill>
    </dxf>
    <dxf>
      <fill>
        <patternFill patternType="none"/>
      </fill>
    </dxf>
    <dxf>
      <fill>
        <patternFill patternType="solid">
          <bgColor indexed="13"/>
        </patternFill>
      </fill>
    </dxf>
    <dxf>
      <fill>
        <patternFill patternType="solid">
          <bgColor indexed="13"/>
        </patternFill>
      </fill>
    </dxf>
    <dxf>
      <fill>
        <patternFill patternType="solid">
          <bgColor indexed="13"/>
        </patternFill>
      </fill>
    </dxf>
    <dxf>
      <fill>
        <patternFill patternType="solid">
          <bgColor indexed="13"/>
        </patternFill>
      </fill>
    </dxf>
    <dxf>
      <font>
        <b/>
      </font>
    </dxf>
    <dxf>
      <font>
        <b/>
      </font>
    </dxf>
    <dxf>
      <numFmt numFmtId="166" formatCode="&quot;$&quot;#,##0"/>
    </dxf>
    <dxf>
      <font>
        <b/>
      </font>
    </dxf>
    <dxf>
      <font>
        <b/>
      </font>
    </dxf>
    <dxf>
      <numFmt numFmtId="166" formatCode="&quot;$&quot;#,##0"/>
    </dxf>
    <dxf>
      <font>
        <b/>
      </font>
    </dxf>
    <dxf>
      <font>
        <b/>
      </font>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4" formatCode="&quot;$&quot;#,##0.00"/>
    </dxf>
    <dxf>
      <numFmt numFmtId="0" formatCode="General"/>
    </dxf>
    <dxf>
      <numFmt numFmtId="0" formatCode="General"/>
    </dxf>
    <dxf>
      <numFmt numFmtId="3" formatCode="#,##0"/>
    </dxf>
    <dxf>
      <numFmt numFmtId="3" formatCode="#,##0"/>
    </dxf>
    <dxf>
      <font>
        <b/>
      </font>
    </dxf>
    <dxf>
      <font>
        <b/>
      </font>
    </dxf>
    <dxf>
      <border>
        <left style="thin">
          <color indexed="64"/>
        </left>
        <right style="thin">
          <color indexed="64"/>
        </right>
        <top style="thin">
          <color indexed="64"/>
        </top>
        <bottom style="thin">
          <color indexed="64"/>
        </bottom>
      </border>
    </dxf>
    <dxf>
      <font>
        <b/>
      </font>
    </dxf>
    <dxf>
      <font>
        <b/>
      </font>
    </dxf>
    <dxf>
      <numFmt numFmtId="166" formatCode="&quot;$&quot;#,##0"/>
    </dxf>
    <dxf>
      <numFmt numFmtId="166" formatCode="&quot;$&quot;#,##0"/>
    </dxf>
    <dxf>
      <numFmt numFmtId="3" formatCode="#,##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numFmt numFmtId="167" formatCode="[$-409]mmm\-yy;@"/>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alignment wrapText="1" readingOrder="0"/>
    </dxf>
    <dxf>
      <alignment wrapText="1" readingOrder="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numFmt numFmtId="166" formatCode="&quot;$&quot;#,##0"/>
    </dxf>
    <dxf>
      <numFmt numFmtId="3" formatCode="#,##0"/>
    </dxf>
    <dxf>
      <numFmt numFmtId="3" formatCode="#,##0"/>
    </dxf>
    <dxf>
      <font>
        <b/>
      </font>
    </dxf>
    <dxf>
      <font>
        <b/>
      </font>
    </dxf>
    <dxf>
      <border>
        <left style="thin">
          <color indexed="64"/>
        </left>
        <right style="thin">
          <color indexed="64"/>
        </right>
        <top style="thin">
          <color indexed="64"/>
        </top>
        <bottom style="thin">
          <color indexed="64"/>
        </bottom>
      </border>
    </dxf>
    <dxf>
      <font>
        <b/>
      </font>
    </dxf>
    <dxf>
      <font>
        <b/>
      </font>
    </dxf>
    <dxf>
      <numFmt numFmtId="166" formatCode="&quot;$&quot;#,##0"/>
    </dxf>
    <dxf>
      <numFmt numFmtId="166" formatCode="&quot;$&quot;#,##0"/>
    </dxf>
    <dxf>
      <alignment vertical="center" wrapText="1" readingOrder="0"/>
    </dxf>
    <dxf>
      <alignment vertical="center" wrapText="1" readingOrder="0"/>
    </dxf>
    <dxf>
      <alignment vertical="center" wrapText="1" readingOrder="0"/>
    </dxf>
    <dxf>
      <numFmt numFmtId="166" formatCode="&quot;$&quot;#,##0"/>
    </dxf>
    <dxf>
      <font>
        <b/>
      </font>
    </dxf>
    <dxf>
      <numFmt numFmtId="3" formatCode="#,##0"/>
    </dxf>
    <dxf>
      <font>
        <b/>
      </font>
    </dxf>
    <dxf>
      <font>
        <b/>
      </font>
    </dxf>
    <dxf>
      <font>
        <b/>
      </font>
    </dxf>
    <dxf>
      <font>
        <b/>
      </font>
    </dxf>
    <dxf>
      <font>
        <b/>
      </font>
    </dxf>
    <dxf>
      <font>
        <b/>
      </font>
    </dxf>
    <dxf>
      <font>
        <b/>
      </font>
    </dxf>
    <dxf>
      <font>
        <b/>
      </font>
    </dxf>
    <dxf>
      <font>
        <b/>
      </font>
    </dxf>
    <dxf>
      <font>
        <b/>
      </font>
    </dxf>
    <dxf>
      <numFmt numFmtId="166" formatCode="&quot;$&quot;#,##0"/>
    </dxf>
    <dxf>
      <numFmt numFmtId="14" formatCode="0.00%"/>
    </dxf>
    <dxf>
      <numFmt numFmtId="166" formatCode="&quot;$&quot;#,##0"/>
    </dxf>
    <dxf>
      <numFmt numFmtId="3" formatCode="#,##0"/>
    </dxf>
    <dxf>
      <numFmt numFmtId="3" formatCode="#,##0"/>
    </dxf>
    <dxf>
      <numFmt numFmtId="166" formatCode="&quot;$&quot;#,##0"/>
    </dxf>
    <dxf>
      <font>
        <b/>
      </font>
    </dxf>
    <dxf>
      <numFmt numFmtId="166" formatCode="&quot;$&quot;#,##0"/>
    </dxf>
    <dxf>
      <numFmt numFmtId="3" formatCode="#,##0"/>
    </dxf>
    <dxf>
      <font>
        <b/>
      </font>
    </dxf>
    <dxf>
      <font>
        <b/>
      </font>
    </dxf>
    <dxf>
      <font>
        <b/>
      </font>
    </dxf>
    <dxf>
      <font>
        <b/>
      </font>
    </dxf>
    <dxf>
      <font>
        <b/>
      </font>
    </dxf>
    <dxf>
      <font>
        <b/>
      </font>
    </dxf>
    <dxf>
      <font>
        <b/>
      </font>
    </dxf>
    <dxf>
      <numFmt numFmtId="166" formatCode="&quot;$&quot;#,##0"/>
    </dxf>
    <dxf>
      <font>
        <b/>
      </font>
    </dxf>
    <dxf>
      <font>
        <b/>
      </font>
    </dxf>
    <dxf>
      <font>
        <b/>
      </font>
    </dxf>
    <dxf>
      <font>
        <b/>
      </font>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0" formatCode="General"/>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0" formatCode="General"/>
    </dxf>
    <dxf>
      <numFmt numFmtId="166" formatCode="&quot;$&quot;#,##0"/>
    </dxf>
    <dxf>
      <numFmt numFmtId="166" formatCode="&quot;$&quot;#,##0"/>
    </dxf>
    <dxf>
      <numFmt numFmtId="166" formatCode="&quot;$&quot;#,##0"/>
    </dxf>
    <dxf>
      <numFmt numFmtId="166" formatCode="&quot;$&quot;#,##0"/>
    </dxf>
    <dxf>
      <numFmt numFmtId="166" formatCode="&quot;$&quot;#,##0"/>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hartsheet" Target="chartsheets/sheet1.xml"/><Relationship Id="rId39" Type="http://schemas.openxmlformats.org/officeDocument/2006/relationships/pivotCacheDefinition" Target="pivotCache/pivotCacheDefinition11.xml"/><Relationship Id="rId21" Type="http://schemas.openxmlformats.org/officeDocument/2006/relationships/worksheet" Target="worksheets/sheet21.xml"/><Relationship Id="rId34" Type="http://schemas.openxmlformats.org/officeDocument/2006/relationships/pivotCacheDefinition" Target="pivotCache/pivotCacheDefinition6.xml"/><Relationship Id="rId42" Type="http://schemas.openxmlformats.org/officeDocument/2006/relationships/pivotCacheDefinition" Target="pivotCache/pivotCacheDefinition14.xml"/><Relationship Id="rId47" Type="http://schemas.openxmlformats.org/officeDocument/2006/relationships/pivotCacheDefinition" Target="pivotCache/pivotCacheDefinition19.xml"/><Relationship Id="rId50" Type="http://schemas.openxmlformats.org/officeDocument/2006/relationships/pivotCacheDefinition" Target="pivotCache/pivotCacheDefinition22.xml"/><Relationship Id="rId55" Type="http://schemas.openxmlformats.org/officeDocument/2006/relationships/pivotCacheDefinition" Target="pivotCache/pivotCacheDefinition27.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1.xml"/><Relationship Id="rId41" Type="http://schemas.openxmlformats.org/officeDocument/2006/relationships/pivotCacheDefinition" Target="pivotCache/pivotCacheDefinition13.xml"/><Relationship Id="rId54" Type="http://schemas.openxmlformats.org/officeDocument/2006/relationships/pivotCacheDefinition" Target="pivotCache/pivotCacheDefinition26.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4.xml"/><Relationship Id="rId37" Type="http://schemas.openxmlformats.org/officeDocument/2006/relationships/pivotCacheDefinition" Target="pivotCache/pivotCacheDefinition9.xml"/><Relationship Id="rId40" Type="http://schemas.openxmlformats.org/officeDocument/2006/relationships/pivotCacheDefinition" Target="pivotCache/pivotCacheDefinition12.xml"/><Relationship Id="rId45" Type="http://schemas.openxmlformats.org/officeDocument/2006/relationships/pivotCacheDefinition" Target="pivotCache/pivotCacheDefinition17.xml"/><Relationship Id="rId53" Type="http://schemas.openxmlformats.org/officeDocument/2006/relationships/pivotCacheDefinition" Target="pivotCache/pivotCacheDefinition25.xml"/><Relationship Id="rId58" Type="http://schemas.openxmlformats.org/officeDocument/2006/relationships/pivotCacheDefinition" Target="pivotCache/pivotCacheDefinition3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7.xml"/><Relationship Id="rId36" Type="http://schemas.openxmlformats.org/officeDocument/2006/relationships/pivotCacheDefinition" Target="pivotCache/pivotCacheDefinition8.xml"/><Relationship Id="rId49" Type="http://schemas.openxmlformats.org/officeDocument/2006/relationships/pivotCacheDefinition" Target="pivotCache/pivotCacheDefinition21.xml"/><Relationship Id="rId57" Type="http://schemas.openxmlformats.org/officeDocument/2006/relationships/pivotCacheDefinition" Target="pivotCache/pivotCacheDefinition29.xml"/><Relationship Id="rId61" Type="http://schemas.openxmlformats.org/officeDocument/2006/relationships/pivotCacheDefinition" Target="pivotCache/pivotCacheDefinition3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3.xml"/><Relationship Id="rId44" Type="http://schemas.openxmlformats.org/officeDocument/2006/relationships/pivotCacheDefinition" Target="pivotCache/pivotCacheDefinition16.xml"/><Relationship Id="rId52" Type="http://schemas.openxmlformats.org/officeDocument/2006/relationships/pivotCacheDefinition" Target="pivotCache/pivotCacheDefinition24.xml"/><Relationship Id="rId60" Type="http://schemas.openxmlformats.org/officeDocument/2006/relationships/pivotCacheDefinition" Target="pivotCache/pivotCacheDefinition32.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6.xml"/><Relationship Id="rId30" Type="http://schemas.openxmlformats.org/officeDocument/2006/relationships/pivotCacheDefinition" Target="pivotCache/pivotCacheDefinition2.xml"/><Relationship Id="rId35" Type="http://schemas.openxmlformats.org/officeDocument/2006/relationships/pivotCacheDefinition" Target="pivotCache/pivotCacheDefinition7.xml"/><Relationship Id="rId43" Type="http://schemas.openxmlformats.org/officeDocument/2006/relationships/pivotCacheDefinition" Target="pivotCache/pivotCacheDefinition15.xml"/><Relationship Id="rId48" Type="http://schemas.openxmlformats.org/officeDocument/2006/relationships/pivotCacheDefinition" Target="pivotCache/pivotCacheDefinition20.xml"/><Relationship Id="rId56" Type="http://schemas.openxmlformats.org/officeDocument/2006/relationships/pivotCacheDefinition" Target="pivotCache/pivotCacheDefinition28.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pivotCacheDefinition" Target="pivotCache/pivotCacheDefinition2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5.xml"/><Relationship Id="rId38" Type="http://schemas.openxmlformats.org/officeDocument/2006/relationships/pivotCacheDefinition" Target="pivotCache/pivotCacheDefinition10.xml"/><Relationship Id="rId46" Type="http://schemas.openxmlformats.org/officeDocument/2006/relationships/pivotCacheDefinition" Target="pivotCache/pivotCacheDefinition18.xml"/><Relationship Id="rId59" Type="http://schemas.openxmlformats.org/officeDocument/2006/relationships/pivotCacheDefinition" Target="pivotCache/pivotCacheDefinition31.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view3D>
      <c:rAngAx val="1"/>
    </c:view3D>
    <c:plotArea>
      <c:layout/>
      <c:bar3DChart>
        <c:barDir val="col"/>
        <c:grouping val="stacked"/>
        <c:ser>
          <c:idx val="0"/>
          <c:order val="0"/>
          <c:tx>
            <c:strRef>
              <c:f>'IFRC appeals &amp; ARCT charts'!$N$7</c:f>
              <c:strCache>
                <c:ptCount val="1"/>
                <c:pt idx="0">
                  <c:v>Other</c:v>
                </c:pt>
              </c:strCache>
            </c:strRef>
          </c:tx>
          <c:cat>
            <c:strRef>
              <c:f>'IFRC appeals &amp; ARCT charts'!$O$3:$P$3</c:f>
              <c:strCache>
                <c:ptCount val="2"/>
                <c:pt idx="0">
                  <c:v>FY10</c:v>
                </c:pt>
                <c:pt idx="1">
                  <c:v>FY11</c:v>
                </c:pt>
              </c:strCache>
            </c:strRef>
          </c:cat>
          <c:val>
            <c:numRef>
              <c:f>'IFRC appeals &amp; ARCT charts'!$O$7:$P$7</c:f>
              <c:numCache>
                <c:formatCode>"$"#,##0</c:formatCode>
                <c:ptCount val="2"/>
                <c:pt idx="0">
                  <c:v>295286386.37603331</c:v>
                </c:pt>
                <c:pt idx="1">
                  <c:v>139143914.08583599</c:v>
                </c:pt>
              </c:numCache>
            </c:numRef>
          </c:val>
        </c:ser>
        <c:ser>
          <c:idx val="1"/>
          <c:order val="1"/>
          <c:tx>
            <c:strRef>
              <c:f>'IFRC appeals &amp; ARCT charts'!$N$5</c:f>
              <c:strCache>
                <c:ptCount val="1"/>
                <c:pt idx="0">
                  <c:v>ARC</c:v>
                </c:pt>
              </c:strCache>
            </c:strRef>
          </c:tx>
          <c:cat>
            <c:strRef>
              <c:f>'IFRC appeals &amp; ARCT charts'!$O$3:$P$3</c:f>
              <c:strCache>
                <c:ptCount val="2"/>
                <c:pt idx="0">
                  <c:v>FY10</c:v>
                </c:pt>
                <c:pt idx="1">
                  <c:v>FY11</c:v>
                </c:pt>
              </c:strCache>
            </c:strRef>
          </c:cat>
          <c:val>
            <c:numRef>
              <c:f>'IFRC appeals &amp; ARCT charts'!$O$5:$P$5</c:f>
              <c:numCache>
                <c:formatCode>"$"#,##0</c:formatCode>
                <c:ptCount val="2"/>
                <c:pt idx="0">
                  <c:v>50863455.43</c:v>
                </c:pt>
                <c:pt idx="1">
                  <c:v>8444351</c:v>
                </c:pt>
              </c:numCache>
            </c:numRef>
          </c:val>
        </c:ser>
        <c:ser>
          <c:idx val="2"/>
          <c:order val="2"/>
          <c:tx>
            <c:strRef>
              <c:f>'IFRC appeals &amp; ARCT charts'!$N$6</c:f>
              <c:strCache>
                <c:ptCount val="1"/>
                <c:pt idx="0">
                  <c:v>Unfunded</c:v>
                </c:pt>
              </c:strCache>
            </c:strRef>
          </c:tx>
          <c:cat>
            <c:strRef>
              <c:f>'IFRC appeals &amp; ARCT charts'!$O$3:$P$3</c:f>
              <c:strCache>
                <c:ptCount val="2"/>
                <c:pt idx="0">
                  <c:v>FY10</c:v>
                </c:pt>
                <c:pt idx="1">
                  <c:v>FY11</c:v>
                </c:pt>
              </c:strCache>
            </c:strRef>
          </c:cat>
          <c:val>
            <c:numRef>
              <c:f>'IFRC appeals &amp; ARCT charts'!$O$6:$P$6</c:f>
              <c:numCache>
                <c:formatCode>"$"#,##0</c:formatCode>
                <c:ptCount val="2"/>
                <c:pt idx="0">
                  <c:v>64010284.181996703</c:v>
                </c:pt>
                <c:pt idx="1">
                  <c:v>95470712.569294006</c:v>
                </c:pt>
              </c:numCache>
            </c:numRef>
          </c:val>
        </c:ser>
        <c:shape val="box"/>
        <c:axId val="77107584"/>
        <c:axId val="77109120"/>
        <c:axId val="0"/>
      </c:bar3DChart>
      <c:catAx>
        <c:axId val="77107584"/>
        <c:scaling>
          <c:orientation val="minMax"/>
        </c:scaling>
        <c:axPos val="b"/>
        <c:tickLblPos val="nextTo"/>
        <c:crossAx val="77109120"/>
        <c:crosses val="autoZero"/>
        <c:auto val="1"/>
        <c:lblAlgn val="ctr"/>
        <c:lblOffset val="100"/>
      </c:catAx>
      <c:valAx>
        <c:axId val="77109120"/>
        <c:scaling>
          <c:orientation val="minMax"/>
        </c:scaling>
        <c:axPos val="l"/>
        <c:majorGridlines/>
        <c:numFmt formatCode="&quot;$&quot;#,##0" sourceLinked="1"/>
        <c:tickLblPos val="nextTo"/>
        <c:crossAx val="77107584"/>
        <c:crosses val="autoZero"/>
        <c:crossBetween val="between"/>
      </c:valAx>
    </c:plotArea>
    <c:legend>
      <c:legendPos val="r"/>
    </c:legend>
    <c:plotVisOnly val="1"/>
    <c:dispBlanksAs val="gap"/>
  </c:chart>
  <c:printSettings>
    <c:headerFooter/>
    <c:pageMargins b="0.75000000000000411" l="0.70000000000000062" r="0.70000000000000062" t="0.75000000000000411"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view3D>
      <c:rAngAx val="1"/>
    </c:view3D>
    <c:plotArea>
      <c:layout/>
      <c:bar3DChart>
        <c:barDir val="col"/>
        <c:grouping val="stacked"/>
        <c:ser>
          <c:idx val="0"/>
          <c:order val="0"/>
          <c:tx>
            <c:strRef>
              <c:f>'IFRC appeals &amp; ARCT charts'!$N$4</c:f>
              <c:strCache>
                <c:ptCount val="1"/>
                <c:pt idx="0">
                  <c:v>Total appeal</c:v>
                </c:pt>
              </c:strCache>
            </c:strRef>
          </c:tx>
          <c:cat>
            <c:strRef>
              <c:f>'IFRC appeals &amp; ARCT charts'!$O$3:$P$3</c:f>
              <c:strCache>
                <c:ptCount val="2"/>
                <c:pt idx="0">
                  <c:v>FY10</c:v>
                </c:pt>
                <c:pt idx="1">
                  <c:v>FY11</c:v>
                </c:pt>
              </c:strCache>
            </c:strRef>
          </c:cat>
          <c:val>
            <c:numRef>
              <c:f>'IFRC appeals &amp; ARCT charts'!$O$4:$P$4</c:f>
              <c:numCache>
                <c:formatCode>"$"#,##0</c:formatCode>
                <c:ptCount val="2"/>
                <c:pt idx="0">
                  <c:v>410160125.98803002</c:v>
                </c:pt>
                <c:pt idx="1">
                  <c:v>243058977.65513</c:v>
                </c:pt>
              </c:numCache>
            </c:numRef>
          </c:val>
        </c:ser>
        <c:ser>
          <c:idx val="1"/>
          <c:order val="1"/>
          <c:tx>
            <c:strRef>
              <c:f>'IFRC appeals &amp; ARCT charts'!$N$5</c:f>
              <c:strCache>
                <c:ptCount val="1"/>
                <c:pt idx="0">
                  <c:v>ARC</c:v>
                </c:pt>
              </c:strCache>
            </c:strRef>
          </c:tx>
          <c:cat>
            <c:strRef>
              <c:f>'IFRC appeals &amp; ARCT charts'!$O$3:$P$3</c:f>
              <c:strCache>
                <c:ptCount val="2"/>
                <c:pt idx="0">
                  <c:v>FY10</c:v>
                </c:pt>
                <c:pt idx="1">
                  <c:v>FY11</c:v>
                </c:pt>
              </c:strCache>
            </c:strRef>
          </c:cat>
          <c:val>
            <c:numRef>
              <c:f>'IFRC appeals &amp; ARCT charts'!$O$5:$P$5</c:f>
              <c:numCache>
                <c:formatCode>"$"#,##0</c:formatCode>
                <c:ptCount val="2"/>
                <c:pt idx="0">
                  <c:v>50863455.43</c:v>
                </c:pt>
                <c:pt idx="1">
                  <c:v>8444351</c:v>
                </c:pt>
              </c:numCache>
            </c:numRef>
          </c:val>
        </c:ser>
        <c:shape val="box"/>
        <c:axId val="77117696"/>
        <c:axId val="77127680"/>
        <c:axId val="0"/>
      </c:bar3DChart>
      <c:catAx>
        <c:axId val="77117696"/>
        <c:scaling>
          <c:orientation val="minMax"/>
        </c:scaling>
        <c:axPos val="b"/>
        <c:tickLblPos val="nextTo"/>
        <c:crossAx val="77127680"/>
        <c:crosses val="autoZero"/>
        <c:auto val="1"/>
        <c:lblAlgn val="ctr"/>
        <c:lblOffset val="100"/>
      </c:catAx>
      <c:valAx>
        <c:axId val="77127680"/>
        <c:scaling>
          <c:orientation val="minMax"/>
        </c:scaling>
        <c:axPos val="l"/>
        <c:majorGridlines/>
        <c:numFmt formatCode="&quot;$&quot;#,##0" sourceLinked="1"/>
        <c:tickLblPos val="nextTo"/>
        <c:crossAx val="77117696"/>
        <c:crosses val="autoZero"/>
        <c:crossBetween val="between"/>
      </c:valAx>
    </c:plotArea>
    <c:legend>
      <c:legendPos val="r"/>
    </c:legend>
    <c:plotVisOnly val="1"/>
    <c:dispBlanksAs val="gap"/>
  </c:chart>
  <c:printSettings>
    <c:headerFooter/>
    <c:pageMargins b="0.75000000000000411" l="0.70000000000000062" r="0.70000000000000062" t="0.75000000000000411"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view3D>
      <c:rAngAx val="1"/>
    </c:view3D>
    <c:plotArea>
      <c:layout/>
      <c:bar3DChart>
        <c:barDir val="col"/>
        <c:grouping val="stacked"/>
        <c:ser>
          <c:idx val="5"/>
          <c:order val="0"/>
          <c:tx>
            <c:strRef>
              <c:f>'IFRC appeals &amp; ARCT charts'!$N$58</c:f>
              <c:strCache>
                <c:ptCount val="1"/>
                <c:pt idx="0">
                  <c:v>Total appeal value</c:v>
                </c:pt>
              </c:strCache>
            </c:strRef>
          </c:tx>
          <c:spPr>
            <a:solidFill>
              <a:schemeClr val="accent1">
                <a:lumMod val="75000"/>
              </a:schemeClr>
            </a:solidFill>
          </c:spPr>
          <c:cat>
            <c:strRef>
              <c:f>'IFRC appeals &amp; ARCT charts'!$Q$51:$R$51</c:f>
              <c:strCache>
                <c:ptCount val="2"/>
                <c:pt idx="0">
                  <c:v>FY10</c:v>
                </c:pt>
                <c:pt idx="1">
                  <c:v>FY11</c:v>
                </c:pt>
              </c:strCache>
            </c:strRef>
          </c:cat>
          <c:val>
            <c:numRef>
              <c:f>'IFRC appeals &amp; ARCT charts'!$Q$58:$R$58</c:f>
              <c:numCache>
                <c:formatCode>"$"#,##0</c:formatCode>
                <c:ptCount val="2"/>
                <c:pt idx="0">
                  <c:v>410160125.98803002</c:v>
                </c:pt>
                <c:pt idx="1">
                  <c:v>243058977.65513</c:v>
                </c:pt>
              </c:numCache>
            </c:numRef>
          </c:val>
        </c:ser>
        <c:ser>
          <c:idx val="0"/>
          <c:order val="1"/>
          <c:tx>
            <c:strRef>
              <c:f>'IFRC appeals &amp; ARCT charts'!$N$53</c:f>
              <c:strCache>
                <c:ptCount val="1"/>
                <c:pt idx="0">
                  <c:v>ARC/other</c:v>
                </c:pt>
              </c:strCache>
            </c:strRef>
          </c:tx>
          <c:spPr>
            <a:solidFill>
              <a:schemeClr val="accent2">
                <a:lumMod val="75000"/>
              </a:schemeClr>
            </a:solidFill>
          </c:spPr>
          <c:cat>
            <c:strRef>
              <c:f>'IFRC appeals &amp; ARCT charts'!$Q$51:$R$51</c:f>
              <c:strCache>
                <c:ptCount val="2"/>
                <c:pt idx="0">
                  <c:v>FY10</c:v>
                </c:pt>
                <c:pt idx="1">
                  <c:v>FY11</c:v>
                </c:pt>
              </c:strCache>
            </c:strRef>
          </c:cat>
          <c:val>
            <c:numRef>
              <c:f>'IFRC appeals &amp; ARCT charts'!$Q$53:$R$53</c:f>
              <c:numCache>
                <c:formatCode>"$"#,##0</c:formatCode>
                <c:ptCount val="2"/>
                <c:pt idx="0">
                  <c:v>50363455.43</c:v>
                </c:pt>
                <c:pt idx="1">
                  <c:v>8144351</c:v>
                </c:pt>
              </c:numCache>
            </c:numRef>
          </c:val>
        </c:ser>
        <c:ser>
          <c:idx val="1"/>
          <c:order val="2"/>
          <c:tx>
            <c:strRef>
              <c:f>'IFRC appeals &amp; ARCT charts'!$N$54</c:f>
              <c:strCache>
                <c:ptCount val="1"/>
                <c:pt idx="0">
                  <c:v>ARC/ARCT</c:v>
                </c:pt>
              </c:strCache>
            </c:strRef>
          </c:tx>
          <c:spPr>
            <a:solidFill>
              <a:schemeClr val="accent2">
                <a:lumMod val="60000"/>
                <a:lumOff val="40000"/>
              </a:schemeClr>
            </a:solidFill>
          </c:spPr>
          <c:cat>
            <c:strRef>
              <c:f>'IFRC appeals &amp; ARCT charts'!$Q$51:$R$51</c:f>
              <c:strCache>
                <c:ptCount val="2"/>
                <c:pt idx="0">
                  <c:v>FY10</c:v>
                </c:pt>
                <c:pt idx="1">
                  <c:v>FY11</c:v>
                </c:pt>
              </c:strCache>
            </c:strRef>
          </c:cat>
          <c:val>
            <c:numRef>
              <c:f>'IFRC appeals &amp; ARCT charts'!$Q$54:$R$54</c:f>
              <c:numCache>
                <c:formatCode>"$"#,##0</c:formatCode>
                <c:ptCount val="2"/>
                <c:pt idx="0">
                  <c:v>500000</c:v>
                </c:pt>
                <c:pt idx="1">
                  <c:v>300000</c:v>
                </c:pt>
              </c:numCache>
            </c:numRef>
          </c:val>
        </c:ser>
        <c:shape val="box"/>
        <c:axId val="131552384"/>
        <c:axId val="131553920"/>
        <c:axId val="0"/>
      </c:bar3DChart>
      <c:catAx>
        <c:axId val="131552384"/>
        <c:scaling>
          <c:orientation val="minMax"/>
        </c:scaling>
        <c:axPos val="b"/>
        <c:tickLblPos val="nextTo"/>
        <c:crossAx val="131553920"/>
        <c:crosses val="autoZero"/>
        <c:auto val="1"/>
        <c:lblAlgn val="ctr"/>
        <c:lblOffset val="100"/>
      </c:catAx>
      <c:valAx>
        <c:axId val="131553920"/>
        <c:scaling>
          <c:orientation val="minMax"/>
        </c:scaling>
        <c:axPos val="l"/>
        <c:majorGridlines/>
        <c:numFmt formatCode="&quot;$&quot;#,##0" sourceLinked="1"/>
        <c:tickLblPos val="nextTo"/>
        <c:crossAx val="131552384"/>
        <c:crosses val="autoZero"/>
        <c:crossBetween val="between"/>
      </c:valAx>
    </c:plotArea>
    <c:legend>
      <c:legendPos val="r"/>
    </c:legend>
    <c:plotVisOnly val="1"/>
    <c:dispBlanksAs val="gap"/>
  </c:chart>
  <c:printSettings>
    <c:headerFooter/>
    <c:pageMargins b="0.75000000000000411" l="0.70000000000000062" r="0.70000000000000062" t="0.75000000000000411"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view3D>
      <c:rAngAx val="1"/>
    </c:view3D>
    <c:plotArea>
      <c:layout/>
      <c:bar3DChart>
        <c:barDir val="col"/>
        <c:grouping val="stacked"/>
        <c:ser>
          <c:idx val="5"/>
          <c:order val="0"/>
          <c:tx>
            <c:strRef>
              <c:f>'IFRC appeals &amp; ARCT charts'!$V$58</c:f>
              <c:strCache>
                <c:ptCount val="1"/>
                <c:pt idx="0">
                  <c:v>Total appeal</c:v>
                </c:pt>
              </c:strCache>
            </c:strRef>
          </c:tx>
          <c:spPr>
            <a:solidFill>
              <a:schemeClr val="accent1">
                <a:lumMod val="75000"/>
              </a:schemeClr>
            </a:solidFill>
          </c:spPr>
          <c:cat>
            <c:strRef>
              <c:f>'IFRC appeals &amp; ARCT charts'!$W$50:$X$51</c:f>
              <c:strCache>
                <c:ptCount val="2"/>
                <c:pt idx="0">
                  <c:v>FY08</c:v>
                </c:pt>
                <c:pt idx="1">
                  <c:v>FY09</c:v>
                </c:pt>
              </c:strCache>
            </c:strRef>
          </c:cat>
          <c:val>
            <c:numRef>
              <c:f>'IFRC appeals &amp; ARCT charts'!$Y$58:$Z$58</c:f>
              <c:numCache>
                <c:formatCode>"$"#,##0</c:formatCode>
                <c:ptCount val="2"/>
                <c:pt idx="0">
                  <c:v>139816744.57679003</c:v>
                </c:pt>
                <c:pt idx="1">
                  <c:v>243058977.65513</c:v>
                </c:pt>
              </c:numCache>
            </c:numRef>
          </c:val>
        </c:ser>
        <c:ser>
          <c:idx val="0"/>
          <c:order val="1"/>
          <c:tx>
            <c:strRef>
              <c:f>'IFRC appeals &amp; ARCT charts'!$V$53</c:f>
              <c:strCache>
                <c:ptCount val="1"/>
                <c:pt idx="0">
                  <c:v>ARC/other</c:v>
                </c:pt>
              </c:strCache>
            </c:strRef>
          </c:tx>
          <c:spPr>
            <a:solidFill>
              <a:schemeClr val="accent2">
                <a:lumMod val="75000"/>
              </a:schemeClr>
            </a:solidFill>
          </c:spPr>
          <c:cat>
            <c:strRef>
              <c:f>'IFRC appeals &amp; ARCT charts'!$W$50:$X$51</c:f>
              <c:strCache>
                <c:ptCount val="2"/>
                <c:pt idx="0">
                  <c:v>FY08</c:v>
                </c:pt>
                <c:pt idx="1">
                  <c:v>FY09</c:v>
                </c:pt>
              </c:strCache>
            </c:strRef>
          </c:cat>
          <c:val>
            <c:numRef>
              <c:f>'IFRC appeals &amp; ARCT charts'!$Y$53:$Z$53</c:f>
              <c:numCache>
                <c:formatCode>"$"#,##0</c:formatCode>
                <c:ptCount val="2"/>
                <c:pt idx="0">
                  <c:v>3688605</c:v>
                </c:pt>
                <c:pt idx="1">
                  <c:v>8144351</c:v>
                </c:pt>
              </c:numCache>
            </c:numRef>
          </c:val>
        </c:ser>
        <c:ser>
          <c:idx val="1"/>
          <c:order val="2"/>
          <c:tx>
            <c:strRef>
              <c:f>'IFRC appeals &amp; ARCT charts'!$V$54</c:f>
              <c:strCache>
                <c:ptCount val="1"/>
                <c:pt idx="0">
                  <c:v>ARC/ARCT</c:v>
                </c:pt>
              </c:strCache>
            </c:strRef>
          </c:tx>
          <c:spPr>
            <a:solidFill>
              <a:schemeClr val="accent2">
                <a:lumMod val="60000"/>
                <a:lumOff val="40000"/>
              </a:schemeClr>
            </a:solidFill>
          </c:spPr>
          <c:cat>
            <c:strRef>
              <c:f>'IFRC appeals &amp; ARCT charts'!$W$50:$X$51</c:f>
              <c:strCache>
                <c:ptCount val="2"/>
                <c:pt idx="0">
                  <c:v>FY08</c:v>
                </c:pt>
                <c:pt idx="1">
                  <c:v>FY09</c:v>
                </c:pt>
              </c:strCache>
            </c:strRef>
          </c:cat>
          <c:val>
            <c:numRef>
              <c:f>'IFRC appeals &amp; ARCT charts'!$Y$54:$Z$54</c:f>
              <c:numCache>
                <c:formatCode>"$"#,##0</c:formatCode>
                <c:ptCount val="2"/>
                <c:pt idx="0">
                  <c:v>500000</c:v>
                </c:pt>
                <c:pt idx="1">
                  <c:v>300000</c:v>
                </c:pt>
              </c:numCache>
            </c:numRef>
          </c:val>
        </c:ser>
        <c:shape val="box"/>
        <c:axId val="131604480"/>
        <c:axId val="131606016"/>
        <c:axId val="0"/>
      </c:bar3DChart>
      <c:catAx>
        <c:axId val="131604480"/>
        <c:scaling>
          <c:orientation val="minMax"/>
        </c:scaling>
        <c:axPos val="b"/>
        <c:tickLblPos val="nextTo"/>
        <c:crossAx val="131606016"/>
        <c:crosses val="autoZero"/>
        <c:auto val="1"/>
        <c:lblAlgn val="ctr"/>
        <c:lblOffset val="100"/>
      </c:catAx>
      <c:valAx>
        <c:axId val="131606016"/>
        <c:scaling>
          <c:orientation val="minMax"/>
        </c:scaling>
        <c:axPos val="l"/>
        <c:majorGridlines/>
        <c:numFmt formatCode="&quot;$&quot;#,##0" sourceLinked="1"/>
        <c:tickLblPos val="nextTo"/>
        <c:crossAx val="131604480"/>
        <c:crosses val="autoZero"/>
        <c:crossBetween val="between"/>
      </c:valAx>
    </c:plotArea>
    <c:legend>
      <c:legendPos val="r"/>
    </c:legend>
    <c:plotVisOnly val="1"/>
    <c:dispBlanksAs val="gap"/>
  </c:chart>
  <c:printSettings>
    <c:headerFooter/>
    <c:pageMargins b="0.75000000000000411" l="0.70000000000000062" r="0.70000000000000062" t="0.75000000000000411"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lang val="en-US"/>
  <c:chart>
    <c:view3D>
      <c:rAngAx val="1"/>
    </c:view3D>
    <c:plotArea>
      <c:layout/>
      <c:bar3DChart>
        <c:barDir val="col"/>
        <c:grouping val="stacked"/>
        <c:ser>
          <c:idx val="3"/>
          <c:order val="0"/>
          <c:tx>
            <c:strRef>
              <c:f>'IFRC appeals &amp; ARCT charts'!$V$7</c:f>
              <c:strCache>
                <c:ptCount val="1"/>
                <c:pt idx="0">
                  <c:v>Other</c:v>
                </c:pt>
              </c:strCache>
            </c:strRef>
          </c:tx>
          <c:spPr>
            <a:solidFill>
              <a:schemeClr val="tx2">
                <a:lumMod val="60000"/>
                <a:lumOff val="40000"/>
              </a:schemeClr>
            </a:solidFill>
          </c:spPr>
          <c:cat>
            <c:strRef>
              <c:f>'IFRC appeals &amp; ARCT charts'!$W$3:$X$3</c:f>
              <c:strCache>
                <c:ptCount val="2"/>
                <c:pt idx="0">
                  <c:v>FY10</c:v>
                </c:pt>
                <c:pt idx="1">
                  <c:v>FY11</c:v>
                </c:pt>
              </c:strCache>
            </c:strRef>
          </c:cat>
          <c:val>
            <c:numRef>
              <c:f>'IFRC appeals &amp; ARCT charts'!$W$7:$X$7</c:f>
              <c:numCache>
                <c:formatCode>"$"#,##0</c:formatCode>
                <c:ptCount val="2"/>
                <c:pt idx="0">
                  <c:v>87838458.279467732</c:v>
                </c:pt>
                <c:pt idx="1">
                  <c:v>139143914.08583599</c:v>
                </c:pt>
              </c:numCache>
            </c:numRef>
          </c:val>
        </c:ser>
        <c:ser>
          <c:idx val="1"/>
          <c:order val="1"/>
          <c:tx>
            <c:strRef>
              <c:f>'IFRC appeals &amp; ARCT charts'!$V$5</c:f>
              <c:strCache>
                <c:ptCount val="1"/>
                <c:pt idx="0">
                  <c:v>ARC</c:v>
                </c:pt>
              </c:strCache>
            </c:strRef>
          </c:tx>
          <c:cat>
            <c:strRef>
              <c:f>'IFRC appeals &amp; ARCT charts'!$W$3:$X$3</c:f>
              <c:strCache>
                <c:ptCount val="2"/>
                <c:pt idx="0">
                  <c:v>FY10</c:v>
                </c:pt>
                <c:pt idx="1">
                  <c:v>FY11</c:v>
                </c:pt>
              </c:strCache>
            </c:strRef>
          </c:cat>
          <c:val>
            <c:numRef>
              <c:f>'IFRC appeals &amp; ARCT charts'!$W$5:$X$5</c:f>
              <c:numCache>
                <c:formatCode>"$"#,##0</c:formatCode>
                <c:ptCount val="2"/>
                <c:pt idx="0">
                  <c:v>4188605</c:v>
                </c:pt>
                <c:pt idx="1">
                  <c:v>8444351</c:v>
                </c:pt>
              </c:numCache>
            </c:numRef>
          </c:val>
        </c:ser>
        <c:ser>
          <c:idx val="2"/>
          <c:order val="2"/>
          <c:tx>
            <c:strRef>
              <c:f>'IFRC appeals &amp; ARCT charts'!$V$6</c:f>
              <c:strCache>
                <c:ptCount val="1"/>
                <c:pt idx="0">
                  <c:v>Unfunded</c:v>
                </c:pt>
              </c:strCache>
            </c:strRef>
          </c:tx>
          <c:cat>
            <c:strRef>
              <c:f>'IFRC appeals &amp; ARCT charts'!$W$3:$X$3</c:f>
              <c:strCache>
                <c:ptCount val="2"/>
                <c:pt idx="0">
                  <c:v>FY10</c:v>
                </c:pt>
                <c:pt idx="1">
                  <c:v>FY11</c:v>
                </c:pt>
              </c:strCache>
            </c:strRef>
          </c:cat>
          <c:val>
            <c:numRef>
              <c:f>'IFRC appeals &amp; ARCT charts'!$W$6:$X$6</c:f>
              <c:numCache>
                <c:formatCode>"$"#,##0</c:formatCode>
                <c:ptCount val="2"/>
                <c:pt idx="0">
                  <c:v>47789681.297322303</c:v>
                </c:pt>
                <c:pt idx="1">
                  <c:v>95470712.569294006</c:v>
                </c:pt>
              </c:numCache>
            </c:numRef>
          </c:val>
        </c:ser>
        <c:shape val="box"/>
        <c:axId val="131615360"/>
        <c:axId val="131625344"/>
        <c:axId val="0"/>
      </c:bar3DChart>
      <c:catAx>
        <c:axId val="131615360"/>
        <c:scaling>
          <c:orientation val="minMax"/>
        </c:scaling>
        <c:axPos val="b"/>
        <c:tickLblPos val="nextTo"/>
        <c:crossAx val="131625344"/>
        <c:crosses val="autoZero"/>
        <c:auto val="1"/>
        <c:lblAlgn val="ctr"/>
        <c:lblOffset val="100"/>
      </c:catAx>
      <c:valAx>
        <c:axId val="131625344"/>
        <c:scaling>
          <c:orientation val="minMax"/>
        </c:scaling>
        <c:axPos val="l"/>
        <c:majorGridlines/>
        <c:numFmt formatCode="&quot;$&quot;#,##0" sourceLinked="1"/>
        <c:tickLblPos val="nextTo"/>
        <c:crossAx val="131615360"/>
        <c:crosses val="autoZero"/>
        <c:crossBetween val="between"/>
      </c:valAx>
    </c:plotArea>
    <c:legend>
      <c:legendPos val="r"/>
    </c:legend>
    <c:plotVisOnly val="1"/>
    <c:dispBlanksAs val="gap"/>
  </c:chart>
  <c:printSettings>
    <c:headerFooter/>
    <c:pageMargins b="0.75000000000000411" l="0.70000000000000062" r="0.70000000000000062" t="0.75000000000000411"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lang val="en-US"/>
  <c:chart>
    <c:view3D>
      <c:rAngAx val="1"/>
    </c:view3D>
    <c:plotArea>
      <c:layout/>
      <c:bar3DChart>
        <c:barDir val="col"/>
        <c:grouping val="stacked"/>
        <c:ser>
          <c:idx val="0"/>
          <c:order val="0"/>
          <c:tx>
            <c:strRef>
              <c:f>'IFRC appeals &amp; ARCT charts'!$V$4</c:f>
              <c:strCache>
                <c:ptCount val="1"/>
                <c:pt idx="0">
                  <c:v>Total appeal</c:v>
                </c:pt>
              </c:strCache>
            </c:strRef>
          </c:tx>
          <c:cat>
            <c:strRef>
              <c:f>'IFRC appeals &amp; ARCT charts'!$W$3:$X$3</c:f>
              <c:strCache>
                <c:ptCount val="2"/>
                <c:pt idx="0">
                  <c:v>FY10</c:v>
                </c:pt>
                <c:pt idx="1">
                  <c:v>FY11</c:v>
                </c:pt>
              </c:strCache>
            </c:strRef>
          </c:cat>
          <c:val>
            <c:numRef>
              <c:f>'IFRC appeals &amp; ARCT charts'!$W$4:$X$4</c:f>
              <c:numCache>
                <c:formatCode>"$"#,##0</c:formatCode>
                <c:ptCount val="2"/>
                <c:pt idx="0">
                  <c:v>139816744.57679003</c:v>
                </c:pt>
                <c:pt idx="1">
                  <c:v>243058977.65513</c:v>
                </c:pt>
              </c:numCache>
            </c:numRef>
          </c:val>
        </c:ser>
        <c:ser>
          <c:idx val="1"/>
          <c:order val="1"/>
          <c:tx>
            <c:strRef>
              <c:f>'IFRC appeals &amp; ARCT charts'!$V$5</c:f>
              <c:strCache>
                <c:ptCount val="1"/>
                <c:pt idx="0">
                  <c:v>ARC</c:v>
                </c:pt>
              </c:strCache>
            </c:strRef>
          </c:tx>
          <c:cat>
            <c:strRef>
              <c:f>'IFRC appeals &amp; ARCT charts'!$W$3:$X$3</c:f>
              <c:strCache>
                <c:ptCount val="2"/>
                <c:pt idx="0">
                  <c:v>FY10</c:v>
                </c:pt>
                <c:pt idx="1">
                  <c:v>FY11</c:v>
                </c:pt>
              </c:strCache>
            </c:strRef>
          </c:cat>
          <c:val>
            <c:numRef>
              <c:f>'IFRC appeals &amp; ARCT charts'!$W$5:$X$5</c:f>
              <c:numCache>
                <c:formatCode>"$"#,##0</c:formatCode>
                <c:ptCount val="2"/>
                <c:pt idx="0">
                  <c:v>4188605</c:v>
                </c:pt>
                <c:pt idx="1">
                  <c:v>8444351</c:v>
                </c:pt>
              </c:numCache>
            </c:numRef>
          </c:val>
        </c:ser>
        <c:shape val="box"/>
        <c:axId val="131650304"/>
        <c:axId val="131651840"/>
        <c:axId val="0"/>
      </c:bar3DChart>
      <c:catAx>
        <c:axId val="131650304"/>
        <c:scaling>
          <c:orientation val="minMax"/>
        </c:scaling>
        <c:axPos val="b"/>
        <c:tickLblPos val="nextTo"/>
        <c:crossAx val="131651840"/>
        <c:crosses val="autoZero"/>
        <c:auto val="1"/>
        <c:lblAlgn val="ctr"/>
        <c:lblOffset val="100"/>
      </c:catAx>
      <c:valAx>
        <c:axId val="131651840"/>
        <c:scaling>
          <c:orientation val="minMax"/>
        </c:scaling>
        <c:axPos val="l"/>
        <c:majorGridlines/>
        <c:numFmt formatCode="&quot;$&quot;#,##0" sourceLinked="1"/>
        <c:tickLblPos val="nextTo"/>
        <c:crossAx val="131650304"/>
        <c:crosses val="autoZero"/>
        <c:crossBetween val="between"/>
      </c:valAx>
    </c:plotArea>
    <c:legend>
      <c:legendPos val="r"/>
    </c:legend>
    <c:plotVisOnly val="1"/>
    <c:dispBlanksAs val="gap"/>
  </c:chart>
  <c:printSettings>
    <c:headerFooter/>
    <c:pageMargins b="0.75000000000000411" l="0.70000000000000062" r="0.70000000000000062" t="0.75000000000000411"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lang val="en-US"/>
  <c:chart>
    <c:view3D>
      <c:rAngAx val="1"/>
    </c:view3D>
    <c:plotArea>
      <c:layout/>
      <c:bar3DChart>
        <c:barDir val="col"/>
        <c:grouping val="stacked"/>
        <c:ser>
          <c:idx val="3"/>
          <c:order val="0"/>
          <c:tx>
            <c:strRef>
              <c:f>'IFRC appeals &amp; ARCT charts'!$N$56</c:f>
              <c:strCache>
                <c:ptCount val="1"/>
                <c:pt idx="0">
                  <c:v>Other</c:v>
                </c:pt>
              </c:strCache>
            </c:strRef>
          </c:tx>
          <c:spPr>
            <a:solidFill>
              <a:schemeClr val="accent1">
                <a:lumMod val="75000"/>
              </a:schemeClr>
            </a:solidFill>
          </c:spPr>
          <c:cat>
            <c:strRef>
              <c:f>'IFRC appeals &amp; ARCT charts'!$Q$51:$R$51</c:f>
              <c:strCache>
                <c:ptCount val="2"/>
                <c:pt idx="0">
                  <c:v>FY10</c:v>
                </c:pt>
                <c:pt idx="1">
                  <c:v>FY11</c:v>
                </c:pt>
              </c:strCache>
            </c:strRef>
          </c:cat>
          <c:val>
            <c:numRef>
              <c:f>'IFRC appeals &amp; ARCT charts'!$Q$56:$R$56</c:f>
              <c:numCache>
                <c:formatCode>"$"#,##0</c:formatCode>
                <c:ptCount val="2"/>
                <c:pt idx="0">
                  <c:v>295786386.37603331</c:v>
                </c:pt>
                <c:pt idx="1">
                  <c:v>139443914.08583599</c:v>
                </c:pt>
              </c:numCache>
            </c:numRef>
          </c:val>
        </c:ser>
        <c:ser>
          <c:idx val="2"/>
          <c:order val="1"/>
          <c:tx>
            <c:strRef>
              <c:f>'IFRC appeals &amp; ARCT charts'!$N$55</c:f>
              <c:strCache>
                <c:ptCount val="1"/>
                <c:pt idx="0">
                  <c:v>Unfunded</c:v>
                </c:pt>
              </c:strCache>
            </c:strRef>
          </c:tx>
          <c:cat>
            <c:strRef>
              <c:f>'IFRC appeals &amp; ARCT charts'!$Q$51:$R$51</c:f>
              <c:strCache>
                <c:ptCount val="2"/>
                <c:pt idx="0">
                  <c:v>FY10</c:v>
                </c:pt>
                <c:pt idx="1">
                  <c:v>FY11</c:v>
                </c:pt>
              </c:strCache>
            </c:strRef>
          </c:cat>
          <c:val>
            <c:numRef>
              <c:f>'IFRC appeals &amp; ARCT charts'!$Q$55:$R$55</c:f>
              <c:numCache>
                <c:formatCode>"$"#,##0</c:formatCode>
                <c:ptCount val="2"/>
                <c:pt idx="0">
                  <c:v>64010284.181996703</c:v>
                </c:pt>
                <c:pt idx="1">
                  <c:v>95470712.569294006</c:v>
                </c:pt>
              </c:numCache>
            </c:numRef>
          </c:val>
        </c:ser>
        <c:ser>
          <c:idx val="0"/>
          <c:order val="2"/>
          <c:tx>
            <c:strRef>
              <c:f>'IFRC appeals &amp; ARCT charts'!$N$53</c:f>
              <c:strCache>
                <c:ptCount val="1"/>
                <c:pt idx="0">
                  <c:v>ARC/other</c:v>
                </c:pt>
              </c:strCache>
            </c:strRef>
          </c:tx>
          <c:spPr>
            <a:solidFill>
              <a:schemeClr val="accent2">
                <a:lumMod val="75000"/>
              </a:schemeClr>
            </a:solidFill>
          </c:spPr>
          <c:cat>
            <c:strRef>
              <c:f>'IFRC appeals &amp; ARCT charts'!$Q$51:$R$51</c:f>
              <c:strCache>
                <c:ptCount val="2"/>
                <c:pt idx="0">
                  <c:v>FY10</c:v>
                </c:pt>
                <c:pt idx="1">
                  <c:v>FY11</c:v>
                </c:pt>
              </c:strCache>
            </c:strRef>
          </c:cat>
          <c:val>
            <c:numRef>
              <c:f>'IFRC appeals &amp; ARCT charts'!$Q$53:$R$53</c:f>
              <c:numCache>
                <c:formatCode>"$"#,##0</c:formatCode>
                <c:ptCount val="2"/>
                <c:pt idx="0">
                  <c:v>50363455.43</c:v>
                </c:pt>
                <c:pt idx="1">
                  <c:v>8144351</c:v>
                </c:pt>
              </c:numCache>
            </c:numRef>
          </c:val>
        </c:ser>
        <c:ser>
          <c:idx val="1"/>
          <c:order val="3"/>
          <c:tx>
            <c:strRef>
              <c:f>'IFRC appeals &amp; ARCT charts'!$N$54</c:f>
              <c:strCache>
                <c:ptCount val="1"/>
                <c:pt idx="0">
                  <c:v>ARC/ARCT</c:v>
                </c:pt>
              </c:strCache>
            </c:strRef>
          </c:tx>
          <c:spPr>
            <a:solidFill>
              <a:schemeClr val="accent2">
                <a:lumMod val="60000"/>
                <a:lumOff val="40000"/>
              </a:schemeClr>
            </a:solidFill>
          </c:spPr>
          <c:cat>
            <c:strRef>
              <c:f>'IFRC appeals &amp; ARCT charts'!$Q$51:$R$51</c:f>
              <c:strCache>
                <c:ptCount val="2"/>
                <c:pt idx="0">
                  <c:v>FY10</c:v>
                </c:pt>
                <c:pt idx="1">
                  <c:v>FY11</c:v>
                </c:pt>
              </c:strCache>
            </c:strRef>
          </c:cat>
          <c:val>
            <c:numRef>
              <c:f>'IFRC appeals &amp; ARCT charts'!$Q$54:$R$54</c:f>
              <c:numCache>
                <c:formatCode>"$"#,##0</c:formatCode>
                <c:ptCount val="2"/>
                <c:pt idx="0">
                  <c:v>500000</c:v>
                </c:pt>
                <c:pt idx="1">
                  <c:v>300000</c:v>
                </c:pt>
              </c:numCache>
            </c:numRef>
          </c:val>
        </c:ser>
        <c:shape val="box"/>
        <c:axId val="131694976"/>
        <c:axId val="131696512"/>
        <c:axId val="0"/>
      </c:bar3DChart>
      <c:catAx>
        <c:axId val="131694976"/>
        <c:scaling>
          <c:orientation val="minMax"/>
        </c:scaling>
        <c:axPos val="b"/>
        <c:tickLblPos val="nextTo"/>
        <c:crossAx val="131696512"/>
        <c:crosses val="autoZero"/>
        <c:auto val="1"/>
        <c:lblAlgn val="ctr"/>
        <c:lblOffset val="100"/>
      </c:catAx>
      <c:valAx>
        <c:axId val="131696512"/>
        <c:scaling>
          <c:orientation val="minMax"/>
        </c:scaling>
        <c:axPos val="l"/>
        <c:majorGridlines/>
        <c:numFmt formatCode="&quot;$&quot;#,##0" sourceLinked="1"/>
        <c:tickLblPos val="nextTo"/>
        <c:crossAx val="131694976"/>
        <c:crosses val="autoZero"/>
        <c:crossBetween val="between"/>
      </c:valAx>
    </c:plotArea>
    <c:legend>
      <c:legendPos val="r"/>
    </c:legend>
    <c:plotVisOnly val="1"/>
    <c:dispBlanksAs val="gap"/>
  </c:chart>
  <c:printSettings>
    <c:headerFooter/>
    <c:pageMargins b="0.75000000000000411" l="0.70000000000000062" r="0.70000000000000062" t="0.75000000000000411"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lang val="en-US"/>
  <c:chart>
    <c:view3D>
      <c:rAngAx val="1"/>
    </c:view3D>
    <c:plotArea>
      <c:layout/>
      <c:bar3DChart>
        <c:barDir val="col"/>
        <c:grouping val="stacked"/>
        <c:ser>
          <c:idx val="3"/>
          <c:order val="0"/>
          <c:tx>
            <c:strRef>
              <c:f>'IFRC appeals &amp; ARCT charts'!$V$56</c:f>
              <c:strCache>
                <c:ptCount val="1"/>
                <c:pt idx="0">
                  <c:v>Other</c:v>
                </c:pt>
              </c:strCache>
            </c:strRef>
          </c:tx>
          <c:spPr>
            <a:solidFill>
              <a:schemeClr val="accent1">
                <a:lumMod val="75000"/>
              </a:schemeClr>
            </a:solidFill>
          </c:spPr>
          <c:cat>
            <c:strRef>
              <c:f>'IFRC appeals &amp; ARCT charts'!$Y$51:$Z$51</c:f>
              <c:strCache>
                <c:ptCount val="2"/>
                <c:pt idx="0">
                  <c:v>FY10</c:v>
                </c:pt>
                <c:pt idx="1">
                  <c:v>FY11</c:v>
                </c:pt>
              </c:strCache>
            </c:strRef>
          </c:cat>
          <c:val>
            <c:numRef>
              <c:f>'IFRC appeals &amp; ARCT charts'!$Y$56:$Z$56</c:f>
              <c:numCache>
                <c:formatCode>"$"#,##0</c:formatCode>
                <c:ptCount val="2"/>
                <c:pt idx="0">
                  <c:v>87838458.279467732</c:v>
                </c:pt>
                <c:pt idx="1">
                  <c:v>139143914.08583599</c:v>
                </c:pt>
              </c:numCache>
            </c:numRef>
          </c:val>
        </c:ser>
        <c:ser>
          <c:idx val="2"/>
          <c:order val="1"/>
          <c:tx>
            <c:strRef>
              <c:f>'IFRC appeals &amp; ARCT charts'!$V$55</c:f>
              <c:strCache>
                <c:ptCount val="1"/>
                <c:pt idx="0">
                  <c:v>Unfunded</c:v>
                </c:pt>
              </c:strCache>
            </c:strRef>
          </c:tx>
          <c:cat>
            <c:strRef>
              <c:f>'IFRC appeals &amp; ARCT charts'!$Y$51:$Z$51</c:f>
              <c:strCache>
                <c:ptCount val="2"/>
                <c:pt idx="0">
                  <c:v>FY10</c:v>
                </c:pt>
                <c:pt idx="1">
                  <c:v>FY11</c:v>
                </c:pt>
              </c:strCache>
            </c:strRef>
          </c:cat>
          <c:val>
            <c:numRef>
              <c:f>'IFRC appeals &amp; ARCT charts'!$Y$55:$Z$55</c:f>
              <c:numCache>
                <c:formatCode>"$"#,##0</c:formatCode>
                <c:ptCount val="2"/>
                <c:pt idx="0">
                  <c:v>47789681.297322303</c:v>
                </c:pt>
                <c:pt idx="1">
                  <c:v>95470712.569294006</c:v>
                </c:pt>
              </c:numCache>
            </c:numRef>
          </c:val>
        </c:ser>
        <c:ser>
          <c:idx val="0"/>
          <c:order val="2"/>
          <c:tx>
            <c:strRef>
              <c:f>'IFRC appeals &amp; ARCT charts'!$V$53</c:f>
              <c:strCache>
                <c:ptCount val="1"/>
                <c:pt idx="0">
                  <c:v>ARC/other</c:v>
                </c:pt>
              </c:strCache>
            </c:strRef>
          </c:tx>
          <c:spPr>
            <a:solidFill>
              <a:schemeClr val="accent2">
                <a:lumMod val="75000"/>
              </a:schemeClr>
            </a:solidFill>
          </c:spPr>
          <c:cat>
            <c:strRef>
              <c:f>'IFRC appeals &amp; ARCT charts'!$Y$51:$Z$51</c:f>
              <c:strCache>
                <c:ptCount val="2"/>
                <c:pt idx="0">
                  <c:v>FY10</c:v>
                </c:pt>
                <c:pt idx="1">
                  <c:v>FY11</c:v>
                </c:pt>
              </c:strCache>
            </c:strRef>
          </c:cat>
          <c:val>
            <c:numRef>
              <c:f>'IFRC appeals &amp; ARCT charts'!$Y$53:$Z$53</c:f>
              <c:numCache>
                <c:formatCode>"$"#,##0</c:formatCode>
                <c:ptCount val="2"/>
                <c:pt idx="0">
                  <c:v>3688605</c:v>
                </c:pt>
                <c:pt idx="1">
                  <c:v>8144351</c:v>
                </c:pt>
              </c:numCache>
            </c:numRef>
          </c:val>
        </c:ser>
        <c:ser>
          <c:idx val="1"/>
          <c:order val="3"/>
          <c:tx>
            <c:strRef>
              <c:f>'IFRC appeals &amp; ARCT charts'!$V$54</c:f>
              <c:strCache>
                <c:ptCount val="1"/>
                <c:pt idx="0">
                  <c:v>ARC/ARCT</c:v>
                </c:pt>
              </c:strCache>
            </c:strRef>
          </c:tx>
          <c:spPr>
            <a:solidFill>
              <a:schemeClr val="accent2">
                <a:lumMod val="60000"/>
                <a:lumOff val="40000"/>
              </a:schemeClr>
            </a:solidFill>
          </c:spPr>
          <c:cat>
            <c:strRef>
              <c:f>'IFRC appeals &amp; ARCT charts'!$Y$51:$Z$51</c:f>
              <c:strCache>
                <c:ptCount val="2"/>
                <c:pt idx="0">
                  <c:v>FY10</c:v>
                </c:pt>
                <c:pt idx="1">
                  <c:v>FY11</c:v>
                </c:pt>
              </c:strCache>
            </c:strRef>
          </c:cat>
          <c:val>
            <c:numRef>
              <c:f>'IFRC appeals &amp; ARCT charts'!$Y$54:$Z$54</c:f>
              <c:numCache>
                <c:formatCode>"$"#,##0</c:formatCode>
                <c:ptCount val="2"/>
                <c:pt idx="0">
                  <c:v>500000</c:v>
                </c:pt>
                <c:pt idx="1">
                  <c:v>300000</c:v>
                </c:pt>
              </c:numCache>
            </c:numRef>
          </c:val>
        </c:ser>
        <c:shape val="box"/>
        <c:axId val="131731456"/>
        <c:axId val="131732992"/>
        <c:axId val="0"/>
      </c:bar3DChart>
      <c:catAx>
        <c:axId val="131731456"/>
        <c:scaling>
          <c:orientation val="minMax"/>
        </c:scaling>
        <c:axPos val="b"/>
        <c:tickLblPos val="nextTo"/>
        <c:crossAx val="131732992"/>
        <c:crosses val="autoZero"/>
        <c:auto val="1"/>
        <c:lblAlgn val="ctr"/>
        <c:lblOffset val="100"/>
      </c:catAx>
      <c:valAx>
        <c:axId val="131732992"/>
        <c:scaling>
          <c:orientation val="minMax"/>
        </c:scaling>
        <c:axPos val="l"/>
        <c:majorGridlines/>
        <c:numFmt formatCode="&quot;$&quot;#,##0" sourceLinked="1"/>
        <c:tickLblPos val="nextTo"/>
        <c:crossAx val="131731456"/>
        <c:crosses val="autoZero"/>
        <c:crossBetween val="between"/>
      </c:valAx>
    </c:plotArea>
    <c:legend>
      <c:legendPos val="r"/>
    </c:legend>
    <c:plotVisOnly val="1"/>
    <c:dispBlanksAs val="gap"/>
  </c:chart>
  <c:printSettings>
    <c:headerFooter/>
    <c:pageMargins b="0.75000000000000411" l="0.70000000000000062" r="0.70000000000000062" t="0.75000000000000411"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lang val="en-US"/>
  <c:chart>
    <c:title/>
    <c:plotArea>
      <c:layout/>
      <c:pieChart>
        <c:varyColors val="1"/>
        <c:ser>
          <c:idx val="0"/>
          <c:order val="0"/>
          <c:tx>
            <c:strRef>
              <c:f>'ARCT 4-12 inquiry - background'!$C$87</c:f>
              <c:strCache>
                <c:ptCount val="1"/>
                <c:pt idx="0">
                  <c:v>2010</c:v>
                </c:pt>
              </c:strCache>
            </c:strRef>
          </c:tx>
          <c:dLbls>
            <c:showVal val="1"/>
            <c:showLeaderLines val="1"/>
          </c:dLbls>
          <c:cat>
            <c:strRef>
              <c:f>'ARCT 4-12 inquiry - background'!$A$89:$A$90</c:f>
              <c:strCache>
                <c:ptCount val="2"/>
                <c:pt idx="0">
                  <c:v>Internal funds</c:v>
                </c:pt>
                <c:pt idx="1">
                  <c:v>ARCT funds</c:v>
                </c:pt>
              </c:strCache>
            </c:strRef>
          </c:cat>
          <c:val>
            <c:numRef>
              <c:f>'ARCT 4-12 inquiry - background'!$C$89:$C$90</c:f>
              <c:numCache>
                <c:formatCode>0%</c:formatCode>
                <c:ptCount val="2"/>
                <c:pt idx="0">
                  <c:v>0.51812080536912752</c:v>
                </c:pt>
                <c:pt idx="1">
                  <c:v>0.48187919463087248</c:v>
                </c:pt>
              </c:numCache>
            </c:numRef>
          </c:val>
        </c:ser>
        <c:firstSliceAng val="0"/>
      </c:pieChart>
    </c:plotArea>
    <c:legend>
      <c:legendPos val="r"/>
    </c:legend>
    <c:plotVisOnly val="1"/>
    <c:dispBlanksAs val="zero"/>
  </c:chart>
  <c:printSettings>
    <c:headerFooter/>
    <c:pageMargins b="0.75000000000000411" l="0.70000000000000062" r="0.70000000000000062" t="0.75000000000000411" header="0.30000000000000032" footer="0.3000000000000003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lang val="en-US"/>
  <c:chart>
    <c:title/>
    <c:plotArea>
      <c:layout/>
      <c:pieChart>
        <c:varyColors val="1"/>
        <c:ser>
          <c:idx val="0"/>
          <c:order val="0"/>
          <c:tx>
            <c:strRef>
              <c:f>'ARCT 4-12 inquiry - background'!$E$87</c:f>
              <c:strCache>
                <c:ptCount val="1"/>
                <c:pt idx="0">
                  <c:v>2011</c:v>
                </c:pt>
              </c:strCache>
            </c:strRef>
          </c:tx>
          <c:dLbls>
            <c:dLbl>
              <c:idx val="0"/>
              <c:showVal val="1"/>
            </c:dLbl>
            <c:dLbl>
              <c:idx val="1"/>
              <c:showVal val="1"/>
            </c:dLbl>
            <c:delete val="1"/>
          </c:dLbls>
          <c:cat>
            <c:strRef>
              <c:f>'ARCT 4-12 inquiry - background'!$A$89:$A$90</c:f>
              <c:strCache>
                <c:ptCount val="2"/>
                <c:pt idx="0">
                  <c:v>Internal funds</c:v>
                </c:pt>
                <c:pt idx="1">
                  <c:v>ARCT funds</c:v>
                </c:pt>
              </c:strCache>
            </c:strRef>
          </c:cat>
          <c:val>
            <c:numRef>
              <c:f>'ARCT 4-12 inquiry - background'!$E$89:$E$90</c:f>
              <c:numCache>
                <c:formatCode>0%</c:formatCode>
                <c:ptCount val="2"/>
                <c:pt idx="0">
                  <c:v>0.620253164556962</c:v>
                </c:pt>
                <c:pt idx="1">
                  <c:v>0.379746835443038</c:v>
                </c:pt>
              </c:numCache>
            </c:numRef>
          </c:val>
        </c:ser>
        <c:firstSliceAng val="0"/>
      </c:pieChart>
    </c:plotArea>
    <c:legend>
      <c:legendPos val="r"/>
    </c:legend>
    <c:plotVisOnly val="1"/>
    <c:dispBlanksAs val="zero"/>
  </c:chart>
  <c:printSettings>
    <c:headerFooter/>
    <c:pageMargins b="0.75000000000000411" l="0.70000000000000062" r="0.70000000000000062" t="0.75000000000000411" header="0.30000000000000032" footer="0.3000000000000003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lang val="en-US"/>
  <c:pivotSource>
    <c:name>[Disaster Responses - Master Response Log.xlsx]MRL Analysis (2)!MRL Analysis - Undesignated Funds 2012 - 2007</c:name>
    <c:fmtId val="17"/>
  </c:pivotSource>
  <c:chart>
    <c:title>
      <c:tx>
        <c:rich>
          <a:bodyPr/>
          <a:lstStyle/>
          <a:p>
            <a:pPr>
              <a:defRPr/>
            </a:pPr>
            <a:r>
              <a:rPr lang="en-US" sz="1600"/>
              <a:t>Total</a:t>
            </a:r>
            <a:r>
              <a:rPr lang="en-US" sz="1600" baseline="0"/>
              <a:t> ARC Contributions to Undesignated Disasters, by region, </a:t>
            </a:r>
          </a:p>
          <a:p>
            <a:pPr>
              <a:defRPr/>
            </a:pPr>
            <a:r>
              <a:rPr lang="en-US" sz="1600" baseline="0"/>
              <a:t>2007-2011</a:t>
            </a:r>
            <a:endParaRPr lang="en-US" sz="1600"/>
          </a:p>
        </c:rich>
      </c:tx>
    </c:title>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s>
    <c:plotArea>
      <c:layout/>
      <c:barChart>
        <c:barDir val="col"/>
        <c:grouping val="stacked"/>
        <c:ser>
          <c:idx val="0"/>
          <c:order val="0"/>
          <c:tx>
            <c:strRef>
              <c:f>'MRL Analysis (2)'!$B$6:$B$7</c:f>
              <c:strCache>
                <c:ptCount val="1"/>
                <c:pt idx="0">
                  <c:v>Conflict</c:v>
                </c:pt>
              </c:strCache>
            </c:strRef>
          </c:tx>
          <c:cat>
            <c:strRef>
              <c:f>'MRL Analysis (2)'!$A$8:$A$11</c:f>
              <c:strCache>
                <c:ptCount val="3"/>
                <c:pt idx="0">
                  <c:v>Africa</c:v>
                </c:pt>
                <c:pt idx="1">
                  <c:v>Europe/Asia</c:v>
                </c:pt>
                <c:pt idx="2">
                  <c:v>LAC</c:v>
                </c:pt>
              </c:strCache>
            </c:strRef>
          </c:cat>
          <c:val>
            <c:numRef>
              <c:f>'MRL Analysis (2)'!$B$8:$B$11</c:f>
              <c:numCache>
                <c:formatCode>General</c:formatCode>
                <c:ptCount val="3"/>
                <c:pt idx="0">
                  <c:v>50000</c:v>
                </c:pt>
                <c:pt idx="1">
                  <c:v>730000</c:v>
                </c:pt>
              </c:numCache>
            </c:numRef>
          </c:val>
        </c:ser>
        <c:ser>
          <c:idx val="1"/>
          <c:order val="1"/>
          <c:tx>
            <c:strRef>
              <c:f>'MRL Analysis (2)'!$C$6:$C$7</c:f>
              <c:strCache>
                <c:ptCount val="1"/>
                <c:pt idx="0">
                  <c:v>Cyclone</c:v>
                </c:pt>
              </c:strCache>
            </c:strRef>
          </c:tx>
          <c:cat>
            <c:strRef>
              <c:f>'MRL Analysis (2)'!$A$8:$A$11</c:f>
              <c:strCache>
                <c:ptCount val="3"/>
                <c:pt idx="0">
                  <c:v>Africa</c:v>
                </c:pt>
                <c:pt idx="1">
                  <c:v>Europe/Asia</c:v>
                </c:pt>
                <c:pt idx="2">
                  <c:v>LAC</c:v>
                </c:pt>
              </c:strCache>
            </c:strRef>
          </c:cat>
          <c:val>
            <c:numRef>
              <c:f>'MRL Analysis (2)'!$C$8:$C$11</c:f>
              <c:numCache>
                <c:formatCode>General</c:formatCode>
                <c:ptCount val="3"/>
                <c:pt idx="2">
                  <c:v>259500</c:v>
                </c:pt>
              </c:numCache>
            </c:numRef>
          </c:val>
        </c:ser>
        <c:ser>
          <c:idx val="2"/>
          <c:order val="2"/>
          <c:tx>
            <c:strRef>
              <c:f>'MRL Analysis (2)'!$D$6:$D$7</c:f>
              <c:strCache>
                <c:ptCount val="1"/>
                <c:pt idx="0">
                  <c:v>Drought</c:v>
                </c:pt>
              </c:strCache>
            </c:strRef>
          </c:tx>
          <c:cat>
            <c:strRef>
              <c:f>'MRL Analysis (2)'!$A$8:$A$11</c:f>
              <c:strCache>
                <c:ptCount val="3"/>
                <c:pt idx="0">
                  <c:v>Africa</c:v>
                </c:pt>
                <c:pt idx="1">
                  <c:v>Europe/Asia</c:v>
                </c:pt>
                <c:pt idx="2">
                  <c:v>LAC</c:v>
                </c:pt>
              </c:strCache>
            </c:strRef>
          </c:cat>
          <c:val>
            <c:numRef>
              <c:f>'MRL Analysis (2)'!$D$8:$D$11</c:f>
              <c:numCache>
                <c:formatCode>General</c:formatCode>
                <c:ptCount val="3"/>
                <c:pt idx="0">
                  <c:v>100000</c:v>
                </c:pt>
              </c:numCache>
            </c:numRef>
          </c:val>
        </c:ser>
        <c:ser>
          <c:idx val="3"/>
          <c:order val="3"/>
          <c:tx>
            <c:strRef>
              <c:f>'MRL Analysis (2)'!$E$6:$E$7</c:f>
              <c:strCache>
                <c:ptCount val="1"/>
                <c:pt idx="0">
                  <c:v>Earthquake</c:v>
                </c:pt>
              </c:strCache>
            </c:strRef>
          </c:tx>
          <c:cat>
            <c:strRef>
              <c:f>'MRL Analysis (2)'!$A$8:$A$11</c:f>
              <c:strCache>
                <c:ptCount val="3"/>
                <c:pt idx="0">
                  <c:v>Africa</c:v>
                </c:pt>
                <c:pt idx="1">
                  <c:v>Europe/Asia</c:v>
                </c:pt>
                <c:pt idx="2">
                  <c:v>LAC</c:v>
                </c:pt>
              </c:strCache>
            </c:strRef>
          </c:cat>
          <c:val>
            <c:numRef>
              <c:f>'MRL Analysis (2)'!$E$8:$E$11</c:f>
              <c:numCache>
                <c:formatCode>General</c:formatCode>
                <c:ptCount val="3"/>
                <c:pt idx="1">
                  <c:v>103000</c:v>
                </c:pt>
              </c:numCache>
            </c:numRef>
          </c:val>
        </c:ser>
        <c:ser>
          <c:idx val="4"/>
          <c:order val="4"/>
          <c:tx>
            <c:strRef>
              <c:f>'MRL Analysis (2)'!$F$6:$F$7</c:f>
              <c:strCache>
                <c:ptCount val="1"/>
                <c:pt idx="0">
                  <c:v>Floods</c:v>
                </c:pt>
              </c:strCache>
            </c:strRef>
          </c:tx>
          <c:cat>
            <c:strRef>
              <c:f>'MRL Analysis (2)'!$A$8:$A$11</c:f>
              <c:strCache>
                <c:ptCount val="3"/>
                <c:pt idx="0">
                  <c:v>Africa</c:v>
                </c:pt>
                <c:pt idx="1">
                  <c:v>Europe/Asia</c:v>
                </c:pt>
                <c:pt idx="2">
                  <c:v>LAC</c:v>
                </c:pt>
              </c:strCache>
            </c:strRef>
          </c:cat>
          <c:val>
            <c:numRef>
              <c:f>'MRL Analysis (2)'!$F$8:$F$11</c:f>
              <c:numCache>
                <c:formatCode>General</c:formatCode>
                <c:ptCount val="3"/>
                <c:pt idx="0">
                  <c:v>137370</c:v>
                </c:pt>
                <c:pt idx="1">
                  <c:v>391500</c:v>
                </c:pt>
                <c:pt idx="2">
                  <c:v>446812</c:v>
                </c:pt>
              </c:numCache>
            </c:numRef>
          </c:val>
        </c:ser>
        <c:ser>
          <c:idx val="5"/>
          <c:order val="5"/>
          <c:tx>
            <c:strRef>
              <c:f>'MRL Analysis (2)'!$G$6:$G$7</c:f>
              <c:strCache>
                <c:ptCount val="1"/>
                <c:pt idx="0">
                  <c:v>Storm</c:v>
                </c:pt>
              </c:strCache>
            </c:strRef>
          </c:tx>
          <c:cat>
            <c:strRef>
              <c:f>'MRL Analysis (2)'!$A$8:$A$11</c:f>
              <c:strCache>
                <c:ptCount val="3"/>
                <c:pt idx="0">
                  <c:v>Africa</c:v>
                </c:pt>
                <c:pt idx="1">
                  <c:v>Europe/Asia</c:v>
                </c:pt>
                <c:pt idx="2">
                  <c:v>LAC</c:v>
                </c:pt>
              </c:strCache>
            </c:strRef>
          </c:cat>
          <c:val>
            <c:numRef>
              <c:f>'MRL Analysis (2)'!$G$8:$G$11</c:f>
              <c:numCache>
                <c:formatCode>General</c:formatCode>
                <c:ptCount val="3"/>
                <c:pt idx="0">
                  <c:v>50000</c:v>
                </c:pt>
                <c:pt idx="2">
                  <c:v>1323487</c:v>
                </c:pt>
              </c:numCache>
            </c:numRef>
          </c:val>
        </c:ser>
        <c:ser>
          <c:idx val="6"/>
          <c:order val="6"/>
          <c:tx>
            <c:strRef>
              <c:f>'MRL Analysis (2)'!$H$6:$H$7</c:f>
              <c:strCache>
                <c:ptCount val="1"/>
                <c:pt idx="0">
                  <c:v>Tropical Storm</c:v>
                </c:pt>
              </c:strCache>
            </c:strRef>
          </c:tx>
          <c:cat>
            <c:strRef>
              <c:f>'MRL Analysis (2)'!$A$8:$A$11</c:f>
              <c:strCache>
                <c:ptCount val="3"/>
                <c:pt idx="0">
                  <c:v>Africa</c:v>
                </c:pt>
                <c:pt idx="1">
                  <c:v>Europe/Asia</c:v>
                </c:pt>
                <c:pt idx="2">
                  <c:v>LAC</c:v>
                </c:pt>
              </c:strCache>
            </c:strRef>
          </c:cat>
          <c:val>
            <c:numRef>
              <c:f>'MRL Analysis (2)'!$H$8:$H$11</c:f>
              <c:numCache>
                <c:formatCode>General</c:formatCode>
                <c:ptCount val="3"/>
                <c:pt idx="1">
                  <c:v>80000</c:v>
                </c:pt>
                <c:pt idx="2">
                  <c:v>405000</c:v>
                </c:pt>
              </c:numCache>
            </c:numRef>
          </c:val>
        </c:ser>
        <c:gapWidth val="55"/>
        <c:overlap val="100"/>
        <c:axId val="132846720"/>
        <c:axId val="132848256"/>
      </c:barChart>
      <c:catAx>
        <c:axId val="132846720"/>
        <c:scaling>
          <c:orientation val="minMax"/>
        </c:scaling>
        <c:axPos val="b"/>
        <c:majorTickMark val="none"/>
        <c:tickLblPos val="nextTo"/>
        <c:crossAx val="132848256"/>
        <c:crosses val="autoZero"/>
        <c:auto val="1"/>
        <c:lblAlgn val="ctr"/>
        <c:lblOffset val="100"/>
      </c:catAx>
      <c:valAx>
        <c:axId val="132848256"/>
        <c:scaling>
          <c:orientation val="minMax"/>
        </c:scaling>
        <c:axPos val="l"/>
        <c:majorGridlines/>
        <c:numFmt formatCode="&quot;$&quot;#,##0" sourceLinked="0"/>
        <c:majorTickMark val="none"/>
        <c:tickLblPos val="nextTo"/>
        <c:crossAx val="132846720"/>
        <c:crosses val="autoZero"/>
        <c:crossBetween val="between"/>
      </c:valAx>
    </c:plotArea>
    <c:legend>
      <c:legendPos val="r"/>
      <c:layout>
        <c:manualLayout>
          <c:xMode val="edge"/>
          <c:yMode val="edge"/>
          <c:x val="0.83808208778772841"/>
          <c:y val="0.16572803443567941"/>
          <c:w val="0.14706979809342324"/>
          <c:h val="0.35058244222989737"/>
        </c:manualLayout>
      </c:layout>
    </c:legend>
    <c:plotVisOnly val="1"/>
    <c:dispBlanksAs val="gap"/>
  </c:chart>
  <c:printSettings>
    <c:headerFooter/>
    <c:pageMargins b="0.75000000000000799" l="0.70000000000000062" r="0.70000000000000062" t="0.75000000000000799" header="0.30000000000000032" footer="0.3000000000000003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lang val="en-US"/>
  <c:pivotSource>
    <c:name>[Disaster Responses - Master Response Log.xlsx]MRL Analysis (2)!PivotTable1</c:name>
    <c:fmtId val="2"/>
  </c:pivotSource>
  <c:chart>
    <c:title>
      <c:tx>
        <c:rich>
          <a:bodyPr/>
          <a:lstStyle/>
          <a:p>
            <a:pPr>
              <a:defRPr sz="1600"/>
            </a:pPr>
            <a:r>
              <a:rPr lang="en-US" sz="1600" baseline="0"/>
              <a:t>Appeal Amount and ARC contribution by disaster type and region, 2007-2011</a:t>
            </a:r>
            <a:endParaRPr lang="en-US" sz="1600"/>
          </a:p>
        </c:rich>
      </c:tx>
    </c:title>
    <c:pivotFmts>
      <c:pivotFmt>
        <c:idx val="0"/>
        <c:marker>
          <c:symbol val="none"/>
        </c:marker>
      </c:pivotFmt>
      <c:pivotFmt>
        <c:idx val="1"/>
        <c:marker>
          <c:symbol val="none"/>
        </c:marker>
      </c:pivotFmt>
      <c:pivotFmt>
        <c:idx val="2"/>
        <c:marker>
          <c:symbol val="none"/>
        </c:marker>
        <c:dLbl>
          <c:idx val="0"/>
          <c:delete val="1"/>
        </c:dLbl>
      </c:pivotFmt>
      <c:pivotFmt>
        <c:idx val="3"/>
        <c:marker>
          <c:symbol val="none"/>
        </c:marker>
        <c:dLbl>
          <c:idx val="0"/>
          <c:delete val="1"/>
        </c:dLbl>
      </c:pivotFmt>
      <c:pivotFmt>
        <c:idx val="4"/>
        <c:marker>
          <c:symbol val="none"/>
        </c:marker>
      </c:pivotFmt>
      <c:pivotFmt>
        <c:idx val="5"/>
        <c:marker>
          <c:symbol val="none"/>
        </c:marker>
        <c:dLbl>
          <c:idx val="0"/>
          <c:delete val="1"/>
        </c:dLbl>
      </c:pivotFmt>
      <c:pivotFmt>
        <c:idx val="6"/>
        <c:marker>
          <c:symbol val="none"/>
        </c:marker>
        <c:dLbl>
          <c:idx val="0"/>
          <c:delete val="1"/>
        </c:dLbl>
      </c:pivotFmt>
      <c:pivotFmt>
        <c:idx val="7"/>
        <c:marker>
          <c:symbol val="none"/>
        </c:marker>
        <c:dLbl>
          <c:idx val="0"/>
          <c:delete val="1"/>
        </c:dLbl>
      </c:pivotFmt>
      <c:pivotFmt>
        <c:idx val="8"/>
        <c:marker>
          <c:symbol val="none"/>
        </c:marker>
        <c:dLbl>
          <c:idx val="0"/>
          <c:delete val="1"/>
        </c:dLbl>
      </c:pivotFmt>
      <c:pivotFmt>
        <c:idx val="9"/>
        <c:marker>
          <c:symbol val="none"/>
        </c:marker>
        <c:dLbl>
          <c:idx val="0"/>
          <c:delete val="1"/>
        </c:dLbl>
      </c:pivotFmt>
      <c:pivotFmt>
        <c:idx val="10"/>
        <c:marker>
          <c:symbol val="none"/>
        </c:marker>
        <c:dLbl>
          <c:idx val="0"/>
          <c:delete val="1"/>
        </c:dLbl>
      </c:pivotFmt>
      <c:pivotFmt>
        <c:idx val="11"/>
        <c:marker>
          <c:symbol val="none"/>
        </c:marker>
        <c:dLbl>
          <c:idx val="0"/>
          <c:delete val="1"/>
        </c:dLbl>
      </c:pivotFmt>
      <c:pivotFmt>
        <c:idx val="12"/>
        <c:marker>
          <c:symbol val="none"/>
        </c:marker>
        <c:dLbl>
          <c:idx val="0"/>
          <c:delete val="1"/>
        </c:dLbl>
      </c:pivotFmt>
      <c:pivotFmt>
        <c:idx val="13"/>
        <c:marker>
          <c:symbol val="none"/>
        </c:marker>
        <c:dLbl>
          <c:idx val="0"/>
          <c:delete val="1"/>
        </c:dLbl>
      </c:pivotFmt>
      <c:pivotFmt>
        <c:idx val="14"/>
        <c:marker>
          <c:symbol val="none"/>
        </c:marker>
        <c:dLbl>
          <c:idx val="0"/>
          <c:delete val="1"/>
        </c:dLbl>
      </c:pivotFmt>
      <c:pivotFmt>
        <c:idx val="15"/>
        <c:marker>
          <c:symbol val="none"/>
        </c:marker>
        <c:dLbl>
          <c:idx val="0"/>
          <c:delete val="1"/>
        </c:dLbl>
      </c:pivotFmt>
      <c:pivotFmt>
        <c:idx val="16"/>
        <c:marker>
          <c:symbol val="none"/>
        </c:marker>
        <c:dLbl>
          <c:idx val="0"/>
          <c:delete val="1"/>
        </c:dLbl>
      </c:pivotFmt>
      <c:pivotFmt>
        <c:idx val="17"/>
        <c:marker>
          <c:symbol val="none"/>
        </c:marker>
        <c:dLbl>
          <c:idx val="0"/>
          <c:delete val="1"/>
        </c:dLbl>
      </c:pivotFmt>
      <c:pivotFmt>
        <c:idx val="18"/>
        <c:marker>
          <c:symbol val="none"/>
        </c:marker>
        <c:dLbl>
          <c:idx val="0"/>
          <c:delete val="1"/>
        </c:dLbl>
      </c:pivotFmt>
      <c:pivotFmt>
        <c:idx val="19"/>
        <c:marker>
          <c:symbol val="none"/>
        </c:marker>
        <c:dLbl>
          <c:idx val="0"/>
          <c:delete val="1"/>
        </c:dLbl>
      </c:pivotFmt>
      <c:pivotFmt>
        <c:idx val="20"/>
        <c:marker>
          <c:symbol val="none"/>
        </c:marker>
        <c:dLbl>
          <c:idx val="0"/>
          <c:delete val="1"/>
        </c:dLbl>
      </c:pivotFmt>
      <c:pivotFmt>
        <c:idx val="21"/>
        <c:marker>
          <c:symbol val="none"/>
        </c:marker>
        <c:dLbl>
          <c:idx val="0"/>
          <c:delete val="1"/>
        </c:dLbl>
      </c:pivotFmt>
      <c:pivotFmt>
        <c:idx val="22"/>
        <c:marker>
          <c:symbol val="none"/>
        </c:marker>
        <c:dLbl>
          <c:idx val="0"/>
          <c:delete val="1"/>
        </c:dLbl>
      </c:pivotFmt>
      <c:pivotFmt>
        <c:idx val="23"/>
        <c:marker>
          <c:symbol val="none"/>
        </c:marker>
        <c:dLbl>
          <c:idx val="0"/>
          <c:delete val="1"/>
        </c:dLbl>
      </c:pivotFmt>
      <c:pivotFmt>
        <c:idx val="24"/>
        <c:marker>
          <c:symbol val="none"/>
        </c:marker>
        <c:dLbl>
          <c:idx val="0"/>
          <c:delete val="1"/>
        </c:dLbl>
      </c:pivotFmt>
      <c:pivotFmt>
        <c:idx val="25"/>
        <c:marker>
          <c:symbol val="none"/>
        </c:marker>
        <c:dLbl>
          <c:idx val="0"/>
          <c:delete val="1"/>
        </c:dLbl>
      </c:pivotFmt>
      <c:pivotFmt>
        <c:idx val="26"/>
        <c:marker>
          <c:symbol val="none"/>
        </c:marker>
        <c:dLbl>
          <c:idx val="0"/>
          <c:delete val="1"/>
        </c:dLbl>
      </c:pivotFmt>
      <c:pivotFmt>
        <c:idx val="27"/>
        <c:marker>
          <c:symbol val="none"/>
        </c:marker>
        <c:dLbl>
          <c:idx val="0"/>
          <c:delete val="1"/>
        </c:dLbl>
      </c:pivotFmt>
      <c:pivotFmt>
        <c:idx val="28"/>
        <c:marker>
          <c:symbol val="none"/>
        </c:marker>
        <c:dLbl>
          <c:idx val="0"/>
          <c:delete val="1"/>
        </c:dLbl>
      </c:pivotFmt>
      <c:pivotFmt>
        <c:idx val="29"/>
        <c:marker>
          <c:symbol val="none"/>
        </c:marker>
        <c:dLbl>
          <c:idx val="0"/>
          <c:delete val="1"/>
        </c:dLbl>
      </c:pivotFmt>
      <c:pivotFmt>
        <c:idx val="30"/>
        <c:marker>
          <c:symbol val="none"/>
        </c:marker>
        <c:dLbl>
          <c:idx val="0"/>
          <c:delete val="1"/>
        </c:dLbl>
      </c:pivotFmt>
      <c:pivotFmt>
        <c:idx val="31"/>
        <c:marker>
          <c:symbol val="none"/>
        </c:marker>
        <c:dLbl>
          <c:idx val="0"/>
          <c:delete val="1"/>
        </c:dLbl>
      </c:pivotFmt>
      <c:pivotFmt>
        <c:idx val="32"/>
        <c:marker>
          <c:symbol val="none"/>
        </c:marker>
        <c:dLbl>
          <c:idx val="0"/>
          <c:delete val="1"/>
        </c:dLbl>
      </c:pivotFmt>
      <c:pivotFmt>
        <c:idx val="33"/>
        <c:marker>
          <c:symbol val="none"/>
        </c:marker>
        <c:dLbl>
          <c:idx val="0"/>
          <c:delete val="1"/>
        </c:dLbl>
      </c:pivotFmt>
      <c:pivotFmt>
        <c:idx val="34"/>
        <c:marker>
          <c:symbol val="none"/>
        </c:marker>
        <c:dLbl>
          <c:idx val="0"/>
          <c:delete val="1"/>
        </c:dLbl>
      </c:pivotFmt>
      <c:pivotFmt>
        <c:idx val="35"/>
        <c:marker>
          <c:symbol val="none"/>
        </c:marker>
      </c:pivotFmt>
      <c:pivotFmt>
        <c:idx val="36"/>
        <c:marker>
          <c:symbol val="none"/>
        </c:marker>
      </c:pivotFmt>
      <c:pivotFmt>
        <c:idx val="37"/>
        <c:marker>
          <c:symbol val="none"/>
        </c:marker>
      </c:pivotFmt>
      <c:pivotFmt>
        <c:idx val="38"/>
        <c:marker>
          <c:symbol val="none"/>
        </c:marker>
        <c:dLbl>
          <c:idx val="0"/>
          <c:spPr/>
          <c:txPr>
            <a:bodyPr/>
            <a:lstStyle/>
            <a:p>
              <a:pPr>
                <a:defRPr sz="1200" b="1">
                  <a:solidFill>
                    <a:srgbClr val="92D050"/>
                  </a:solidFill>
                </a:defRPr>
              </a:pPr>
              <a:endParaRPr lang="en-US"/>
            </a:p>
          </c:txPr>
          <c:dLblPos val="ctr"/>
          <c:showVal val="1"/>
        </c:dLbl>
      </c:pivotFmt>
      <c:pivotFmt>
        <c:idx val="39"/>
        <c:dLbl>
          <c:idx val="0"/>
          <c:layout>
            <c:manualLayout>
              <c:x val="0"/>
              <c:y val="-2.3068050749711588E-2"/>
            </c:manualLayout>
          </c:layout>
          <c:dLblPos val="ctr"/>
          <c:showVal val="1"/>
        </c:dLbl>
      </c:pivotFmt>
      <c:pivotFmt>
        <c:idx val="40"/>
        <c:dLbl>
          <c:idx val="0"/>
          <c:layout>
            <c:manualLayout>
              <c:x val="0"/>
              <c:y val="-2.7681660899654403E-2"/>
            </c:manualLayout>
          </c:layout>
          <c:dLblPos val="ctr"/>
          <c:showVal val="1"/>
        </c:dLbl>
      </c:pivotFmt>
      <c:pivotFmt>
        <c:idx val="41"/>
        <c:dLbl>
          <c:idx val="0"/>
          <c:layout>
            <c:manualLayout>
              <c:x val="0"/>
              <c:y val="-2.7681660899654403E-2"/>
            </c:manualLayout>
          </c:layout>
          <c:dLblPos val="ctr"/>
          <c:showVal val="1"/>
        </c:dLbl>
      </c:pivotFmt>
      <c:pivotFmt>
        <c:idx val="42"/>
        <c:dLbl>
          <c:idx val="0"/>
          <c:layout>
            <c:manualLayout>
              <c:x val="-9.0955021631255957E-17"/>
              <c:y val="-2.7681660899654459E-2"/>
            </c:manualLayout>
          </c:layout>
          <c:dLblPos val="ctr"/>
          <c:showVal val="1"/>
        </c:dLbl>
      </c:pivotFmt>
      <c:pivotFmt>
        <c:idx val="43"/>
        <c:dLbl>
          <c:idx val="0"/>
          <c:layout>
            <c:manualLayout>
              <c:x val="0"/>
              <c:y val="-2.53748558246829E-2"/>
            </c:manualLayout>
          </c:layout>
          <c:dLblPos val="ctr"/>
          <c:showVal val="1"/>
        </c:dLbl>
      </c:pivotFmt>
      <c:pivotFmt>
        <c:idx val="44"/>
        <c:dLbl>
          <c:idx val="0"/>
          <c:layout>
            <c:manualLayout>
              <c:x val="2.4806201550387611E-3"/>
              <c:y val="-2.5374855824682813E-2"/>
            </c:manualLayout>
          </c:layout>
          <c:dLblPos val="ctr"/>
          <c:showVal val="1"/>
        </c:dLbl>
      </c:pivotFmt>
      <c:pivotFmt>
        <c:idx val="45"/>
        <c:dLbl>
          <c:idx val="0"/>
          <c:layout>
            <c:manualLayout>
              <c:x val="0"/>
              <c:y val="-2.3068050749711733E-2"/>
            </c:manualLayout>
          </c:layout>
          <c:dLblPos val="ctr"/>
          <c:showVal val="1"/>
        </c:dLbl>
      </c:pivotFmt>
      <c:pivotFmt>
        <c:idx val="46"/>
        <c:dLbl>
          <c:idx val="0"/>
          <c:layout>
            <c:manualLayout>
              <c:x val="0"/>
              <c:y val="-2.0761245674740789E-2"/>
            </c:manualLayout>
          </c:layout>
          <c:dLblPos val="ctr"/>
          <c:showVal val="1"/>
        </c:dLbl>
      </c:pivotFmt>
      <c:pivotFmt>
        <c:idx val="47"/>
        <c:dLbl>
          <c:idx val="0"/>
          <c:layout>
            <c:manualLayout>
              <c:x val="0"/>
              <c:y val="-1.6147635524798153E-2"/>
            </c:manualLayout>
          </c:layout>
          <c:dLblPos val="ctr"/>
          <c:showVal val="1"/>
        </c:dLbl>
      </c:pivotFmt>
      <c:pivotFmt>
        <c:idx val="48"/>
        <c:dLbl>
          <c:idx val="0"/>
          <c:layout>
            <c:manualLayout>
              <c:x val="0"/>
              <c:y val="-1.845444059976932E-2"/>
            </c:manualLayout>
          </c:layout>
          <c:dLblPos val="ctr"/>
          <c:showVal val="1"/>
        </c:dLbl>
      </c:pivotFmt>
      <c:pivotFmt>
        <c:idx val="49"/>
        <c:dLbl>
          <c:idx val="0"/>
          <c:layout>
            <c:manualLayout>
              <c:x val="2.4806201550387611E-3"/>
              <c:y val="-2.7681660899654546E-2"/>
            </c:manualLayout>
          </c:layout>
          <c:dLblPos val="ctr"/>
          <c:showVal val="1"/>
        </c:dLbl>
      </c:pivotFmt>
      <c:pivotFmt>
        <c:idx val="50"/>
        <c:dLbl>
          <c:idx val="0"/>
          <c:layout>
            <c:manualLayout>
              <c:x val="1.2403100775193801E-3"/>
              <c:y val="-2.0761245674740789E-2"/>
            </c:manualLayout>
          </c:layout>
          <c:dLblPos val="ctr"/>
          <c:showVal val="1"/>
        </c:dLbl>
      </c:pivotFmt>
      <c:pivotFmt>
        <c:idx val="51"/>
        <c:dLbl>
          <c:idx val="0"/>
          <c:layout>
            <c:manualLayout>
              <c:x val="0"/>
              <c:y val="-2.0761245674740875E-2"/>
            </c:manualLayout>
          </c:layout>
          <c:dLblPos val="ctr"/>
          <c:showVal val="1"/>
        </c:dLbl>
      </c:pivotFmt>
      <c:pivotFmt>
        <c:idx val="52"/>
        <c:dLbl>
          <c:idx val="0"/>
          <c:layout>
            <c:manualLayout>
              <c:x val="0"/>
              <c:y val="-2.3068050749711588E-2"/>
            </c:manualLayout>
          </c:layout>
          <c:dLblPos val="ctr"/>
          <c:showVal val="1"/>
        </c:dLbl>
      </c:pivotFmt>
      <c:pivotFmt>
        <c:idx val="53"/>
        <c:dLbl>
          <c:idx val="0"/>
          <c:layout>
            <c:manualLayout>
              <c:x val="0"/>
              <c:y val="-2.3068050749711588E-2"/>
            </c:manualLayout>
          </c:layout>
          <c:dLblPos val="ctr"/>
          <c:showVal val="1"/>
        </c:dLbl>
      </c:pivotFmt>
      <c:pivotFmt>
        <c:idx val="54"/>
        <c:dLbl>
          <c:idx val="0"/>
          <c:layout>
            <c:manualLayout>
              <c:x val="0"/>
              <c:y val="-1.3840830449827365E-2"/>
            </c:manualLayout>
          </c:layout>
          <c:dLblPos val="ctr"/>
          <c:showVal val="1"/>
        </c:dLbl>
      </c:pivotFmt>
      <c:pivotFmt>
        <c:idx val="55"/>
        <c:dLbl>
          <c:idx val="0"/>
          <c:layout>
            <c:manualLayout>
              <c:x val="-1.1369377703906938E-17"/>
              <c:y val="-2.7681660899654459E-2"/>
            </c:manualLayout>
          </c:layout>
          <c:dLblPos val="ctr"/>
          <c:showVal val="1"/>
        </c:dLbl>
      </c:pivotFmt>
      <c:pivotFmt>
        <c:idx val="56"/>
        <c:marker>
          <c:symbol val="none"/>
        </c:marker>
        <c:dLbl>
          <c:idx val="0"/>
          <c:spPr/>
          <c:txPr>
            <a:bodyPr/>
            <a:lstStyle/>
            <a:p>
              <a:pPr>
                <a:defRPr/>
              </a:pPr>
              <a:endParaRPr lang="en-US"/>
            </a:p>
          </c:txPr>
          <c:showVal val="1"/>
        </c:dLbl>
      </c:pivotFmt>
    </c:pivotFmts>
    <c:plotArea>
      <c:layout/>
      <c:barChart>
        <c:barDir val="col"/>
        <c:grouping val="stacked"/>
        <c:ser>
          <c:idx val="0"/>
          <c:order val="0"/>
          <c:tx>
            <c:strRef>
              <c:f>'MRL Analysis (2)'!$B$45:$B$46</c:f>
              <c:strCache>
                <c:ptCount val="1"/>
                <c:pt idx="0">
                  <c:v>Sum of Appeal Amount</c:v>
                </c:pt>
              </c:strCache>
            </c:strRef>
          </c:tx>
          <c:dLbls>
            <c:delete val="1"/>
          </c:dLbls>
          <c:cat>
            <c:multiLvlStrRef>
              <c:f>'MRL Analysis (2)'!$A$47:$A$67</c:f>
              <c:multiLvlStrCache>
                <c:ptCount val="17"/>
                <c:lvl>
                  <c:pt idx="0">
                    <c:v>Conflict</c:v>
                  </c:pt>
                  <c:pt idx="1">
                    <c:v>Drought</c:v>
                  </c:pt>
                  <c:pt idx="2">
                    <c:v>Epidemic</c:v>
                  </c:pt>
                  <c:pt idx="3">
                    <c:v>Floods</c:v>
                  </c:pt>
                  <c:pt idx="4">
                    <c:v>Food Insecurity</c:v>
                  </c:pt>
                  <c:pt idx="5">
                    <c:v>Population Movement</c:v>
                  </c:pt>
                  <c:pt idx="6">
                    <c:v>Storm</c:v>
                  </c:pt>
                  <c:pt idx="7">
                    <c:v>Conflict</c:v>
                  </c:pt>
                  <c:pt idx="8">
                    <c:v>Earthquake</c:v>
                  </c:pt>
                  <c:pt idx="9">
                    <c:v>Epidemic</c:v>
                  </c:pt>
                  <c:pt idx="10">
                    <c:v>Floods</c:v>
                  </c:pt>
                  <c:pt idx="11">
                    <c:v>Tropical Storm</c:v>
                  </c:pt>
                  <c:pt idx="12">
                    <c:v>Tsunami</c:v>
                  </c:pt>
                  <c:pt idx="13">
                    <c:v>Tsunami &amp; Volcanic Eruption</c:v>
                  </c:pt>
                  <c:pt idx="14">
                    <c:v>Floods</c:v>
                  </c:pt>
                  <c:pt idx="15">
                    <c:v>Storm</c:v>
                  </c:pt>
                  <c:pt idx="16">
                    <c:v>Tropical Storm</c:v>
                  </c:pt>
                </c:lvl>
                <c:lvl>
                  <c:pt idx="0">
                    <c:v>Africa</c:v>
                  </c:pt>
                  <c:pt idx="7">
                    <c:v>Europe/Asia</c:v>
                  </c:pt>
                  <c:pt idx="14">
                    <c:v>LAC</c:v>
                  </c:pt>
                </c:lvl>
              </c:multiLvlStrCache>
            </c:multiLvlStrRef>
          </c:cat>
          <c:val>
            <c:numRef>
              <c:f>'MRL Analysis (2)'!$B$47:$B$67</c:f>
              <c:numCache>
                <c:formatCode>"$"#,##0</c:formatCode>
                <c:ptCount val="17"/>
                <c:pt idx="0">
                  <c:v>1437632</c:v>
                </c:pt>
                <c:pt idx="1">
                  <c:v>8427856</c:v>
                </c:pt>
                <c:pt idx="2">
                  <c:v>9200000</c:v>
                </c:pt>
                <c:pt idx="3">
                  <c:v>21221768</c:v>
                </c:pt>
                <c:pt idx="4">
                  <c:v>66586679</c:v>
                </c:pt>
                <c:pt idx="5">
                  <c:v>4340568</c:v>
                </c:pt>
                <c:pt idx="6">
                  <c:v>1000000</c:v>
                </c:pt>
                <c:pt idx="7">
                  <c:v>43402000</c:v>
                </c:pt>
                <c:pt idx="8">
                  <c:v>9880000</c:v>
                </c:pt>
                <c:pt idx="9">
                  <c:v>664175</c:v>
                </c:pt>
                <c:pt idx="10">
                  <c:v>178404065</c:v>
                </c:pt>
                <c:pt idx="11">
                  <c:v>8110000</c:v>
                </c:pt>
                <c:pt idx="12">
                  <c:v>2450000</c:v>
                </c:pt>
                <c:pt idx="13">
                  <c:v>2865860</c:v>
                </c:pt>
                <c:pt idx="14">
                  <c:v>2755609</c:v>
                </c:pt>
                <c:pt idx="15">
                  <c:v>11749645</c:v>
                </c:pt>
                <c:pt idx="16">
                  <c:v>1734279</c:v>
                </c:pt>
              </c:numCache>
            </c:numRef>
          </c:val>
        </c:ser>
        <c:ser>
          <c:idx val="1"/>
          <c:order val="1"/>
          <c:tx>
            <c:strRef>
              <c:f>'MRL Analysis (2)'!$C$45:$C$46</c:f>
              <c:strCache>
                <c:ptCount val="1"/>
                <c:pt idx="0">
                  <c:v>Sum of Total ARC Contributions</c:v>
                </c:pt>
              </c:strCache>
            </c:strRef>
          </c:tx>
          <c:dLbls>
            <c:delete val="1"/>
          </c:dLbls>
          <c:cat>
            <c:multiLvlStrRef>
              <c:f>'MRL Analysis (2)'!$A$47:$A$67</c:f>
              <c:multiLvlStrCache>
                <c:ptCount val="17"/>
                <c:lvl>
                  <c:pt idx="0">
                    <c:v>Conflict</c:v>
                  </c:pt>
                  <c:pt idx="1">
                    <c:v>Drought</c:v>
                  </c:pt>
                  <c:pt idx="2">
                    <c:v>Epidemic</c:v>
                  </c:pt>
                  <c:pt idx="3">
                    <c:v>Floods</c:v>
                  </c:pt>
                  <c:pt idx="4">
                    <c:v>Food Insecurity</c:v>
                  </c:pt>
                  <c:pt idx="5">
                    <c:v>Population Movement</c:v>
                  </c:pt>
                  <c:pt idx="6">
                    <c:v>Storm</c:v>
                  </c:pt>
                  <c:pt idx="7">
                    <c:v>Conflict</c:v>
                  </c:pt>
                  <c:pt idx="8">
                    <c:v>Earthquake</c:v>
                  </c:pt>
                  <c:pt idx="9">
                    <c:v>Epidemic</c:v>
                  </c:pt>
                  <c:pt idx="10">
                    <c:v>Floods</c:v>
                  </c:pt>
                  <c:pt idx="11">
                    <c:v>Tropical Storm</c:v>
                  </c:pt>
                  <c:pt idx="12">
                    <c:v>Tsunami</c:v>
                  </c:pt>
                  <c:pt idx="13">
                    <c:v>Tsunami &amp; Volcanic Eruption</c:v>
                  </c:pt>
                  <c:pt idx="14">
                    <c:v>Floods</c:v>
                  </c:pt>
                  <c:pt idx="15">
                    <c:v>Storm</c:v>
                  </c:pt>
                  <c:pt idx="16">
                    <c:v>Tropical Storm</c:v>
                  </c:pt>
                </c:lvl>
                <c:lvl>
                  <c:pt idx="0">
                    <c:v>Africa</c:v>
                  </c:pt>
                  <c:pt idx="7">
                    <c:v>Europe/Asia</c:v>
                  </c:pt>
                  <c:pt idx="14">
                    <c:v>LAC</c:v>
                  </c:pt>
                </c:lvl>
              </c:multiLvlStrCache>
            </c:multiLvlStrRef>
          </c:cat>
          <c:val>
            <c:numRef>
              <c:f>'MRL Analysis (2)'!$C$47:$C$67</c:f>
              <c:numCache>
                <c:formatCode>#,##0</c:formatCode>
                <c:ptCount val="17"/>
                <c:pt idx="0">
                  <c:v>50000</c:v>
                </c:pt>
                <c:pt idx="1">
                  <c:v>100000</c:v>
                </c:pt>
                <c:pt idx="2">
                  <c:v>100000</c:v>
                </c:pt>
                <c:pt idx="3">
                  <c:v>137370</c:v>
                </c:pt>
                <c:pt idx="4">
                  <c:v>0</c:v>
                </c:pt>
                <c:pt idx="5">
                  <c:v>150000</c:v>
                </c:pt>
                <c:pt idx="6">
                  <c:v>50000</c:v>
                </c:pt>
                <c:pt idx="7">
                  <c:v>730000</c:v>
                </c:pt>
                <c:pt idx="8">
                  <c:v>100000</c:v>
                </c:pt>
                <c:pt idx="9">
                  <c:v>50000</c:v>
                </c:pt>
                <c:pt idx="10">
                  <c:v>8591500</c:v>
                </c:pt>
                <c:pt idx="11">
                  <c:v>80000</c:v>
                </c:pt>
                <c:pt idx="12">
                  <c:v>100000</c:v>
                </c:pt>
                <c:pt idx="13">
                  <c:v>50000</c:v>
                </c:pt>
                <c:pt idx="14">
                  <c:v>139812</c:v>
                </c:pt>
                <c:pt idx="15">
                  <c:v>1300987</c:v>
                </c:pt>
                <c:pt idx="16">
                  <c:v>325000</c:v>
                </c:pt>
              </c:numCache>
            </c:numRef>
          </c:val>
        </c:ser>
        <c:ser>
          <c:idx val="2"/>
          <c:order val="2"/>
          <c:tx>
            <c:strRef>
              <c:f>'MRL Analysis (2)'!$D$45:$D$46</c:f>
              <c:strCache>
                <c:ptCount val="1"/>
                <c:pt idx="0">
                  <c:v># = Count of Disasters</c:v>
                </c:pt>
              </c:strCache>
            </c:strRef>
          </c:tx>
          <c:dLbls>
            <c:dLbl>
              <c:idx val="0"/>
              <c:layout>
                <c:manualLayout>
                  <c:x val="-1.1369377703906938E-17"/>
                  <c:y val="-2.7681660899654459E-2"/>
                </c:manualLayout>
              </c:layout>
              <c:dLblPos val="ctr"/>
              <c:showVal val="1"/>
            </c:dLbl>
            <c:dLbl>
              <c:idx val="1"/>
              <c:layout>
                <c:manualLayout>
                  <c:x val="0"/>
                  <c:y val="-1.3840830449827365E-2"/>
                </c:manualLayout>
              </c:layout>
              <c:dLblPos val="ctr"/>
              <c:showVal val="1"/>
            </c:dLbl>
            <c:dLbl>
              <c:idx val="2"/>
              <c:layout>
                <c:manualLayout>
                  <c:x val="0"/>
                  <c:y val="-2.3068050749711588E-2"/>
                </c:manualLayout>
              </c:layout>
              <c:dLblPos val="ctr"/>
              <c:showVal val="1"/>
            </c:dLbl>
            <c:dLbl>
              <c:idx val="3"/>
              <c:layout>
                <c:manualLayout>
                  <c:x val="0"/>
                  <c:y val="-2.3068050749711588E-2"/>
                </c:manualLayout>
              </c:layout>
              <c:dLblPos val="ctr"/>
              <c:showVal val="1"/>
            </c:dLbl>
            <c:dLbl>
              <c:idx val="4"/>
              <c:layout>
                <c:manualLayout>
                  <c:x val="0"/>
                  <c:y val="-2.0761245674740875E-2"/>
                </c:manualLayout>
              </c:layout>
              <c:dLblPos val="ctr"/>
              <c:showVal val="1"/>
            </c:dLbl>
            <c:dLbl>
              <c:idx val="5"/>
              <c:layout>
                <c:manualLayout>
                  <c:x val="1.2403100775193801E-3"/>
                  <c:y val="-2.0761245674740789E-2"/>
                </c:manualLayout>
              </c:layout>
              <c:dLblPos val="ctr"/>
              <c:showVal val="1"/>
            </c:dLbl>
            <c:dLbl>
              <c:idx val="6"/>
              <c:layout>
                <c:manualLayout>
                  <c:x val="2.4806201550387611E-3"/>
                  <c:y val="-2.7681660899654546E-2"/>
                </c:manualLayout>
              </c:layout>
              <c:dLblPos val="ctr"/>
              <c:showVal val="1"/>
            </c:dLbl>
            <c:dLbl>
              <c:idx val="7"/>
              <c:layout>
                <c:manualLayout>
                  <c:x val="0"/>
                  <c:y val="-1.845444059976932E-2"/>
                </c:manualLayout>
              </c:layout>
              <c:dLblPos val="ctr"/>
              <c:showVal val="1"/>
            </c:dLbl>
            <c:dLbl>
              <c:idx val="8"/>
              <c:layout>
                <c:manualLayout>
                  <c:x val="0"/>
                  <c:y val="-1.6147635524798153E-2"/>
                </c:manualLayout>
              </c:layout>
              <c:dLblPos val="ctr"/>
              <c:showVal val="1"/>
            </c:dLbl>
            <c:dLbl>
              <c:idx val="9"/>
              <c:layout>
                <c:manualLayout>
                  <c:x val="0"/>
                  <c:y val="-2.0761245674740789E-2"/>
                </c:manualLayout>
              </c:layout>
              <c:dLblPos val="ctr"/>
              <c:showVal val="1"/>
            </c:dLbl>
            <c:dLbl>
              <c:idx val="10"/>
              <c:layout>
                <c:manualLayout>
                  <c:x val="0"/>
                  <c:y val="-2.3068050749711588E-2"/>
                </c:manualLayout>
              </c:layout>
              <c:dLblPos val="ctr"/>
              <c:showVal val="1"/>
            </c:dLbl>
            <c:dLbl>
              <c:idx val="11"/>
              <c:layout>
                <c:manualLayout>
                  <c:x val="0"/>
                  <c:y val="-2.7681660899654403E-2"/>
                </c:manualLayout>
              </c:layout>
              <c:dLblPos val="ctr"/>
              <c:showVal val="1"/>
            </c:dLbl>
            <c:dLbl>
              <c:idx val="12"/>
              <c:layout>
                <c:manualLayout>
                  <c:x val="0"/>
                  <c:y val="-2.7681660899654403E-2"/>
                </c:manualLayout>
              </c:layout>
              <c:dLblPos val="ctr"/>
              <c:showVal val="1"/>
            </c:dLbl>
            <c:dLbl>
              <c:idx val="13"/>
              <c:layout>
                <c:manualLayout>
                  <c:x val="-9.0955021631255957E-17"/>
                  <c:y val="-2.7681660899654459E-2"/>
                </c:manualLayout>
              </c:layout>
              <c:dLblPos val="ctr"/>
              <c:showVal val="1"/>
            </c:dLbl>
            <c:dLbl>
              <c:idx val="14"/>
              <c:layout>
                <c:manualLayout>
                  <c:x val="0"/>
                  <c:y val="-2.53748558246829E-2"/>
                </c:manualLayout>
              </c:layout>
              <c:dLblPos val="ctr"/>
              <c:showVal val="1"/>
            </c:dLbl>
            <c:dLbl>
              <c:idx val="15"/>
              <c:layout>
                <c:manualLayout>
                  <c:x val="2.4806201550387611E-3"/>
                  <c:y val="-2.5374855824682813E-2"/>
                </c:manualLayout>
              </c:layout>
              <c:dLblPos val="ctr"/>
              <c:showVal val="1"/>
            </c:dLbl>
            <c:dLbl>
              <c:idx val="16"/>
              <c:layout>
                <c:manualLayout>
                  <c:x val="0"/>
                  <c:y val="-2.3068050749711733E-2"/>
                </c:manualLayout>
              </c:layout>
              <c:dLblPos val="ctr"/>
              <c:showVal val="1"/>
            </c:dLbl>
            <c:spPr/>
            <c:txPr>
              <a:bodyPr/>
              <a:lstStyle/>
              <a:p>
                <a:pPr>
                  <a:defRPr sz="1200" b="1">
                    <a:solidFill>
                      <a:srgbClr val="92D050"/>
                    </a:solidFill>
                  </a:defRPr>
                </a:pPr>
                <a:endParaRPr lang="en-US"/>
              </a:p>
            </c:txPr>
            <c:dLblPos val="ctr"/>
            <c:showVal val="1"/>
          </c:dLbls>
          <c:cat>
            <c:multiLvlStrRef>
              <c:f>'MRL Analysis (2)'!$A$47:$A$67</c:f>
              <c:multiLvlStrCache>
                <c:ptCount val="17"/>
                <c:lvl>
                  <c:pt idx="0">
                    <c:v>Conflict</c:v>
                  </c:pt>
                  <c:pt idx="1">
                    <c:v>Drought</c:v>
                  </c:pt>
                  <c:pt idx="2">
                    <c:v>Epidemic</c:v>
                  </c:pt>
                  <c:pt idx="3">
                    <c:v>Floods</c:v>
                  </c:pt>
                  <c:pt idx="4">
                    <c:v>Food Insecurity</c:v>
                  </c:pt>
                  <c:pt idx="5">
                    <c:v>Population Movement</c:v>
                  </c:pt>
                  <c:pt idx="6">
                    <c:v>Storm</c:v>
                  </c:pt>
                  <c:pt idx="7">
                    <c:v>Conflict</c:v>
                  </c:pt>
                  <c:pt idx="8">
                    <c:v>Earthquake</c:v>
                  </c:pt>
                  <c:pt idx="9">
                    <c:v>Epidemic</c:v>
                  </c:pt>
                  <c:pt idx="10">
                    <c:v>Floods</c:v>
                  </c:pt>
                  <c:pt idx="11">
                    <c:v>Tropical Storm</c:v>
                  </c:pt>
                  <c:pt idx="12">
                    <c:v>Tsunami</c:v>
                  </c:pt>
                  <c:pt idx="13">
                    <c:v>Tsunami &amp; Volcanic Eruption</c:v>
                  </c:pt>
                  <c:pt idx="14">
                    <c:v>Floods</c:v>
                  </c:pt>
                  <c:pt idx="15">
                    <c:v>Storm</c:v>
                  </c:pt>
                  <c:pt idx="16">
                    <c:v>Tropical Storm</c:v>
                  </c:pt>
                </c:lvl>
                <c:lvl>
                  <c:pt idx="0">
                    <c:v>Africa</c:v>
                  </c:pt>
                  <c:pt idx="7">
                    <c:v>Europe/Asia</c:v>
                  </c:pt>
                  <c:pt idx="14">
                    <c:v>LAC</c:v>
                  </c:pt>
                </c:lvl>
              </c:multiLvlStrCache>
            </c:multiLvlStrRef>
          </c:cat>
          <c:val>
            <c:numRef>
              <c:f>'MRL Analysis (2)'!$D$47:$D$67</c:f>
              <c:numCache>
                <c:formatCode>General</c:formatCode>
                <c:ptCount val="17"/>
                <c:pt idx="0">
                  <c:v>1</c:v>
                </c:pt>
                <c:pt idx="1">
                  <c:v>1</c:v>
                </c:pt>
                <c:pt idx="2">
                  <c:v>1</c:v>
                </c:pt>
                <c:pt idx="3">
                  <c:v>6</c:v>
                </c:pt>
                <c:pt idx="4">
                  <c:v>1</c:v>
                </c:pt>
                <c:pt idx="5">
                  <c:v>1</c:v>
                </c:pt>
                <c:pt idx="6">
                  <c:v>1</c:v>
                </c:pt>
                <c:pt idx="7">
                  <c:v>5</c:v>
                </c:pt>
                <c:pt idx="8">
                  <c:v>1</c:v>
                </c:pt>
                <c:pt idx="9">
                  <c:v>1</c:v>
                </c:pt>
                <c:pt idx="10">
                  <c:v>10</c:v>
                </c:pt>
                <c:pt idx="11">
                  <c:v>2</c:v>
                </c:pt>
                <c:pt idx="12">
                  <c:v>1</c:v>
                </c:pt>
                <c:pt idx="13">
                  <c:v>1</c:v>
                </c:pt>
                <c:pt idx="14">
                  <c:v>4</c:v>
                </c:pt>
                <c:pt idx="15">
                  <c:v>3</c:v>
                </c:pt>
                <c:pt idx="16">
                  <c:v>2</c:v>
                </c:pt>
              </c:numCache>
            </c:numRef>
          </c:val>
        </c:ser>
        <c:dLbls>
          <c:showVal val="1"/>
        </c:dLbls>
        <c:gapWidth val="55"/>
        <c:overlap val="100"/>
        <c:axId val="132888832"/>
        <c:axId val="132988928"/>
      </c:barChart>
      <c:catAx>
        <c:axId val="132888832"/>
        <c:scaling>
          <c:orientation val="minMax"/>
        </c:scaling>
        <c:axPos val="b"/>
        <c:majorTickMark val="none"/>
        <c:tickLblPos val="nextTo"/>
        <c:crossAx val="132988928"/>
        <c:crosses val="autoZero"/>
        <c:auto val="1"/>
        <c:lblAlgn val="ctr"/>
        <c:lblOffset val="100"/>
      </c:catAx>
      <c:valAx>
        <c:axId val="132988928"/>
        <c:scaling>
          <c:orientation val="minMax"/>
        </c:scaling>
        <c:axPos val="l"/>
        <c:majorGridlines/>
        <c:numFmt formatCode="&quot;$&quot;#,##0" sourceLinked="1"/>
        <c:majorTickMark val="none"/>
        <c:tickLblPos val="nextTo"/>
        <c:crossAx val="132888832"/>
        <c:crosses val="autoZero"/>
        <c:crossBetween val="between"/>
      </c:valAx>
    </c:plotArea>
    <c:legend>
      <c:legendPos val="r"/>
    </c:legend>
    <c:plotVisOnly val="1"/>
    <c:dispBlanksAs val="gap"/>
  </c:chart>
  <c:printSettings>
    <c:headerFooter/>
    <c:pageMargins b="0.75000000000000788" l="0.70000000000000062" r="0.70000000000000062" t="0.75000000000000788" header="0.30000000000000032" footer="0.30000000000000032"/>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lang val="en-US"/>
  <c:pivotSource>
    <c:name>[Disaster Responses - Master Response Log.xlsx]MRL Analysis (3)!PivotTable1</c:name>
    <c:fmtId val="5"/>
  </c:pivotSource>
  <c:chart>
    <c:title>
      <c:tx>
        <c:rich>
          <a:bodyPr/>
          <a:lstStyle/>
          <a:p>
            <a:pPr>
              <a:defRPr/>
            </a:pPr>
            <a:r>
              <a:rPr lang="en-US"/>
              <a:t>Floods</a:t>
            </a:r>
          </a:p>
        </c:rich>
      </c:tx>
    </c:title>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s>
    <c:plotArea>
      <c:layout/>
      <c:barChart>
        <c:barDir val="bar"/>
        <c:grouping val="clustered"/>
        <c:ser>
          <c:idx val="0"/>
          <c:order val="0"/>
          <c:tx>
            <c:strRef>
              <c:f>'MRL Analysis (3)'!$B$5:$B$6</c:f>
              <c:strCache>
                <c:ptCount val="1"/>
                <c:pt idx="0">
                  <c:v>Undesignated</c:v>
                </c:pt>
              </c:strCache>
            </c:strRef>
          </c:tx>
          <c:cat>
            <c:strRef>
              <c:f>'MRL Analysis (3)'!$A$7:$A$12</c:f>
              <c:strCache>
                <c:ptCount val="5"/>
                <c:pt idx="0">
                  <c:v>2007</c:v>
                </c:pt>
                <c:pt idx="1">
                  <c:v>2008</c:v>
                </c:pt>
                <c:pt idx="2">
                  <c:v>2009</c:v>
                </c:pt>
                <c:pt idx="3">
                  <c:v>2010</c:v>
                </c:pt>
                <c:pt idx="4">
                  <c:v>2011</c:v>
                </c:pt>
              </c:strCache>
            </c:strRef>
          </c:cat>
          <c:val>
            <c:numRef>
              <c:f>'MRL Analysis (3)'!$B$7:$B$12</c:f>
              <c:numCache>
                <c:formatCode>General</c:formatCode>
                <c:ptCount val="5"/>
                <c:pt idx="0">
                  <c:v>3</c:v>
                </c:pt>
                <c:pt idx="1">
                  <c:v>4</c:v>
                </c:pt>
                <c:pt idx="2">
                  <c:v>5</c:v>
                </c:pt>
                <c:pt idx="3">
                  <c:v>2</c:v>
                </c:pt>
                <c:pt idx="4">
                  <c:v>5</c:v>
                </c:pt>
              </c:numCache>
            </c:numRef>
          </c:val>
        </c:ser>
        <c:ser>
          <c:idx val="1"/>
          <c:order val="1"/>
          <c:tx>
            <c:strRef>
              <c:f>'MRL Analysis (3)'!$C$5:$C$6</c:f>
              <c:strCache>
                <c:ptCount val="1"/>
                <c:pt idx="0">
                  <c:v>Designated</c:v>
                </c:pt>
              </c:strCache>
            </c:strRef>
          </c:tx>
          <c:cat>
            <c:strRef>
              <c:f>'MRL Analysis (3)'!$A$7:$A$12</c:f>
              <c:strCache>
                <c:ptCount val="5"/>
                <c:pt idx="0">
                  <c:v>2007</c:v>
                </c:pt>
                <c:pt idx="1">
                  <c:v>2008</c:v>
                </c:pt>
                <c:pt idx="2">
                  <c:v>2009</c:v>
                </c:pt>
                <c:pt idx="3">
                  <c:v>2010</c:v>
                </c:pt>
                <c:pt idx="4">
                  <c:v>2011</c:v>
                </c:pt>
              </c:strCache>
            </c:strRef>
          </c:cat>
          <c:val>
            <c:numRef>
              <c:f>'MRL Analysis (3)'!$C$7:$C$12</c:f>
              <c:numCache>
                <c:formatCode>General</c:formatCode>
                <c:ptCount val="5"/>
                <c:pt idx="0">
                  <c:v>5</c:v>
                </c:pt>
                <c:pt idx="1">
                  <c:v>3</c:v>
                </c:pt>
                <c:pt idx="2">
                  <c:v>2</c:v>
                </c:pt>
                <c:pt idx="3">
                  <c:v>3</c:v>
                </c:pt>
                <c:pt idx="4">
                  <c:v>2</c:v>
                </c:pt>
              </c:numCache>
            </c:numRef>
          </c:val>
        </c:ser>
        <c:axId val="133115264"/>
        <c:axId val="133125248"/>
      </c:barChart>
      <c:catAx>
        <c:axId val="133115264"/>
        <c:scaling>
          <c:orientation val="minMax"/>
        </c:scaling>
        <c:axPos val="l"/>
        <c:tickLblPos val="nextTo"/>
        <c:crossAx val="133125248"/>
        <c:crosses val="autoZero"/>
        <c:auto val="1"/>
        <c:lblAlgn val="ctr"/>
        <c:lblOffset val="100"/>
      </c:catAx>
      <c:valAx>
        <c:axId val="133125248"/>
        <c:scaling>
          <c:orientation val="minMax"/>
        </c:scaling>
        <c:axPos val="b"/>
        <c:majorGridlines/>
        <c:numFmt formatCode="General" sourceLinked="1"/>
        <c:tickLblPos val="nextTo"/>
        <c:crossAx val="133115264"/>
        <c:crosses val="autoZero"/>
        <c:crossBetween val="between"/>
      </c:valAx>
    </c:plotArea>
    <c:legend>
      <c:legendPos val="b"/>
    </c:legend>
    <c:plotVisOnly val="1"/>
    <c:dispBlanksAs val="gap"/>
  </c:chart>
  <c:printSettings>
    <c:headerFooter/>
    <c:pageMargins b="0.75000000000000744" l="0.70000000000000062" r="0.70000000000000062" t="0.75000000000000744" header="0.30000000000000032" footer="0.30000000000000032"/>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lang val="en-US"/>
  <c:pivotSource>
    <c:name>[Disaster Responses - Master Response Log.xlsx]MRL Analysis (3)!PivotTable2</c:name>
    <c:fmtId val="1"/>
  </c:pivotSource>
  <c:chart>
    <c:title>
      <c:tx>
        <c:rich>
          <a:bodyPr/>
          <a:lstStyle/>
          <a:p>
            <a:pPr>
              <a:defRPr/>
            </a:pPr>
            <a:r>
              <a:rPr lang="en-US"/>
              <a:t>Earthquakes</a:t>
            </a:r>
          </a:p>
        </c:rich>
      </c:tx>
    </c:title>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s>
    <c:plotArea>
      <c:layout/>
      <c:barChart>
        <c:barDir val="bar"/>
        <c:grouping val="clustered"/>
        <c:ser>
          <c:idx val="0"/>
          <c:order val="0"/>
          <c:tx>
            <c:strRef>
              <c:f>'MRL Analysis (3)'!$B$33:$B$34</c:f>
              <c:strCache>
                <c:ptCount val="1"/>
                <c:pt idx="0">
                  <c:v>Undesignated</c:v>
                </c:pt>
              </c:strCache>
            </c:strRef>
          </c:tx>
          <c:cat>
            <c:strRef>
              <c:f>'MRL Analysis (3)'!$A$35:$A$40</c:f>
              <c:strCache>
                <c:ptCount val="5"/>
                <c:pt idx="0">
                  <c:v>2007</c:v>
                </c:pt>
                <c:pt idx="1">
                  <c:v>2008</c:v>
                </c:pt>
                <c:pt idx="2">
                  <c:v>2009</c:v>
                </c:pt>
                <c:pt idx="3">
                  <c:v>2010</c:v>
                </c:pt>
                <c:pt idx="4">
                  <c:v>2011</c:v>
                </c:pt>
              </c:strCache>
            </c:strRef>
          </c:cat>
          <c:val>
            <c:numRef>
              <c:f>'MRL Analysis (3)'!$B$35:$B$40</c:f>
              <c:numCache>
                <c:formatCode>General</c:formatCode>
                <c:ptCount val="5"/>
                <c:pt idx="1">
                  <c:v>1</c:v>
                </c:pt>
              </c:numCache>
            </c:numRef>
          </c:val>
        </c:ser>
        <c:ser>
          <c:idx val="1"/>
          <c:order val="1"/>
          <c:tx>
            <c:strRef>
              <c:f>'MRL Analysis (3)'!$C$33:$C$34</c:f>
              <c:strCache>
                <c:ptCount val="1"/>
                <c:pt idx="0">
                  <c:v>Designated</c:v>
                </c:pt>
              </c:strCache>
            </c:strRef>
          </c:tx>
          <c:cat>
            <c:strRef>
              <c:f>'MRL Analysis (3)'!$A$35:$A$40</c:f>
              <c:strCache>
                <c:ptCount val="5"/>
                <c:pt idx="0">
                  <c:v>2007</c:v>
                </c:pt>
                <c:pt idx="1">
                  <c:v>2008</c:v>
                </c:pt>
                <c:pt idx="2">
                  <c:v>2009</c:v>
                </c:pt>
                <c:pt idx="3">
                  <c:v>2010</c:v>
                </c:pt>
                <c:pt idx="4">
                  <c:v>2011</c:v>
                </c:pt>
              </c:strCache>
            </c:strRef>
          </c:cat>
          <c:val>
            <c:numRef>
              <c:f>'MRL Analysis (3)'!$C$35:$C$40</c:f>
              <c:numCache>
                <c:formatCode>General</c:formatCode>
                <c:ptCount val="5"/>
                <c:pt idx="0">
                  <c:v>2</c:v>
                </c:pt>
                <c:pt idx="1">
                  <c:v>1</c:v>
                </c:pt>
                <c:pt idx="2">
                  <c:v>1</c:v>
                </c:pt>
                <c:pt idx="3">
                  <c:v>3</c:v>
                </c:pt>
                <c:pt idx="4">
                  <c:v>1</c:v>
                </c:pt>
              </c:numCache>
            </c:numRef>
          </c:val>
        </c:ser>
        <c:axId val="133158400"/>
        <c:axId val="133159936"/>
      </c:barChart>
      <c:catAx>
        <c:axId val="133158400"/>
        <c:scaling>
          <c:orientation val="minMax"/>
        </c:scaling>
        <c:axPos val="l"/>
        <c:tickLblPos val="nextTo"/>
        <c:crossAx val="133159936"/>
        <c:crosses val="autoZero"/>
        <c:auto val="1"/>
        <c:lblAlgn val="ctr"/>
        <c:lblOffset val="100"/>
      </c:catAx>
      <c:valAx>
        <c:axId val="133159936"/>
        <c:scaling>
          <c:orientation val="minMax"/>
        </c:scaling>
        <c:axPos val="b"/>
        <c:majorGridlines/>
        <c:numFmt formatCode="General" sourceLinked="1"/>
        <c:tickLblPos val="nextTo"/>
        <c:crossAx val="133158400"/>
        <c:crosses val="autoZero"/>
        <c:crossBetween val="between"/>
      </c:valAx>
    </c:plotArea>
    <c:legend>
      <c:legendPos val="b"/>
    </c:legend>
    <c:plotVisOnly val="1"/>
    <c:dispBlanksAs val="gap"/>
  </c:chart>
  <c:printSettings>
    <c:headerFooter/>
    <c:pageMargins b="0.75000000000000744" l="0.70000000000000062" r="0.70000000000000062" t="0.75000000000000744" header="0.30000000000000032" footer="0.30000000000000032"/>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lang val="en-US"/>
  <c:pivotSource>
    <c:name>[Disaster Responses - Master Response Log.xlsx]MRL Analysis (3)!PivotTable3</c:name>
    <c:fmtId val="0"/>
  </c:pivotSource>
  <c:chart>
    <c:title>
      <c:tx>
        <c:rich>
          <a:bodyPr/>
          <a:lstStyle/>
          <a:p>
            <a:pPr>
              <a:defRPr/>
            </a:pPr>
            <a:r>
              <a:rPr lang="en-US"/>
              <a:t>Storms</a:t>
            </a:r>
          </a:p>
        </c:rich>
      </c:tx>
    </c:title>
    <c:pivotFmts>
      <c:pivotFmt>
        <c:idx val="0"/>
        <c:marker>
          <c:symbol val="none"/>
        </c:marker>
      </c:pivotFmt>
      <c:pivotFmt>
        <c:idx val="1"/>
        <c:marker>
          <c:symbol val="none"/>
        </c:marker>
      </c:pivotFmt>
      <c:pivotFmt>
        <c:idx val="2"/>
        <c:marker>
          <c:symbol val="none"/>
        </c:marker>
      </c:pivotFmt>
      <c:pivotFmt>
        <c:idx val="3"/>
        <c:marker>
          <c:symbol val="none"/>
        </c:marker>
      </c:pivotFmt>
    </c:pivotFmts>
    <c:plotArea>
      <c:layout/>
      <c:barChart>
        <c:barDir val="bar"/>
        <c:grouping val="clustered"/>
        <c:ser>
          <c:idx val="0"/>
          <c:order val="0"/>
          <c:tx>
            <c:strRef>
              <c:f>'MRL Analysis (3)'!$B$50:$B$51</c:f>
              <c:strCache>
                <c:ptCount val="1"/>
                <c:pt idx="0">
                  <c:v>Undesignated</c:v>
                </c:pt>
              </c:strCache>
            </c:strRef>
          </c:tx>
          <c:cat>
            <c:strRef>
              <c:f>'MRL Analysis (3)'!$A$52:$A$57</c:f>
              <c:strCache>
                <c:ptCount val="5"/>
                <c:pt idx="0">
                  <c:v>2007</c:v>
                </c:pt>
                <c:pt idx="1">
                  <c:v>2008</c:v>
                </c:pt>
                <c:pt idx="2">
                  <c:v>2009</c:v>
                </c:pt>
                <c:pt idx="3">
                  <c:v>2010</c:v>
                </c:pt>
                <c:pt idx="4">
                  <c:v>2011</c:v>
                </c:pt>
              </c:strCache>
            </c:strRef>
          </c:cat>
          <c:val>
            <c:numRef>
              <c:f>'MRL Analysis (3)'!$B$52:$B$57</c:f>
              <c:numCache>
                <c:formatCode>General</c:formatCode>
                <c:ptCount val="5"/>
                <c:pt idx="0">
                  <c:v>1</c:v>
                </c:pt>
                <c:pt idx="1">
                  <c:v>3</c:v>
                </c:pt>
                <c:pt idx="3">
                  <c:v>3</c:v>
                </c:pt>
                <c:pt idx="4">
                  <c:v>1</c:v>
                </c:pt>
              </c:numCache>
            </c:numRef>
          </c:val>
        </c:ser>
        <c:ser>
          <c:idx val="1"/>
          <c:order val="1"/>
          <c:tx>
            <c:strRef>
              <c:f>'MRL Analysis (3)'!$C$50:$C$51</c:f>
              <c:strCache>
                <c:ptCount val="1"/>
                <c:pt idx="0">
                  <c:v>Designated</c:v>
                </c:pt>
              </c:strCache>
            </c:strRef>
          </c:tx>
          <c:cat>
            <c:strRef>
              <c:f>'MRL Analysis (3)'!$A$52:$A$57</c:f>
              <c:strCache>
                <c:ptCount val="5"/>
                <c:pt idx="0">
                  <c:v>2007</c:v>
                </c:pt>
                <c:pt idx="1">
                  <c:v>2008</c:v>
                </c:pt>
                <c:pt idx="2">
                  <c:v>2009</c:v>
                </c:pt>
                <c:pt idx="3">
                  <c:v>2010</c:v>
                </c:pt>
                <c:pt idx="4">
                  <c:v>2011</c:v>
                </c:pt>
              </c:strCache>
            </c:strRef>
          </c:cat>
          <c:val>
            <c:numRef>
              <c:f>'MRL Analysis (3)'!$C$52:$C$57</c:f>
              <c:numCache>
                <c:formatCode>General</c:formatCode>
                <c:ptCount val="5"/>
                <c:pt idx="0">
                  <c:v>7</c:v>
                </c:pt>
                <c:pt idx="1">
                  <c:v>3</c:v>
                </c:pt>
                <c:pt idx="2">
                  <c:v>1</c:v>
                </c:pt>
                <c:pt idx="4">
                  <c:v>1</c:v>
                </c:pt>
              </c:numCache>
            </c:numRef>
          </c:val>
        </c:ser>
        <c:axId val="133180800"/>
        <c:axId val="133194880"/>
      </c:barChart>
      <c:catAx>
        <c:axId val="133180800"/>
        <c:scaling>
          <c:orientation val="minMax"/>
        </c:scaling>
        <c:axPos val="l"/>
        <c:tickLblPos val="nextTo"/>
        <c:crossAx val="133194880"/>
        <c:crosses val="autoZero"/>
        <c:auto val="1"/>
        <c:lblAlgn val="ctr"/>
        <c:lblOffset val="100"/>
      </c:catAx>
      <c:valAx>
        <c:axId val="133194880"/>
        <c:scaling>
          <c:orientation val="minMax"/>
        </c:scaling>
        <c:axPos val="b"/>
        <c:majorGridlines/>
        <c:numFmt formatCode="General" sourceLinked="1"/>
        <c:tickLblPos val="nextTo"/>
        <c:crossAx val="133180800"/>
        <c:crosses val="autoZero"/>
        <c:crossBetween val="between"/>
      </c:valAx>
    </c:plotArea>
    <c:legend>
      <c:legendPos val="b"/>
    </c:legend>
    <c:plotVisOnly val="1"/>
    <c:dispBlanksAs val="gap"/>
  </c:chart>
  <c:printSettings>
    <c:headerFooter/>
    <c:pageMargins b="0.75000000000000733" l="0.70000000000000062" r="0.70000000000000062" t="0.75000000000000733" header="0.30000000000000032" footer="0.30000000000000032"/>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lang val="en-US"/>
  <c:pivotSource>
    <c:name>[Disaster Responses - Master Response Log.xlsx]MRL Analysis (3)!PivotTable4</c:name>
    <c:fmtId val="0"/>
  </c:pivotSource>
  <c:chart>
    <c:title>
      <c:tx>
        <c:rich>
          <a:bodyPr/>
          <a:lstStyle/>
          <a:p>
            <a:pPr>
              <a:defRPr/>
            </a:pPr>
            <a:r>
              <a:rPr lang="en-US" sz="1400"/>
              <a:t>Civil Unrest, Conflict, &amp; Population Movement</a:t>
            </a:r>
          </a:p>
        </c:rich>
      </c:tx>
    </c:title>
    <c:pivotFmts>
      <c:pivotFmt>
        <c:idx val="0"/>
        <c:marker>
          <c:symbol val="none"/>
        </c:marker>
      </c:pivotFmt>
      <c:pivotFmt>
        <c:idx val="1"/>
        <c:marker>
          <c:symbol val="none"/>
        </c:marker>
      </c:pivotFmt>
      <c:pivotFmt>
        <c:idx val="2"/>
        <c:marker>
          <c:symbol val="none"/>
        </c:marker>
      </c:pivotFmt>
      <c:pivotFmt>
        <c:idx val="3"/>
        <c:marker>
          <c:symbol val="none"/>
        </c:marker>
      </c:pivotFmt>
    </c:pivotFmts>
    <c:plotArea>
      <c:layout/>
      <c:barChart>
        <c:barDir val="bar"/>
        <c:grouping val="clustered"/>
        <c:ser>
          <c:idx val="0"/>
          <c:order val="0"/>
          <c:tx>
            <c:strRef>
              <c:f>'MRL Analysis (3)'!$B$66:$B$67</c:f>
              <c:strCache>
                <c:ptCount val="1"/>
                <c:pt idx="0">
                  <c:v>Undesignated</c:v>
                </c:pt>
              </c:strCache>
            </c:strRef>
          </c:tx>
          <c:cat>
            <c:strRef>
              <c:f>'MRL Analysis (3)'!$A$68:$A$73</c:f>
              <c:strCache>
                <c:ptCount val="5"/>
                <c:pt idx="0">
                  <c:v>2007</c:v>
                </c:pt>
                <c:pt idx="1">
                  <c:v>2008</c:v>
                </c:pt>
                <c:pt idx="2">
                  <c:v>2009</c:v>
                </c:pt>
                <c:pt idx="3">
                  <c:v>2010</c:v>
                </c:pt>
                <c:pt idx="4">
                  <c:v>2011</c:v>
                </c:pt>
              </c:strCache>
            </c:strRef>
          </c:cat>
          <c:val>
            <c:numRef>
              <c:f>'MRL Analysis (3)'!$B$68:$B$73</c:f>
              <c:numCache>
                <c:formatCode>General</c:formatCode>
                <c:ptCount val="5"/>
                <c:pt idx="0">
                  <c:v>1</c:v>
                </c:pt>
                <c:pt idx="1">
                  <c:v>4</c:v>
                </c:pt>
                <c:pt idx="2">
                  <c:v>1</c:v>
                </c:pt>
                <c:pt idx="4">
                  <c:v>1</c:v>
                </c:pt>
              </c:numCache>
            </c:numRef>
          </c:val>
        </c:ser>
        <c:ser>
          <c:idx val="1"/>
          <c:order val="1"/>
          <c:tx>
            <c:strRef>
              <c:f>'MRL Analysis (3)'!$C$66:$C$67</c:f>
              <c:strCache>
                <c:ptCount val="1"/>
                <c:pt idx="0">
                  <c:v>Designated</c:v>
                </c:pt>
              </c:strCache>
            </c:strRef>
          </c:tx>
          <c:cat>
            <c:strRef>
              <c:f>'MRL Analysis (3)'!$A$68:$A$73</c:f>
              <c:strCache>
                <c:ptCount val="5"/>
                <c:pt idx="0">
                  <c:v>2007</c:v>
                </c:pt>
                <c:pt idx="1">
                  <c:v>2008</c:v>
                </c:pt>
                <c:pt idx="2">
                  <c:v>2009</c:v>
                </c:pt>
                <c:pt idx="3">
                  <c:v>2010</c:v>
                </c:pt>
                <c:pt idx="4">
                  <c:v>2011</c:v>
                </c:pt>
              </c:strCache>
            </c:strRef>
          </c:cat>
          <c:val>
            <c:numRef>
              <c:f>'MRL Analysis (3)'!$C$68:$C$73</c:f>
              <c:numCache>
                <c:formatCode>General</c:formatCode>
                <c:ptCount val="5"/>
                <c:pt idx="0">
                  <c:v>3</c:v>
                </c:pt>
                <c:pt idx="1">
                  <c:v>4</c:v>
                </c:pt>
                <c:pt idx="2">
                  <c:v>1</c:v>
                </c:pt>
                <c:pt idx="3">
                  <c:v>2</c:v>
                </c:pt>
                <c:pt idx="4">
                  <c:v>1</c:v>
                </c:pt>
              </c:numCache>
            </c:numRef>
          </c:val>
        </c:ser>
        <c:axId val="133219840"/>
        <c:axId val="133221376"/>
      </c:barChart>
      <c:catAx>
        <c:axId val="133219840"/>
        <c:scaling>
          <c:orientation val="minMax"/>
        </c:scaling>
        <c:axPos val="l"/>
        <c:tickLblPos val="nextTo"/>
        <c:crossAx val="133221376"/>
        <c:crosses val="autoZero"/>
        <c:auto val="1"/>
        <c:lblAlgn val="ctr"/>
        <c:lblOffset val="100"/>
      </c:catAx>
      <c:valAx>
        <c:axId val="133221376"/>
        <c:scaling>
          <c:orientation val="minMax"/>
        </c:scaling>
        <c:axPos val="b"/>
        <c:majorGridlines/>
        <c:numFmt formatCode="General" sourceLinked="1"/>
        <c:tickLblPos val="nextTo"/>
        <c:crossAx val="133219840"/>
        <c:crosses val="autoZero"/>
        <c:crossBetween val="between"/>
        <c:majorUnit val="1"/>
      </c:valAx>
    </c:plotArea>
    <c:legend>
      <c:legendPos val="b"/>
    </c:legend>
    <c:plotVisOnly val="1"/>
    <c:dispBlanksAs val="gap"/>
  </c:chart>
  <c:printSettings>
    <c:headerFooter/>
    <c:pageMargins b="0.75000000000000733" l="0.70000000000000062" r="0.70000000000000062" t="0.75000000000000733" header="0.30000000000000032" footer="0.30000000000000032"/>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lang val="en-US"/>
  <c:pivotSource>
    <c:name>[Disaster Responses - Master Response Log.xlsx]MRL Analysis (3)!PivotTable5</c:name>
    <c:fmtId val="0"/>
  </c:pivotSource>
  <c:chart>
    <c:title>
      <c:tx>
        <c:rich>
          <a:bodyPr/>
          <a:lstStyle/>
          <a:p>
            <a:pPr>
              <a:defRPr/>
            </a:pPr>
            <a:r>
              <a:rPr lang="en-US"/>
              <a:t>Droughts</a:t>
            </a:r>
          </a:p>
        </c:rich>
      </c:tx>
    </c:title>
    <c:pivotFmts>
      <c:pivotFmt>
        <c:idx val="0"/>
        <c:marker>
          <c:symbol val="none"/>
        </c:marker>
      </c:pivotFmt>
      <c:pivotFmt>
        <c:idx val="1"/>
        <c:marker>
          <c:symbol val="none"/>
        </c:marker>
      </c:pivotFmt>
      <c:pivotFmt>
        <c:idx val="2"/>
        <c:marker>
          <c:symbol val="none"/>
        </c:marker>
      </c:pivotFmt>
      <c:pivotFmt>
        <c:idx val="3"/>
        <c:marker>
          <c:symbol val="none"/>
        </c:marker>
      </c:pivotFmt>
    </c:pivotFmts>
    <c:plotArea>
      <c:layout/>
      <c:barChart>
        <c:barDir val="bar"/>
        <c:grouping val="clustered"/>
        <c:ser>
          <c:idx val="0"/>
          <c:order val="0"/>
          <c:tx>
            <c:strRef>
              <c:f>'MRL Analysis (3)'!$B$79:$B$80</c:f>
              <c:strCache>
                <c:ptCount val="1"/>
                <c:pt idx="0">
                  <c:v>Undesignated</c:v>
                </c:pt>
              </c:strCache>
            </c:strRef>
          </c:tx>
          <c:cat>
            <c:strRef>
              <c:f>'MRL Analysis (3)'!$A$81:$A$83</c:f>
              <c:strCache>
                <c:ptCount val="2"/>
                <c:pt idx="0">
                  <c:v>2009</c:v>
                </c:pt>
                <c:pt idx="1">
                  <c:v>2011</c:v>
                </c:pt>
              </c:strCache>
            </c:strRef>
          </c:cat>
          <c:val>
            <c:numRef>
              <c:f>'MRL Analysis (3)'!$B$81:$B$83</c:f>
              <c:numCache>
                <c:formatCode>General</c:formatCode>
                <c:ptCount val="2"/>
                <c:pt idx="0">
                  <c:v>1</c:v>
                </c:pt>
              </c:numCache>
            </c:numRef>
          </c:val>
        </c:ser>
        <c:ser>
          <c:idx val="1"/>
          <c:order val="1"/>
          <c:tx>
            <c:strRef>
              <c:f>'MRL Analysis (3)'!$C$79:$C$80</c:f>
              <c:strCache>
                <c:ptCount val="1"/>
                <c:pt idx="0">
                  <c:v>Designated</c:v>
                </c:pt>
              </c:strCache>
            </c:strRef>
          </c:tx>
          <c:cat>
            <c:strRef>
              <c:f>'MRL Analysis (3)'!$A$81:$A$83</c:f>
              <c:strCache>
                <c:ptCount val="2"/>
                <c:pt idx="0">
                  <c:v>2009</c:v>
                </c:pt>
                <c:pt idx="1">
                  <c:v>2011</c:v>
                </c:pt>
              </c:strCache>
            </c:strRef>
          </c:cat>
          <c:val>
            <c:numRef>
              <c:f>'MRL Analysis (3)'!$C$81:$C$83</c:f>
              <c:numCache>
                <c:formatCode>General</c:formatCode>
                <c:ptCount val="2"/>
                <c:pt idx="0">
                  <c:v>1</c:v>
                </c:pt>
                <c:pt idx="1">
                  <c:v>1</c:v>
                </c:pt>
              </c:numCache>
            </c:numRef>
          </c:val>
        </c:ser>
        <c:axId val="133254528"/>
        <c:axId val="133264512"/>
      </c:barChart>
      <c:catAx>
        <c:axId val="133254528"/>
        <c:scaling>
          <c:orientation val="minMax"/>
        </c:scaling>
        <c:axPos val="l"/>
        <c:tickLblPos val="nextTo"/>
        <c:crossAx val="133264512"/>
        <c:crosses val="autoZero"/>
        <c:auto val="1"/>
        <c:lblAlgn val="ctr"/>
        <c:lblOffset val="100"/>
      </c:catAx>
      <c:valAx>
        <c:axId val="133264512"/>
        <c:scaling>
          <c:orientation val="minMax"/>
          <c:max val="1"/>
        </c:scaling>
        <c:axPos val="b"/>
        <c:majorGridlines/>
        <c:numFmt formatCode="General" sourceLinked="1"/>
        <c:tickLblPos val="nextTo"/>
        <c:crossAx val="133254528"/>
        <c:crosses val="autoZero"/>
        <c:crossBetween val="between"/>
        <c:majorUnit val="1"/>
      </c:valAx>
    </c:plotArea>
    <c:legend>
      <c:legendPos val="b"/>
    </c:legend>
    <c:plotVisOnly val="1"/>
    <c:dispBlanksAs val="gap"/>
  </c:chart>
  <c:printSettings>
    <c:headerFooter/>
    <c:pageMargins b="0.75000000000000733" l="0.70000000000000062" r="0.70000000000000062" t="0.75000000000000733" header="0.30000000000000032" footer="0.30000000000000032"/>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lang val="en-US"/>
  <c:pivotSource>
    <c:name>[Disaster Responses - Master Response Log.xlsx]MRL Analysis (5)!PivotTable1</c:name>
    <c:fmtId val="0"/>
  </c:pivotSource>
  <c:chart>
    <c:title>
      <c:tx>
        <c:rich>
          <a:bodyPr/>
          <a:lstStyle/>
          <a:p>
            <a:pPr>
              <a:defRPr/>
            </a:pPr>
            <a:r>
              <a:rPr lang="en-US" sz="1400"/>
              <a:t>Percentage</a:t>
            </a:r>
            <a:r>
              <a:rPr lang="en-US" sz="1400" baseline="0"/>
              <a:t> of Appeal Covered by ARC vs. Percentage of Total Appeal Coverage for Undesignated Disasters, by region,</a:t>
            </a:r>
          </a:p>
          <a:p>
            <a:pPr>
              <a:defRPr/>
            </a:pPr>
            <a:r>
              <a:rPr lang="en-US" sz="1400" baseline="0"/>
              <a:t>2007-2011</a:t>
            </a:r>
            <a:endParaRPr lang="en-US" sz="1400"/>
          </a:p>
        </c:rich>
      </c:tx>
      <c:layout>
        <c:manualLayout>
          <c:xMode val="edge"/>
          <c:yMode val="edge"/>
          <c:x val="0.15447907553222787"/>
          <c:y val="1.5932095891612603E-2"/>
        </c:manualLayout>
      </c:layout>
    </c:title>
    <c:pivotFmts>
      <c:pivotFmt>
        <c:idx val="0"/>
        <c:marker>
          <c:symbol val="none"/>
        </c:marker>
        <c:dLbl>
          <c:idx val="0"/>
          <c:spPr/>
          <c:txPr>
            <a:bodyPr/>
            <a:lstStyle/>
            <a:p>
              <a:pPr>
                <a:defRPr b="1"/>
              </a:pPr>
              <a:endParaRPr lang="en-US"/>
            </a:p>
          </c:txPr>
          <c:showVal val="1"/>
        </c:dLbl>
      </c:pivotFmt>
      <c:pivotFmt>
        <c:idx val="1"/>
        <c:marker>
          <c:symbol val="none"/>
        </c:marker>
        <c:dLbl>
          <c:idx val="0"/>
          <c:spPr/>
          <c:txPr>
            <a:bodyPr/>
            <a:lstStyle/>
            <a:p>
              <a:pPr>
                <a:defRPr b="1"/>
              </a:pPr>
              <a:endParaRPr lang="en-US"/>
            </a:p>
          </c:txPr>
          <c:showVal val="1"/>
        </c:dLbl>
      </c:pivotFmt>
      <c:pivotFmt>
        <c:idx val="2"/>
        <c:dLbl>
          <c:idx val="0"/>
          <c:layout>
            <c:manualLayout>
              <c:x val="0"/>
              <c:y val="1.8315018315018472E-2"/>
            </c:manualLayout>
          </c:layout>
          <c:showVal val="1"/>
        </c:dLbl>
      </c:pivotFmt>
      <c:pivotFmt>
        <c:idx val="3"/>
        <c:dLbl>
          <c:idx val="0"/>
          <c:layout>
            <c:manualLayout>
              <c:x val="2.1297577419436388E-3"/>
              <c:y val="1.8315018315018472E-2"/>
            </c:manualLayout>
          </c:layout>
          <c:showVal val="1"/>
        </c:dLbl>
      </c:pivotFmt>
      <c:pivotFmt>
        <c:idx val="4"/>
        <c:dLbl>
          <c:idx val="0"/>
          <c:layout>
            <c:manualLayout>
              <c:x val="1.3562895668178876E-5"/>
              <c:y val="1.1774060802919067E-2"/>
            </c:manualLayout>
          </c:layout>
          <c:showVal val="1"/>
        </c:dLbl>
      </c:pivotFmt>
      <c:pivotFmt>
        <c:idx val="5"/>
        <c:dLbl>
          <c:idx val="0"/>
          <c:layout>
            <c:manualLayout>
              <c:x val="-4.2598509052183533E-3"/>
              <c:y val="7.3260073260073303E-3"/>
            </c:manualLayout>
          </c:layout>
          <c:showVal val="1"/>
        </c:dLbl>
      </c:pivotFmt>
      <c:pivotFmt>
        <c:idx val="6"/>
        <c:dLbl>
          <c:idx val="0"/>
          <c:layout>
            <c:manualLayout>
              <c:x val="-2.1299941673957766E-3"/>
              <c:y val="8.2677840077188727E-3"/>
            </c:manualLayout>
          </c:layout>
          <c:showVal val="1"/>
        </c:dLbl>
      </c:pivotFmt>
      <c:pivotFmt>
        <c:idx val="7"/>
        <c:dLbl>
          <c:idx val="0"/>
          <c:layout>
            <c:manualLayout>
              <c:x val="-6.3897763578274784E-3"/>
              <c:y val="1.0989010989010993E-2"/>
            </c:manualLayout>
          </c:layout>
          <c:showVal val="1"/>
        </c:dLbl>
      </c:pivotFmt>
    </c:pivotFmts>
    <c:plotArea>
      <c:layout>
        <c:manualLayout>
          <c:layoutTarget val="inner"/>
          <c:xMode val="edge"/>
          <c:yMode val="edge"/>
          <c:x val="8.1226468097240323E-2"/>
          <c:y val="4.0668570274869455E-2"/>
          <c:w val="0.62377885671640221"/>
          <c:h val="0.87855614202070897"/>
        </c:manualLayout>
      </c:layout>
      <c:barChart>
        <c:barDir val="col"/>
        <c:grouping val="clustered"/>
        <c:ser>
          <c:idx val="0"/>
          <c:order val="0"/>
          <c:tx>
            <c:strRef>
              <c:f>'MRL Analysis (5)'!$B$6:$B$7</c:f>
              <c:strCache>
                <c:ptCount val="1"/>
                <c:pt idx="0">
                  <c:v>Average of % of Appeal Covered by ARC</c:v>
                </c:pt>
              </c:strCache>
            </c:strRef>
          </c:tx>
          <c:dLbls>
            <c:dLbl>
              <c:idx val="0"/>
              <c:layout>
                <c:manualLayout>
                  <c:x val="-4.2598509052183533E-3"/>
                  <c:y val="7.3260073260073303E-3"/>
                </c:manualLayout>
              </c:layout>
              <c:showVal val="1"/>
            </c:dLbl>
            <c:dLbl>
              <c:idx val="1"/>
              <c:layout>
                <c:manualLayout>
                  <c:x val="-2.1299941673957766E-3"/>
                  <c:y val="8.2677840077188727E-3"/>
                </c:manualLayout>
              </c:layout>
              <c:showVal val="1"/>
            </c:dLbl>
            <c:dLbl>
              <c:idx val="2"/>
              <c:layout>
                <c:manualLayout>
                  <c:x val="-6.3897763578274784E-3"/>
                  <c:y val="1.0989010989010993E-2"/>
                </c:manualLayout>
              </c:layout>
              <c:showVal val="1"/>
            </c:dLbl>
            <c:spPr/>
            <c:txPr>
              <a:bodyPr/>
              <a:lstStyle/>
              <a:p>
                <a:pPr>
                  <a:defRPr b="1"/>
                </a:pPr>
                <a:endParaRPr lang="en-US"/>
              </a:p>
            </c:txPr>
            <c:showVal val="1"/>
          </c:dLbls>
          <c:cat>
            <c:strRef>
              <c:f>'MRL Analysis (5)'!$A$8:$A$11</c:f>
              <c:strCache>
                <c:ptCount val="3"/>
                <c:pt idx="0">
                  <c:v>Africa</c:v>
                </c:pt>
                <c:pt idx="1">
                  <c:v>Europe/Asia</c:v>
                </c:pt>
                <c:pt idx="2">
                  <c:v>LAC</c:v>
                </c:pt>
              </c:strCache>
            </c:strRef>
          </c:cat>
          <c:val>
            <c:numRef>
              <c:f>'MRL Analysis (5)'!$B$8:$B$11</c:f>
              <c:numCache>
                <c:formatCode>0.00%</c:formatCode>
                <c:ptCount val="3"/>
                <c:pt idx="0">
                  <c:v>1.3087236963385167E-2</c:v>
                </c:pt>
                <c:pt idx="1">
                  <c:v>2.1906157781419716E-2</c:v>
                </c:pt>
                <c:pt idx="2">
                  <c:v>8.2046078988988094E-2</c:v>
                </c:pt>
              </c:numCache>
            </c:numRef>
          </c:val>
        </c:ser>
        <c:ser>
          <c:idx val="1"/>
          <c:order val="1"/>
          <c:tx>
            <c:strRef>
              <c:f>'MRL Analysis (5)'!$C$6:$C$7</c:f>
              <c:strCache>
                <c:ptCount val="1"/>
                <c:pt idx="0">
                  <c:v>Average of Overall Appeal Coverage</c:v>
                </c:pt>
              </c:strCache>
            </c:strRef>
          </c:tx>
          <c:dLbls>
            <c:dLbl>
              <c:idx val="0"/>
              <c:layout>
                <c:manualLayout>
                  <c:x val="1.3562895668178876E-5"/>
                  <c:y val="1.1774060802919067E-2"/>
                </c:manualLayout>
              </c:layout>
              <c:showVal val="1"/>
            </c:dLbl>
            <c:dLbl>
              <c:idx val="1"/>
              <c:layout>
                <c:manualLayout>
                  <c:x val="2.1297577419436388E-3"/>
                  <c:y val="1.8315018315018472E-2"/>
                </c:manualLayout>
              </c:layout>
              <c:showVal val="1"/>
            </c:dLbl>
            <c:dLbl>
              <c:idx val="2"/>
              <c:layout>
                <c:manualLayout>
                  <c:x val="0"/>
                  <c:y val="1.8315018315018472E-2"/>
                </c:manualLayout>
              </c:layout>
              <c:showVal val="1"/>
            </c:dLbl>
            <c:spPr/>
            <c:txPr>
              <a:bodyPr/>
              <a:lstStyle/>
              <a:p>
                <a:pPr>
                  <a:defRPr b="1"/>
                </a:pPr>
                <a:endParaRPr lang="en-US"/>
              </a:p>
            </c:txPr>
            <c:showVal val="1"/>
          </c:dLbls>
          <c:cat>
            <c:strRef>
              <c:f>'MRL Analysis (5)'!$A$8:$A$11</c:f>
              <c:strCache>
                <c:ptCount val="3"/>
                <c:pt idx="0">
                  <c:v>Africa</c:v>
                </c:pt>
                <c:pt idx="1">
                  <c:v>Europe/Asia</c:v>
                </c:pt>
                <c:pt idx="2">
                  <c:v>LAC</c:v>
                </c:pt>
              </c:strCache>
            </c:strRef>
          </c:cat>
          <c:val>
            <c:numRef>
              <c:f>'MRL Analysis (5)'!$C$8:$C$11</c:f>
              <c:numCache>
                <c:formatCode>0.00%</c:formatCode>
                <c:ptCount val="3"/>
                <c:pt idx="0">
                  <c:v>0.52222222222222225</c:v>
                </c:pt>
                <c:pt idx="1">
                  <c:v>0.5</c:v>
                </c:pt>
                <c:pt idx="2">
                  <c:v>0.70250000000000001</c:v>
                </c:pt>
              </c:numCache>
            </c:numRef>
          </c:val>
        </c:ser>
        <c:axId val="133706112"/>
        <c:axId val="133707648"/>
      </c:barChart>
      <c:catAx>
        <c:axId val="133706112"/>
        <c:scaling>
          <c:orientation val="minMax"/>
        </c:scaling>
        <c:axPos val="b"/>
        <c:tickLblPos val="nextTo"/>
        <c:crossAx val="133707648"/>
        <c:crosses val="autoZero"/>
        <c:auto val="1"/>
        <c:lblAlgn val="ctr"/>
        <c:lblOffset val="100"/>
      </c:catAx>
      <c:valAx>
        <c:axId val="133707648"/>
        <c:scaling>
          <c:orientation val="minMax"/>
          <c:max val="1"/>
        </c:scaling>
        <c:axPos val="l"/>
        <c:numFmt formatCode="0%" sourceLinked="0"/>
        <c:tickLblPos val="nextTo"/>
        <c:crossAx val="133706112"/>
        <c:crosses val="autoZero"/>
        <c:crossBetween val="between"/>
      </c:valAx>
    </c:plotArea>
    <c:legend>
      <c:legendPos val="r"/>
      <c:layout>
        <c:manualLayout>
          <c:xMode val="edge"/>
          <c:yMode val="edge"/>
          <c:x val="0.71630577427821562"/>
          <c:y val="0.34512263087936901"/>
          <c:w val="0.23322683706070291"/>
          <c:h val="0.29425514118427532"/>
        </c:manualLayout>
      </c:layout>
    </c:legend>
    <c:plotVisOnly val="1"/>
    <c:dispBlanksAs val="gap"/>
  </c:chart>
  <c:printSettings>
    <c:headerFooter/>
    <c:pageMargins b="0.750000000000005" l="0.70000000000000062" r="0.70000000000000062" t="0.750000000000005" header="0.30000000000000032" footer="0.30000000000000032"/>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lang val="en-US"/>
  <c:pivotSource>
    <c:name>[Disaster Responses - Master Response Log.xlsx]MRL Analysis (5)!PivotTable2</c:name>
    <c:fmtId val="0"/>
  </c:pivotSource>
  <c:chart>
    <c:autoTitleDeleted val="1"/>
    <c:pivotFmts>
      <c:pivotFmt>
        <c:idx val="0"/>
        <c:marker>
          <c:symbol val="none"/>
        </c:marker>
        <c:dLbl>
          <c:idx val="0"/>
          <c:spPr/>
          <c:txPr>
            <a:bodyPr/>
            <a:lstStyle/>
            <a:p>
              <a:pPr>
                <a:defRPr b="1" i="0"/>
              </a:pPr>
              <a:endParaRPr lang="en-US"/>
            </a:p>
          </c:txPr>
          <c:dLblPos val="outEnd"/>
          <c:showVal val="1"/>
        </c:dLbl>
      </c:pivotFmt>
      <c:pivotFmt>
        <c:idx val="1"/>
        <c:marker>
          <c:symbol val="none"/>
        </c:marker>
        <c:dLbl>
          <c:idx val="0"/>
          <c:spPr/>
          <c:txPr>
            <a:bodyPr/>
            <a:lstStyle/>
            <a:p>
              <a:pPr>
                <a:defRPr b="1"/>
              </a:pPr>
              <a:endParaRPr lang="en-US"/>
            </a:p>
          </c:txPr>
          <c:dLblPos val="outEnd"/>
          <c:showVal val="1"/>
        </c:dLbl>
      </c:pivotFmt>
    </c:pivotFmts>
    <c:plotArea>
      <c:layout>
        <c:manualLayout>
          <c:layoutTarget val="inner"/>
          <c:xMode val="edge"/>
          <c:yMode val="edge"/>
          <c:x val="7.9325692712747933E-2"/>
          <c:y val="3.7382221161748719E-2"/>
          <c:w val="0.66906842572915504"/>
          <c:h val="0.87490177364193633"/>
        </c:manualLayout>
      </c:layout>
      <c:barChart>
        <c:barDir val="col"/>
        <c:grouping val="clustered"/>
        <c:ser>
          <c:idx val="0"/>
          <c:order val="0"/>
          <c:tx>
            <c:strRef>
              <c:f>'MRL Analysis (5)'!$B$43:$B$44</c:f>
              <c:strCache>
                <c:ptCount val="1"/>
                <c:pt idx="0">
                  <c:v>Average of % of Appeal Covered by ARC</c:v>
                </c:pt>
              </c:strCache>
            </c:strRef>
          </c:tx>
          <c:dLbls>
            <c:spPr/>
            <c:txPr>
              <a:bodyPr/>
              <a:lstStyle/>
              <a:p>
                <a:pPr>
                  <a:defRPr b="1" i="0"/>
                </a:pPr>
                <a:endParaRPr lang="en-US"/>
              </a:p>
            </c:txPr>
            <c:dLblPos val="outEnd"/>
            <c:showVal val="1"/>
          </c:dLbls>
          <c:cat>
            <c:strRef>
              <c:f>'MRL Analysis (5)'!$A$45:$A$48</c:f>
              <c:strCache>
                <c:ptCount val="3"/>
                <c:pt idx="0">
                  <c:v>Africa</c:v>
                </c:pt>
                <c:pt idx="1">
                  <c:v>Europe/Asia</c:v>
                </c:pt>
                <c:pt idx="2">
                  <c:v>LAC</c:v>
                </c:pt>
              </c:strCache>
            </c:strRef>
          </c:cat>
          <c:val>
            <c:numRef>
              <c:f>'MRL Analysis (5)'!$B$45:$B$48</c:f>
              <c:numCache>
                <c:formatCode>0.00%</c:formatCode>
                <c:ptCount val="3"/>
                <c:pt idx="0">
                  <c:v>2.6910831868118667E-2</c:v>
                </c:pt>
                <c:pt idx="1">
                  <c:v>4.9418896153077103E-2</c:v>
                </c:pt>
                <c:pt idx="2">
                  <c:v>0.15862354088095307</c:v>
                </c:pt>
              </c:numCache>
            </c:numRef>
          </c:val>
        </c:ser>
        <c:ser>
          <c:idx val="1"/>
          <c:order val="1"/>
          <c:tx>
            <c:strRef>
              <c:f>'MRL Analysis (5)'!$C$43:$C$44</c:f>
              <c:strCache>
                <c:ptCount val="1"/>
                <c:pt idx="0">
                  <c:v>Average of Overall Appeal Coverage</c:v>
                </c:pt>
              </c:strCache>
            </c:strRef>
          </c:tx>
          <c:dLbls>
            <c:spPr/>
            <c:txPr>
              <a:bodyPr/>
              <a:lstStyle/>
              <a:p>
                <a:pPr>
                  <a:defRPr b="1"/>
                </a:pPr>
                <a:endParaRPr lang="en-US"/>
              </a:p>
            </c:txPr>
            <c:dLblPos val="outEnd"/>
            <c:showVal val="1"/>
          </c:dLbls>
          <c:cat>
            <c:strRef>
              <c:f>'MRL Analysis (5)'!$A$45:$A$48</c:f>
              <c:strCache>
                <c:ptCount val="3"/>
                <c:pt idx="0">
                  <c:v>Africa</c:v>
                </c:pt>
                <c:pt idx="1">
                  <c:v>Europe/Asia</c:v>
                </c:pt>
                <c:pt idx="2">
                  <c:v>LAC</c:v>
                </c:pt>
              </c:strCache>
            </c:strRef>
          </c:cat>
          <c:val>
            <c:numRef>
              <c:f>'MRL Analysis (5)'!$C$45:$C$48</c:f>
              <c:numCache>
                <c:formatCode>0.00%</c:formatCode>
                <c:ptCount val="3"/>
                <c:pt idx="0">
                  <c:v>0.89</c:v>
                </c:pt>
                <c:pt idx="1">
                  <c:v>0.7038461538461539</c:v>
                </c:pt>
                <c:pt idx="2">
                  <c:v>0.89857142857142847</c:v>
                </c:pt>
              </c:numCache>
            </c:numRef>
          </c:val>
        </c:ser>
        <c:axId val="133754880"/>
        <c:axId val="133756416"/>
      </c:barChart>
      <c:catAx>
        <c:axId val="133754880"/>
        <c:scaling>
          <c:orientation val="minMax"/>
        </c:scaling>
        <c:axPos val="b"/>
        <c:tickLblPos val="nextTo"/>
        <c:crossAx val="133756416"/>
        <c:crosses val="autoZero"/>
        <c:auto val="1"/>
        <c:lblAlgn val="ctr"/>
        <c:lblOffset val="100"/>
      </c:catAx>
      <c:valAx>
        <c:axId val="133756416"/>
        <c:scaling>
          <c:orientation val="minMax"/>
        </c:scaling>
        <c:axPos val="l"/>
        <c:numFmt formatCode="0%" sourceLinked="0"/>
        <c:tickLblPos val="nextTo"/>
        <c:crossAx val="133754880"/>
        <c:crosses val="autoZero"/>
        <c:crossBetween val="between"/>
      </c:valAx>
    </c:plotArea>
    <c:legend>
      <c:legendPos val="r"/>
      <c:layout>
        <c:manualLayout>
          <c:xMode val="edge"/>
          <c:yMode val="edge"/>
          <c:x val="0.76503478406852865"/>
          <c:y val="0.39843155969140231"/>
          <c:w val="0.22248471671150311"/>
          <c:h val="0.19640287388318883"/>
        </c:manualLayout>
      </c:layout>
    </c:legend>
    <c:plotVisOnly val="1"/>
    <c:dispBlanksAs val="gap"/>
  </c:chart>
  <c:printSettings>
    <c:headerFooter/>
    <c:pageMargins b="0.750000000000005" l="0.70000000000000062" r="0.70000000000000062" t="0.750000000000005" header="0.30000000000000032" footer="0.30000000000000032"/>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lang val="en-US"/>
  <c:chart>
    <c:title>
      <c:tx>
        <c:rich>
          <a:bodyPr/>
          <a:lstStyle/>
          <a:p>
            <a:pPr>
              <a:defRPr sz="1200" b="1" i="0" u="none" strike="noStrike" baseline="0">
                <a:solidFill>
                  <a:srgbClr val="000000"/>
                </a:solidFill>
                <a:latin typeface="Arial"/>
                <a:ea typeface="Arial"/>
                <a:cs typeface="Arial"/>
              </a:defRPr>
            </a:pPr>
            <a:r>
              <a:rPr lang="en-US"/>
              <a:t>FY11 Deployments by Region
total: 18 to date</a:t>
            </a:r>
          </a:p>
        </c:rich>
      </c:tx>
      <c:layout>
        <c:manualLayout>
          <c:xMode val="edge"/>
          <c:yMode val="edge"/>
          <c:x val="0.20360851120025067"/>
          <c:y val="3.5820895522388062E-2"/>
        </c:manualLayout>
      </c:layout>
      <c:spPr>
        <a:noFill/>
        <a:ln w="25400">
          <a:noFill/>
        </a:ln>
      </c:spPr>
    </c:title>
    <c:plotArea>
      <c:layout>
        <c:manualLayout>
          <c:layoutTarget val="inner"/>
          <c:xMode val="edge"/>
          <c:yMode val="edge"/>
          <c:x val="0.31701070822265376"/>
          <c:y val="0.38507462686568084"/>
          <c:w val="0.35824787351990023"/>
          <c:h val="0.41492537313433447"/>
        </c:manualLayout>
      </c:layout>
      <c:pieChart>
        <c:varyColors val="1"/>
        <c:ser>
          <c:idx val="0"/>
          <c:order val="0"/>
          <c:tx>
            <c:strRef>
              <c:f>'FY2011 analysis '!$D$147</c:f>
              <c:strCache>
                <c:ptCount val="1"/>
                <c:pt idx="0">
                  <c:v>FY11</c:v>
                </c:pt>
              </c:strCache>
            </c:strRef>
          </c:tx>
          <c:spPr>
            <a:solidFill>
              <a:srgbClr val="9999FF"/>
            </a:solidFill>
            <a:ln w="12700">
              <a:solidFill>
                <a:srgbClr val="000000"/>
              </a:solidFill>
              <a:prstDash val="solid"/>
            </a:ln>
          </c:spPr>
          <c:dPt>
            <c:idx val="1"/>
            <c:spPr>
              <a:solidFill>
                <a:srgbClr val="993366"/>
              </a:solidFill>
              <a:ln w="12700">
                <a:solidFill>
                  <a:srgbClr val="000000"/>
                </a:solidFill>
                <a:prstDash val="solid"/>
              </a:ln>
            </c:spPr>
          </c:dPt>
          <c:dPt>
            <c:idx val="2"/>
            <c:spPr>
              <a:solidFill>
                <a:srgbClr val="FFFFCC"/>
              </a:solidFill>
              <a:ln w="12700">
                <a:solidFill>
                  <a:srgbClr val="000000"/>
                </a:solidFill>
                <a:prstDash val="solid"/>
              </a:ln>
            </c:spPr>
          </c:dPt>
          <c:dLbls>
            <c:dLbl>
              <c:idx val="0"/>
              <c:layout>
                <c:manualLayout>
                  <c:x val="3.1184353109060196E-2"/>
                  <c:y val="-1.3591883104164209E-2"/>
                </c:manualLayout>
              </c:layout>
              <c:dLblPos val="bestFit"/>
              <c:showVal val="1"/>
              <c:showCatName val="1"/>
              <c:showPercent val="1"/>
              <c:separator> - </c:separator>
            </c:dLbl>
            <c:dLbl>
              <c:idx val="1"/>
              <c:layout>
                <c:manualLayout>
                  <c:x val="8.058602296275124E-3"/>
                  <c:y val="1.0614956712500555E-2"/>
                </c:manualLayout>
              </c:layout>
              <c:dLblPos val="bestFit"/>
              <c:showVal val="1"/>
              <c:showCatName val="1"/>
              <c:showPercent val="1"/>
              <c:separator> - </c:separator>
            </c:dLbl>
            <c:dLbl>
              <c:idx val="2"/>
              <c:layout>
                <c:manualLayout>
                  <c:x val="-1.2737900964164424E-2"/>
                  <c:y val="-3.9470364711874421E-2"/>
                </c:manualLayout>
              </c:layout>
              <c:dLblPos val="bestFit"/>
              <c:showVal val="1"/>
              <c:showCatName val="1"/>
              <c:showPercent val="1"/>
              <c:separator> - </c:separator>
            </c:dLbl>
            <c:numFmt formatCode="0%" sourceLinked="0"/>
            <c:spPr>
              <a:noFill/>
              <a:ln w="25400">
                <a:noFill/>
              </a:ln>
            </c:spPr>
            <c:txPr>
              <a:bodyPr/>
              <a:lstStyle/>
              <a:p>
                <a:pPr>
                  <a:defRPr sz="1000" b="1" i="0" u="none" strike="noStrike" baseline="0">
                    <a:solidFill>
                      <a:srgbClr val="000000"/>
                    </a:solidFill>
                    <a:latin typeface="Arial"/>
                    <a:ea typeface="Arial"/>
                    <a:cs typeface="Arial"/>
                  </a:defRPr>
                </a:pPr>
                <a:endParaRPr lang="en-US"/>
              </a:p>
            </c:txPr>
            <c:showVal val="1"/>
            <c:showCatName val="1"/>
            <c:showPercent val="1"/>
            <c:separator> - </c:separator>
            <c:showLeaderLines val="1"/>
          </c:dLbls>
          <c:cat>
            <c:strRef>
              <c:f>'FY2011 analysis '!$A$148:$A$150</c:f>
              <c:strCache>
                <c:ptCount val="3"/>
                <c:pt idx="0">
                  <c:v>Africa</c:v>
                </c:pt>
                <c:pt idx="1">
                  <c:v>Asia/Middle East/ Europe</c:v>
                </c:pt>
                <c:pt idx="2">
                  <c:v>Latin America/ Caribbean</c:v>
                </c:pt>
              </c:strCache>
            </c:strRef>
          </c:cat>
          <c:val>
            <c:numRef>
              <c:f>'FY2011 analysis '!$D$148:$D$150</c:f>
              <c:numCache>
                <c:formatCode>General</c:formatCode>
                <c:ptCount val="3"/>
                <c:pt idx="0">
                  <c:v>0</c:v>
                </c:pt>
                <c:pt idx="1">
                  <c:v>11</c:v>
                </c:pt>
                <c:pt idx="2">
                  <c:v>7</c:v>
                </c:pt>
              </c:numCache>
            </c:numRef>
          </c:val>
        </c:ser>
        <c:dLbls>
          <c:showVal val="1"/>
          <c:showCatName val="1"/>
          <c:showPercent val="1"/>
          <c:separator> - </c:separator>
        </c:dLbls>
        <c:firstSliceAng val="0"/>
      </c:pieChart>
      <c:spPr>
        <a:noFill/>
        <a:ln w="25400">
          <a:noFill/>
        </a:ln>
      </c:spPr>
    </c:plotArea>
    <c:plotVisOnly val="1"/>
    <c:dispBlanksAs val="zero"/>
  </c:chart>
  <c:spPr>
    <a:solidFill>
      <a:srgbClr val="FFFFFF"/>
    </a:solidFill>
    <a:ln w="3175">
      <a:solidFill>
        <a:srgbClr val="000000"/>
      </a:solidFill>
      <a:prstDash val="solid"/>
    </a:ln>
  </c:spPr>
  <c:txPr>
    <a:bodyPr/>
    <a:lstStyle/>
    <a:p>
      <a:pPr>
        <a:defRPr sz="500" b="0" i="0" u="none" strike="noStrike" baseline="0">
          <a:solidFill>
            <a:srgbClr val="000000"/>
          </a:solidFill>
          <a:latin typeface="Arial"/>
          <a:ea typeface="Arial"/>
          <a:cs typeface="Arial"/>
        </a:defRPr>
      </a:pPr>
      <a:endParaRPr lang="en-US"/>
    </a:p>
  </c:txPr>
  <c:printSettings>
    <c:headerFooter alignWithMargins="0"/>
    <c:pageMargins b="1" l="0.75000000000000833" r="0.75000000000000833" t="1" header="0.5" footer="0.5"/>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lang val="en-US"/>
  <c:chart>
    <c:title>
      <c:tx>
        <c:rich>
          <a:bodyPr/>
          <a:lstStyle/>
          <a:p>
            <a:pPr>
              <a:defRPr sz="1200" b="1" i="0" u="none" strike="noStrike" baseline="0">
                <a:solidFill>
                  <a:srgbClr val="000000"/>
                </a:solidFill>
                <a:latin typeface="Arial"/>
                <a:ea typeface="Arial"/>
                <a:cs typeface="Arial"/>
              </a:defRPr>
            </a:pPr>
            <a:r>
              <a:rPr lang="en-US"/>
              <a:t>FY09 Deployments by Region
total: 27</a:t>
            </a:r>
          </a:p>
        </c:rich>
      </c:tx>
      <c:layout>
        <c:manualLayout>
          <c:xMode val="edge"/>
          <c:yMode val="edge"/>
          <c:x val="0.1787565513301374"/>
          <c:y val="2.5936599423631142E-2"/>
        </c:manualLayout>
      </c:layout>
      <c:spPr>
        <a:noFill/>
        <a:ln w="25400">
          <a:noFill/>
        </a:ln>
      </c:spPr>
    </c:title>
    <c:plotArea>
      <c:layout>
        <c:manualLayout>
          <c:layoutTarget val="inner"/>
          <c:xMode val="edge"/>
          <c:yMode val="edge"/>
          <c:x val="0.30569948186528945"/>
          <c:y val="0.4207492795389049"/>
          <c:w val="0.33160621761658032"/>
          <c:h val="0.36887608069165195"/>
        </c:manualLayout>
      </c:layout>
      <c:pieChart>
        <c:varyColors val="1"/>
        <c:ser>
          <c:idx val="0"/>
          <c:order val="0"/>
          <c:tx>
            <c:strRef>
              <c:f>'FY2011 analysis '!$B$147</c:f>
              <c:strCache>
                <c:ptCount val="1"/>
                <c:pt idx="0">
                  <c:v>FY09</c:v>
                </c:pt>
              </c:strCache>
            </c:strRef>
          </c:tx>
          <c:spPr>
            <a:solidFill>
              <a:srgbClr val="9999FF"/>
            </a:solidFill>
            <a:ln w="12700">
              <a:solidFill>
                <a:srgbClr val="000000"/>
              </a:solidFill>
              <a:prstDash val="solid"/>
            </a:ln>
          </c:spPr>
          <c:dPt>
            <c:idx val="1"/>
            <c:spPr>
              <a:solidFill>
                <a:srgbClr val="993366"/>
              </a:solidFill>
              <a:ln w="12700">
                <a:solidFill>
                  <a:srgbClr val="000000"/>
                </a:solidFill>
                <a:prstDash val="solid"/>
              </a:ln>
            </c:spPr>
          </c:dPt>
          <c:dPt>
            <c:idx val="2"/>
            <c:spPr>
              <a:solidFill>
                <a:srgbClr val="FFFFCC"/>
              </a:solidFill>
              <a:ln w="12700">
                <a:solidFill>
                  <a:srgbClr val="000000"/>
                </a:solidFill>
                <a:prstDash val="solid"/>
              </a:ln>
            </c:spPr>
          </c:dPt>
          <c:dPt>
            <c:idx val="3"/>
            <c:spPr>
              <a:solidFill>
                <a:srgbClr val="CCFFFF"/>
              </a:solidFill>
              <a:ln w="12700">
                <a:solidFill>
                  <a:srgbClr val="000000"/>
                </a:solidFill>
                <a:prstDash val="solid"/>
              </a:ln>
            </c:spPr>
          </c:dPt>
          <c:dPt>
            <c:idx val="4"/>
            <c:spPr>
              <a:solidFill>
                <a:srgbClr val="660066"/>
              </a:solidFill>
              <a:ln w="12700">
                <a:solidFill>
                  <a:srgbClr val="000000"/>
                </a:solidFill>
                <a:prstDash val="solid"/>
              </a:ln>
            </c:spPr>
          </c:dPt>
          <c:dLbls>
            <c:dLbl>
              <c:idx val="0"/>
              <c:layout>
                <c:manualLayout>
                  <c:x val="-6.3557858376511274E-3"/>
                  <c:y val="-4.7744824404154076E-2"/>
                </c:manualLayout>
              </c:layout>
              <c:dLblPos val="bestFit"/>
              <c:showVal val="1"/>
              <c:showCatName val="1"/>
              <c:showPercent val="1"/>
              <c:separator> - </c:separator>
            </c:dLbl>
            <c:dLbl>
              <c:idx val="1"/>
              <c:layout>
                <c:manualLayout>
                  <c:x val="2.152611752546538E-2"/>
                  <c:y val="-3.5351834622977606E-2"/>
                </c:manualLayout>
              </c:layout>
              <c:dLblPos val="bestFit"/>
              <c:showVal val="1"/>
              <c:showCatName val="1"/>
              <c:showPercent val="1"/>
              <c:separator> - </c:separator>
            </c:dLbl>
            <c:dLbl>
              <c:idx val="2"/>
              <c:layout>
                <c:manualLayout>
                  <c:x val="0.14835815212217923"/>
                  <c:y val="-0.20042025006240569"/>
                </c:manualLayout>
              </c:layout>
              <c:dLblPos val="bestFit"/>
              <c:showVal val="1"/>
              <c:showCatName val="1"/>
              <c:showPercent val="1"/>
              <c:separator> - </c:separator>
            </c:dLbl>
            <c:dLbl>
              <c:idx val="3"/>
              <c:layout>
                <c:manualLayout>
                  <c:x val="-3.5992003590224852E-3"/>
                  <c:y val="-2.129024938165161E-2"/>
                </c:manualLayout>
              </c:layout>
              <c:dLblPos val="bestFit"/>
              <c:showVal val="1"/>
              <c:showCatName val="1"/>
              <c:showPercent val="1"/>
              <c:separator> - </c:separator>
            </c:dLbl>
            <c:dLbl>
              <c:idx val="4"/>
              <c:layout>
                <c:manualLayout>
                  <c:x val="-3.5924006908462807E-3"/>
                  <c:y val="-3.0453758121733412E-2"/>
                </c:manualLayout>
              </c:layout>
              <c:dLblPos val="bestFit"/>
              <c:showVal val="1"/>
              <c:showCatName val="1"/>
              <c:showPercent val="1"/>
              <c:separator> - </c:separator>
            </c:dLbl>
            <c:numFmt formatCode="0%" sourceLinked="0"/>
            <c:spPr>
              <a:noFill/>
              <a:ln w="25400">
                <a:noFill/>
              </a:ln>
            </c:spPr>
            <c:txPr>
              <a:bodyPr/>
              <a:lstStyle/>
              <a:p>
                <a:pPr>
                  <a:defRPr sz="1000" b="1" i="0" u="none" strike="noStrike" baseline="0">
                    <a:solidFill>
                      <a:srgbClr val="000000"/>
                    </a:solidFill>
                    <a:latin typeface="Arial"/>
                    <a:ea typeface="Arial"/>
                    <a:cs typeface="Arial"/>
                  </a:defRPr>
                </a:pPr>
                <a:endParaRPr lang="en-US"/>
              </a:p>
            </c:txPr>
            <c:showVal val="1"/>
            <c:showCatName val="1"/>
            <c:showPercent val="1"/>
            <c:separator> - </c:separator>
            <c:showLeaderLines val="1"/>
          </c:dLbls>
          <c:cat>
            <c:strRef>
              <c:f>'FY2011 analysis '!$A$148:$A$152</c:f>
              <c:strCache>
                <c:ptCount val="5"/>
                <c:pt idx="0">
                  <c:v>Africa</c:v>
                </c:pt>
                <c:pt idx="1">
                  <c:v>Asia/Middle East/ Europe</c:v>
                </c:pt>
                <c:pt idx="2">
                  <c:v>Latin America/ Caribbean</c:v>
                </c:pt>
                <c:pt idx="3">
                  <c:v>IFRC</c:v>
                </c:pt>
                <c:pt idx="4">
                  <c:v>NHQ</c:v>
                </c:pt>
              </c:strCache>
            </c:strRef>
          </c:cat>
          <c:val>
            <c:numRef>
              <c:f>'FY2011 analysis '!$B$148:$B$152</c:f>
              <c:numCache>
                <c:formatCode>General</c:formatCode>
                <c:ptCount val="5"/>
                <c:pt idx="0">
                  <c:v>2</c:v>
                </c:pt>
                <c:pt idx="1">
                  <c:v>4</c:v>
                </c:pt>
                <c:pt idx="2">
                  <c:v>12</c:v>
                </c:pt>
                <c:pt idx="3">
                  <c:v>7</c:v>
                </c:pt>
                <c:pt idx="4">
                  <c:v>2</c:v>
                </c:pt>
              </c:numCache>
            </c:numRef>
          </c:val>
        </c:ser>
        <c:dLbls>
          <c:showVal val="1"/>
          <c:showCatName val="1"/>
          <c:showPercent val="1"/>
          <c:separator> - </c:separator>
        </c:dLbls>
        <c:firstSliceAng val="0"/>
      </c:pieChart>
      <c:spPr>
        <a:noFill/>
        <a:ln w="25400">
          <a:noFill/>
        </a:ln>
      </c:spPr>
    </c:plotArea>
    <c:plotVisOnly val="1"/>
    <c:dispBlanksAs val="zero"/>
  </c:chart>
  <c:spPr>
    <a:solidFill>
      <a:srgbClr val="FFFFFF"/>
    </a:solidFill>
    <a:ln w="3175">
      <a:solidFill>
        <a:srgbClr val="000000"/>
      </a:solidFill>
      <a:prstDash val="solid"/>
    </a:ln>
  </c:spPr>
  <c:txPr>
    <a:bodyPr/>
    <a:lstStyle/>
    <a:p>
      <a:pPr>
        <a:defRPr sz="500" b="0" i="0" u="none" strike="noStrike" baseline="0">
          <a:solidFill>
            <a:srgbClr val="000000"/>
          </a:solidFill>
          <a:latin typeface="Arial"/>
          <a:ea typeface="Arial"/>
          <a:cs typeface="Arial"/>
        </a:defRPr>
      </a:pPr>
      <a:endParaRPr lang="en-US"/>
    </a:p>
  </c:txPr>
  <c:printSettings>
    <c:headerFooter alignWithMargins="0"/>
    <c:pageMargins b="1" l="0.75000000000000833" r="0.75000000000000833" t="1" header="0.5" footer="0.5"/>
    <c:pageSetup orientation="landscape"/>
  </c:printSettings>
</c:chartSpace>
</file>

<file path=xl/charts/chart22.xml><?xml version="1.0" encoding="utf-8"?>
<c:chartSpace xmlns:c="http://schemas.openxmlformats.org/drawingml/2006/chart" xmlns:a="http://schemas.openxmlformats.org/drawingml/2006/main" xmlns:r="http://schemas.openxmlformats.org/officeDocument/2006/relationships">
  <c:lang val="en-US"/>
  <c:chart>
    <c:title>
      <c:tx>
        <c:rich>
          <a:bodyPr/>
          <a:lstStyle/>
          <a:p>
            <a:pPr>
              <a:defRPr sz="1200" b="1" i="0" u="none" strike="noStrike" baseline="0">
                <a:solidFill>
                  <a:srgbClr val="000000"/>
                </a:solidFill>
                <a:latin typeface="Arial"/>
                <a:ea typeface="Arial"/>
                <a:cs typeface="Arial"/>
              </a:defRPr>
            </a:pPr>
            <a:r>
              <a:rPr lang="en-US"/>
              <a:t>FY10 Deployments by Region
total: 100</a:t>
            </a:r>
          </a:p>
        </c:rich>
      </c:tx>
      <c:layout>
        <c:manualLayout>
          <c:xMode val="edge"/>
          <c:yMode val="edge"/>
          <c:x val="0.21250024302517964"/>
          <c:y val="3.4055727554180001E-2"/>
        </c:manualLayout>
      </c:layout>
      <c:spPr>
        <a:noFill/>
        <a:ln w="25400">
          <a:noFill/>
        </a:ln>
      </c:spPr>
    </c:title>
    <c:plotArea>
      <c:layout>
        <c:manualLayout>
          <c:layoutTarget val="inner"/>
          <c:xMode val="edge"/>
          <c:yMode val="edge"/>
          <c:x val="0.33250040588429447"/>
          <c:y val="0.3931888544891694"/>
          <c:w val="0.32250039367724848"/>
          <c:h val="0.39938080495357192"/>
        </c:manualLayout>
      </c:layout>
      <c:pieChart>
        <c:varyColors val="1"/>
        <c:ser>
          <c:idx val="0"/>
          <c:order val="0"/>
          <c:tx>
            <c:strRef>
              <c:f>'FY2011 analysis '!$C$147</c:f>
              <c:strCache>
                <c:ptCount val="1"/>
                <c:pt idx="0">
                  <c:v>FY10</c:v>
                </c:pt>
              </c:strCache>
            </c:strRef>
          </c:tx>
          <c:spPr>
            <a:solidFill>
              <a:srgbClr val="9999FF"/>
            </a:solidFill>
            <a:ln w="12700">
              <a:solidFill>
                <a:srgbClr val="000000"/>
              </a:solidFill>
              <a:prstDash val="solid"/>
            </a:ln>
          </c:spPr>
          <c:dPt>
            <c:idx val="1"/>
            <c:spPr>
              <a:solidFill>
                <a:srgbClr val="993366"/>
              </a:solidFill>
              <a:ln w="12700">
                <a:solidFill>
                  <a:srgbClr val="000000"/>
                </a:solidFill>
                <a:prstDash val="solid"/>
              </a:ln>
            </c:spPr>
          </c:dPt>
          <c:dPt>
            <c:idx val="2"/>
            <c:spPr>
              <a:solidFill>
                <a:srgbClr val="FFFFCC"/>
              </a:solidFill>
              <a:ln w="12700">
                <a:solidFill>
                  <a:srgbClr val="000000"/>
                </a:solidFill>
                <a:prstDash val="solid"/>
              </a:ln>
            </c:spPr>
          </c:dPt>
          <c:dLbls>
            <c:dLbl>
              <c:idx val="0"/>
              <c:layout>
                <c:manualLayout>
                  <c:x val="-6.3585027492718904E-3"/>
                  <c:y val="-2.8737800963734041E-2"/>
                </c:manualLayout>
              </c:layout>
              <c:dLblPos val="bestFit"/>
              <c:showVal val="1"/>
              <c:showCatName val="1"/>
              <c:showPercent val="1"/>
              <c:separator> - </c:separator>
            </c:dLbl>
            <c:dLbl>
              <c:idx val="1"/>
              <c:layout>
                <c:manualLayout>
                  <c:x val="5.4957458905532122E-2"/>
                  <c:y val="1.8637608379448221E-3"/>
                </c:manualLayout>
              </c:layout>
              <c:dLblPos val="bestFit"/>
              <c:showVal val="1"/>
              <c:showCatName val="1"/>
              <c:showPercent val="1"/>
              <c:separator> - </c:separator>
            </c:dLbl>
            <c:dLbl>
              <c:idx val="2"/>
              <c:layout>
                <c:manualLayout>
                  <c:x val="-0.13402557835198417"/>
                  <c:y val="-0.11954819888999946"/>
                </c:manualLayout>
              </c:layout>
              <c:dLblPos val="bestFit"/>
              <c:showVal val="1"/>
              <c:showCatName val="1"/>
              <c:showPercent val="1"/>
              <c:separator> - </c:separator>
            </c:dLbl>
            <c:numFmt formatCode="0%" sourceLinked="0"/>
            <c:spPr>
              <a:noFill/>
              <a:ln w="25400">
                <a:noFill/>
              </a:ln>
            </c:spPr>
            <c:txPr>
              <a:bodyPr/>
              <a:lstStyle/>
              <a:p>
                <a:pPr>
                  <a:defRPr sz="1000" b="1" i="0" u="none" strike="noStrike" baseline="0">
                    <a:solidFill>
                      <a:srgbClr val="000000"/>
                    </a:solidFill>
                    <a:latin typeface="Arial"/>
                    <a:ea typeface="Arial"/>
                    <a:cs typeface="Arial"/>
                  </a:defRPr>
                </a:pPr>
                <a:endParaRPr lang="en-US"/>
              </a:p>
            </c:txPr>
            <c:showVal val="1"/>
            <c:showCatName val="1"/>
            <c:showPercent val="1"/>
            <c:separator> - </c:separator>
            <c:showLeaderLines val="1"/>
          </c:dLbls>
          <c:cat>
            <c:strRef>
              <c:f>'FY2011 analysis '!$A$148:$A$150</c:f>
              <c:strCache>
                <c:ptCount val="3"/>
                <c:pt idx="0">
                  <c:v>Africa</c:v>
                </c:pt>
                <c:pt idx="1">
                  <c:v>Asia/Middle East/ Europe</c:v>
                </c:pt>
                <c:pt idx="2">
                  <c:v>Latin America/ Caribbean</c:v>
                </c:pt>
              </c:strCache>
            </c:strRef>
          </c:cat>
          <c:val>
            <c:numRef>
              <c:f>'FY2011 analysis '!$C$148:$C$150</c:f>
              <c:numCache>
                <c:formatCode>General</c:formatCode>
                <c:ptCount val="3"/>
                <c:pt idx="0">
                  <c:v>4</c:v>
                </c:pt>
                <c:pt idx="1">
                  <c:v>7</c:v>
                </c:pt>
                <c:pt idx="2">
                  <c:v>89</c:v>
                </c:pt>
              </c:numCache>
            </c:numRef>
          </c:val>
        </c:ser>
        <c:dLbls>
          <c:showVal val="1"/>
          <c:showCatName val="1"/>
          <c:showPercent val="1"/>
          <c:separator> - </c:separator>
        </c:dLbls>
        <c:firstSliceAng val="0"/>
      </c:pieChart>
      <c:spPr>
        <a:noFill/>
        <a:ln w="25400">
          <a:noFill/>
        </a:ln>
      </c:spPr>
    </c:plotArea>
    <c:plotVisOnly val="1"/>
    <c:dispBlanksAs val="zero"/>
  </c:chart>
  <c:spPr>
    <a:solidFill>
      <a:srgbClr val="FFFFFF"/>
    </a:solidFill>
    <a:ln w="3175">
      <a:solidFill>
        <a:srgbClr val="000000"/>
      </a:solidFill>
      <a:prstDash val="solid"/>
    </a:ln>
  </c:spPr>
  <c:txPr>
    <a:bodyPr/>
    <a:lstStyle/>
    <a:p>
      <a:pPr>
        <a:defRPr sz="500" b="0" i="0" u="none" strike="noStrike" baseline="0">
          <a:solidFill>
            <a:srgbClr val="000000"/>
          </a:solidFill>
          <a:latin typeface="Arial"/>
          <a:ea typeface="Arial"/>
          <a:cs typeface="Arial"/>
        </a:defRPr>
      </a:pPr>
      <a:endParaRPr lang="en-US"/>
    </a:p>
  </c:txPr>
  <c:printSettings>
    <c:headerFooter alignWithMargins="0"/>
    <c:pageMargins b="1" l="0.75000000000000833" r="0.75000000000000833" t="1" header="0.5" footer="0.5"/>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lang val="en-US"/>
  <c:pivotSource>
    <c:name>[Disaster Responses - Master Response Log.xlsx]FY2011 analysis !PivotTable1</c:name>
    <c:fmtId val="0"/>
  </c:pivotSource>
  <c:chart>
    <c:title>
      <c:tx>
        <c:rich>
          <a:bodyPr/>
          <a:lstStyle/>
          <a:p>
            <a:pPr>
              <a:defRPr sz="1200" b="1" i="0" u="none" strike="noStrike" baseline="0">
                <a:solidFill>
                  <a:srgbClr val="000000"/>
                </a:solidFill>
                <a:latin typeface="Arial"/>
                <a:ea typeface="Arial"/>
                <a:cs typeface="Arial"/>
              </a:defRPr>
            </a:pPr>
            <a:r>
              <a:rPr lang="en-US"/>
              <a:t>IROC Deployed Personnel FY10 &amp; FY11</a:t>
            </a:r>
          </a:p>
        </c:rich>
      </c:tx>
      <c:spPr>
        <a:noFill/>
        <a:ln w="25400">
          <a:noFill/>
        </a:ln>
      </c:spPr>
    </c:title>
    <c:pivotFmts>
      <c:pivotFmt>
        <c:idx val="0"/>
        <c:spPr>
          <a:solidFill>
            <a:srgbClr val="9999FF"/>
          </a:solidFill>
          <a:ln w="12700">
            <a:solidFill>
              <a:srgbClr val="000000"/>
            </a:solidFill>
            <a:prstDash val="solid"/>
          </a:ln>
        </c:spPr>
        <c:marker>
          <c:symbol val="none"/>
        </c:marker>
        <c:dLbl>
          <c:idx val="0"/>
          <c:spPr>
            <a:noFill/>
            <a:ln w="25400">
              <a:noFill/>
            </a:ln>
          </c:spPr>
          <c:txPr>
            <a:bodyPr/>
            <a:lstStyle/>
            <a:p>
              <a:pPr>
                <a:defRPr sz="1000" b="0" i="0" u="none" strike="noStrike" baseline="0">
                  <a:solidFill>
                    <a:srgbClr val="000000"/>
                  </a:solidFill>
                  <a:latin typeface="Arial"/>
                  <a:ea typeface="Arial"/>
                  <a:cs typeface="Arial"/>
                </a:defRPr>
              </a:pPr>
              <a:endParaRPr lang="en-US"/>
            </a:p>
          </c:txPr>
          <c:showVal val="1"/>
        </c:dLbl>
      </c:pivotFmt>
      <c:pivotFmt>
        <c:idx val="1"/>
        <c:spPr>
          <a:solidFill>
            <a:srgbClr val="993366"/>
          </a:solidFill>
          <a:ln w="12700">
            <a:solidFill>
              <a:srgbClr val="000000"/>
            </a:solidFill>
            <a:prstDash val="solid"/>
          </a:ln>
        </c:spPr>
        <c:marker>
          <c:symbol val="none"/>
        </c:marker>
        <c:dLbl>
          <c:idx val="0"/>
          <c:spPr>
            <a:noFill/>
            <a:ln w="25400">
              <a:noFill/>
            </a:ln>
          </c:spPr>
          <c:txPr>
            <a:bodyPr/>
            <a:lstStyle/>
            <a:p>
              <a:pPr>
                <a:defRPr sz="1000" b="0" i="0" u="none" strike="noStrike" baseline="0">
                  <a:solidFill>
                    <a:srgbClr val="000000"/>
                  </a:solidFill>
                  <a:latin typeface="Arial"/>
                  <a:ea typeface="Arial"/>
                  <a:cs typeface="Arial"/>
                </a:defRPr>
              </a:pPr>
              <a:endParaRPr lang="en-US"/>
            </a:p>
          </c:txPr>
          <c:showVal val="1"/>
        </c:dLbl>
      </c:pivotFmt>
      <c:pivotFmt>
        <c:idx val="2"/>
        <c:spPr>
          <a:solidFill>
            <a:srgbClr val="FFFFCC"/>
          </a:solidFill>
          <a:ln w="12700">
            <a:solidFill>
              <a:srgbClr val="000000"/>
            </a:solidFill>
            <a:prstDash val="solid"/>
          </a:ln>
        </c:spPr>
        <c:marker>
          <c:symbol val="none"/>
        </c:marker>
        <c:dLbl>
          <c:idx val="0"/>
          <c:spPr>
            <a:noFill/>
            <a:ln w="25400">
              <a:noFill/>
            </a:ln>
          </c:spPr>
          <c:txPr>
            <a:bodyPr/>
            <a:lstStyle/>
            <a:p>
              <a:pPr>
                <a:defRPr sz="1000" b="0" i="0" u="none" strike="noStrike" baseline="0">
                  <a:solidFill>
                    <a:srgbClr val="000000"/>
                  </a:solidFill>
                  <a:latin typeface="Arial"/>
                  <a:ea typeface="Arial"/>
                  <a:cs typeface="Arial"/>
                </a:defRPr>
              </a:pPr>
              <a:endParaRPr lang="en-US"/>
            </a:p>
          </c:txPr>
          <c:showVal val="1"/>
        </c:dLbl>
      </c:pivotFmt>
    </c:pivotFmts>
    <c:plotArea>
      <c:layout/>
      <c:barChart>
        <c:barDir val="col"/>
        <c:grouping val="stacked"/>
        <c:ser>
          <c:idx val="0"/>
          <c:order val="0"/>
          <c:tx>
            <c:strRef>
              <c:f>'FY2011 analysis '!$I$37:$I$38</c:f>
              <c:strCache>
                <c:ptCount val="1"/>
                <c:pt idx="0">
                  <c:v>Africa</c:v>
                </c:pt>
              </c:strCache>
            </c:strRef>
          </c:tx>
          <c:spPr>
            <a:solidFill>
              <a:srgbClr val="9999FF"/>
            </a:solidFill>
            <a:ln w="12700">
              <a:solidFill>
                <a:srgbClr val="000000"/>
              </a:solidFill>
              <a:prstDash val="solid"/>
            </a:ln>
          </c:spPr>
          <c:dLbls>
            <c:spPr>
              <a:noFill/>
              <a:ln w="25400">
                <a:noFill/>
              </a:ln>
            </c:spPr>
            <c:txPr>
              <a:bodyPr/>
              <a:lstStyle/>
              <a:p>
                <a:pPr>
                  <a:defRPr sz="1000" b="0" i="0" u="none" strike="noStrike" baseline="0">
                    <a:solidFill>
                      <a:srgbClr val="000000"/>
                    </a:solidFill>
                    <a:latin typeface="Arial"/>
                    <a:ea typeface="Arial"/>
                    <a:cs typeface="Arial"/>
                  </a:defRPr>
                </a:pPr>
                <a:endParaRPr lang="en-US"/>
              </a:p>
            </c:txPr>
            <c:showVal val="1"/>
          </c:dLbls>
          <c:cat>
            <c:multiLvlStrRef>
              <c:f>'FY2011 analysis '!$F$39:$H$77</c:f>
              <c:multiLvlStrCache>
                <c:ptCount val="19"/>
                <c:lvl>
                  <c:pt idx="0">
                    <c:v>West African Floods</c:v>
                  </c:pt>
                  <c:pt idx="1">
                    <c:v>Earthquake</c:v>
                  </c:pt>
                  <c:pt idx="2">
                    <c:v>Capacity Building</c:v>
                  </c:pt>
                  <c:pt idx="3">
                    <c:v>Earthquake</c:v>
                  </c:pt>
                  <c:pt idx="4">
                    <c:v>Floods</c:v>
                  </c:pt>
                  <c:pt idx="5">
                    <c:v>Earthquake</c:v>
                  </c:pt>
                  <c:pt idx="6">
                    <c:v>West Java Earthquake</c:v>
                  </c:pt>
                  <c:pt idx="7">
                    <c:v>Mexico Hurricane Jimena</c:v>
                  </c:pt>
                  <c:pt idx="8">
                    <c:v>Capacity Building</c:v>
                  </c:pt>
                  <c:pt idx="9">
                    <c:v>Floods</c:v>
                  </c:pt>
                  <c:pt idx="10">
                    <c:v>Typhoons</c:v>
                  </c:pt>
                  <c:pt idx="11">
                    <c:v>West African Floods</c:v>
                  </c:pt>
                  <c:pt idx="12">
                    <c:v>Typhoons</c:v>
                  </c:pt>
                  <c:pt idx="13">
                    <c:v>Capacity Building</c:v>
                  </c:pt>
                  <c:pt idx="14">
                    <c:v>Hurricane Richard</c:v>
                  </c:pt>
                  <c:pt idx="15">
                    <c:v>Epidemic</c:v>
                  </c:pt>
                  <c:pt idx="16">
                    <c:v>Earthquake and Tsunami</c:v>
                  </c:pt>
                  <c:pt idx="17">
                    <c:v>Complex Emergency</c:v>
                  </c:pt>
                  <c:pt idx="18">
                    <c:v>Floods</c:v>
                  </c:pt>
                </c:lvl>
                <c:lvl>
                  <c:pt idx="0">
                    <c:v>Burkina Faso</c:v>
                  </c:pt>
                  <c:pt idx="1">
                    <c:v>Chile</c:v>
                  </c:pt>
                  <c:pt idx="2">
                    <c:v>China</c:v>
                  </c:pt>
                  <c:pt idx="3">
                    <c:v>Haiti</c:v>
                  </c:pt>
                  <c:pt idx="5">
                    <c:v>Indonesia</c:v>
                  </c:pt>
                  <c:pt idx="7">
                    <c:v>Mexico</c:v>
                  </c:pt>
                  <c:pt idx="8">
                    <c:v>Nepal</c:v>
                  </c:pt>
                  <c:pt idx="9">
                    <c:v>Pakistan</c:v>
                  </c:pt>
                  <c:pt idx="10">
                    <c:v>Philippines</c:v>
                  </c:pt>
                  <c:pt idx="11">
                    <c:v>Senegal</c:v>
                  </c:pt>
                  <c:pt idx="12">
                    <c:v>Vietnam</c:v>
                  </c:pt>
                  <c:pt idx="13">
                    <c:v>Bangladesh</c:v>
                  </c:pt>
                  <c:pt idx="14">
                    <c:v>Belize</c:v>
                  </c:pt>
                  <c:pt idx="15">
                    <c:v>Haiti</c:v>
                  </c:pt>
                  <c:pt idx="16">
                    <c:v>Japan</c:v>
                  </c:pt>
                  <c:pt idx="17">
                    <c:v>North Africa &amp; Middle East Civil Unrest</c:v>
                  </c:pt>
                  <c:pt idx="18">
                    <c:v>Pakistan</c:v>
                  </c:pt>
                </c:lvl>
                <c:lvl>
                  <c:pt idx="0">
                    <c:v>FY10</c:v>
                  </c:pt>
                  <c:pt idx="13">
                    <c:v>FY11</c:v>
                  </c:pt>
                </c:lvl>
              </c:multiLvlStrCache>
            </c:multiLvlStrRef>
          </c:cat>
          <c:val>
            <c:numRef>
              <c:f>'FY2011 analysis '!$I$39:$I$77</c:f>
              <c:numCache>
                <c:formatCode>General</c:formatCode>
                <c:ptCount val="19"/>
                <c:pt idx="0">
                  <c:v>1</c:v>
                </c:pt>
                <c:pt idx="11">
                  <c:v>3</c:v>
                </c:pt>
              </c:numCache>
            </c:numRef>
          </c:val>
        </c:ser>
        <c:ser>
          <c:idx val="1"/>
          <c:order val="1"/>
          <c:tx>
            <c:strRef>
              <c:f>'FY2011 analysis '!$J$37:$J$38</c:f>
              <c:strCache>
                <c:ptCount val="1"/>
                <c:pt idx="0">
                  <c:v>Asia/ME/Europe</c:v>
                </c:pt>
              </c:strCache>
            </c:strRef>
          </c:tx>
          <c:spPr>
            <a:solidFill>
              <a:srgbClr val="993366"/>
            </a:solidFill>
            <a:ln w="12700">
              <a:solidFill>
                <a:srgbClr val="000000"/>
              </a:solidFill>
              <a:prstDash val="solid"/>
            </a:ln>
          </c:spPr>
          <c:dLbls>
            <c:spPr>
              <a:noFill/>
              <a:ln w="25400">
                <a:noFill/>
              </a:ln>
            </c:spPr>
            <c:txPr>
              <a:bodyPr/>
              <a:lstStyle/>
              <a:p>
                <a:pPr>
                  <a:defRPr sz="1000" b="0" i="0" u="none" strike="noStrike" baseline="0">
                    <a:solidFill>
                      <a:srgbClr val="000000"/>
                    </a:solidFill>
                    <a:latin typeface="Arial"/>
                    <a:ea typeface="Arial"/>
                    <a:cs typeface="Arial"/>
                  </a:defRPr>
                </a:pPr>
                <a:endParaRPr lang="en-US"/>
              </a:p>
            </c:txPr>
            <c:showVal val="1"/>
          </c:dLbls>
          <c:cat>
            <c:multiLvlStrRef>
              <c:f>'FY2011 analysis '!$F$39:$H$77</c:f>
              <c:multiLvlStrCache>
                <c:ptCount val="19"/>
                <c:lvl>
                  <c:pt idx="0">
                    <c:v>West African Floods</c:v>
                  </c:pt>
                  <c:pt idx="1">
                    <c:v>Earthquake</c:v>
                  </c:pt>
                  <c:pt idx="2">
                    <c:v>Capacity Building</c:v>
                  </c:pt>
                  <c:pt idx="3">
                    <c:v>Earthquake</c:v>
                  </c:pt>
                  <c:pt idx="4">
                    <c:v>Floods</c:v>
                  </c:pt>
                  <c:pt idx="5">
                    <c:v>Earthquake</c:v>
                  </c:pt>
                  <c:pt idx="6">
                    <c:v>West Java Earthquake</c:v>
                  </c:pt>
                  <c:pt idx="7">
                    <c:v>Mexico Hurricane Jimena</c:v>
                  </c:pt>
                  <c:pt idx="8">
                    <c:v>Capacity Building</c:v>
                  </c:pt>
                  <c:pt idx="9">
                    <c:v>Floods</c:v>
                  </c:pt>
                  <c:pt idx="10">
                    <c:v>Typhoons</c:v>
                  </c:pt>
                  <c:pt idx="11">
                    <c:v>West African Floods</c:v>
                  </c:pt>
                  <c:pt idx="12">
                    <c:v>Typhoons</c:v>
                  </c:pt>
                  <c:pt idx="13">
                    <c:v>Capacity Building</c:v>
                  </c:pt>
                  <c:pt idx="14">
                    <c:v>Hurricane Richard</c:v>
                  </c:pt>
                  <c:pt idx="15">
                    <c:v>Epidemic</c:v>
                  </c:pt>
                  <c:pt idx="16">
                    <c:v>Earthquake and Tsunami</c:v>
                  </c:pt>
                  <c:pt idx="17">
                    <c:v>Complex Emergency</c:v>
                  </c:pt>
                  <c:pt idx="18">
                    <c:v>Floods</c:v>
                  </c:pt>
                </c:lvl>
                <c:lvl>
                  <c:pt idx="0">
                    <c:v>Burkina Faso</c:v>
                  </c:pt>
                  <c:pt idx="1">
                    <c:v>Chile</c:v>
                  </c:pt>
                  <c:pt idx="2">
                    <c:v>China</c:v>
                  </c:pt>
                  <c:pt idx="3">
                    <c:v>Haiti</c:v>
                  </c:pt>
                  <c:pt idx="5">
                    <c:v>Indonesia</c:v>
                  </c:pt>
                  <c:pt idx="7">
                    <c:v>Mexico</c:v>
                  </c:pt>
                  <c:pt idx="8">
                    <c:v>Nepal</c:v>
                  </c:pt>
                  <c:pt idx="9">
                    <c:v>Pakistan</c:v>
                  </c:pt>
                  <c:pt idx="10">
                    <c:v>Philippines</c:v>
                  </c:pt>
                  <c:pt idx="11">
                    <c:v>Senegal</c:v>
                  </c:pt>
                  <c:pt idx="12">
                    <c:v>Vietnam</c:v>
                  </c:pt>
                  <c:pt idx="13">
                    <c:v>Bangladesh</c:v>
                  </c:pt>
                  <c:pt idx="14">
                    <c:v>Belize</c:v>
                  </c:pt>
                  <c:pt idx="15">
                    <c:v>Haiti</c:v>
                  </c:pt>
                  <c:pt idx="16">
                    <c:v>Japan</c:v>
                  </c:pt>
                  <c:pt idx="17">
                    <c:v>North Africa &amp; Middle East Civil Unrest</c:v>
                  </c:pt>
                  <c:pt idx="18">
                    <c:v>Pakistan</c:v>
                  </c:pt>
                </c:lvl>
                <c:lvl>
                  <c:pt idx="0">
                    <c:v>FY10</c:v>
                  </c:pt>
                  <c:pt idx="13">
                    <c:v>FY11</c:v>
                  </c:pt>
                </c:lvl>
              </c:multiLvlStrCache>
            </c:multiLvlStrRef>
          </c:cat>
          <c:val>
            <c:numRef>
              <c:f>'FY2011 analysis '!$J$39:$J$77</c:f>
              <c:numCache>
                <c:formatCode>General</c:formatCode>
                <c:ptCount val="19"/>
                <c:pt idx="2">
                  <c:v>1</c:v>
                </c:pt>
                <c:pt idx="5">
                  <c:v>1</c:v>
                </c:pt>
                <c:pt idx="6">
                  <c:v>1</c:v>
                </c:pt>
                <c:pt idx="8">
                  <c:v>1</c:v>
                </c:pt>
                <c:pt idx="9">
                  <c:v>1</c:v>
                </c:pt>
                <c:pt idx="10">
                  <c:v>2</c:v>
                </c:pt>
                <c:pt idx="12">
                  <c:v>1</c:v>
                </c:pt>
                <c:pt idx="13">
                  <c:v>1</c:v>
                </c:pt>
                <c:pt idx="16">
                  <c:v>3</c:v>
                </c:pt>
                <c:pt idx="17">
                  <c:v>5</c:v>
                </c:pt>
                <c:pt idx="18">
                  <c:v>2</c:v>
                </c:pt>
              </c:numCache>
            </c:numRef>
          </c:val>
        </c:ser>
        <c:ser>
          <c:idx val="2"/>
          <c:order val="2"/>
          <c:tx>
            <c:strRef>
              <c:f>'FY2011 analysis '!$K$37:$K$38</c:f>
              <c:strCache>
                <c:ptCount val="1"/>
                <c:pt idx="0">
                  <c:v>LAC</c:v>
                </c:pt>
              </c:strCache>
            </c:strRef>
          </c:tx>
          <c:spPr>
            <a:solidFill>
              <a:srgbClr val="FFFFCC"/>
            </a:solidFill>
            <a:ln w="12700">
              <a:solidFill>
                <a:srgbClr val="000000"/>
              </a:solidFill>
              <a:prstDash val="solid"/>
            </a:ln>
          </c:spPr>
          <c:dLbls>
            <c:spPr>
              <a:noFill/>
              <a:ln w="25400">
                <a:noFill/>
              </a:ln>
            </c:spPr>
            <c:txPr>
              <a:bodyPr/>
              <a:lstStyle/>
              <a:p>
                <a:pPr>
                  <a:defRPr sz="1000" b="0" i="0" u="none" strike="noStrike" baseline="0">
                    <a:solidFill>
                      <a:srgbClr val="000000"/>
                    </a:solidFill>
                    <a:latin typeface="Arial"/>
                    <a:ea typeface="Arial"/>
                    <a:cs typeface="Arial"/>
                  </a:defRPr>
                </a:pPr>
                <a:endParaRPr lang="en-US"/>
              </a:p>
            </c:txPr>
            <c:showVal val="1"/>
          </c:dLbls>
          <c:cat>
            <c:multiLvlStrRef>
              <c:f>'FY2011 analysis '!$F$39:$H$77</c:f>
              <c:multiLvlStrCache>
                <c:ptCount val="19"/>
                <c:lvl>
                  <c:pt idx="0">
                    <c:v>West African Floods</c:v>
                  </c:pt>
                  <c:pt idx="1">
                    <c:v>Earthquake</c:v>
                  </c:pt>
                  <c:pt idx="2">
                    <c:v>Capacity Building</c:v>
                  </c:pt>
                  <c:pt idx="3">
                    <c:v>Earthquake</c:v>
                  </c:pt>
                  <c:pt idx="4">
                    <c:v>Floods</c:v>
                  </c:pt>
                  <c:pt idx="5">
                    <c:v>Earthquake</c:v>
                  </c:pt>
                  <c:pt idx="6">
                    <c:v>West Java Earthquake</c:v>
                  </c:pt>
                  <c:pt idx="7">
                    <c:v>Mexico Hurricane Jimena</c:v>
                  </c:pt>
                  <c:pt idx="8">
                    <c:v>Capacity Building</c:v>
                  </c:pt>
                  <c:pt idx="9">
                    <c:v>Floods</c:v>
                  </c:pt>
                  <c:pt idx="10">
                    <c:v>Typhoons</c:v>
                  </c:pt>
                  <c:pt idx="11">
                    <c:v>West African Floods</c:v>
                  </c:pt>
                  <c:pt idx="12">
                    <c:v>Typhoons</c:v>
                  </c:pt>
                  <c:pt idx="13">
                    <c:v>Capacity Building</c:v>
                  </c:pt>
                  <c:pt idx="14">
                    <c:v>Hurricane Richard</c:v>
                  </c:pt>
                  <c:pt idx="15">
                    <c:v>Epidemic</c:v>
                  </c:pt>
                  <c:pt idx="16">
                    <c:v>Earthquake and Tsunami</c:v>
                  </c:pt>
                  <c:pt idx="17">
                    <c:v>Complex Emergency</c:v>
                  </c:pt>
                  <c:pt idx="18">
                    <c:v>Floods</c:v>
                  </c:pt>
                </c:lvl>
                <c:lvl>
                  <c:pt idx="0">
                    <c:v>Burkina Faso</c:v>
                  </c:pt>
                  <c:pt idx="1">
                    <c:v>Chile</c:v>
                  </c:pt>
                  <c:pt idx="2">
                    <c:v>China</c:v>
                  </c:pt>
                  <c:pt idx="3">
                    <c:v>Haiti</c:v>
                  </c:pt>
                  <c:pt idx="5">
                    <c:v>Indonesia</c:v>
                  </c:pt>
                  <c:pt idx="7">
                    <c:v>Mexico</c:v>
                  </c:pt>
                  <c:pt idx="8">
                    <c:v>Nepal</c:v>
                  </c:pt>
                  <c:pt idx="9">
                    <c:v>Pakistan</c:v>
                  </c:pt>
                  <c:pt idx="10">
                    <c:v>Philippines</c:v>
                  </c:pt>
                  <c:pt idx="11">
                    <c:v>Senegal</c:v>
                  </c:pt>
                  <c:pt idx="12">
                    <c:v>Vietnam</c:v>
                  </c:pt>
                  <c:pt idx="13">
                    <c:v>Bangladesh</c:v>
                  </c:pt>
                  <c:pt idx="14">
                    <c:v>Belize</c:v>
                  </c:pt>
                  <c:pt idx="15">
                    <c:v>Haiti</c:v>
                  </c:pt>
                  <c:pt idx="16">
                    <c:v>Japan</c:v>
                  </c:pt>
                  <c:pt idx="17">
                    <c:v>North Africa &amp; Middle East Civil Unrest</c:v>
                  </c:pt>
                  <c:pt idx="18">
                    <c:v>Pakistan</c:v>
                  </c:pt>
                </c:lvl>
                <c:lvl>
                  <c:pt idx="0">
                    <c:v>FY10</c:v>
                  </c:pt>
                  <c:pt idx="13">
                    <c:v>FY11</c:v>
                  </c:pt>
                </c:lvl>
              </c:multiLvlStrCache>
            </c:multiLvlStrRef>
          </c:cat>
          <c:val>
            <c:numRef>
              <c:f>'FY2011 analysis '!$K$39:$K$77</c:f>
              <c:numCache>
                <c:formatCode>General</c:formatCode>
                <c:ptCount val="19"/>
                <c:pt idx="1">
                  <c:v>2</c:v>
                </c:pt>
                <c:pt idx="3">
                  <c:v>85</c:v>
                </c:pt>
                <c:pt idx="4">
                  <c:v>1</c:v>
                </c:pt>
                <c:pt idx="7">
                  <c:v>1</c:v>
                </c:pt>
                <c:pt idx="14">
                  <c:v>1</c:v>
                </c:pt>
                <c:pt idx="15">
                  <c:v>6</c:v>
                </c:pt>
              </c:numCache>
            </c:numRef>
          </c:val>
        </c:ser>
        <c:dLbls>
          <c:showVal val="1"/>
        </c:dLbls>
        <c:overlap val="100"/>
        <c:axId val="138915200"/>
        <c:axId val="138941568"/>
      </c:barChart>
      <c:catAx>
        <c:axId val="138915200"/>
        <c:scaling>
          <c:orientation val="minMax"/>
        </c:scaling>
        <c:axPos val="b"/>
        <c:numFmt formatCode="General" sourceLinked="1"/>
        <c:tickLblPos val="nextTo"/>
        <c:spPr>
          <a:ln w="3175">
            <a:solidFill>
              <a:srgbClr val="000000"/>
            </a:solidFill>
            <a:prstDash val="solid"/>
          </a:ln>
        </c:spPr>
        <c:txPr>
          <a:bodyPr rot="-5400000" vert="horz"/>
          <a:lstStyle/>
          <a:p>
            <a:pPr>
              <a:defRPr sz="800" b="1" i="0" u="none" strike="noStrike" baseline="0">
                <a:solidFill>
                  <a:srgbClr val="000000"/>
                </a:solidFill>
                <a:latin typeface="Arial"/>
                <a:ea typeface="Arial"/>
                <a:cs typeface="Arial"/>
              </a:defRPr>
            </a:pPr>
            <a:endParaRPr lang="en-US"/>
          </a:p>
        </c:txPr>
        <c:crossAx val="138941568"/>
        <c:crosses val="autoZero"/>
        <c:lblAlgn val="ctr"/>
        <c:lblOffset val="100"/>
        <c:tickLblSkip val="2"/>
        <c:tickMarkSkip val="1"/>
      </c:catAx>
      <c:valAx>
        <c:axId val="138941568"/>
        <c:scaling>
          <c:orientation val="minMax"/>
        </c:scaling>
        <c:axPos val="l"/>
        <c:majorGridlines>
          <c:spPr>
            <a:ln w="3175">
              <a:solidFill>
                <a:srgbClr val="000000"/>
              </a:solidFill>
              <a:prstDash val="solid"/>
            </a:ln>
          </c:spPr>
        </c:majorGridlines>
        <c:numFmt formatCode="General" sourceLinked="1"/>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8915200"/>
        <c:crosses val="autoZero"/>
        <c:crossBetween val="between"/>
      </c:valAx>
      <c:spPr>
        <a:solidFill>
          <a:srgbClr val="C0C0C0"/>
        </a:solidFill>
        <a:ln w="12700">
          <a:solidFill>
            <a:srgbClr val="808080"/>
          </a:solidFill>
          <a:prstDash val="solid"/>
        </a:ln>
      </c:spPr>
    </c:plotArea>
    <c:legend>
      <c:legendPos val="t"/>
      <c:spPr>
        <a:solidFill>
          <a:srgbClr val="FFFFFF"/>
        </a:solidFill>
        <a:ln w="3175">
          <a:solidFill>
            <a:srgbClr val="000000"/>
          </a:solidFill>
          <a:prstDash val="solid"/>
        </a:ln>
      </c:spPr>
      <c:txPr>
        <a:bodyPr/>
        <a:lstStyle/>
        <a:p>
          <a:pPr>
            <a:defRPr sz="845" b="0" i="0" u="none" strike="noStrike" baseline="0">
              <a:solidFill>
                <a:srgbClr val="000000"/>
              </a:solidFill>
              <a:latin typeface="Arial"/>
              <a:ea typeface="Arial"/>
              <a:cs typeface="Arial"/>
            </a:defRPr>
          </a:pPr>
          <a:endParaRPr lang="en-US"/>
        </a:p>
      </c:txPr>
    </c:legend>
    <c:plotVisOnly val="1"/>
    <c:dispBlanksAs val="gap"/>
  </c:chart>
  <c:spPr>
    <a:noFill/>
    <a:ln w="9525">
      <a:noFill/>
    </a:ln>
  </c:spPr>
  <c:txPr>
    <a:bodyPr/>
    <a:lstStyle/>
    <a:p>
      <a:pPr>
        <a:defRPr sz="1000" b="0" i="0" u="none" strike="noStrike" baseline="0">
          <a:solidFill>
            <a:srgbClr val="000000"/>
          </a:solidFill>
          <a:latin typeface="Arial"/>
          <a:ea typeface="Arial"/>
          <a:cs typeface="Arial"/>
        </a:defRPr>
      </a:pPr>
      <a:endParaRPr lang="en-US"/>
    </a:p>
  </c:txPr>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4.bin"/></Relationships>
</file>

<file path=xl/chartsheets/sheet1.xml><?xml version="1.0" encoding="utf-8"?>
<chartsheet xmlns="http://schemas.openxmlformats.org/spreadsheetml/2006/main" xmlns:r="http://schemas.openxmlformats.org/officeDocument/2006/relationships">
  <sheetPr codeName="Chart24"/>
  <sheetViews>
    <sheetView zoomScale="146" workbookViewId="0"/>
  </sheetViews>
  <pageMargins left="0.75" right="0.75" top="1" bottom="1" header="0.5" footer="0.5"/>
  <pageSetup orientation="landscape" r:id="rId1"/>
  <headerFooter alignWithMargins="0"/>
  <drawing r:id="rId2"/>
</chartsheet>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5" Type="http://schemas.openxmlformats.org/officeDocument/2006/relationships/chart" Target="../charts/chart17.xml"/><Relationship Id="rId4" Type="http://schemas.openxmlformats.org/officeDocument/2006/relationships/chart" Target="../charts/chart16.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8.xml.rels><?xml version="1.0" encoding="UTF-8" standalone="yes"?>
<Relationships xmlns="http://schemas.openxmlformats.org/package/2006/relationships"><Relationship Id="rId3" Type="http://schemas.openxmlformats.org/officeDocument/2006/relationships/chart" Target="../charts/chart22.xml"/><Relationship Id="rId2" Type="http://schemas.openxmlformats.org/officeDocument/2006/relationships/chart" Target="../charts/chart21.xml"/><Relationship Id="rId1" Type="http://schemas.openxmlformats.org/officeDocument/2006/relationships/chart" Target="../charts/chart20.xml"/></Relationships>
</file>

<file path=xl/drawings/_rels/drawing9.xml.rels><?xml version="1.0" encoding="UTF-8" standalone="yes"?>
<Relationships xmlns="http://schemas.openxmlformats.org/package/2006/relationships"><Relationship Id="rId1"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xdr:from>
      <xdr:col>13</xdr:col>
      <xdr:colOff>38100</xdr:colOff>
      <xdr:row>11</xdr:row>
      <xdr:rowOff>61912</xdr:rowOff>
    </xdr:from>
    <xdr:to>
      <xdr:col>18</xdr:col>
      <xdr:colOff>295275</xdr:colOff>
      <xdr:row>28</xdr:row>
      <xdr:rowOff>52387</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971551</xdr:colOff>
      <xdr:row>31</xdr:row>
      <xdr:rowOff>14287</xdr:rowOff>
    </xdr:from>
    <xdr:to>
      <xdr:col>17</xdr:col>
      <xdr:colOff>571500</xdr:colOff>
      <xdr:row>48</xdr:row>
      <xdr:rowOff>4762</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66675</xdr:colOff>
      <xdr:row>59</xdr:row>
      <xdr:rowOff>33337</xdr:rowOff>
    </xdr:from>
    <xdr:to>
      <xdr:col>17</xdr:col>
      <xdr:colOff>685800</xdr:colOff>
      <xdr:row>80</xdr:row>
      <xdr:rowOff>23812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38100</xdr:colOff>
      <xdr:row>60</xdr:row>
      <xdr:rowOff>33337</xdr:rowOff>
    </xdr:from>
    <xdr:to>
      <xdr:col>26</xdr:col>
      <xdr:colOff>609600</xdr:colOff>
      <xdr:row>81</xdr:row>
      <xdr:rowOff>23812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142875</xdr:colOff>
      <xdr:row>11</xdr:row>
      <xdr:rowOff>23812</xdr:rowOff>
    </xdr:from>
    <xdr:to>
      <xdr:col>26</xdr:col>
      <xdr:colOff>561975</xdr:colOff>
      <xdr:row>28</xdr:row>
      <xdr:rowOff>14287</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142875</xdr:colOff>
      <xdr:row>30</xdr:row>
      <xdr:rowOff>128587</xdr:rowOff>
    </xdr:from>
    <xdr:to>
      <xdr:col>26</xdr:col>
      <xdr:colOff>714375</xdr:colOff>
      <xdr:row>47</xdr:row>
      <xdr:rowOff>119062</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104776</xdr:colOff>
      <xdr:row>85</xdr:row>
      <xdr:rowOff>90487</xdr:rowOff>
    </xdr:from>
    <xdr:to>
      <xdr:col>17</xdr:col>
      <xdr:colOff>828676</xdr:colOff>
      <xdr:row>102</xdr:row>
      <xdr:rowOff>80962</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21</xdr:col>
      <xdr:colOff>57150</xdr:colOff>
      <xdr:row>85</xdr:row>
      <xdr:rowOff>33337</xdr:rowOff>
    </xdr:from>
    <xdr:to>
      <xdr:col>26</xdr:col>
      <xdr:colOff>628650</xdr:colOff>
      <xdr:row>102</xdr:row>
      <xdr:rowOff>23812</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276225</xdr:colOff>
      <xdr:row>93</xdr:row>
      <xdr:rowOff>128587</xdr:rowOff>
    </xdr:from>
    <xdr:to>
      <xdr:col>2</xdr:col>
      <xdr:colOff>581025</xdr:colOff>
      <xdr:row>109</xdr:row>
      <xdr:rowOff>114300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400050</xdr:colOff>
      <xdr:row>113</xdr:row>
      <xdr:rowOff>19050</xdr:rowOff>
    </xdr:from>
    <xdr:to>
      <xdr:col>2</xdr:col>
      <xdr:colOff>409575</xdr:colOff>
      <xdr:row>129</xdr:row>
      <xdr:rowOff>0</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91109</xdr:colOff>
      <xdr:row>0</xdr:row>
      <xdr:rowOff>0</xdr:rowOff>
    </xdr:from>
    <xdr:to>
      <xdr:col>0</xdr:col>
      <xdr:colOff>1330040</xdr:colOff>
      <xdr:row>0</xdr:row>
      <xdr:rowOff>475247</xdr:rowOff>
    </xdr:to>
    <xdr:pic>
      <xdr:nvPicPr>
        <xdr:cNvPr id="4" name="Picture 3" descr="\\archq\nhq\Dept\WDC1\ISD\Isd\Common\Information &amp; Reporting Unit\Graphics and Logos\ARC Brand Standards from Creative\2011 new brand standards\American RC.bmp"/>
        <xdr:cNvPicPr/>
      </xdr:nvPicPr>
      <xdr:blipFill>
        <a:blip xmlns:r="http://schemas.openxmlformats.org/officeDocument/2006/relationships" r:embed="rId1" cstate="print"/>
        <a:srcRect/>
        <a:stretch>
          <a:fillRect/>
        </a:stretch>
      </xdr:blipFill>
      <xdr:spPr bwMode="auto">
        <a:xfrm>
          <a:off x="91109" y="91108"/>
          <a:ext cx="1241250" cy="473176"/>
        </a:xfrm>
        <a:prstGeom prst="rect">
          <a:avLst/>
        </a:prstGeom>
        <a:noFill/>
        <a:ln w="9525">
          <a:noFill/>
          <a:miter lim="800000"/>
          <a:headEnd/>
          <a:tailEnd/>
        </a:ln>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447675</xdr:colOff>
      <xdr:row>11</xdr:row>
      <xdr:rowOff>104771</xdr:rowOff>
    </xdr:from>
    <xdr:to>
      <xdr:col>5</xdr:col>
      <xdr:colOff>1028700</xdr:colOff>
      <xdr:row>40</xdr:row>
      <xdr:rowOff>76199</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76200</xdr:colOff>
      <xdr:row>68</xdr:row>
      <xdr:rowOff>57151</xdr:rowOff>
    </xdr:from>
    <xdr:to>
      <xdr:col>7</xdr:col>
      <xdr:colOff>352425</xdr:colOff>
      <xdr:row>102</xdr:row>
      <xdr:rowOff>57151</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419100</xdr:colOff>
      <xdr:row>2</xdr:row>
      <xdr:rowOff>19049</xdr:rowOff>
    </xdr:from>
    <xdr:to>
      <xdr:col>6</xdr:col>
      <xdr:colOff>990600</xdr:colOff>
      <xdr:row>17</xdr:row>
      <xdr:rowOff>95249</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409576</xdr:colOff>
      <xdr:row>18</xdr:row>
      <xdr:rowOff>142874</xdr:rowOff>
    </xdr:from>
    <xdr:to>
      <xdr:col>6</xdr:col>
      <xdr:colOff>971549</xdr:colOff>
      <xdr:row>34</xdr:row>
      <xdr:rowOff>76199</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628650</xdr:colOff>
      <xdr:row>38</xdr:row>
      <xdr:rowOff>95250</xdr:rowOff>
    </xdr:from>
    <xdr:to>
      <xdr:col>6</xdr:col>
      <xdr:colOff>771525</xdr:colOff>
      <xdr:row>53</xdr:row>
      <xdr:rowOff>47625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390525</xdr:colOff>
      <xdr:row>57</xdr:row>
      <xdr:rowOff>142875</xdr:rowOff>
    </xdr:from>
    <xdr:to>
      <xdr:col>6</xdr:col>
      <xdr:colOff>809625</xdr:colOff>
      <xdr:row>74</xdr:row>
      <xdr:rowOff>9525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380999</xdr:colOff>
      <xdr:row>76</xdr:row>
      <xdr:rowOff>152400</xdr:rowOff>
    </xdr:from>
    <xdr:to>
      <xdr:col>6</xdr:col>
      <xdr:colOff>171450</xdr:colOff>
      <xdr:row>89</xdr:row>
      <xdr:rowOff>38100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247650</xdr:colOff>
      <xdr:row>13</xdr:row>
      <xdr:rowOff>104774</xdr:rowOff>
    </xdr:from>
    <xdr:to>
      <xdr:col>2</xdr:col>
      <xdr:colOff>2200276</xdr:colOff>
      <xdr:row>36</xdr:row>
      <xdr:rowOff>114300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476250</xdr:colOff>
      <xdr:row>51</xdr:row>
      <xdr:rowOff>47624</xdr:rowOff>
    </xdr:from>
    <xdr:to>
      <xdr:col>3</xdr:col>
      <xdr:colOff>1076326</xdr:colOff>
      <xdr:row>74</xdr:row>
      <xdr:rowOff>85724</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9525</xdr:colOff>
      <xdr:row>0</xdr:row>
      <xdr:rowOff>19050</xdr:rowOff>
    </xdr:from>
    <xdr:to>
      <xdr:col>0</xdr:col>
      <xdr:colOff>1362075</xdr:colOff>
      <xdr:row>2</xdr:row>
      <xdr:rowOff>0</xdr:rowOff>
    </xdr:to>
    <xdr:pic>
      <xdr:nvPicPr>
        <xdr:cNvPr id="24625" name="Picture 9" descr="image002"/>
        <xdr:cNvPicPr>
          <a:picLocks noChangeAspect="1" noChangeArrowheads="1"/>
        </xdr:cNvPicPr>
      </xdr:nvPicPr>
      <xdr:blipFill>
        <a:blip xmlns:r="http://schemas.openxmlformats.org/officeDocument/2006/relationships" r:embed="rId1" cstate="print"/>
        <a:srcRect/>
        <a:stretch>
          <a:fillRect/>
        </a:stretch>
      </xdr:blipFill>
      <xdr:spPr bwMode="auto">
        <a:xfrm>
          <a:off x="9525" y="19050"/>
          <a:ext cx="1352550" cy="542925"/>
        </a:xfrm>
        <a:prstGeom prst="rect">
          <a:avLst/>
        </a:prstGeom>
        <a:noFill/>
        <a:ln w="9525">
          <a:noFill/>
          <a:miter lim="800000"/>
          <a:headEnd/>
          <a:tailEnd/>
        </a:ln>
      </xdr:spPr>
    </xdr:pic>
    <xdr:clientData/>
  </xdr:twoCellAnchor>
</xdr:wsDr>
</file>

<file path=xl/drawings/drawing8.xml><?xml version="1.0" encoding="utf-8"?>
<xdr:wsDr xmlns:xdr="http://schemas.openxmlformats.org/drawingml/2006/spreadsheetDrawing" xmlns:a="http://schemas.openxmlformats.org/drawingml/2006/main">
  <xdr:twoCellAnchor>
    <xdr:from>
      <xdr:col>5</xdr:col>
      <xdr:colOff>704850</xdr:colOff>
      <xdr:row>141</xdr:row>
      <xdr:rowOff>104775</xdr:rowOff>
    </xdr:from>
    <xdr:to>
      <xdr:col>9</xdr:col>
      <xdr:colOff>133350</xdr:colOff>
      <xdr:row>161</xdr:row>
      <xdr:rowOff>57150</xdr:rowOff>
    </xdr:to>
    <xdr:graphicFrame macro="">
      <xdr:nvGraphicFramePr>
        <xdr:cNvPr id="23682"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742950</xdr:colOff>
      <xdr:row>162</xdr:row>
      <xdr:rowOff>76200</xdr:rowOff>
    </xdr:from>
    <xdr:to>
      <xdr:col>9</xdr:col>
      <xdr:colOff>152400</xdr:colOff>
      <xdr:row>182</xdr:row>
      <xdr:rowOff>142875</xdr:rowOff>
    </xdr:to>
    <xdr:graphicFrame macro="">
      <xdr:nvGraphicFramePr>
        <xdr:cNvPr id="23683"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628650</xdr:colOff>
      <xdr:row>119</xdr:row>
      <xdr:rowOff>19050</xdr:rowOff>
    </xdr:from>
    <xdr:to>
      <xdr:col>9</xdr:col>
      <xdr:colOff>171450</xdr:colOff>
      <xdr:row>138</xdr:row>
      <xdr:rowOff>19050</xdr:rowOff>
    </xdr:to>
    <xdr:graphicFrame macro="">
      <xdr:nvGraphicFramePr>
        <xdr:cNvPr id="23684"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9.xml><?xml version="1.0" encoding="utf-8"?>
<xdr:wsDr xmlns:xdr="http://schemas.openxmlformats.org/drawingml/2006/spreadsheetDrawing" xmlns:a="http://schemas.openxmlformats.org/drawingml/2006/main">
  <xdr:absoluteAnchor>
    <xdr:pos x="0" y="0"/>
    <xdr:ext cx="8543925" cy="5819775"/>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16.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17.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18.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19.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20.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21.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22.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23.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_rels/pivotCacheDefinition24.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_rels/pivotCacheDefinition25.xml.rels><?xml version="1.0" encoding="UTF-8" standalone="yes"?>
<Relationships xmlns="http://schemas.openxmlformats.org/package/2006/relationships"><Relationship Id="rId1" Type="http://schemas.openxmlformats.org/officeDocument/2006/relationships/pivotCacheRecords" Target="pivotCacheRecords11.xml"/></Relationships>
</file>

<file path=xl/pivotCache/_rels/pivotCacheDefinition26.xml.rels><?xml version="1.0" encoding="UTF-8" standalone="yes"?>
<Relationships xmlns="http://schemas.openxmlformats.org/package/2006/relationships"><Relationship Id="rId1" Type="http://schemas.openxmlformats.org/officeDocument/2006/relationships/pivotCacheRecords" Target="pivotCacheRecords12.xml"/></Relationships>
</file>

<file path=xl/pivotCache/_rels/pivotCacheDefinition27.xml.rels><?xml version="1.0" encoding="UTF-8" standalone="yes"?>
<Relationships xmlns="http://schemas.openxmlformats.org/package/2006/relationships"><Relationship Id="rId1" Type="http://schemas.openxmlformats.org/officeDocument/2006/relationships/pivotCacheRecords" Target="pivotCacheRecords13.xml"/></Relationships>
</file>

<file path=xl/pivotCache/_rels/pivotCacheDefinition28.xml.rels><?xml version="1.0" encoding="UTF-8" standalone="yes"?>
<Relationships xmlns="http://schemas.openxmlformats.org/package/2006/relationships"><Relationship Id="rId1" Type="http://schemas.openxmlformats.org/officeDocument/2006/relationships/pivotCacheRecords" Target="pivotCacheRecords14.xml"/></Relationships>
</file>

<file path=xl/pivotCache/_rels/pivotCacheDefinition29.xml.rels><?xml version="1.0" encoding="UTF-8" standalone="yes"?>
<Relationships xmlns="http://schemas.openxmlformats.org/package/2006/relationships"><Relationship Id="rId1" Type="http://schemas.openxmlformats.org/officeDocument/2006/relationships/pivotCacheRecords" Target="pivotCacheRecords15.xml"/></Relationships>
</file>

<file path=xl/pivotCache/_rels/pivotCacheDefinition30.xml.rels><?xml version="1.0" encoding="UTF-8" standalone="yes"?>
<Relationships xmlns="http://schemas.openxmlformats.org/package/2006/relationships"><Relationship Id="rId1" Type="http://schemas.openxmlformats.org/officeDocument/2006/relationships/pivotCacheRecords" Target="pivotCacheRecords16.xml"/></Relationships>
</file>

<file path=xl/pivotCache/_rels/pivotCacheDefinition31.xml.rels><?xml version="1.0" encoding="UTF-8" standalone="yes"?>
<Relationships xmlns="http://schemas.openxmlformats.org/package/2006/relationships"><Relationship Id="rId1" Type="http://schemas.openxmlformats.org/officeDocument/2006/relationships/pivotCacheRecords" Target="pivotCacheRecords17.xml"/></Relationships>
</file>

<file path=xl/pivotCache/_rels/pivotCacheDefinition32.xml.rels><?xml version="1.0" encoding="UTF-8" standalone="yes"?>
<Relationships xmlns="http://schemas.openxmlformats.org/package/2006/relationships"><Relationship Id="rId1" Type="http://schemas.openxmlformats.org/officeDocument/2006/relationships/pivotCacheRecords" Target="pivotCacheRecords18.xml"/></Relationships>
</file>

<file path=xl/pivotCache/_rels/pivotCacheDefinition33.xml.rels><?xml version="1.0" encoding="UTF-8" standalone="yes"?>
<Relationships xmlns="http://schemas.openxmlformats.org/package/2006/relationships"><Relationship Id="rId1" Type="http://schemas.openxmlformats.org/officeDocument/2006/relationships/pivotCacheRecords" Target="pivotCacheRecords19.xml"/></Relationships>
</file>

<file path=xl/pivotCache/pivotCacheDefinition1.xml><?xml version="1.0" encoding="utf-8"?>
<pivotCacheDefinition xmlns="http://schemas.openxmlformats.org/spreadsheetml/2006/main" xmlns:r="http://schemas.openxmlformats.org/officeDocument/2006/relationships" invalid="1" refreshedBy="spiveyestradam" refreshedDate="40137.416191550925" createdVersion="1" refreshedVersion="2" recordCount="339" upgradeOnRefresh="1">
  <cacheSource type="worksheet">
    <worksheetSource ref="A1:BY317" sheet="Disaster Data"/>
  </cacheSource>
  <cacheFields count="56">
    <cacheField name="Glide #" numFmtId="0">
      <sharedItems containsString="0"/>
    </cacheField>
    <cacheField name="ARC Disaster #" numFmtId="0">
      <sharedItems containsString="0" containsNumber="1" containsInteger="1"/>
    </cacheField>
    <cacheField name="Disaster Name" numFmtId="0">
      <sharedItems containsBlank="1" count="238">
        <s v="Balkans Crisis"/>
        <s v="Hurricane Mitch"/>
        <s v="Rwanda Crisis"/>
        <s v="Armenia Earthquake"/>
        <s v="Mexico Earthquake"/>
        <s v="Ethiopia Drought"/>
        <s v="Mexico Floods"/>
        <s v="Costa Rica Floods"/>
        <s v="China Floods"/>
        <s v="Turkey Earthquake"/>
        <s v="Nicaragua Volcano"/>
        <s v="Cambodia Floods"/>
        <s v="Greece Earthquake"/>
        <s v="Bahamas Storm"/>
        <s v="Taiwan Earthquake"/>
        <s v="Japan Industrial"/>
        <s v="Mexico Floods "/>
        <s v="Russian Fed. Conflict"/>
        <s v="Timor-Leste Conflict"/>
        <s v="Bangladesh Floods"/>
        <s v="India Storm"/>
        <s v="Vietnam Floods"/>
        <s v="Dominica Storm"/>
        <s v="St. Kitts &amp; Nevis Storm"/>
        <s v="Antigua Storm"/>
        <s v="Grenada Storm"/>
        <s v="St. Maartens Storm"/>
        <s v="Venezuela Floods"/>
        <s v="South Africa Floods"/>
        <s v="Botswana Floods"/>
        <s v="Zimbabwe Floods"/>
        <s v="FY10 Africa"/>
        <s v="Madagascar Floods"/>
        <s v="Indonesia Earthquake"/>
        <s v="India Floods"/>
        <s v="Belize Storm"/>
        <s v="Israel Conflict"/>
        <s v="Jordan Conflict"/>
        <s v="Palestine Conflict"/>
        <s v="Taiwan Transport"/>
        <s v="Austria Miscellaneous"/>
        <s v="Azerbaijan Earthquake"/>
        <s v="Sri Lanka Storm"/>
        <s v="South Africa Epidemic"/>
        <s v="El Salvador Earthquake"/>
        <s v="China Storm"/>
        <s v="India Earthquake"/>
        <s v="Mozambique Floods"/>
        <s v="Malawi Floods"/>
        <s v="Bolivia Floods"/>
        <s v="Peru Floods"/>
        <s v="Canada Transport"/>
        <s v="Russian Fed. Floods"/>
        <s v="Macedonia Conflict"/>
        <s v="Bosnia Floods"/>
        <s v="Peru Earthquake"/>
        <s v="El Salvador Drought"/>
        <s v="Honduras Drought"/>
        <s v="Nicaragua Drought"/>
        <s v="Guatemala Drought"/>
        <s v="Ecuador Volcano"/>
        <s v="Afghanistan Conflict"/>
        <s v="Pakistan Conflict"/>
        <s v="Uzbekistan Conflict"/>
        <s v="Iran Conflict"/>
        <s v="Turkmenistan Conflict"/>
        <s v="US Terrorism"/>
        <s v="Mexico Transport"/>
        <s v="Mexico Storm"/>
        <s v="Belize Meteorological"/>
        <s v="Belize Transport"/>
        <s v="Honduras Storm"/>
        <s v="Nicaragua Storm"/>
        <s v="Cuba Storm"/>
        <s v="Jamaica Storm"/>
        <s v="US Transport"/>
        <s v="Cambodia Miscellaneous"/>
        <s v="Albania Storm"/>
        <s v="DR Congo Volcano"/>
        <s v="Nigeria Industrial"/>
        <s v="Afghanistan Earthquake"/>
        <s v="Panama Floods"/>
        <s v="Kenya Floods"/>
        <s v="Malawi Food Insecurity"/>
        <s v="Nicaragua  Floods"/>
        <s v="Syria Miscellaneous"/>
        <s v="FS Micronesia Storm"/>
        <s v="Peru Storm"/>
        <s v="Bolivia Storm"/>
        <s v="Romania Floods"/>
        <s v="Germany Floods"/>
        <s v="Czech Republic Floods"/>
        <s v="Slovakia Floods"/>
        <s v="Hungary Floods"/>
        <s v="Austria Floods"/>
        <s v="Paraguay Drought"/>
        <s v="South Korea Storm"/>
        <s v="Italy Earthquake"/>
        <s v="Indonesia Terrorism"/>
        <s v="Australia Terrorism"/>
        <s v="Vietnam Miscellaneous"/>
        <s v="Lesotho Food Insecurity"/>
        <s v="Kenya Epidemic"/>
        <s v="Solomon Islands Storm"/>
        <s v="South Korea Transport"/>
        <s v="China Earthquake"/>
        <s v="Iraq Conflict"/>
        <s v="Syria Conflict"/>
        <s v="Turkey Conflict"/>
        <s v="Argentina Floods"/>
        <s v="China Epidemic"/>
        <s v="Hong Kong Epidemic"/>
        <s v="Sri Lanka Floods"/>
        <s v="Canada Wildfire"/>
        <s v="Dominican Republic Earthquake"/>
        <s v="Algeria Earthquake"/>
        <s v="Liberia Conflict"/>
        <s v="Dominican Republic Floods"/>
        <s v="Iran Earthquake"/>
        <s v="Panama Earthquake"/>
        <s v="North Korea Transport"/>
        <s v="Haiti Floods"/>
        <s v="Malawi Epidemic"/>
        <s v="Jamaica Conflict"/>
        <s v="Paraguay Miscellaneous"/>
        <s v="Chad Conflict"/>
        <s v="Sudan Conflict"/>
        <s v="Taiwan Storm"/>
        <s v="Cayman Islands Storm"/>
        <s v="Sri Lanka Tsunami"/>
        <s v="Indonesia Tsunami"/>
        <s v="Maldives Tsunami"/>
        <s v="Guyana Floods"/>
        <s v="Canada Floods"/>
        <s v="Haiti Storm"/>
        <s v="Sahel Food Crisis"/>
        <s v="US Storm"/>
        <s v="Pakistan Earthquake"/>
        <s v=" Storm"/>
        <s v="Guatemala Storm"/>
        <s v="El Salvador Hurricane Stan &amp; Volcano Eruption"/>
        <s v="Hurricane Wilma - Bahamas"/>
        <s v="Hurricane Wilma - Mexico"/>
        <s v="Vietnam Typhoon Damrey"/>
        <s v="Colombia Volcano"/>
        <s v="Lesotho Drought"/>
        <s v="Malawi Drought"/>
        <s v="Zimbabwe Drought"/>
        <s v="Zambia Drought"/>
        <s v="Eastern Africa Drought"/>
        <s v="Timor-Leste Floods"/>
        <s v="Philippines Mudslides"/>
        <s v="Angola Cholera Epidemic"/>
        <s v="Somalia Drought"/>
        <s v="Spain Terrorism"/>
        <s v="Colombia Floods"/>
        <s v="Indonesia Yogyakarta Earthquake"/>
        <s v="Lebanon Conflict"/>
        <s v="Ecuador Volanic Eruption"/>
        <s v="Ethiopia Floods"/>
        <s v="Sudan Floods"/>
        <s v="Philippines Typhoons"/>
        <s v="Vietnam Typhoons"/>
        <s v="Somalia Conflict"/>
        <s v="Somalia Floods"/>
        <s v="Sri Lanka Conflict"/>
        <s v="Madagascar Cyclones"/>
        <s v="Solomon Islands Tsunami/ Earthquake"/>
        <s v="Colombia Tolima Floods"/>
        <s v="Mexico Coahuila Tornado"/>
        <s v="Pakistan Cyclone Yemyin"/>
        <s v="United Kingdom Floods"/>
        <s v="Nepal Floods"/>
        <s v="Hurricane Dean"/>
        <s v="Greece Wildfire"/>
        <s v="Hurricane Felix"/>
        <s v="Indonesia Bengkulu Earthquake"/>
        <s v="Uganda Floods"/>
        <s v="Togo Floods"/>
        <s v="Tropical Storm Noel"/>
        <s v="Vietnam Typhoon Lekima"/>
        <s v="Bangladesh Cyclone Sidr"/>
        <s v="Papua New Guinea Storm"/>
        <s v="Kenya Election Civil Unrest"/>
        <s v="China Snow Disaster"/>
        <s v="Guyana Civil Unrest"/>
        <s v="Ecuador Floods"/>
        <s v="Madagascar Cyclone Ivan"/>
        <s v="Southern Africa Floods - Cyclone Jokwe"/>
        <s v="Myanmar Cyclone Nargis"/>
        <s v="China Sichuan Earthquake"/>
        <s v="Ethiopia Food Insecurity"/>
        <s v="South Africa Civil Unrest"/>
        <s v="Chile Floods"/>
        <s v="Philippines – Typhoon Fengshen"/>
        <s v="Yemen Conflict"/>
        <s v="Suriname Floods"/>
        <s v="Moldova and Ukraine Floods"/>
        <s v="Georgia Conflict"/>
        <s v="Haiti Hurricane Season 2008"/>
        <s v="Carribean Hurricane Season 2008 - Bahamas"/>
        <s v="Carribean Hurricane Season 2008 -  Jamaica"/>
        <s v="Cuba Hurricane Season 2008"/>
        <s v="Central America Floods"/>
        <s v="Pakistan Baluchistan Earthquake"/>
        <s v="Panama &amp; Costa Rica Floods"/>
        <s v="Horn of Africa Food Insecurity Crisis"/>
        <s v="Uganda, Rwanda, Burundi Population Movement"/>
        <s v="Zimbabwe Cholera Epidemic"/>
        <s v="Gaza Conflict - Palestine"/>
        <s v="Gaza Conflict - Israel"/>
        <s v="Costa Rica Earthquake"/>
        <s v="Australia Wildfires"/>
        <s v="Namibia Floods"/>
        <s v="Africa Polio Outbreak"/>
        <s v="Pakistan Internally Displaced Persons Crisis"/>
        <s v="Bangladesh Cyclone Aila"/>
        <s v="Tajikistan Mudslides and Floods"/>
        <s v="Syria Drought"/>
        <s v="West &amp; Central Africa Floods - Senegal"/>
        <s v="West &amp; Central Africa Floods - Burkina Faso"/>
        <s v="Mexico Hurricane Jimena"/>
        <s v="Java Indonesia Earthquake"/>
        <s v="Southeast Asia Typhoons - Philippines"/>
        <s v="Southeast Asia Typhoons - Vietnam"/>
        <s v="West Sumatra Indonesia Earthquake"/>
        <s v="Samoa Islands Tsunami"/>
        <m/>
        <s v="Kenya Drought"/>
        <s v="Carribean Hurricane Season 2008 - Bahamas, Jamaica" u="1"/>
        <s v="Sri Lanka Earthquake" u="1"/>
        <s v="DPRK Transport" u="1"/>
        <s v="Maldives Earthquake" u="1"/>
        <s v="Colombia General Floods" u="1"/>
        <s v="Gaza Conflict" u="1"/>
        <s v="Southeast Asia Typhoon" u="1"/>
        <s v="West &amp; Central Africa Floods" u="1"/>
        <s v="Niger Food Insecurity" u="1"/>
      </sharedItems>
    </cacheField>
    <cacheField name="Date of Response" numFmtId="0">
      <sharedItems containsDate="1" containsString="0" containsBlank="1" minDate="1985-09-01T00:00:00" maxDate="2009-11-06T00:00:00" count="122">
        <d v="1999-03-01T00:00:00"/>
        <d v="1998-10-01T00:00:00"/>
        <d v="1994-06-01T00:00:00"/>
        <d v="1988-12-01T00:00:00"/>
        <d v="1985-09-01T00:00:00"/>
        <d v="1999-06-01T00:00:00"/>
        <d v="1999-08-01T00:00:00"/>
        <d v="1999-09-01T00:00:00"/>
        <d v="1999-10-01T00:00:00"/>
        <d v="1999-11-01T00:00:00"/>
        <d v="1999-12-01T00:00:00"/>
        <d v="2000-02-01T00:00:00"/>
        <d v="2000-03-01T00:00:00"/>
        <d v="2000-04-01T00:00:00"/>
        <d v="2000-06-01T00:00:00"/>
        <d v="2000-08-01T00:00:00"/>
        <d v="2000-09-01T00:00:00"/>
        <d v="2000-10-01T00:00:00"/>
        <d v="2000-11-01T00:00:00"/>
        <d v="2000-12-01T00:00:00"/>
        <d v="2001-01-01T00:00:00"/>
        <d v="2001-02-01T00:00:00"/>
        <d v="2001-03-01T00:00:00"/>
        <d v="2001-04-01T00:00:00"/>
        <d v="2001-05-01T00:00:00"/>
        <d v="2001-06-01T00:00:00"/>
        <d v="2001-07-01T00:00:00"/>
        <d v="2001-08-01T00:00:00"/>
        <d v="2001-09-01T00:00:00"/>
        <d v="2001-10-01T00:00:00"/>
        <d v="2001-11-01T00:00:00"/>
        <d v="2002-01-01T00:00:00"/>
        <d v="2002-02-01T00:00:00"/>
        <d v="2002-03-01T00:00:00"/>
        <d v="2002-04-01T00:00:00"/>
        <d v="2002-05-01T00:00:00"/>
        <d v="2002-06-01T00:00:00"/>
        <d v="2002-07-01T00:00:00"/>
        <d v="2002-08-01T00:00:00"/>
        <d v="2002-09-01T00:00:00"/>
        <d v="2002-10-01T00:00:00"/>
        <d v="2002-12-01T00:00:00"/>
        <d v="2003-01-01T00:00:00"/>
        <d v="2003-02-01T00:00:00"/>
        <d v="2003-03-01T00:00:00"/>
        <d v="2003-05-01T00:00:00"/>
        <d v="2003-07-01T00:00:00"/>
        <d v="2003-09-01T00:00:00"/>
        <d v="2003-10-01T00:00:00"/>
        <d v="2003-08-01T00:00:00"/>
        <d v="2003-11-01T00:00:00"/>
        <d v="2003-12-01T00:00:00"/>
        <d v="2004-04-01T00:00:00"/>
        <d v="2004-05-01T00:00:00"/>
        <d v="2004-07-01T00:00:00"/>
        <d v="2004-08-01T00:00:00"/>
        <d v="2004-09-01T00:00:00"/>
        <d v="2004-11-01T00:00:00"/>
        <d v="2004-12-01T00:00:00"/>
        <d v="2005-01-01T00:00:00"/>
        <d v="2005-06-01T00:00:00"/>
        <d v="2005-07-01T00:00:00"/>
        <d v="2005-08-01T00:00:00"/>
        <d v="2005-10-01T00:00:00"/>
        <d v="2005-11-01T00:00:00"/>
        <d v="2006-01-01T00:00:00"/>
        <d v="2006-03-01T00:00:00"/>
        <d v="2006-02-01T00:00:00"/>
        <d v="2006-05-01T00:00:00"/>
        <d v="2006-04-01T00:00:00"/>
        <d v="2006-07-01T00:00:00"/>
        <d v="2007-03-01T00:00:00"/>
        <d v="2006-08-01T00:00:00"/>
        <d v="2006-09-01T00:00:00"/>
        <d v="2006-10-01T00:00:00"/>
        <d v="2006-11-01T00:00:00"/>
        <d v="2007-02-01T00:00:00"/>
        <d v="2007-04-01T00:00:00"/>
        <d v="2007-05-01T00:00:00"/>
        <d v="2007-06-01T00:00:00"/>
        <d v="2007-07-01T00:00:00"/>
        <d v="2007-08-01T00:00:00"/>
        <d v="2007-09-01T00:00:00"/>
        <d v="2007-10-01T00:00:00"/>
        <d v="2007-11-01T00:00:00"/>
        <d v="2008-01-01T00:00:00"/>
        <d v="2008-02-01T00:00:00"/>
        <d v="2008-03-08T00:00:00"/>
        <d v="2008-05-08T00:00:00"/>
        <d v="2008-06-08T00:00:00"/>
        <d v="2008-07-08T00:00:00"/>
        <d v="2008-07-01T00:00:00"/>
        <d v="2008-08-01T00:00:00"/>
        <d v="2008-09-08T00:00:00"/>
        <d v="2008-10-01T00:00:00"/>
        <d v="2008-11-08T00:00:00"/>
        <d v="2008-12-08T00:00:00"/>
        <d v="2008-12-09T00:00:00"/>
        <d v="2008-12-10T00:00:00"/>
        <d v="2008-12-11T00:00:00"/>
        <d v="2008-12-12T00:00:00"/>
        <d v="2008-12-13T00:00:00"/>
        <d v="2008-12-14T00:00:00"/>
        <d v="2008-12-17T00:00:00"/>
        <d v="2009-01-08T00:00:00"/>
        <d v="2009-02-07T00:00:00"/>
        <d v="2009-03-05T00:00:00"/>
        <d v="2009-03-19T00:00:00"/>
        <d v="2009-04-07T00:00:00"/>
        <d v="2009-05-15T00:00:00"/>
        <d v="2009-06-26T00:00:00"/>
        <d v="2009-08-12T00:00:00"/>
        <d v="2009-09-01T00:00:00"/>
        <d v="2009-09-10T00:00:00"/>
        <d v="2009-09-03T00:00:00"/>
        <d v="2009-09-02T00:00:00"/>
        <d v="2009-10-01T00:00:00"/>
        <d v="2009-10-27T00:00:00"/>
        <m/>
        <d v="2009-11-05T00:00:00"/>
        <d v="2008-12-16T00:00:00" u="1"/>
        <d v="2008-12-15T00:00:00" u="1"/>
      </sharedItems>
    </cacheField>
    <cacheField name="Fiscal Year" numFmtId="0">
      <sharedItems containsString="0" containsBlank="1" containsNumber="1" containsInteger="1" minValue="1986" maxValue="2010" count="16">
        <n v="1999"/>
        <n v="1994"/>
        <n v="1989"/>
        <n v="1986"/>
        <n v="2000"/>
        <n v="2001"/>
        <n v="2002"/>
        <n v="2003"/>
        <n v="2004"/>
        <n v="2005"/>
        <n v="2006"/>
        <n v="2007"/>
        <n v="2008"/>
        <n v="2009"/>
        <n v="2010"/>
        <m/>
      </sharedItems>
    </cacheField>
    <cacheField name="FY #" numFmtId="0">
      <sharedItems containsString="0" containsNumber="1" containsInteger="1"/>
    </cacheField>
    <cacheField name="Calendar Year" numFmtId="0">
      <sharedItems containsDate="1" containsString="0" containsBlank="1" containsMixedTypes="1" minDate="1900-01-02T14:40:04" maxDate="1900-01-04T06:40:04" count="13">
        <m/>
        <n v="1999"/>
        <n v="2000"/>
        <d v="2009-10-12T00:00:00"/>
        <n v="2001"/>
        <n v="2002"/>
        <n v="2003"/>
        <n v="2004"/>
        <n v="2005"/>
        <n v="2006"/>
        <n v="2007"/>
        <n v="2008"/>
        <n v="2009"/>
      </sharedItems>
    </cacheField>
    <cacheField name="CY #" numFmtId="0">
      <sharedItems containsString="0" containsNumber="1" containsInteger="1"/>
    </cacheField>
    <cacheField name="Region" numFmtId="0">
      <sharedItems containsBlank="1" count="6">
        <m/>
        <s v="Africa"/>
        <s v="LAC"/>
        <s v="Europe/Asia"/>
        <s v="Q1"/>
        <s v="North America"/>
      </sharedItems>
    </cacheField>
    <cacheField name="Country" numFmtId="0">
      <sharedItems containsBlank="1" count="118">
        <m/>
        <s v="Ethiopia"/>
        <s v="Mexico"/>
        <s v="Costa Rica"/>
        <s v="China"/>
        <s v="Turkey"/>
        <s v="Nicaragua"/>
        <s v="Cambodia"/>
        <s v="Greece"/>
        <s v="Bahamas"/>
        <s v="Taiwan"/>
        <s v="Japan"/>
        <s v="Russian Fed."/>
        <s v="Timor-Leste"/>
        <s v="Bangladesh"/>
        <s v="India"/>
        <s v="Vietnam"/>
        <s v="Dominica"/>
        <s v="St. Kitts &amp; Nevis"/>
        <s v="Antigua"/>
        <s v="Grenada"/>
        <s v="St. Maartens"/>
        <s v="Venezuela"/>
        <s v="South Africa"/>
        <s v="Botswana"/>
        <s v="Zimbabwe"/>
        <s v="FY10"/>
        <s v="Madagascar"/>
        <s v="Indonesia"/>
        <s v="Belize"/>
        <s v="Israel"/>
        <s v="Jordan"/>
        <s v="Palestine"/>
        <s v="Austria"/>
        <s v="Azerbaijan"/>
        <s v="Sri Lanka"/>
        <s v="El Salvador"/>
        <s v="Mozambique"/>
        <s v="Malawi"/>
        <s v="Bolivia"/>
        <s v="Peru"/>
        <s v="Canada"/>
        <s v="Macedonia"/>
        <s v="Bosnia"/>
        <s v="Honduras"/>
        <s v="Guatemala"/>
        <s v="Ecuador"/>
        <s v="Afghanistan"/>
        <s v="Pakistan"/>
        <s v="Uzbekistan"/>
        <s v="Iran"/>
        <s v="Turkmenistan"/>
        <s v="US"/>
        <s v="Cuba"/>
        <s v="Jamaica"/>
        <s v="Albania"/>
        <s v="DR Congo"/>
        <s v="Nigeria"/>
        <s v="Panama"/>
        <s v="Kenya"/>
        <s v="Nicaragua "/>
        <s v="Syria"/>
        <s v="FS Micronesia"/>
        <s v="Romania"/>
        <s v="Germany"/>
        <s v="Czech Republic"/>
        <s v="Slovakia"/>
        <s v="Hungary"/>
        <s v="Paraguay"/>
        <s v="South Korea"/>
        <s v="Italy"/>
        <s v="Australia"/>
        <s v="Lesotho"/>
        <s v="Solomon Islands"/>
        <s v="Iraq"/>
        <s v="Argentina"/>
        <s v="Hong Kong"/>
        <s v="Dominican Republic"/>
        <s v="Algeria"/>
        <s v="Liberia"/>
        <s v="North Korea"/>
        <s v="Haiti"/>
        <s v="Chad"/>
        <s v="Sudan"/>
        <s v="Cayman Islands"/>
        <s v="Bahamas "/>
        <s v="Maldives"/>
        <s v="Guyana"/>
        <s v="Niger"/>
        <s v="Colombia"/>
        <s v="Zambia"/>
        <s v="Philippines"/>
        <s v="Angola"/>
        <s v="Somalia"/>
        <s v="Spain"/>
        <s v="Lebanon"/>
        <s v="United Kingdom"/>
        <s v="Nepal"/>
        <s v="Uganda"/>
        <s v="Togo"/>
        <s v="Papua New Guinea"/>
        <s v="Tanzania"/>
        <s v="Myanmar"/>
        <s v="Chile"/>
        <s v="Yemen"/>
        <s v="Suriname"/>
        <s v="Ukraine"/>
        <s v="Georgia"/>
        <s v="[rollup]"/>
        <s v="Djibouti"/>
        <s v="Namibia"/>
        <s v="Tajikistan"/>
        <s v="Senegal"/>
        <s v="Burkina Faso"/>
        <s v="Samoa"/>
        <s v="Burundi" u="1"/>
        <s v="Rwanda" u="1"/>
        <s v="DPRK" u="1"/>
      </sharedItems>
    </cacheField>
    <cacheField name="Major Disaster Category" numFmtId="0">
      <sharedItems containsBlank="1" count="5">
        <m/>
        <s v="Hydrometerological"/>
        <s v="Human Related"/>
        <s v="Geophysical"/>
        <s v="Biological"/>
      </sharedItems>
    </cacheField>
    <cacheField name="Disaster Type" numFmtId="0">
      <sharedItems containsBlank="1" count="21">
        <m/>
        <s v="Drought"/>
        <s v="Floods"/>
        <s v="Earthquake"/>
        <s v="Volcano"/>
        <s v="Storm"/>
        <s v="Industrial"/>
        <s v="Floods "/>
        <s v="Conflict"/>
        <s v="Africa"/>
        <s v="Transport"/>
        <s v="Miscellaneous"/>
        <s v="Epidemic"/>
        <s v="Terrorism"/>
        <s v="Meteorological"/>
        <s v="Food Insecurity"/>
        <s v="Wildfire"/>
        <s v="Tsunami"/>
        <s v="Mass Movement Wet"/>
        <s v="Civil Unrest"/>
        <s v="Cyclone"/>
      </sharedItems>
    </cacheField>
    <cacheField name="Nature of Disaster (Disaster Sub-Type)" numFmtId="0">
      <sharedItems containsBlank="1" count="30">
        <m/>
        <s v="Drought"/>
        <s v="General Floods"/>
        <s v="Earthquake"/>
        <s v="Volcanic Eruption"/>
        <s v="Tropical Cyclone"/>
        <s v="Radiation"/>
        <s v="Conflict"/>
        <s v="2799 RRF"/>
        <s v="Storm Surge"/>
        <s v="Air"/>
        <s v="Fire"/>
        <s v="Bacterial"/>
        <s v="Winter Storm"/>
        <s v="Road"/>
        <s v="Terrorism"/>
        <s v="Water"/>
        <s v="Winter Emergency"/>
        <s v="Explosion"/>
        <s v="Food Insecurity"/>
        <s v="Collapse"/>
        <s v="Parasitic"/>
        <s v="Rail"/>
        <s v="Viral"/>
        <s v="Forest Fire"/>
        <s v="Tsunami"/>
        <s v="Landslide"/>
        <s v="Local Storm"/>
        <s v="Civil Unrest"/>
        <s v="Disease"/>
      </sharedItems>
    </cacheField>
    <cacheField name="Disaster Sub-Sub Type" numFmtId="0">
      <sharedItems containsString="0"/>
    </cacheField>
    <cacheField name="Total Affected" numFmtId="0">
      <sharedItems containsBlank="1" containsMixedTypes="1" containsNumber="1" containsInteger="1" minValue="2700" maxValue="25000000" count="65">
        <m/>
        <s v="Colin Chaperon"/>
        <n v="2300000"/>
        <n v="2000000"/>
        <n v="365000"/>
        <n v="1000000"/>
        <n v="645000"/>
        <n v="655000"/>
        <n v="210000"/>
        <n v="175000"/>
        <n v="450000"/>
        <n v="185000"/>
        <n v="200000"/>
        <n v="600000"/>
        <n v="8500000"/>
        <n v="162000"/>
        <n v="500000"/>
        <n v="7800000"/>
        <n v="315000"/>
        <n v="4000000"/>
        <n v="322000"/>
        <n v="400000"/>
        <n v="2700"/>
        <n v="2400000"/>
        <n v="10000000"/>
        <n v="4500000"/>
        <n v="50000"/>
        <n v="4800000"/>
        <n v="77000"/>
        <n v="49090"/>
        <n v="30000"/>
        <n v="72000"/>
        <n v="70000"/>
        <n v="800000"/>
        <n v="9750"/>
        <n v="4000"/>
        <n v="2900000"/>
        <n v="328000"/>
        <s v="-"/>
        <n v="366000"/>
        <n v="40158"/>
        <n v="16800000"/>
        <n v="280000"/>
        <n v="90000"/>
        <n v="2943"/>
        <n v="22000"/>
        <n v="250000"/>
        <n v="31250"/>
        <n v="48000"/>
        <n v="700000"/>
        <n v="25000000"/>
        <n v="3928238"/>
        <n v="12000"/>
        <n v="1300000"/>
        <n v="156000"/>
        <n v="100000"/>
        <n v="6300000"/>
        <n v="3000000"/>
        <n v="10000"/>
        <n v="4100000"/>
        <n v="3797" u="1"/>
        <n v="82000" u="1"/>
        <n v="7231" u="1"/>
        <n v="28000" u="1"/>
        <n v="330000" u="1"/>
      </sharedItems>
    </cacheField>
    <cacheField name="Appeal?Y/N" numFmtId="0">
      <sharedItems containsBlank="1" count="2">
        <m/>
        <s v="Y"/>
      </sharedItems>
    </cacheField>
    <cacheField name="Whose Appeal?" numFmtId="0">
      <sharedItems containsBlank="1" count="7">
        <m/>
        <s v="IFRC"/>
        <s v="ICRC"/>
        <s v="?"/>
        <s v="ICRC &amp; IFRC"/>
        <s v="ICRC/IFRC/Ntl Socs"/>
        <s v="NS"/>
      </sharedItems>
    </cacheField>
    <cacheField name="Multilateral Beneficiaries" numFmtId="0">
      <sharedItems containsBlank="1" containsMixedTypes="1" containsNumber="1" containsInteger="1" minValue="0" maxValue="25000000" count="48">
        <m/>
        <n v="1200000"/>
        <n v="250000"/>
        <n v="200000"/>
        <n v="150000"/>
        <n v="37500"/>
        <n v="108550"/>
        <n v="31658"/>
        <n v="125000"/>
        <n v="94825"/>
        <n v="52995"/>
        <n v="44380"/>
        <n v="180000"/>
        <n v="1215000"/>
        <n v="13000"/>
        <n v="500000"/>
        <s v="n/a"/>
        <n v="0"/>
        <n v="600000"/>
        <n v="15220"/>
        <n v="900000"/>
        <n v="50000"/>
        <n v="97550"/>
        <n v="2700"/>
        <n v="76075"/>
        <n v="30000"/>
        <n v="4000"/>
        <n v="80500"/>
        <n v="3000"/>
        <n v="60000"/>
        <n v="20000"/>
        <s v="-"/>
        <n v="32000"/>
        <n v="37930"/>
        <n v="300000"/>
        <n v="15000"/>
        <n v="2488500"/>
        <n v="1500000"/>
        <n v="25000"/>
        <n v="25000000"/>
        <n v="91000"/>
        <n v="184000"/>
        <n v="260000"/>
        <n v="40000"/>
        <n v="210000"/>
        <n v="100000"/>
        <n v="5000"/>
        <n v="1692428"/>
      </sharedItems>
    </cacheField>
    <cacheField name="Direct Beneficiaries" numFmtId="0">
      <sharedItems containsBlank="1" containsMixedTypes="1" containsNumber="1" containsInteger="1" minValue="0" maxValue="2200000" count="41">
        <m/>
        <n v="1200000"/>
        <n v="250000"/>
        <n v="200000"/>
        <n v="150000"/>
        <n v="37500"/>
        <n v="5000"/>
        <n v="24000"/>
        <n v="31658"/>
        <n v="125000"/>
        <n v="94825"/>
        <n v="52995"/>
        <n v="54380"/>
        <n v="180000"/>
        <n v="1215000"/>
        <n v="13000"/>
        <n v="500000"/>
        <s v="n/a"/>
        <n v="0"/>
        <n v="600000"/>
        <n v="6445"/>
        <n v="900000"/>
        <n v="50000"/>
        <n v="15000"/>
        <n v="2700"/>
        <n v="76075"/>
        <n v="1250"/>
        <n v="30000"/>
        <s v="-"/>
        <n v="10380"/>
        <n v="640"/>
        <n v="20000"/>
        <n v="4320"/>
        <n v="80500" u="1"/>
        <n v="1500000" u="1"/>
        <n v="3000" u="1"/>
        <n v="32000" u="1"/>
        <n v="2200000" u="1"/>
        <n v="60000" u="1"/>
        <n v="193000" u="1"/>
        <n v="300000" u="1"/>
      </sharedItems>
    </cacheField>
    <cacheField name="Appeal Amount" numFmtId="0">
      <sharedItems containsBlank="1" containsMixedTypes="1" containsNumber="1" containsInteger="1" minValue="485000" maxValue="95400000" count="78">
        <m/>
        <n v="1098045"/>
        <n v="1634707"/>
        <n v="628813"/>
        <n v="10500000"/>
        <n v="485000"/>
        <n v="1600000"/>
        <n v="1129750"/>
        <n v="31000000"/>
        <n v="1900000"/>
        <n v="4825791"/>
        <n v="514753"/>
        <n v="4225070"/>
        <n v="492625"/>
        <n v="8637057"/>
        <n v="2470000"/>
        <n v="21832647"/>
        <n v="1649430"/>
        <s v="MDRPK001"/>
        <n v="4850000"/>
        <n v="15000000"/>
        <n v="6800000"/>
        <n v="2340000"/>
        <n v="9600000"/>
        <n v="2927000"/>
        <n v="1300000"/>
        <n v="9511366"/>
        <n v="3200000"/>
        <n v="1544000"/>
        <n v="1800000"/>
        <n v="2700000"/>
        <n v="22000000"/>
        <n v="672000"/>
        <n v="14200000"/>
        <s v="n/a"/>
        <n v="94000000"/>
        <n v="700000"/>
        <n v="18900000"/>
        <n v="1000000"/>
        <n v="8400000"/>
        <n v="72537164"/>
        <n v="92700000"/>
        <n v="7920006"/>
        <n v="8000000"/>
        <n v="13707000"/>
        <n v="861000"/>
        <n v="1193000"/>
        <n v="7395000"/>
        <n v="2647699"/>
        <n v="7600000"/>
        <n v="1638300"/>
        <s v="-"/>
        <n v="8811345"/>
        <n v="1388924"/>
        <n v="9880000"/>
        <n v="4000000"/>
        <n v="571953"/>
        <n v="66586679"/>
        <n v="1437632"/>
        <n v="9200000"/>
        <n v="957924"/>
        <n v="1878181"/>
        <n v="2200000"/>
        <n v="7300000"/>
        <n v="806936"/>
        <n v="3076415"/>
        <n v="2000000"/>
        <n v="2600000"/>
        <n v="6650000"/>
        <n v="4900000"/>
        <n v="18600000"/>
        <n v="2450000"/>
        <n v="3100000"/>
        <n v="8427856"/>
        <n v="4600000" u="1"/>
        <n v="95400000" u="1"/>
        <n v="7800000" u="1"/>
        <n v="5800000" u="1"/>
      </sharedItems>
    </cacheField>
    <cacheField name="Appeal #" numFmtId="0">
      <sharedItems containsString="0"/>
    </cacheField>
    <cacheField name="% of Appeal Covered by ARC" numFmtId="0">
      <sharedItems containsString="0" containsBlank="1" containsNumber="1" minValue="0" maxValue="0.17760727008821217" count="60">
        <m/>
        <n v="3.3504396378573595E-2"/>
        <n v="1.4285714285714285E-2"/>
        <n v="0.10309278350515463"/>
        <n v="3.125E-2"/>
        <n v="8.3612303606992691E-2"/>
        <n v="3.2258064516129032E-3"/>
        <n v="2.631578947368421E-3"/>
        <n v="1.036099574142353E-2"/>
        <n v="0"/>
        <n v="2.0118009879126264E-2"/>
        <n v="2.0299416391778735E-2"/>
        <n v="6.7962964699665632E-2"/>
        <n v="1.0121457489878543E-2"/>
        <n v="2.290148326952751E-3"/>
        <n v="5.0515463917525771E-3"/>
        <n v="1.6666666666666666E-2"/>
        <n v="2.1367521367521368E-2"/>
        <n v="3.8461538461538464E-2"/>
        <n v="6.2406249999999996E-3"/>
        <n v="2.266839378238342E-2"/>
        <n v="9.2820555555555559E-2"/>
        <n v="9.2592592592592587E-3"/>
        <n v="4.926618181818182E-2"/>
        <n v="3.5342261904761904E-2"/>
        <n v="1.7605633802816902E-2"/>
        <n v="7.5957446808510637E-3"/>
        <n v="1.4232804232804232E-2"/>
        <n v="3.5714285714285712E-2"/>
        <n v="3.446509157705697E-3"/>
        <n v="0.10787486515641856"/>
        <n v="1.2626253060919398E-2"/>
        <n v="2.3125E-2"/>
        <n v="3.6477712117895965E-3"/>
        <n v="3.7091366303436714E-2"/>
        <n v="1.8884321820569483E-2"/>
        <n v="3.7326578947368419E-2"/>
        <n v="7.3883904046877863E-2"/>
        <n v="0.12823728953979216"/>
        <n v="0.17760727008821217"/>
        <n v="1.2500000000000001E-2"/>
        <n v="0.17483954101123694"/>
        <n v="3.4779415038062589E-2"/>
        <n v="1.0869565217391304E-2"/>
        <n v="2.6621502400460871E-2"/>
        <n v="9.0909090909090912E-2"/>
        <n v="3.4246575342465752E-2"/>
        <n v="1.4251440015069349E-2"/>
        <n v="1.6252683724399992E-2"/>
        <n v="4.5112781954887216E-2"/>
        <n v="7.1428571428571425E-2"/>
        <n v="4.0816326530612242E-2"/>
        <n v="1.1865413932084269E-2"/>
        <n v="4.2241379310344824E-3" u="1"/>
        <n v="5.2410901467505244E-3" u="1"/>
        <n v="3.4210526315789476E-2" u="1"/>
        <n v="7.1998179886012481E-2" u="1"/>
        <n v="0.11349005174578909" u="1"/>
        <n v="6.1038881767686015E-2" u="1"/>
        <n v="7.5090094221398245E-3" u="1"/>
      </sharedItems>
    </cacheField>
    <cacheField name="Overall Appeal Coverage" numFmtId="0">
      <sharedItems containsBlank="1" containsMixedTypes="1" containsNumber="1" minValue="0.09" maxValue="1.04" count="23">
        <m/>
        <n v="1"/>
        <n v="0.95"/>
        <n v="0.93"/>
        <n v="0.64"/>
        <n v="0.77"/>
        <n v="0.66"/>
        <n v="0.76"/>
        <n v="0.9"/>
        <n v="0.65"/>
        <n v="0.54"/>
        <n v="0.72"/>
        <n v="1.04"/>
        <n v="0.67"/>
        <n v="0.47"/>
        <n v="0.39"/>
        <n v="0.09"/>
        <n v="0.62"/>
        <n v="0.99"/>
        <n v="0.91"/>
        <s v="various"/>
        <n v="0.45"/>
        <n v="0.61"/>
      </sharedItems>
    </cacheField>
    <cacheField name="IFRC DREF?" numFmtId="0">
      <sharedItems containsBlank="1" count="2">
        <m/>
        <s v="Y"/>
      </sharedItems>
    </cacheField>
    <cacheField name="DREF Amount" numFmtId="0">
      <sharedItems containsString="0" containsBlank="1" containsNumber="1" containsInteger="1" minValue="49273" maxValue="613944" count="16">
        <m/>
        <n v="118830"/>
        <n v="201571"/>
        <n v="359374"/>
        <n v="310244"/>
        <n v="49273"/>
        <n v="152369"/>
        <n v="613944"/>
        <n v="128552"/>
        <n v="315628"/>
        <n v="230677"/>
        <n v="118472"/>
        <n v="419190"/>
        <n v="227106"/>
        <n v="51364"/>
        <n v="500000"/>
      </sharedItems>
    </cacheField>
    <cacheField name="ARC Contribution to IFRC or ICRC greater/equal to $50,000?" numFmtId="0">
      <sharedItems containsString="0" containsBlank="1" containsNumber="1" containsInteger="1" minValue="0" maxValue="1" count="3">
        <m/>
        <n v="1"/>
        <n v="0"/>
      </sharedItems>
    </cacheField>
    <cacheField name="Cash to IFRC" numFmtId="0">
      <sharedItems containsString="0" containsBlank="1" containsNumber="1" minValue="2000" maxValue="10000000" count="69">
        <m/>
        <n v="100000"/>
        <n v="10000"/>
        <n v="25000"/>
        <n v="80000"/>
        <n v="1200000"/>
        <n v="50000"/>
        <n v="2504221.9900000002"/>
        <n v="23333.333333333332"/>
        <n v="23333.343333333331"/>
        <n v="30000"/>
        <n v="21612.23"/>
        <n v="5000"/>
        <n v="66918.959999999992"/>
        <n v="7242.1372799999999"/>
        <n v="15000"/>
        <n v="21400"/>
        <n v="35027"/>
        <n v="200000"/>
        <n v="20007"/>
        <n v="35975"/>
        <n v="300000"/>
        <n v="400000"/>
        <n v="1837066.6666666667"/>
        <n v="1666666.6666666667"/>
        <n v="75000"/>
        <n v="3750000"/>
        <n v="3000000"/>
        <n v="47581"/>
        <n v="49357"/>
        <n v="83568"/>
        <n v="124453"/>
        <n v="7034"/>
        <n v="28869"/>
        <n v="21068"/>
        <n v="150000"/>
        <n v="250000"/>
        <n v="88443"/>
        <n v="94461"/>
        <n v="1298250"/>
        <n v="475000"/>
        <n v="85000"/>
        <n v="587000"/>
        <n v="38000"/>
        <n v="190000"/>
        <n v="95000"/>
        <n v="24500"/>
        <n v="22500"/>
        <n v="47500"/>
        <n v="19970"/>
        <n v="35000"/>
        <n v="167077"/>
        <n v="90000"/>
        <n v="1083856"/>
        <n v="23750"/>
        <n v="269000"/>
        <n v="10000000"/>
        <n v="2000"/>
        <n v="185000"/>
        <n v="44250"/>
        <n v="283682"/>
        <n v="121044"/>
        <n v="1129943"/>
        <n v="246683"/>
        <n v="11500"/>
        <n v="350000"/>
        <n v="500000" u="1"/>
        <n v="260000" u="1"/>
        <n v="1000000" u="1"/>
      </sharedItems>
    </cacheField>
    <cacheField name="Cash to ICRC" numFmtId="0">
      <sharedItems containsBlank="1" containsMixedTypes="1" containsNumber="1" containsInteger="1" minValue="20500" maxValue="1979500" count="16">
        <m/>
        <n v="104805"/>
        <n v="100000"/>
        <n v="242000"/>
        <n v="1000000"/>
        <n v="250000"/>
        <n v="861100"/>
        <n v="197500"/>
        <n v="50000"/>
        <n v="1979500"/>
        <n v="20500"/>
        <n v="200000"/>
        <n v="714000"/>
        <n v="360625"/>
        <s v=" "/>
        <n v="500000"/>
      </sharedItems>
    </cacheField>
    <cacheField name="Cash to NS" numFmtId="0">
      <sharedItems containsString="0" containsBlank="1" containsNumber="1" minValue="1000" maxValue="3257775.37" count="52">
        <m/>
        <n v="100000"/>
        <n v="10000"/>
        <n v="25000"/>
        <n v="150000"/>
        <n v="200000"/>
        <n v="75000"/>
        <n v="50000"/>
        <n v="1360000"/>
        <n v="15000"/>
        <n v="9000"/>
        <n v="352704"/>
        <n v="28500"/>
        <n v="40000"/>
        <n v="77500"/>
        <n v="70000"/>
        <n v="24420"/>
        <n v="3257775.37"/>
        <n v="5000"/>
        <n v="11700"/>
        <n v="2000"/>
        <n v="90000"/>
        <n v="35000"/>
        <n v="120000"/>
        <n v="46670"/>
        <n v="237898.78"/>
        <n v="1000"/>
        <n v="1345"/>
        <n v="350000"/>
        <n v="32500"/>
        <n v="370642"/>
        <n v="60000"/>
        <n v="10500"/>
        <n v="18675"/>
        <n v="59896.536212325685"/>
        <n v="250000"/>
        <n v="20000"/>
        <n v="356000"/>
        <n v="30000"/>
        <n v="20188"/>
        <n v="298680"/>
        <n v="2500"/>
        <n v="3000"/>
        <n v="867000"/>
        <n v="2400"/>
        <n v="245000"/>
        <n v="48500"/>
        <n v="560625"/>
        <n v="62250"/>
        <n v="1520000"/>
        <n v="981315"/>
        <n v="500000"/>
      </sharedItems>
    </cacheField>
    <cacheField name="Total Cash" numFmtId="0">
      <sharedItems containsBlank="1" containsMixedTypes="1" containsNumber="1" minValue="0" maxValue="10000000" count="117">
        <m/>
        <n v="100000"/>
        <n v="10000"/>
        <n v="0"/>
        <n v="25000"/>
        <n v="80000"/>
        <n v="1200000"/>
        <n v="150000"/>
        <n v="200000"/>
        <n v="75000"/>
        <n v="50000"/>
        <n v="3864221.99"/>
        <n v="15000"/>
        <n v="9000"/>
        <n v="23333.333333333332"/>
        <n v="23333.343333333331"/>
        <n v="30000"/>
        <n v="352704"/>
        <n v="28500"/>
        <n v="40000"/>
        <n v="77500"/>
        <n v="125000"/>
        <n v="70000"/>
        <n v="24420"/>
        <n v="3257775.37"/>
        <n v="5000"/>
        <n v="21612.23"/>
        <n v="11700"/>
        <n v="104805"/>
        <n v="225000"/>
        <n v="2000"/>
        <n v="66918.960000000006"/>
        <n v="90000"/>
        <n v="35000"/>
        <n v="120000"/>
        <n v="46670"/>
        <n v="237898.78"/>
        <n v="1000"/>
        <n v="1345"/>
        <n v="7242.1372799999999"/>
        <n v="350000"/>
        <n v="32500"/>
        <n v="370642"/>
        <n v="60000"/>
        <n v="21400"/>
        <n v="35027"/>
        <n v="10500"/>
        <n v="20007"/>
        <n v="18675"/>
        <n v="242000"/>
        <n v="35975"/>
        <n v="59896.536212325685"/>
        <n v="300000"/>
        <n v="400000"/>
        <n v="1837066.6666666667"/>
        <n v="1666666.6666666667"/>
        <n v="4750000"/>
        <n v="4000000"/>
        <n v="47581"/>
        <n v="49357"/>
        <n v="83568"/>
        <n v="124453"/>
        <n v="7034"/>
        <n v="250000"/>
        <n v="28869"/>
        <n v="21068"/>
        <n v="188443"/>
        <n v="55000"/>
        <n v="94461"/>
        <n v="20000"/>
        <n v="1298250"/>
        <n v="861100"/>
        <n v="672500"/>
        <n v="356000"/>
        <n v="85000"/>
        <n v="587000"/>
        <n v="38000"/>
        <n v="1979500"/>
        <n v="20500"/>
        <n v="190000"/>
        <n v="95000"/>
        <n v="24500"/>
        <n v="20188"/>
        <n v="298680"/>
        <n v="2500"/>
        <n v="22500"/>
        <n v="47500"/>
        <n v="3000"/>
        <n v="19970"/>
        <n v="517077"/>
        <n v="1083856"/>
        <n v="23750"/>
        <n v="867000"/>
        <n v="2400"/>
        <n v="714000"/>
        <n v="245000"/>
        <n v="269000"/>
        <n v="48500"/>
        <n v="10000000"/>
        <n v="185000"/>
        <s v="-"/>
        <n v="44250"/>
        <n v="283682"/>
        <n v="121044"/>
        <n v="1129943"/>
        <n v="246683"/>
        <n v="921250"/>
        <n v="62250"/>
        <n v="1520000"/>
        <n v="500000"/>
        <n v="981315"/>
        <n v="11500"/>
        <n v="800000"/>
        <n v="850000"/>
        <n v="66918.959999999992" u="1"/>
        <n v="260000" u="1"/>
        <n v="1000000" u="1"/>
      </sharedItems>
    </cacheField>
    <cacheField name="People Deployed" numFmtId="0">
      <sharedItems containsString="0" containsBlank="1" containsNumber="1" containsInteger="1" minValue="0" maxValue="30" count="19">
        <m/>
        <n v="0"/>
        <n v="1"/>
        <n v="20"/>
        <n v="2"/>
        <n v="3"/>
        <n v="4"/>
        <n v="10"/>
        <n v="23"/>
        <n v="9"/>
        <n v="5"/>
        <n v="12"/>
        <n v="19"/>
        <n v="8"/>
        <n v="30"/>
        <n v="7"/>
        <n v="6"/>
        <n v="17"/>
        <n v="11"/>
      </sharedItems>
    </cacheField>
    <cacheField name="Number of Items Supplied" numFmtId="0">
      <sharedItems containsBlank="1" containsMixedTypes="1" containsNumber="1" containsInteger="1" minValue="11" maxValue="205000" count="50">
        <m/>
        <n v="76700"/>
        <n v="55532"/>
        <n v="10250"/>
        <n v="5000"/>
        <n v="1000"/>
        <n v="6111"/>
        <n v="10000"/>
        <n v="6000"/>
        <n v="6107"/>
        <n v="2900"/>
        <n v="14500"/>
        <n v="675"/>
        <n v="64200"/>
        <n v="9000"/>
        <n v="6500"/>
        <n v="115560"/>
        <n v="11"/>
        <n v="2300"/>
        <n v="10930"/>
        <n v="12380"/>
        <n v="486"/>
        <n v="7314"/>
        <n v="2346"/>
        <n v="110"/>
        <n v="750"/>
        <n v="25"/>
        <n v="9995"/>
        <n v="172318"/>
        <n v="201300"/>
        <n v="2000"/>
        <n v="2372"/>
        <n v="4500"/>
        <n v="45"/>
        <n v="20000"/>
        <n v="26950"/>
        <n v="16500"/>
        <n v="2350"/>
        <n v="4000"/>
        <n v="15500"/>
        <n v="39000"/>
        <n v="205000"/>
        <s v="-"/>
        <n v="19100"/>
        <n v="8000"/>
        <n v="5150"/>
        <n v="7840"/>
        <n v="22300"/>
        <n v="34200"/>
        <n v="7500"/>
      </sharedItems>
    </cacheField>
    <cacheField name="Hygiene Kits" numFmtId="0">
      <sharedItems containsString="0" containsBlank="1" containsNumber="1" containsInteger="1" minValue="500" maxValue="45000" count="14">
        <m/>
        <n v="11200"/>
        <n v="2200"/>
        <n v="500"/>
        <n v="10000"/>
        <n v="45000"/>
        <n v="1000"/>
        <n v="750"/>
        <n v="18000"/>
        <n v="2372"/>
        <n v="4500"/>
        <n v="3500"/>
        <n v="4000"/>
        <n v="1840"/>
      </sharedItems>
    </cacheField>
    <cacheField name="Blankets/_x000a_Quilts" numFmtId="0">
      <sharedItems containsString="0" containsBlank="1" containsNumber="1" containsInteger="1" minValue="1000" maxValue="138800" count="16">
        <m/>
        <n v="55000"/>
        <n v="4625"/>
        <n v="5100"/>
        <n v="6000"/>
        <n v="34200"/>
        <n v="27000"/>
        <n v="1000"/>
        <n v="5000"/>
        <n v="84100"/>
        <n v="138800"/>
        <n v="7050"/>
        <n v="2000"/>
        <n v="25000"/>
        <n v="4000"/>
        <n v="11000"/>
      </sharedItems>
    </cacheField>
    <cacheField name="Jerry Cans" numFmtId="0">
      <sharedItems containsString="0" containsBlank="1" containsNumber="1" containsInteger="1" minValue="321" maxValue="10500" count="9">
        <m/>
        <n v="10500"/>
        <n v="5000"/>
        <n v="2350"/>
        <n v="481"/>
        <n v="802"/>
        <n v="321"/>
        <n v="8000"/>
        <n v="10000"/>
      </sharedItems>
    </cacheField>
    <cacheField name="Water Containers" numFmtId="0">
      <sharedItems containsString="0" containsBlank="1" containsNumber="1" containsInteger="1" minValue="200" maxValue="30000" count="5">
        <m/>
        <n v="2550"/>
        <n v="30000"/>
        <n v="13400"/>
        <n v="200"/>
      </sharedItems>
    </cacheField>
    <cacheField name="Buckets" numFmtId="0">
      <sharedItems containsString="0" containsBlank="1" containsNumber="1" containsInteger="1" minValue="4800" maxValue="22500" count="4">
        <m/>
        <n v="5500"/>
        <n v="22500"/>
        <n v="4800"/>
      </sharedItems>
    </cacheField>
    <cacheField name="Tents" numFmtId="0">
      <sharedItems containsString="0" containsBlank="1" containsNumber="1" containsInteger="1" minValue="5" maxValue="2200" count="14">
        <m/>
        <n v="36"/>
        <n v="250"/>
        <n v="761"/>
        <n v="757"/>
        <n v="490"/>
        <n v="11"/>
        <n v="150"/>
        <n v="5"/>
        <n v="25"/>
        <n v="2200"/>
        <n v="1000"/>
        <n v="2000"/>
        <n v="45"/>
      </sharedItems>
    </cacheField>
    <cacheField name="Cleanup Kits" numFmtId="0">
      <sharedItems containsString="0" containsBlank="1" containsNumber="1" containsInteger="1" minValue="5000" maxValue="5000" count="2">
        <m/>
        <n v="5000"/>
      </sharedItems>
    </cacheField>
    <cacheField name="Kitchen Sets" numFmtId="0">
      <sharedItems containsString="0" containsBlank="1" containsNumber="1" containsInteger="1" minValue="1000" maxValue="18000" count="8">
        <m/>
        <n v="18000"/>
        <n v="2000"/>
        <n v="1000"/>
        <n v="5000"/>
        <n v="3000"/>
        <n v="1500"/>
        <n v="7500"/>
      </sharedItems>
    </cacheField>
    <cacheField name="Bedsheets" numFmtId="0">
      <sharedItems containsString="0" containsBlank="1" containsNumber="1" containsInteger="1" minValue="500" maxValue="30518" count="8">
        <m/>
        <n v="6120"/>
        <n v="6000"/>
        <n v="1100"/>
        <n v="5000"/>
        <n v="12360"/>
        <n v="500"/>
        <n v="30518"/>
      </sharedItems>
    </cacheField>
    <cacheField name="Mosquito Nets" numFmtId="0">
      <sharedItems containsString="0" containsBlank="1" containsNumber="1" containsInteger="1" minValue="1000" maxValue="20000" count="7">
        <m/>
        <n v="10000"/>
        <n v="20000"/>
        <n v="1000"/>
        <n v="6000"/>
        <n v="6800"/>
        <n v="13200"/>
      </sharedItems>
    </cacheField>
    <cacheField name="Food Parcels" numFmtId="0">
      <sharedItems containsString="0" containsBlank="1" containsNumber="1" containsInteger="1" minValue="2600" maxValue="40000" count="6">
        <m/>
        <n v="40000"/>
        <n v="5000"/>
        <n v="2600"/>
        <n v="14500"/>
        <n v="9000"/>
      </sharedItems>
    </cacheField>
    <cacheField name="Tarps" numFmtId="0">
      <sharedItems containsString="0" containsBlank="1" containsNumber="1" containsInteger="1" minValue="20" maxValue="11000" count="14">
        <m/>
        <n v="250"/>
        <n v="1000"/>
        <n v="20"/>
        <n v="1105"/>
        <n v="110"/>
        <n v="3000"/>
        <n v="3900"/>
        <n v="11000"/>
        <n v="350"/>
        <n v="2000"/>
        <n v="10000"/>
        <n v="9995"/>
        <n v="1300"/>
      </sharedItems>
    </cacheField>
    <cacheField name="Vehicles" numFmtId="0">
      <sharedItems containsString="0" containsBlank="1" containsNumber="1" containsInteger="1" minValue="1" maxValue="7" count="5">
        <m/>
        <n v="7"/>
        <n v="5"/>
        <n v="1"/>
        <n v="2"/>
      </sharedItems>
    </cacheField>
    <cacheField name="Other Items" numFmtId="0">
      <sharedItems containsString="0" containsBlank="1" containsNumber="1" containsInteger="1" minValue="3000" maxValue="3000" count="2">
        <m/>
        <n v="3000"/>
      </sharedItems>
    </cacheField>
    <cacheField name="Value of Supplies" numFmtId="0">
      <sharedItems containsString="0" containsNumber="1"/>
    </cacheField>
    <cacheField name="Operational (People) Cost for Response Phase" numFmtId="0">
      <sharedItems containsBlank="1" containsMixedTypes="1" containsNumber="1" minValue="0" maxValue="100000000" count="45">
        <m/>
        <n v="0"/>
        <n v="9750"/>
        <n v="5000"/>
        <n v="472203.99"/>
        <n v="500000"/>
        <n v="190065"/>
        <n v="7500"/>
        <n v="2577.8000000000002"/>
        <n v="5500"/>
        <n v="366481.13"/>
        <n v="250000"/>
        <n v="1000"/>
        <n v="313450"/>
        <n v="200000"/>
        <n v="257704"/>
        <n v="15000"/>
        <n v="3982"/>
        <n v="4400"/>
        <n v="60000"/>
        <n v="500"/>
        <n v="100000"/>
        <n v="42422.75"/>
        <n v="12189.84"/>
        <n v="10000"/>
        <n v="17812"/>
        <n v="28670"/>
        <n v="150038.97999999998"/>
        <n v="14800"/>
        <n v="7665"/>
        <n v="5400"/>
        <n v="100000000"/>
        <n v="3100"/>
        <n v="36200"/>
        <n v="87500"/>
        <n v="6500"/>
        <n v="45000"/>
        <n v="28000"/>
        <n v="9000"/>
        <n v="17400"/>
        <n v="7440"/>
        <n v="357"/>
        <n v="12000"/>
        <s v="-"/>
        <n v="11950"/>
      </sharedItems>
    </cacheField>
    <cacheField name="Total $ Response Phase" numFmtId="0">
      <sharedItems containsBlank="1" containsMixedTypes="1" containsNumber="1" minValue="0" maxValue="103848909.52666667" count="183">
        <m/>
        <n v="100000"/>
        <n v="10000"/>
        <n v="0"/>
        <n v="25000"/>
        <n v="80000"/>
        <n v="132193"/>
        <n v="1200000"/>
        <n v="200"/>
        <n v="150000"/>
        <n v="205000"/>
        <n v="610134"/>
        <n v="50000"/>
        <n v="5153184.1400000006"/>
        <n v="15000"/>
        <n v="9000"/>
        <n v="1056000"/>
        <n v="23333.333333333332"/>
        <n v="23333.343333333331"/>
        <n v="335000"/>
        <n v="389265"/>
        <n v="352704"/>
        <n v="20000"/>
        <n v="118500"/>
        <n v="40000"/>
        <n v="172000"/>
        <n v="90000"/>
        <n v="7500"/>
        <n v="2577.8000000000002"/>
        <n v="30500"/>
        <n v="227500"/>
        <n v="1862960.13"/>
        <n v="690000"/>
        <n v="250000"/>
        <n v="174000"/>
        <n v="1000"/>
        <n v="20700"/>
        <n v="18000"/>
        <n v="699130"/>
        <n v="2232231"/>
        <n v="3515479.37"/>
        <n v="97982"/>
        <n v="4400"/>
        <n v="60000"/>
        <n v="5000"/>
        <n v="500"/>
        <n v="71832"/>
        <n v="45000"/>
        <n v="21612.23"/>
        <n v="350424.24"/>
        <n v="11700"/>
        <n v="104805"/>
        <n v="225000"/>
        <n v="2000"/>
        <n v="75000"/>
        <n v="232252.87"/>
        <n v="115139.84"/>
        <n v="35000"/>
        <n v="130000"/>
        <n v="46670"/>
        <n v="237898.78"/>
        <n v="1345"/>
        <n v="7242.1372799999999"/>
        <n v="350000"/>
        <n v="421694"/>
        <n v="32812"/>
        <n v="17812"/>
        <n v="331380"/>
        <n v="32500"/>
        <n v="370642"/>
        <n v="21400"/>
        <n v="16700"/>
        <n v="65870"/>
        <n v="35027"/>
        <n v="10500"/>
        <n v="1175801.98"/>
        <n v="19975"/>
        <n v="6178"/>
        <n v="220134.81245"/>
        <n v="44557.856"/>
        <n v="61220"/>
        <n v="110266.26"/>
        <n v="97442.48"/>
        <n v="3000"/>
        <n v="18675"/>
        <n v="247400"/>
        <n v="35975"/>
        <n v="59896.536212325685"/>
        <n v="302452.19"/>
        <n v="131046.88"/>
        <n v="112853.79"/>
        <n v="401375"/>
        <n v="2655"/>
        <n v="103848909.52666667"/>
        <n v="3967173.0666666664"/>
        <n v="1822266.6666666667"/>
        <n v="13100"/>
        <n v="32475"/>
        <n v="108693"/>
        <n v="36200"/>
        <n v="6648852"/>
        <n v="1865458"/>
        <n v="5044000"/>
        <n v="47581"/>
        <n v="49357"/>
        <n v="83568"/>
        <n v="124453"/>
        <n v="7034"/>
        <n v="20597"/>
        <n v="43875"/>
        <n v="28869"/>
        <n v="21068"/>
        <n v="17402"/>
        <n v="400000"/>
        <n v="188443"/>
        <n v="55000"/>
        <n v="94461"/>
        <n v="1385750"/>
        <n v="861100"/>
        <n v="672500"/>
        <n v="356000"/>
        <n v="85000"/>
        <n v="46900"/>
        <n v="593500"/>
        <n v="200000"/>
        <n v="38000"/>
        <n v="120000"/>
        <n v="1979500"/>
        <n v="20500"/>
        <n v="28000"/>
        <n v="74000"/>
        <n v="190000"/>
        <n v="105000"/>
        <n v="24500"/>
        <n v="53400"/>
        <n v="20188"/>
        <n v="519800"/>
        <n v="34565"/>
        <n v="298680"/>
        <n v="2500"/>
        <n v="22500"/>
        <n v="47500"/>
        <n v="17400"/>
        <n v="19970"/>
        <n v="104055"/>
        <n v="58073"/>
        <n v="37440"/>
        <n v="660849"/>
        <n v="1356654"/>
        <n v="23750"/>
        <n v="300000"/>
        <n v="867000"/>
        <n v="12400"/>
        <n v="714000"/>
        <n v="245000"/>
        <n v="269000"/>
        <n v="48500"/>
        <n v="1150000"/>
        <n v="10000000"/>
        <n v="185000"/>
        <n v="44250"/>
        <n v="1532876"/>
        <n v="121044"/>
        <s v="-"/>
        <n v="1129943"/>
        <n v="246683"/>
        <n v="921250"/>
        <n v="74200"/>
        <n v="1520000"/>
        <n v="500000"/>
        <n v="30000"/>
        <n v="981315"/>
        <n v="330000"/>
        <n v="11500"/>
        <n v="259500"/>
        <n v="918000"/>
        <n v="850000"/>
        <n v="900000"/>
        <n v="180000"/>
        <n v="600000" u="1"/>
        <n v="623682" u="1"/>
        <n v="1000000" u="1"/>
        <n v="52000" u="1"/>
      </sharedItems>
    </cacheField>
    <cacheField name="Early Recovery $" numFmtId="0">
      <sharedItems containsString="0" containsBlank="1" count="1">
        <m/>
      </sharedItems>
    </cacheField>
    <cacheField name="Future Contrib Anticipated $" numFmtId="0">
      <sharedItems containsString="0" containsBlank="1" count="1">
        <m/>
      </sharedItems>
    </cacheField>
    <cacheField name="Beneficiaries Served (Final Report)" numFmtId="0">
      <sharedItems containsString="0" containsNumber="1"/>
    </cacheField>
    <cacheField name="Total Contributions" numFmtId="0">
      <sharedItems containsBlank="1" containsMixedTypes="1" containsNumber="1" minValue="0" maxValue="477328823.80666667" count="192">
        <n v="39000000"/>
        <n v="50000000"/>
        <n v="18000000"/>
        <n v="14000000"/>
        <n v="19700000"/>
        <n v="100000"/>
        <n v="10000"/>
        <n v="0"/>
        <n v="25000"/>
        <n v="80000"/>
        <n v="132193"/>
        <n v="1200000"/>
        <n v="200"/>
        <n v="150000"/>
        <n v="205000"/>
        <n v="610134"/>
        <n v="50000"/>
        <n v="5153184.1400000006"/>
        <n v="15000"/>
        <n v="9000"/>
        <n v="1056000"/>
        <n v="23333.333333333332"/>
        <n v="23333.343333333331"/>
        <n v="335000"/>
        <n v="389265"/>
        <n v="352704"/>
        <n v="20000"/>
        <n v="118500"/>
        <n v="40000"/>
        <n v="172000"/>
        <n v="90000"/>
        <n v="7500"/>
        <n v="2577.8000000000002"/>
        <n v="30500"/>
        <n v="227500"/>
        <n v="690000"/>
        <n v="250000"/>
        <n v="174000"/>
        <n v="1000"/>
        <n v="20700"/>
        <n v="18000"/>
        <n v="699130"/>
        <n v="2232231"/>
        <n v="3515479.37"/>
        <n v="97982"/>
        <n v="4400"/>
        <n v="60000"/>
        <n v="5000"/>
        <n v="500"/>
        <n v="71832"/>
        <n v="45000"/>
        <n v="21612.23"/>
        <n v="350424.24"/>
        <n v="11700"/>
        <n v="104805"/>
        <n v="225000"/>
        <n v="2000"/>
        <n v="75000"/>
        <n v="232252.87"/>
        <n v="115139.84"/>
        <n v="35000"/>
        <n v="130000"/>
        <n v="46670"/>
        <n v="237898.78"/>
        <n v="1345"/>
        <n v="7242.1372799999999"/>
        <n v="350000"/>
        <n v="421694"/>
        <n v="32812"/>
        <n v="17812"/>
        <n v="331380"/>
        <n v="32500"/>
        <n v="370642"/>
        <n v="21400"/>
        <n v="16700"/>
        <n v="65870"/>
        <n v="35027"/>
        <n v="10500"/>
        <n v="1175801.98"/>
        <n v="19975"/>
        <n v="6178"/>
        <n v="220134.81245"/>
        <n v="44557.856"/>
        <n v="61220"/>
        <n v="110266.26"/>
        <n v="97442.48"/>
        <n v="3000"/>
        <n v="18675"/>
        <n v="247400"/>
        <n v="35975"/>
        <n v="59896.536212325685"/>
        <n v="302452.19"/>
        <n v="131046.88"/>
        <n v="112853.79"/>
        <n v="401375"/>
        <n v="2655"/>
        <n v="103848909.52666667"/>
        <n v="477328823.80666667"/>
        <n v="1822266.6666666667"/>
        <n v="13100"/>
        <n v="32475"/>
        <n v="108693"/>
        <n v="24500000"/>
        <n v="6648852"/>
        <n v="1865458"/>
        <n v="5044000"/>
        <n v="47581"/>
        <n v="49357"/>
        <n v="83568"/>
        <n v="124453"/>
        <n v="7034"/>
        <n v="20597"/>
        <n v="43875"/>
        <n v="28869"/>
        <n v="21068"/>
        <n v="17402"/>
        <n v="400000"/>
        <n v="188443"/>
        <n v="55000"/>
        <n v="94461"/>
        <n v="1385750"/>
        <n v="861100"/>
        <n v="672500"/>
        <n v="356000"/>
        <n v="85000"/>
        <n v="46900"/>
        <n v="593500"/>
        <n v="200000"/>
        <n v="38000"/>
        <n v="120000"/>
        <n v="20500"/>
        <n v="28000"/>
        <n v="74000"/>
        <n v="190000"/>
        <n v="105000"/>
        <n v="24500"/>
        <n v="53400"/>
        <n v="20188"/>
        <n v="3400000"/>
        <n v="34565"/>
        <n v="298680"/>
        <n v="2500"/>
        <n v="22500"/>
        <n v="47500"/>
        <n v="17400"/>
        <n v="19970"/>
        <n v="104055"/>
        <n v="58073"/>
        <n v="37440"/>
        <n v="1900000"/>
        <n v="1356654"/>
        <n v="23750"/>
        <n v="300000"/>
        <n v="867000"/>
        <n v="12400"/>
        <n v="714000"/>
        <n v="245000"/>
        <n v="269000"/>
        <n v="48500"/>
        <n v="55000000"/>
        <n v="185000"/>
        <n v="44250"/>
        <n v="1532876"/>
        <n v="121044"/>
        <s v="-"/>
        <n v="1129943"/>
        <n v="246683"/>
        <n v="921250"/>
        <n v="74200"/>
        <n v="1520000"/>
        <n v="500000"/>
        <n v="30000"/>
        <n v="981315"/>
        <n v="330000"/>
        <n v="11500"/>
        <n v="259500"/>
        <n v="918000"/>
        <n v="850000"/>
        <n v="900000"/>
        <n v="180000"/>
        <m/>
        <n v="519800" u="1"/>
        <n v="600000" u="1"/>
        <n v="623682" u="1"/>
        <n v="3967173.0666666664" u="1"/>
        <n v="36200" u="1"/>
        <n v="660849" u="1"/>
        <n v="1000000" u="1"/>
        <n v="1862960.13" u="1"/>
        <n v="10000000" u="1"/>
        <n v="52000" u="1"/>
        <n v="1150000" u="1"/>
      </sharedItems>
    </cacheField>
    <cacheField name="AP Code" numFmtId="0">
      <sharedItems containsString="0" containsNumber="1" containsInteger="1"/>
    </cacheField>
    <cacheField name="Description " numFmtId="0">
      <sharedItems containsDate="1" containsString="0"/>
    </cacheField>
    <cacheField name="Comments on Contributions" numFmtId="0">
      <sharedItems containsString="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invalid="1" refreshedBy="Amanda West" refreshedDate="40680.411061921295" createdVersion="1" refreshedVersion="2" recordCount="319" upgradeOnRefresh="1">
  <cacheSource type="worksheet">
    <worksheetSource ref="A1:BY319" sheet="Disaster Data"/>
  </cacheSource>
  <cacheFields count="61">
    <cacheField name="Glide #" numFmtId="0">
      <sharedItems containsString="0"/>
    </cacheField>
    <cacheField name="ARC Disaster #" numFmtId="0">
      <sharedItems containsString="0" containsNumber="1" containsInteger="1"/>
    </cacheField>
    <cacheField name="Disaster Name" numFmtId="0">
      <sharedItems containsString="0"/>
    </cacheField>
    <cacheField name="Date of Response" numFmtId="0">
      <sharedItems containsSemiMixedTypes="0" containsNonDate="0" containsDate="1" containsString="0"/>
    </cacheField>
    <cacheField name="Fiscal Year" numFmtId="0">
      <sharedItems containsSemiMixedTypes="0" containsString="0" containsNumber="1" containsInteger="1" minValue="1986" maxValue="2010" count="15">
        <n v="1986"/>
        <n v="1989"/>
        <n v="1994"/>
        <n v="1999"/>
        <n v="2000"/>
        <n v="2001"/>
        <n v="2002"/>
        <n v="2003"/>
        <n v="2004"/>
        <n v="2005"/>
        <n v="2006"/>
        <n v="2007"/>
        <n v="2008"/>
        <n v="2009"/>
        <n v="2010"/>
      </sharedItems>
    </cacheField>
    <cacheField name="FY #" numFmtId="0">
      <sharedItems containsString="0" containsNumber="1" containsInteger="1"/>
    </cacheField>
    <cacheField name="Quarter" numFmtId="0">
      <sharedItems containsBlank="1" count="5">
        <m/>
        <s v="Q3"/>
        <s v="Q4"/>
        <s v="Q1"/>
        <s v="Q2"/>
      </sharedItems>
    </cacheField>
    <cacheField name="Calendar Year" numFmtId="0">
      <sharedItems containsSemiMixedTypes="0" containsString="0" containsNumber="1" containsInteger="1" minValue="1985" maxValue="2010" count="16">
        <n v="1985"/>
        <n v="1988"/>
        <n v="1994"/>
        <n v="1998"/>
        <n v="1999"/>
        <n v="2000"/>
        <n v="2001"/>
        <n v="2002"/>
        <n v="2003"/>
        <n v="2004"/>
        <n v="2005"/>
        <n v="2006"/>
        <n v="2007"/>
        <n v="2008"/>
        <n v="2009"/>
        <n v="2010"/>
      </sharedItems>
    </cacheField>
    <cacheField name="CY #" numFmtId="0">
      <sharedItems containsString="0" containsNumber="1" containsInteger="1"/>
    </cacheField>
    <cacheField name="Region" numFmtId="0">
      <sharedItems containsBlank="1" count="5">
        <m/>
        <s v="Africa"/>
        <s v="LAC"/>
        <s v="Europe/Asia"/>
        <s v="North America"/>
      </sharedItems>
    </cacheField>
    <cacheField name="Country" numFmtId="0">
      <sharedItems containsString="0"/>
    </cacheField>
    <cacheField name="Major Disaster Category" numFmtId="0">
      <sharedItems containsBlank="1" count="5">
        <m/>
        <s v="Hydrometerological"/>
        <s v="Human Related"/>
        <s v="Geophysical"/>
        <s v="Biological"/>
      </sharedItems>
    </cacheField>
    <cacheField name="Disaster Type" numFmtId="0">
      <sharedItems containsBlank="1" count="22">
        <m/>
        <s v="Drought"/>
        <s v="Floods"/>
        <s v="Earthquake"/>
        <s v="Volcano"/>
        <s v="Storm"/>
        <s v="Industrial"/>
        <s v="Floods "/>
        <s v="Conflict"/>
        <s v="Transport"/>
        <s v="Miscellaneous"/>
        <s v="Epidemic"/>
        <s v="Terrorism"/>
        <s v="Meteorological"/>
        <s v="Food Insecurity"/>
        <s v="Wildfire"/>
        <s v="Tsunami"/>
        <s v="Tropical Storm"/>
        <s v="Mass Movement Wet"/>
        <s v="Civil Unrest"/>
        <s v="Cyclone"/>
        <s v="Winter storm"/>
      </sharedItems>
    </cacheField>
    <cacheField name="Nature of Disaster (Disaster Sub-Type)" numFmtId="0">
      <sharedItems containsBlank="1" count="29">
        <m/>
        <s v="Drought"/>
        <s v="General Floods"/>
        <s v="Earthquake"/>
        <s v="Volcanic Eruption"/>
        <s v="Tropical Cyclone"/>
        <s v="Radiation"/>
        <s v="Conflict"/>
        <s v="Storm Surge"/>
        <s v="Air"/>
        <s v="Fire"/>
        <s v="Bacterial"/>
        <s v="Winter Storm"/>
        <s v="Road"/>
        <s v="Terrorism"/>
        <s v="Water"/>
        <s v="Winter Emergency"/>
        <s v="Explosion"/>
        <s v="Food Insecurity"/>
        <s v="Collapse"/>
        <s v="Parasitic"/>
        <s v="Rail"/>
        <s v="Viral"/>
        <s v="Forest Fire"/>
        <s v="Tsunami"/>
        <s v="Landslide"/>
        <s v="Local Storm"/>
        <s v="Civil Unrest"/>
        <s v="Disease"/>
      </sharedItems>
    </cacheField>
    <cacheField name="Disaster Sub-Sub Type" numFmtId="0">
      <sharedItems containsBlank="1" count="30">
        <m/>
        <s v="Drought"/>
        <s v="General Floods"/>
        <s v="Earthquake"/>
        <s v="Volcanic Eruption"/>
        <s v="Hurricane"/>
        <s v="Radiation"/>
        <s v="Conflict"/>
        <s v="Cyclone"/>
        <s v="Storm Surge"/>
        <s v="Air"/>
        <s v="Fire"/>
        <s v="Bacterial"/>
        <s v="Snowstorm"/>
        <s v="Road"/>
        <s v="Terrorism"/>
        <s v="Water"/>
        <s v="Tropical Storm"/>
        <s v="Urban Fire"/>
        <s v="Explosion"/>
        <s v="Food Insecurity"/>
        <s v="Collapse"/>
        <s v="Typhoon"/>
        <s v="Parasitic"/>
        <s v="Viral"/>
        <s v="Tsunami"/>
        <s v="Mudslide"/>
        <s v="Tornado"/>
        <s v="Civil Unrest"/>
        <s v="Cholera"/>
      </sharedItems>
    </cacheField>
    <cacheField name="Total Affected" numFmtId="0">
      <sharedItems containsString="0" containsNumber="1" containsInteger="1"/>
    </cacheField>
    <cacheField name="Appeal?Y/N" numFmtId="0">
      <sharedItems containsBlank="1" count="3">
        <m/>
        <s v="Y"/>
        <s v="N"/>
      </sharedItems>
    </cacheField>
    <cacheField name="Whose Appeal?" numFmtId="0">
      <sharedItems containsBlank="1" count="9">
        <m/>
        <s v="IFRC"/>
        <s v="IFRC/ ICRC"/>
        <s v="ICRC"/>
        <s v="IFRC/ICRC"/>
        <s v="NS"/>
        <s v="?"/>
        <s v="ICRC &amp; IFRC"/>
        <s v="ICRC/Ntl Socs"/>
      </sharedItems>
    </cacheField>
    <cacheField name="Appeal Amount" numFmtId="0">
      <sharedItems containsString="0" containsNumber="1" containsInteger="1"/>
    </cacheField>
    <cacheField name="Appeal #" numFmtId="0">
      <sharedItems containsString="0"/>
    </cacheField>
    <cacheField name="% of Appeal Covered by ARC" numFmtId="0">
      <sharedItems containsString="0" containsNumber="1"/>
    </cacheField>
    <cacheField name="Overall Appeal Coverage" numFmtId="0">
      <sharedItems containsString="0" containsNumber="1"/>
    </cacheField>
    <cacheField name="IFRC DREF?" numFmtId="0">
      <sharedItems containsBlank="1" count="3">
        <m/>
        <s v="Y"/>
        <s v="N"/>
      </sharedItems>
    </cacheField>
    <cacheField name="DREF Amount" numFmtId="0">
      <sharedItems containsString="0" containsBlank="1" containsNumber="1" containsInteger="1" minValue="49273" maxValue="613944" count="28">
        <m/>
        <n v="118830"/>
        <n v="201571"/>
        <n v="359374"/>
        <n v="310244"/>
        <n v="49273"/>
        <n v="152369"/>
        <n v="613944"/>
        <n v="128552"/>
        <n v="315628"/>
        <n v="230677"/>
        <n v="118472"/>
        <n v="303195"/>
        <n v="419190"/>
        <n v="319632"/>
        <n v="242000"/>
        <n v="324167"/>
        <n v="227106"/>
        <n v="313729"/>
        <n v="51364"/>
        <n v="500000"/>
        <n v="103918"/>
        <n v="180614"/>
        <n v="491265"/>
        <n v="313536"/>
        <n v="279350"/>
        <n v="93924"/>
        <n v="179855"/>
      </sharedItems>
    </cacheField>
    <cacheField name="Multilateral Beneficiaries" numFmtId="0">
      <sharedItems containsString="0" containsNumber="1" containsInteger="1"/>
    </cacheField>
    <cacheField name="Direct Beneficiaries" numFmtId="0">
      <sharedItems containsBlank="1" containsMixedTypes="1" containsNumber="1" containsInteger="1" minValue="0" maxValue="50000" count="20">
        <m/>
        <n v="2500"/>
        <n v="3600"/>
        <n v="3000"/>
        <n v="5000"/>
        <n v="24000"/>
        <n v="10000"/>
        <s v="n/a"/>
        <n v="0"/>
        <n v="6445"/>
        <n v="15000"/>
        <n v="1250"/>
        <s v="-"/>
        <n v="10380"/>
        <n v="640"/>
        <n v="20000"/>
        <n v="165"/>
        <n v="50000"/>
        <n v="25000"/>
        <n v="21668"/>
      </sharedItems>
    </cacheField>
    <cacheField name="Contribution to IFRC or ICRC &gt;/= $50K?" numFmtId="0">
      <sharedItems containsString="0" containsBlank="1" containsNumber="1" containsInteger="1" minValue="0" maxValue="1" count="3">
        <m/>
        <n v="1"/>
        <n v="0"/>
      </sharedItems>
    </cacheField>
    <cacheField name="Cash to IFRC" numFmtId="0">
      <sharedItems containsString="0" containsNumber="1"/>
    </cacheField>
    <cacheField name="Cash to ICRC" numFmtId="0">
      <sharedItems containsBlank="1" containsMixedTypes="1" containsNumber="1" minValue="50000" maxValue="4377346.43" count="15">
        <m/>
        <n v="104805"/>
        <n v="100000"/>
        <n v="242000"/>
        <n v="1000000"/>
        <n v="250000"/>
        <n v="1058600"/>
        <n v="50000"/>
        <n v="2000000"/>
        <n v="200000"/>
        <n v="714000"/>
        <s v=" "/>
        <n v="360625"/>
        <n v="500000"/>
        <n v="4377346.43"/>
      </sharedItems>
    </cacheField>
    <cacheField name="Cash to NS" numFmtId="0">
      <sharedItems containsString="0" containsNumber="1"/>
    </cacheField>
    <cacheField name="Total Cash" numFmtId="0">
      <sharedItems containsString="0" containsNumber="1"/>
    </cacheField>
    <cacheField name="ARC People Deployed" numFmtId="0">
      <sharedItems containsString="0" containsBlank="1" containsNumber="1" containsInteger="1" minValue="0" maxValue="82" count="19">
        <m/>
        <n v="0"/>
        <n v="1"/>
        <n v="20"/>
        <n v="2"/>
        <n v="3"/>
        <n v="4"/>
        <n v="10"/>
        <n v="23"/>
        <n v="9"/>
        <n v="5"/>
        <n v="12"/>
        <n v="19"/>
        <n v="8"/>
        <n v="30"/>
        <n v="7"/>
        <n v="6"/>
        <n v="17"/>
        <n v="82"/>
      </sharedItems>
    </cacheField>
    <cacheField name="ERUs" numFmtId="0">
      <sharedItems containsBlank="1" count="4">
        <m/>
        <s v="Relief ERU"/>
        <s v="IT/Telecoms"/>
        <s v=" IT/Telecoms; Relief ERU"/>
      </sharedItems>
    </cacheField>
    <cacheField name="Individual Deploy-ments" numFmtId="0">
      <sharedItems containsString="0" containsBlank="1" containsNumber="1" containsInteger="1" minValue="1" maxValue="85" count="6">
        <m/>
        <n v="1"/>
        <n v="2"/>
        <n v="5"/>
        <n v="3"/>
        <n v="85"/>
      </sharedItems>
    </cacheField>
    <cacheField name="Total ARC Items Supplied" numFmtId="0">
      <sharedItems containsString="0" containsNumber="1"/>
    </cacheField>
    <cacheField name="Pre-positioned?" numFmtId="0">
      <sharedItems containsBlank="1" count="4">
        <m/>
        <s v="mixed"/>
        <s v="Y"/>
        <s v="N"/>
      </sharedItems>
    </cacheField>
    <cacheField name="Hygiene Kits" numFmtId="0">
      <sharedItems containsString="0" containsBlank="1" containsNumber="1" containsInteger="1" minValue="500" maxValue="45000" count="16">
        <m/>
        <n v="11200"/>
        <n v="2200"/>
        <n v="500"/>
        <n v="10000"/>
        <n v="45000"/>
        <n v="1000"/>
        <n v="750"/>
        <n v="18000"/>
        <n v="2372"/>
        <n v="4500"/>
        <n v="3500"/>
        <n v="4000"/>
        <n v="7500"/>
        <n v="1840"/>
        <n v="1160"/>
      </sharedItems>
    </cacheField>
    <cacheField name="Blankets" numFmtId="0">
      <sharedItems containsString="0" containsBlank="1" containsNumber="1" containsInteger="1" minValue="1000" maxValue="222900" count="17">
        <m/>
        <n v="55000"/>
        <n v="4625"/>
        <n v="5100"/>
        <n v="6000"/>
        <n v="34200"/>
        <n v="27000"/>
        <n v="1000"/>
        <n v="5000"/>
        <n v="222900"/>
        <n v="7050"/>
        <n v="2000"/>
        <n v="25000"/>
        <n v="37500"/>
        <n v="4000"/>
        <n v="20981"/>
        <n v="198970"/>
      </sharedItems>
    </cacheField>
    <cacheField name="Jerry Cans" numFmtId="0">
      <sharedItems containsString="0" containsBlank="1" containsNumber="1" containsInteger="1" minValue="321" maxValue="30000" count="12">
        <m/>
        <n v="10500"/>
        <n v="2550"/>
        <n v="30000"/>
        <n v="2350"/>
        <n v="481"/>
        <n v="802"/>
        <n v="321"/>
        <n v="8000"/>
        <n v="7500"/>
        <n v="10000"/>
        <n v="5000"/>
      </sharedItems>
    </cacheField>
    <cacheField name="Buckets" numFmtId="0">
      <sharedItems containsString="0" containsBlank="1" containsNumber="1" containsInteger="1" minValue="4800" maxValue="28000" count="4">
        <m/>
        <n v="28000"/>
        <n v="4800"/>
        <n v="7500"/>
      </sharedItems>
    </cacheField>
    <cacheField name="Tents" numFmtId="0">
      <sharedItems containsString="0" containsBlank="1" containsNumber="1" containsInteger="1" minValue="5" maxValue="5200" count="12">
        <m/>
        <n v="36"/>
        <n v="761"/>
        <n v="757"/>
        <n v="490"/>
        <n v="11"/>
        <n v="150"/>
        <n v="5"/>
        <n v="25"/>
        <n v="5200"/>
        <n v="45"/>
        <n v="500"/>
      </sharedItems>
    </cacheField>
    <cacheField name="Kitchen Sets" numFmtId="0">
      <sharedItems containsString="0" containsBlank="1" containsNumber="1" containsInteger="1" minValue="500" maxValue="18000" count="9">
        <m/>
        <n v="18000"/>
        <n v="2000"/>
        <n v="1000"/>
        <n v="5000"/>
        <n v="3000"/>
        <n v="7500"/>
        <n v="1500"/>
        <n v="500"/>
      </sharedItems>
    </cacheField>
    <cacheField name="Sleeping Mats / Bedsheets" numFmtId="0">
      <sharedItems containsString="0" containsBlank="1" containsNumber="1" containsInteger="1" minValue="500" maxValue="30518" count="8">
        <m/>
        <n v="6120"/>
        <n v="6000"/>
        <n v="1100"/>
        <n v="5000"/>
        <n v="12360"/>
        <n v="500"/>
        <n v="30518"/>
      </sharedItems>
    </cacheField>
    <cacheField name="Mosquito Nets" numFmtId="0">
      <sharedItems containsString="0" containsBlank="1" containsNumber="1" containsInteger="1" minValue="1000" maxValue="20000" count="7">
        <m/>
        <n v="10000"/>
        <n v="20000"/>
        <n v="1000"/>
        <n v="6000"/>
        <n v="6800"/>
        <n v="13200"/>
      </sharedItems>
    </cacheField>
    <cacheField name="Food Parcels" numFmtId="0">
      <sharedItems containsString="0" containsBlank="1" containsNumber="1" containsInteger="1" minValue="2600" maxValue="40000" count="6">
        <m/>
        <n v="40000"/>
        <n v="5000"/>
        <n v="2600"/>
        <n v="14500"/>
        <n v="9000"/>
      </sharedItems>
    </cacheField>
    <cacheField name="Tarps" numFmtId="0">
      <sharedItems containsString="0" containsBlank="1" containsNumber="1" containsInteger="1" minValue="20" maxValue="11000" count="14">
        <m/>
        <n v="250"/>
        <n v="1000"/>
        <n v="20"/>
        <n v="1105"/>
        <n v="110"/>
        <n v="3000"/>
        <n v="3900"/>
        <n v="11000"/>
        <n v="350"/>
        <n v="2000"/>
        <n v="10000"/>
        <n v="9995"/>
        <n v="1300"/>
      </sharedItems>
    </cacheField>
    <cacheField name="Vehicles" numFmtId="0">
      <sharedItems containsString="0" containsBlank="1" containsNumber="1" containsInteger="1" minValue="1" maxValue="7" count="5">
        <m/>
        <n v="7"/>
        <n v="5"/>
        <n v="1"/>
        <n v="2"/>
      </sharedItems>
    </cacheField>
    <cacheField name="Other Items" numFmtId="0">
      <sharedItems containsString="0" containsBlank="1" containsNumber="1" containsInteger="1" minValue="3000" maxValue="3000" count="2">
        <m/>
        <n v="3000"/>
      </sharedItems>
    </cacheField>
    <cacheField name="Rice Bags" numFmtId="0">
      <sharedItems containsString="0" containsBlank="1" count="1">
        <m/>
      </sharedItems>
    </cacheField>
    <cacheField name="Value of Supplies" numFmtId="0">
      <sharedItems containsString="0" containsNumber="1"/>
    </cacheField>
    <cacheField name="Operational (People) Cost for Response Phase" numFmtId="0">
      <sharedItems containsString="0" containsNumber="1"/>
    </cacheField>
    <cacheField name="Total $ Response Phase" numFmtId="0">
      <sharedItems containsString="0" containsNumber="1"/>
    </cacheField>
    <cacheField name="Early Recovery $" numFmtId="0">
      <sharedItems containsString="0" containsBlank="1" containsNumber="1" minValue="764192.86" maxValue="337000000" count="7">
        <m/>
        <n v="9767769"/>
        <n v="1200000"/>
        <n v="764192.86"/>
        <n v="337000000"/>
        <n v="5304000"/>
        <n v="1000000"/>
      </sharedItems>
    </cacheField>
    <cacheField name="Future Contrib Anticipated $" numFmtId="0">
      <sharedItems containsString="0" containsBlank="1" count="1">
        <m/>
      </sharedItems>
    </cacheField>
    <cacheField name="Beneficiaries Served (Final Report)" numFmtId="0">
      <sharedItems containsString="0" containsNumber="1"/>
    </cacheField>
    <cacheField name="Total Contributions" numFmtId="0">
      <sharedItems containsString="0" containsNumber="1"/>
    </cacheField>
    <cacheField name="AP Code" numFmtId="0">
      <sharedItems containsString="0" containsNumber="1" containsInteger="1"/>
    </cacheField>
    <cacheField name="Description " numFmtId="0">
      <sharedItems containsDate="1" containsString="0"/>
    </cacheField>
    <cacheField name="Comments on Contributions" numFmtId="0">
      <sharedItems containsString="0"/>
    </cacheField>
    <cacheField name="Funding Source &amp; Info" numFmtId="0">
      <sharedItems containsBlank="1" count="11">
        <m/>
        <s v="ARCT"/>
        <s v="OFDA grant for $500,000; ARCT funds used - $100,000"/>
        <s v="ARCT funds used - $100,000"/>
        <s v="ARCT Funds used - $200,000"/>
        <s v="ARCT Funds used"/>
        <s v="OFDA grant for $500,000 for NFIs"/>
        <s v="OFDA grant for $500,000 for cash transfer programming"/>
        <s v="UPS donated $50,000; ARCT Funds applied for as of 11/18/09"/>
        <s v="various - notably online and text donations from individuals; telethons. "/>
        <s v="ARCT funds - $200,000"/>
      </sharedItems>
    </cacheField>
    <cacheField name="Stewardship report?" numFmtId="0">
      <sharedItems containsBlank="1" count="4">
        <m/>
        <s v="y"/>
        <s v="ARCT"/>
        <s v="definitely!"/>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invalid="1" refreshedBy="Amanda West" refreshedDate="40680.411108217595" createdVersion="1" refreshedVersion="2" recordCount="333" upgradeOnRefresh="1">
  <cacheSource type="worksheet">
    <worksheetSource ref="A1:BY334" sheet="Disaster Data"/>
  </cacheSource>
  <cacheFields count="61">
    <cacheField name="Glide #" numFmtId="0">
      <sharedItems containsString="0"/>
    </cacheField>
    <cacheField name="ARC Disaster #" numFmtId="0">
      <sharedItems containsString="0" containsNumber="1" containsInteger="1"/>
    </cacheField>
    <cacheField name="Disaster Name" numFmtId="0">
      <sharedItems containsString="0"/>
    </cacheField>
    <cacheField name="Date of Response" numFmtId="0">
      <sharedItems containsSemiMixedTypes="0" containsNonDate="0" containsDate="1" containsString="0"/>
    </cacheField>
    <cacheField name="Fiscal Year" numFmtId="0">
      <sharedItems containsSemiMixedTypes="0" containsString="0" containsNumber="1" containsInteger="1" minValue="1986" maxValue="2011" count="16">
        <n v="1986"/>
        <n v="1989"/>
        <n v="1994"/>
        <n v="1999"/>
        <n v="2000"/>
        <n v="2001"/>
        <n v="2002"/>
        <n v="2003"/>
        <n v="2004"/>
        <n v="2005"/>
        <n v="2006"/>
        <n v="2007"/>
        <n v="2008"/>
        <n v="2009"/>
        <n v="2010"/>
        <n v="2011"/>
      </sharedItems>
    </cacheField>
    <cacheField name="FY #" numFmtId="0">
      <sharedItems containsString="0" containsNumber="1" containsInteger="1"/>
    </cacheField>
    <cacheField name="Quarter" numFmtId="0">
      <sharedItems containsBlank="1" count="5">
        <m/>
        <s v="Q3"/>
        <s v="Q4"/>
        <s v="Q1"/>
        <s v="Q2"/>
      </sharedItems>
    </cacheField>
    <cacheField name="Calendar Year" numFmtId="0">
      <sharedItems containsSemiMixedTypes="0" containsString="0" containsNumber="1" containsInteger="1" minValue="1985" maxValue="2010" count="16">
        <n v="1985"/>
        <n v="1988"/>
        <n v="1994"/>
        <n v="1998"/>
        <n v="1999"/>
        <n v="2000"/>
        <n v="2001"/>
        <n v="2002"/>
        <n v="2003"/>
        <n v="2004"/>
        <n v="2005"/>
        <n v="2006"/>
        <n v="2007"/>
        <n v="2008"/>
        <n v="2009"/>
        <n v="2010"/>
      </sharedItems>
    </cacheField>
    <cacheField name="CY #" numFmtId="0">
      <sharedItems containsString="0" containsNumber="1" containsInteger="1"/>
    </cacheField>
    <cacheField name="Region" numFmtId="0">
      <sharedItems containsBlank="1" count="5">
        <m/>
        <s v="Africa"/>
        <s v="LAC"/>
        <s v="Europe/Asia"/>
        <s v="North America"/>
      </sharedItems>
    </cacheField>
    <cacheField name="Country" numFmtId="0">
      <sharedItems containsString="0"/>
    </cacheField>
    <cacheField name="Major Disaster Category" numFmtId="0">
      <sharedItems containsBlank="1" count="5">
        <m/>
        <s v="Hydrometerological"/>
        <s v="Human Related"/>
        <s v="Geophysical"/>
        <s v="Biological"/>
      </sharedItems>
    </cacheField>
    <cacheField name="Disaster Type" numFmtId="0">
      <sharedItems containsBlank="1" count="23">
        <m/>
        <s v="Drought"/>
        <s v="Floods"/>
        <s v="Earthquake"/>
        <s v="Volcano"/>
        <s v="Storm"/>
        <s v="Industrial"/>
        <s v="Floods "/>
        <s v="Conflict"/>
        <s v="Transport"/>
        <s v="Miscellaneous"/>
        <s v="Epidemic"/>
        <s v="Terrorism"/>
        <s v="Meteorological"/>
        <s v="Food Insecurity"/>
        <s v="Wildfire"/>
        <s v="Tsunami"/>
        <s v="Tropical Storm"/>
        <s v="Mass Movement Wet"/>
        <s v="Civil Unrest"/>
        <s v="Cyclone"/>
        <s v="Winter storm"/>
        <s v="Tsunami &amp; Volcanic Eruption"/>
      </sharedItems>
    </cacheField>
    <cacheField name="Nature of Disaster (Disaster Sub-Type)" numFmtId="0">
      <sharedItems containsBlank="1" count="29">
        <m/>
        <s v="Drought"/>
        <s v="General Floods"/>
        <s v="Earthquake"/>
        <s v="Volcanic Eruption"/>
        <s v="Tropical Cyclone"/>
        <s v="Radiation"/>
        <s v="Conflict"/>
        <s v="Storm Surge"/>
        <s v="Air"/>
        <s v="Fire"/>
        <s v="Bacterial"/>
        <s v="Winter Storm"/>
        <s v="Road"/>
        <s v="Terrorism"/>
        <s v="Water"/>
        <s v="Winter Emergency"/>
        <s v="Explosion"/>
        <s v="Food Insecurity"/>
        <s v="Collapse"/>
        <s v="Parasitic"/>
        <s v="Rail"/>
        <s v="Viral"/>
        <s v="Forest Fire"/>
        <s v="Tsunami"/>
        <s v="Landslide"/>
        <s v="Local Storm"/>
        <s v="Civil Unrest"/>
        <s v="Disease"/>
      </sharedItems>
    </cacheField>
    <cacheField name="Disaster Sub-Sub Type" numFmtId="0">
      <sharedItems containsBlank="1" count="30">
        <m/>
        <s v="Drought"/>
        <s v="General Floods"/>
        <s v="Earthquake"/>
        <s v="Volcanic Eruption"/>
        <s v="Hurricane"/>
        <s v="Radiation"/>
        <s v="Conflict"/>
        <s v="Cyclone"/>
        <s v="Storm Surge"/>
        <s v="Air"/>
        <s v="Fire"/>
        <s v="Bacterial"/>
        <s v="Snowstorm"/>
        <s v="Road"/>
        <s v="Terrorism"/>
        <s v="Water"/>
        <s v="Tropical Storm"/>
        <s v="Urban Fire"/>
        <s v="Explosion"/>
        <s v="Food Insecurity"/>
        <s v="Collapse"/>
        <s v="Typhoon"/>
        <s v="Parasitic"/>
        <s v="Viral"/>
        <s v="Tsunami"/>
        <s v="Mudslide"/>
        <s v="Tornado"/>
        <s v="Civil Unrest"/>
        <s v="Cholera"/>
      </sharedItems>
    </cacheField>
    <cacheField name="Total Affected" numFmtId="0">
      <sharedItems containsString="0" containsNumber="1" containsInteger="1"/>
    </cacheField>
    <cacheField name="Appeal?Y/N" numFmtId="0">
      <sharedItems containsBlank="1" count="3">
        <m/>
        <s v="Y"/>
        <s v="N"/>
      </sharedItems>
    </cacheField>
    <cacheField name="Whose Appeal?" numFmtId="0">
      <sharedItems containsBlank="1" count="11">
        <m/>
        <s v="IFRC"/>
        <s v="IFRC/ ICRC"/>
        <s v="ICRC"/>
        <s v="IFRC/ICRC"/>
        <s v="NS"/>
        <s v="?"/>
        <s v="ICRC &amp; IFRC"/>
        <s v="ICRC/Ntl Socs"/>
        <s v="ICRC /IFRC"/>
        <s v="IFRC &amp; ICRC"/>
      </sharedItems>
    </cacheField>
    <cacheField name="Appeal Amount" numFmtId="0">
      <sharedItems containsString="0" containsNumber="1" containsInteger="1"/>
    </cacheField>
    <cacheField name="Appeal #" numFmtId="0">
      <sharedItems containsString="0"/>
    </cacheField>
    <cacheField name="% of Appeal Covered by ARC" numFmtId="0">
      <sharedItems containsString="0" containsNumber="1"/>
    </cacheField>
    <cacheField name="Overall Appeal Coverage" numFmtId="0">
      <sharedItems containsString="0" containsNumber="1"/>
    </cacheField>
    <cacheField name="IFRC DREF?" numFmtId="0">
      <sharedItems containsBlank="1" count="3">
        <m/>
        <s v="Y"/>
        <s v="N"/>
      </sharedItems>
    </cacheField>
    <cacheField name="DREF Amount" numFmtId="0">
      <sharedItems containsString="0" containsNumber="1" containsInteger="1"/>
    </cacheField>
    <cacheField name="Multilateral Beneficiaries" numFmtId="0">
      <sharedItems containsString="0" containsNumber="1" containsInteger="1"/>
    </cacheField>
    <cacheField name="Direct Beneficiaries" numFmtId="0">
      <sharedItems containsBlank="1" containsMixedTypes="1" containsNumber="1" containsInteger="1" minValue="0" maxValue="50000" count="24">
        <m/>
        <n v="2500"/>
        <n v="3600"/>
        <n v="3000"/>
        <n v="5000"/>
        <n v="24000"/>
        <n v="10000"/>
        <s v="n/a"/>
        <n v="0"/>
        <n v="6445"/>
        <n v="15000"/>
        <n v="1250"/>
        <s v="-"/>
        <n v="10380"/>
        <n v="640"/>
        <n v="20000"/>
        <n v="165"/>
        <n v="50000"/>
        <n v="25000"/>
        <n v="21668"/>
        <n v="4639"/>
        <n v="1000"/>
        <n v="1500"/>
        <n v="300"/>
      </sharedItems>
    </cacheField>
    <cacheField name="Contribution to IFRC or ICRC &gt;/= $50K?" numFmtId="0">
      <sharedItems containsString="0" containsBlank="1" containsNumber="1" containsInteger="1" minValue="0" maxValue="1" count="3">
        <m/>
        <n v="1"/>
        <n v="0"/>
      </sharedItems>
    </cacheField>
    <cacheField name="Cash to IFRC" numFmtId="0">
      <sharedItems containsString="0" containsNumber="1"/>
    </cacheField>
    <cacheField name="Cash to ICRC" numFmtId="0">
      <sharedItems containsBlank="1" containsMixedTypes="1" containsNumber="1" minValue="50000" maxValue="4377346.43" count="15">
        <m/>
        <n v="104805"/>
        <n v="100000"/>
        <n v="242000"/>
        <n v="1000000"/>
        <n v="250000"/>
        <n v="1058600"/>
        <n v="50000"/>
        <n v="2000000"/>
        <n v="200000"/>
        <n v="714000"/>
        <s v=" "/>
        <n v="360625"/>
        <n v="500000"/>
        <n v="4377346.43"/>
      </sharedItems>
    </cacheField>
    <cacheField name="Cash to NS" numFmtId="0">
      <sharedItems containsString="0" containsNumber="1"/>
    </cacheField>
    <cacheField name="Total Cash" numFmtId="0">
      <sharedItems containsString="0" containsNumber="1"/>
    </cacheField>
    <cacheField name="ARC People Deployed" numFmtId="0">
      <sharedItems containsString="0" containsBlank="1" containsNumber="1" containsInteger="1" minValue="0" maxValue="82" count="19">
        <m/>
        <n v="0"/>
        <n v="1"/>
        <n v="20"/>
        <n v="2"/>
        <n v="3"/>
        <n v="4"/>
        <n v="10"/>
        <n v="23"/>
        <n v="9"/>
        <n v="5"/>
        <n v="12"/>
        <n v="19"/>
        <n v="8"/>
        <n v="30"/>
        <n v="7"/>
        <n v="6"/>
        <n v="17"/>
        <n v="82"/>
      </sharedItems>
    </cacheField>
    <cacheField name="ERUs" numFmtId="0">
      <sharedItems containsBlank="1" count="4">
        <m/>
        <s v="Relief ERU"/>
        <s v="IT/Telecoms"/>
        <s v=" IT/Telecoms; Relief ERU"/>
      </sharedItems>
    </cacheField>
    <cacheField name="Individual Deploy-ments" numFmtId="0">
      <sharedItems containsString="0" containsBlank="1" containsNumber="1" containsInteger="1" minValue="1" maxValue="85" count="7">
        <m/>
        <n v="1"/>
        <n v="2"/>
        <n v="5"/>
        <n v="3"/>
        <n v="85"/>
        <n v="6"/>
      </sharedItems>
    </cacheField>
    <cacheField name="Total ARC Items Supplied" numFmtId="0">
      <sharedItems containsString="0" containsNumber="1"/>
    </cacheField>
    <cacheField name="Pre-positioned?" numFmtId="0">
      <sharedItems containsBlank="1" count="4">
        <m/>
        <s v="mixed"/>
        <s v="Y"/>
        <s v="N"/>
      </sharedItems>
    </cacheField>
    <cacheField name="Hygiene Kits" numFmtId="0">
      <sharedItems containsString="0" containsBlank="1" containsNumber="1" containsInteger="1" minValue="214" maxValue="45000" count="17">
        <m/>
        <n v="11200"/>
        <n v="2200"/>
        <n v="500"/>
        <n v="10000"/>
        <n v="45000"/>
        <n v="1000"/>
        <n v="750"/>
        <n v="18000"/>
        <n v="2372"/>
        <n v="4500"/>
        <n v="3500"/>
        <n v="4000"/>
        <n v="7500"/>
        <n v="1840"/>
        <n v="1160"/>
        <n v="214"/>
      </sharedItems>
    </cacheField>
    <cacheField name="Blankets" numFmtId="0">
      <sharedItems containsString="0" containsBlank="1" containsNumber="1" containsInteger="1" minValue="1000" maxValue="222900" count="20">
        <m/>
        <n v="55000"/>
        <n v="4625"/>
        <n v="5100"/>
        <n v="6000"/>
        <n v="34200"/>
        <n v="27000"/>
        <n v="1000"/>
        <n v="5000"/>
        <n v="222900"/>
        <n v="7050"/>
        <n v="2000"/>
        <n v="25000"/>
        <n v="37500"/>
        <n v="4000"/>
        <n v="20981"/>
        <n v="198970"/>
        <n v="7500"/>
        <n v="35000"/>
        <n v="1500"/>
      </sharedItems>
    </cacheField>
    <cacheField name="Jerry Cans" numFmtId="0">
      <sharedItems containsString="0" containsBlank="1" containsNumber="1" containsInteger="1" minValue="321" maxValue="30000" count="14">
        <m/>
        <n v="10500"/>
        <n v="2550"/>
        <n v="30000"/>
        <n v="2350"/>
        <n v="481"/>
        <n v="802"/>
        <n v="321"/>
        <n v="8000"/>
        <n v="7500"/>
        <n v="10000"/>
        <n v="5000"/>
        <n v="900"/>
        <n v="15000"/>
      </sharedItems>
    </cacheField>
    <cacheField name="Buckets" numFmtId="0">
      <sharedItems containsString="0" containsBlank="1" containsNumber="1" containsInteger="1" minValue="3650" maxValue="28000" count="5">
        <m/>
        <n v="28000"/>
        <n v="4800"/>
        <n v="7500"/>
        <n v="3650"/>
      </sharedItems>
    </cacheField>
    <cacheField name="Tents" numFmtId="0">
      <sharedItems containsString="0" containsBlank="1" containsNumber="1" containsInteger="1" minValue="5" maxValue="5200" count="12">
        <m/>
        <n v="36"/>
        <n v="761"/>
        <n v="757"/>
        <n v="490"/>
        <n v="11"/>
        <n v="150"/>
        <n v="5"/>
        <n v="25"/>
        <n v="5200"/>
        <n v="45"/>
        <n v="500"/>
      </sharedItems>
    </cacheField>
    <cacheField name="Kitchen Sets" numFmtId="0">
      <sharedItems containsString="0" containsBlank="1" containsNumber="1" containsInteger="1" minValue="500" maxValue="18000" count="10">
        <m/>
        <n v="18000"/>
        <n v="2000"/>
        <n v="1000"/>
        <n v="5000"/>
        <n v="3000"/>
        <n v="7500"/>
        <n v="1500"/>
        <n v="500"/>
        <n v="10000"/>
      </sharedItems>
    </cacheField>
    <cacheField name="Sleeping Mats / Bedsheets" numFmtId="0">
      <sharedItems containsString="0" containsBlank="1" containsNumber="1" containsInteger="1" minValue="500" maxValue="30518" count="8">
        <m/>
        <n v="6120"/>
        <n v="6000"/>
        <n v="1100"/>
        <n v="5000"/>
        <n v="12360"/>
        <n v="500"/>
        <n v="30518"/>
      </sharedItems>
    </cacheField>
    <cacheField name="Mosquito Nets" numFmtId="0">
      <sharedItems containsString="0" containsBlank="1" containsNumber="1" containsInteger="1" minValue="1000" maxValue="20000" count="7">
        <m/>
        <n v="10000"/>
        <n v="20000"/>
        <n v="1000"/>
        <n v="6000"/>
        <n v="6800"/>
        <n v="13200"/>
      </sharedItems>
    </cacheField>
    <cacheField name="Food Parcels" numFmtId="0">
      <sharedItems containsString="0" containsBlank="1" containsNumber="1" containsInteger="1" minValue="2600" maxValue="40000" count="6">
        <m/>
        <n v="40000"/>
        <n v="5000"/>
        <n v="2600"/>
        <n v="14500"/>
        <n v="9000"/>
      </sharedItems>
    </cacheField>
    <cacheField name="Tarps" numFmtId="0">
      <sharedItems containsString="0" containsBlank="1" containsNumber="1" containsInteger="1" minValue="20" maxValue="11000" count="14">
        <m/>
        <n v="250"/>
        <n v="1000"/>
        <n v="20"/>
        <n v="1105"/>
        <n v="110"/>
        <n v="3000"/>
        <n v="3900"/>
        <n v="11000"/>
        <n v="350"/>
        <n v="2000"/>
        <n v="10000"/>
        <n v="9995"/>
        <n v="1300"/>
      </sharedItems>
    </cacheField>
    <cacheField name="Vehicles" numFmtId="0">
      <sharedItems containsString="0" containsBlank="1" containsNumber="1" containsInteger="1" minValue="1" maxValue="7" count="5">
        <m/>
        <n v="7"/>
        <n v="5"/>
        <n v="1"/>
        <n v="2"/>
      </sharedItems>
    </cacheField>
    <cacheField name="Other Items" numFmtId="0">
      <sharedItems containsString="0" containsBlank="1" containsNumber="1" containsInteger="1" minValue="3000" maxValue="6250" count="3">
        <m/>
        <n v="3000"/>
        <n v="6250"/>
      </sharedItems>
    </cacheField>
    <cacheField name="Rice Bags" numFmtId="0">
      <sharedItems containsString="0" containsBlank="1" count="1">
        <m/>
      </sharedItems>
    </cacheField>
    <cacheField name="Value of Supplies" numFmtId="0">
      <sharedItems containsString="0" containsNumber="1"/>
    </cacheField>
    <cacheField name="Operational (People) Cost for Response Phase" numFmtId="0">
      <sharedItems containsString="0" containsNumber="1"/>
    </cacheField>
    <cacheField name="Total $ Response Phase" numFmtId="0">
      <sharedItems containsString="0" containsNumber="1"/>
    </cacheField>
    <cacheField name="Early Recovery $" numFmtId="0">
      <sharedItems containsString="0" containsBlank="1" containsNumber="1" minValue="764192.86" maxValue="337000000" count="8">
        <m/>
        <n v="9767769"/>
        <n v="1200000"/>
        <n v="764192.86"/>
        <n v="337000000"/>
        <n v="5304000"/>
        <n v="1000000"/>
        <n v="2525023"/>
      </sharedItems>
    </cacheField>
    <cacheField name="Future Contrib Anticipated $" numFmtId="0">
      <sharedItems containsString="0" containsBlank="1" count="1">
        <m/>
      </sharedItems>
    </cacheField>
    <cacheField name="Beneficiaries Served (Final Report)" numFmtId="0">
      <sharedItems containsString="0" containsNumber="1"/>
    </cacheField>
    <cacheField name="Total Contributions" numFmtId="0">
      <sharedItems containsString="0" containsNumber="1"/>
    </cacheField>
    <cacheField name="AP Code" numFmtId="0">
      <sharedItems containsString="0" containsNumber="1" containsInteger="1"/>
    </cacheField>
    <cacheField name="Description " numFmtId="0">
      <sharedItems containsDate="1" containsString="0"/>
    </cacheField>
    <cacheField name="Comments on Contributions" numFmtId="0">
      <sharedItems containsString="0"/>
    </cacheField>
    <cacheField name="Funding Source &amp; Info" numFmtId="0">
      <sharedItems containsBlank="1" count="12">
        <m/>
        <s v="ARCT"/>
        <s v="OFDA grant for $500,000; ARCT funds used - $100,000"/>
        <s v="ARCT funds used - $100,000"/>
        <s v="ARCT Funds used - $200,000"/>
        <s v="ARCT Funds used"/>
        <s v="OFDA grant for $500,000 for NFIs"/>
        <s v="OFDA grant for $500,000 for cash transfer programming"/>
        <s v="UPS donated $50,000; ARCT Funds applied for as of 11/18/09"/>
        <s v="various - notably online and text donations from individuals; telethons. "/>
        <s v="ARCT funds - $200,000"/>
        <s v="OFDA"/>
      </sharedItems>
    </cacheField>
    <cacheField name="Stewardship report?" numFmtId="0">
      <sharedItems containsBlank="1" count="4">
        <m/>
        <s v="y"/>
        <s v="ARCT"/>
        <s v="definitely!"/>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invalid="1" refreshedBy="Amanda West" refreshedDate="40680.411147106483" createdVersion="1" refreshedVersion="2" recordCount="333" upgradeOnRefresh="1">
  <cacheSource type="worksheet">
    <worksheetSource ref="A1:BY334" sheet="Disaster Data"/>
  </cacheSource>
  <cacheFields count="61">
    <cacheField name="Glide #" numFmtId="0">
      <sharedItems containsString="0"/>
    </cacheField>
    <cacheField name="ARC Disaster #" numFmtId="0">
      <sharedItems containsString="0" containsNumber="1" containsInteger="1"/>
    </cacheField>
    <cacheField name="Disaster Name" numFmtId="0">
      <sharedItems containsBlank="1" count="257">
        <s v="Mexico Earthquake"/>
        <s v="Armenia Earthquake"/>
        <s v="Rwanda Crisis"/>
        <s v="Hurricane Mitch"/>
        <s v="Balkans Crisis"/>
        <s v="Ethiopia Drought"/>
        <s v="Mexico Floods"/>
        <s v="Costa Rica Floods"/>
        <s v="China Floods"/>
        <s v="Turkey Earthquake"/>
        <s v="Nicaragua Volcano"/>
        <s v="Cambodia Floods"/>
        <s v="Greece Earthquake"/>
        <s v="Bahamas Storm"/>
        <s v="Taiwan Earthquake"/>
        <s v="Japan Industrial"/>
        <s v="Mexico Floods "/>
        <s v="Russian Fed. Conflict"/>
        <s v="Timor-Leste Conflict"/>
        <s v="Bangladesh Floods"/>
        <s v="India Storm"/>
        <s v="Vietnam Floods"/>
        <s v="Dominica Storm"/>
        <s v="St. Kitts &amp; Nevis Storm"/>
        <s v="Antigua Storm"/>
        <s v="Grenada Storm"/>
        <s v="St. Maartens Storm"/>
        <s v="Venezuela Floods"/>
        <s v="South Africa Floods"/>
        <s v="Botswana Floods"/>
        <s v="Zimbabwe Floods"/>
        <s v="Madagascar Floods"/>
        <s v="Indonesia Earthquake"/>
        <s v="India Floods"/>
        <s v="Belize Storm"/>
        <s v="Israel Conflict"/>
        <s v="Jordan Conflict"/>
        <s v="Palestine Conflict"/>
        <s v="Taiwan Transport"/>
        <s v="Austria Miscellaneous"/>
        <s v="Azerbaijan Earthquake"/>
        <s v="Sri Lanka Storm"/>
        <s v="South Africa Epidemic"/>
        <s v="El Salvador Earthquake"/>
        <s v="China Storm"/>
        <s v="India Earthquake"/>
        <s v="Mozambique Floods"/>
        <s v="Malawi Floods"/>
        <s v="Bolivia Floods"/>
        <s v="Peru Floods"/>
        <s v="Canada Transport"/>
        <s v="Russian Fed. Floods"/>
        <s v="Macedonia Conflict"/>
        <s v="Bosnia Floods"/>
        <s v="Peru Earthquake"/>
        <s v="El Salvador Drought"/>
        <s v="Honduras Drought"/>
        <s v="Nicaragua Drought"/>
        <s v="Guatemala Drought"/>
        <s v="Ecuador Volcano"/>
        <s v="Afghanistan Conflict"/>
        <s v="Pakistan Conflict"/>
        <s v="Uzbekistan Conflict"/>
        <s v="Iran Conflict"/>
        <s v="Turkmenistan Conflict"/>
        <s v="US Terrorism"/>
        <s v="Mexico Transport"/>
        <s v="Mexico Storm"/>
        <s v="Belize Meteorological"/>
        <s v="Belize Transport"/>
        <s v="Honduras Storm"/>
        <s v="Nicaragua Storm"/>
        <s v="Cuba Storm"/>
        <s v="Jamaica Storm"/>
        <s v="US Transport"/>
        <s v="Cambodia Miscellaneous"/>
        <s v="Albania Storm"/>
        <s v="DR Congo Volcano"/>
        <s v="Nigeria Industrial"/>
        <s v="Afghanistan Earthquake"/>
        <s v="Panama Floods"/>
        <s v="Kenya Floods"/>
        <s v="Malawi Food Insecurity"/>
        <s v="Nicaragua  Floods"/>
        <s v="Syria Miscellaneous"/>
        <s v="FS Micronesia Storm"/>
        <s v="Peru Storm"/>
        <s v="Bolivia Storm"/>
        <s v="Romania Floods"/>
        <s v="Germany Floods"/>
        <s v="Czech Republic Floods"/>
        <s v="Slovakia Floods"/>
        <s v="Hungary Floods"/>
        <s v="Austria Floods"/>
        <s v="Paraguay Drought"/>
        <s v="South Korea Storm"/>
        <s v="Italy Earthquake"/>
        <s v="Indonesia Terrorism"/>
        <s v="Australia Terrorism"/>
        <s v="Vietnam Miscellaneous"/>
        <s v="Lesotho Food Insecurity"/>
        <s v="Kenya Epidemic"/>
        <s v="Solomon Islands Storm"/>
        <s v="South Korea Transport"/>
        <s v="China Earthquake"/>
        <s v="Iraq Conflict"/>
        <s v="Syria Conflict"/>
        <s v="Turkey Conflict"/>
        <s v="Argentina Floods"/>
        <s v="China Epidemic"/>
        <s v="Hong Kong Epidemic"/>
        <s v="Sri Lanka Floods"/>
        <s v="Canada Wildfire"/>
        <s v="Dominican Republic Earthquake"/>
        <s v="Algeria Earthquake"/>
        <s v="Liberia Conflict"/>
        <s v="Dominican Republic Floods"/>
        <s v="Iran Earthquake"/>
        <s v="Panama Earthquake"/>
        <s v="North Korea Transport"/>
        <s v="Haiti Floods"/>
        <s v="Malawi Epidemic"/>
        <s v="Jamaica Conflict"/>
        <s v="Paraguay Miscellaneous"/>
        <s v="Chad Conflict"/>
        <s v="Sudan Conflict"/>
        <s v="Taiwan Storm"/>
        <s v="Cayman Islands Storm"/>
        <s v="Sri Lanka Tsunami"/>
        <s v="Indonesia Tsunami"/>
        <s v="Maldives Tsunami"/>
        <s v="Guyana Floods"/>
        <s v="Canada Floods"/>
        <s v="Hurricane Dennis - Jamaica "/>
        <s v="Hurricane Dennis - Grenada"/>
        <s v="Hurricane Dennis - Haiti"/>
        <s v="Sahel Food Crisis"/>
        <s v="Hurricane Katrina"/>
        <s v="Pakistan Earthquake"/>
        <s v="Hurricane Stan - Guatemala"/>
        <s v="Hurricane Stan - Mexico"/>
        <s v="El Salvador Hurricane Stan &amp; Volcano Eruption"/>
        <s v="Hurricane Wilma - Bahamas"/>
        <s v="Hurricane Wilma - Mexico"/>
        <s v="Vietnam Typhoon Damrey"/>
        <s v="Colombia Volcano"/>
        <s v="Southern Africa Food Security Crisis - Lesotho"/>
        <s v="Southern Africa Food Security Crisis - Malawi"/>
        <s v="Southern Africa Food Security Crisis - Zimbabwe"/>
        <s v="Southern Africa Food Security Crisis - Zambia"/>
        <s v="Eastern Africa Drought"/>
        <s v="Iraq Humanitarian Emergency"/>
        <s v="Timor-Leste Floods"/>
        <s v="Philippines Mudslides"/>
        <s v="Angola Cholera Epidemic"/>
        <s v="Somalia Drought"/>
        <s v="Spain Terrorism"/>
        <s v="Colombia Floods"/>
        <s v="Indonesia Yogyakarta Earthquake"/>
        <s v="Middle East Humanitarian Crisis"/>
        <s v="Ecuador Volanic Eruption"/>
        <s v="Ethiopia Floods"/>
        <s v="Sudan Floods"/>
        <s v="Philippines Typhoons"/>
        <s v="Vietnam Typhoons"/>
        <s v="Somalia Conflict"/>
        <s v="Somalia Floods"/>
        <s v="Sri Lanka Conflict"/>
        <s v="Madagascar Cyclones"/>
        <s v="Solomon Islands Tsunami/ Earthquake"/>
        <s v="Colombia Tolima Floods"/>
        <s v="Mexico Coahuila Tornado"/>
        <s v="Pakistan Cyclone Yemyin"/>
        <s v="United Kingdom Floods"/>
        <s v="Nepal Floods"/>
        <s v="Hurricane Dean"/>
        <s v="Greece Wildfire"/>
        <s v="Hurricane Felix"/>
        <s v="Indonesia Bengkulu Earthquake"/>
        <s v="Uganda Floods"/>
        <s v="Togo Floods"/>
        <s v="Tropical Storm Noel"/>
        <s v="Vietnam Typhoon Lekima"/>
        <s v="Bangladesh Cyclone Sidr"/>
        <s v="Papua New Guinea Storm"/>
        <s v="Kenya Election Civil Unrest"/>
        <s v="China Snow Disaster"/>
        <s v="Guyana Civil Unrest"/>
        <s v="Ecuador Floods"/>
        <s v="Madagascar Cyclone Ivan"/>
        <s v="Southern Africa Floods - Cyclone Jokwe"/>
        <s v="Myanmar Cyclone Nargis"/>
        <s v="China Sichuan Earthquake"/>
        <s v="Ethiopia Food Insecurity"/>
        <s v="South Africa Civil Unrest"/>
        <s v="Chile Floods"/>
        <s v="Philippines – Typhoon Fengshen"/>
        <s v="Yemen Conflict"/>
        <s v="Suriname Floods"/>
        <s v="Moldova and Ukraine Floods"/>
        <s v="Georgia Conflict"/>
        <s v="Haiti Hurricane Season 2008"/>
        <s v="Carribean Hurricane Season 2008 - Bahamas"/>
        <s v="Carribean Hurricane Season 2008 -  Jamaica"/>
        <s v="Cuba Hurricane Season 2008"/>
        <s v="Central America Floods"/>
        <s v="Pakistan Baluchistan Earthquake"/>
        <s v="Panama &amp; Costa Rica Floods"/>
        <s v="Horn of Africa Food Insecurity Crisis"/>
        <s v="Uganda, Rwanda, Burundi Population Movement"/>
        <s v="Zimbabwe Cholera Epidemic"/>
        <s v="Gaza Conflict - Israel"/>
        <s v="Gaza Conflict - Palestine"/>
        <s v="Costa Rica Earthquake"/>
        <s v="Australia Wildfires"/>
        <s v="Namibia Floods"/>
        <s v="Africa Polio Outbreak"/>
        <s v="Pakistan Internally Displaced Persons Crisis"/>
        <s v="Bangladesh Cyclone Aila"/>
        <s v="Tajikistan Mudslides and Floods"/>
        <s v="Syria Drought"/>
        <s v="West &amp; Central Africa Floods - Burkina Faso"/>
        <s v="West &amp; Central Africa Floods - Senegal"/>
        <s v="Mexico Hurricane Jimena"/>
        <s v="Java Indonesia Earthquake"/>
        <s v="Southeast Asia Typhoons - Philippines"/>
        <s v="Southeast Asia Typhoons - Vietnam"/>
        <s v="West Sumatra Indonesia Earthquake"/>
        <s v="Samoa Islands Tsunami"/>
        <s v="Kenya Drought"/>
        <s v="El Salvador Floods"/>
        <s v="Haiti Earthquake"/>
        <s v="Tanzania Floods"/>
        <s v="Chile Earthquake"/>
        <s v="Mongolia Severe Winter"/>
        <s v="Nepal Diarrhea Outbreak"/>
        <s v="Tropical Storm Agatha"/>
        <s v="Kyrgyzstan-Uzbekistan Population Movement"/>
        <s v="Pakistan Monsoon Floods"/>
        <s v="Haiti Cholera Outbreak"/>
        <s v="Philippines Typhoon Megi"/>
        <s v="Indonesia Tsunami &amp; Volcanic Eruption"/>
        <s v="Caribbean Hurricane Tomas"/>
        <s v="Belize Hurricane Richard"/>
        <s v="Colombian Floods"/>
        <s v=" Storm" u="1"/>
        <s v="FY10 Africa" u="1"/>
        <s v="Guatemala Storm" u="1"/>
        <s v="Haiti Storm" u="1"/>
        <s v="Kyrgyzstan Internal Conflict" u="1"/>
        <s v="Lebanon Conflict" u="1"/>
        <s v="Lesotho Drought" u="1"/>
        <s v="Malawi Drought" u="1"/>
        <s v="US Storm" u="1"/>
        <s v="Zambia Drought" u="1"/>
        <s v="Zimbabwe Drought" u="1"/>
        <m u="1"/>
      </sharedItems>
    </cacheField>
    <cacheField name="Date of Response" numFmtId="0">
      <sharedItems containsSemiMixedTypes="0" containsNonDate="0" containsDate="1" containsString="0"/>
    </cacheField>
    <cacheField name="Fiscal Year" numFmtId="0">
      <sharedItems containsSemiMixedTypes="0" containsString="0" containsNumber="1" containsInteger="1" minValue="1986" maxValue="2011" count="16">
        <n v="1986"/>
        <n v="1989"/>
        <n v="1994"/>
        <n v="1999"/>
        <n v="2000"/>
        <n v="2001"/>
        <n v="2002"/>
        <n v="2003"/>
        <n v="2004"/>
        <n v="2005"/>
        <n v="2006"/>
        <n v="2007"/>
        <n v="2008"/>
        <n v="2009"/>
        <n v="2010"/>
        <n v="2011"/>
      </sharedItems>
    </cacheField>
    <cacheField name="FY #" numFmtId="0">
      <sharedItems containsString="0" containsNumber="1" containsInteger="1"/>
    </cacheField>
    <cacheField name="Quarter" numFmtId="0">
      <sharedItems containsBlank="1" count="5">
        <m/>
        <s v="Q3"/>
        <s v="Q4"/>
        <s v="Q1"/>
        <s v="Q2"/>
      </sharedItems>
    </cacheField>
    <cacheField name="Calendar Year" numFmtId="0">
      <sharedItems containsSemiMixedTypes="0" containsString="0" containsNumber="1" containsInteger="1" minValue="1985" maxValue="2010" count="16">
        <n v="1985"/>
        <n v="1988"/>
        <n v="1994"/>
        <n v="1998"/>
        <n v="1999"/>
        <n v="2000"/>
        <n v="2001"/>
        <n v="2002"/>
        <n v="2003"/>
        <n v="2004"/>
        <n v="2005"/>
        <n v="2006"/>
        <n v="2007"/>
        <n v="2008"/>
        <n v="2009"/>
        <n v="2010"/>
      </sharedItems>
    </cacheField>
    <cacheField name="CY #" numFmtId="0">
      <sharedItems containsString="0" containsNumber="1" containsInteger="1"/>
    </cacheField>
    <cacheField name="Region" numFmtId="0">
      <sharedItems containsBlank="1" count="5">
        <m/>
        <s v="Africa"/>
        <s v="LAC"/>
        <s v="Europe/Asia"/>
        <s v="North America"/>
      </sharedItems>
    </cacheField>
    <cacheField name="Country" numFmtId="0">
      <sharedItems containsString="0"/>
    </cacheField>
    <cacheField name="Major Disaster Category" numFmtId="0">
      <sharedItems containsBlank="1" count="5">
        <m/>
        <s v="Hydrometerological"/>
        <s v="Human Related"/>
        <s v="Geophysical"/>
        <s v="Biological"/>
      </sharedItems>
    </cacheField>
    <cacheField name="Disaster Type" numFmtId="0">
      <sharedItems containsBlank="1" count="23">
        <m/>
        <s v="Drought"/>
        <s v="Floods"/>
        <s v="Earthquake"/>
        <s v="Volcano"/>
        <s v="Storm"/>
        <s v="Industrial"/>
        <s v="Floods "/>
        <s v="Conflict"/>
        <s v="Transport"/>
        <s v="Miscellaneous"/>
        <s v="Epidemic"/>
        <s v="Terrorism"/>
        <s v="Meteorological"/>
        <s v="Food Insecurity"/>
        <s v="Wildfire"/>
        <s v="Tsunami"/>
        <s v="Tropical Storm"/>
        <s v="Mass Movement Wet"/>
        <s v="Civil Unrest"/>
        <s v="Cyclone"/>
        <s v="Winter storm"/>
        <s v="Tsunami &amp; Volcanic Eruption"/>
      </sharedItems>
    </cacheField>
    <cacheField name="Nature of Disaster (Disaster Sub-Type)" numFmtId="0">
      <sharedItems containsBlank="1" count="29">
        <m/>
        <s v="Drought"/>
        <s v="General Floods"/>
        <s v="Earthquake"/>
        <s v="Volcanic Eruption"/>
        <s v="Tropical Cyclone"/>
        <s v="Radiation"/>
        <s v="Conflict"/>
        <s v="Storm Surge"/>
        <s v="Air"/>
        <s v="Fire"/>
        <s v="Bacterial"/>
        <s v="Winter Storm"/>
        <s v="Road"/>
        <s v="Terrorism"/>
        <s v="Water"/>
        <s v="Winter Emergency"/>
        <s v="Explosion"/>
        <s v="Food Insecurity"/>
        <s v="Collapse"/>
        <s v="Parasitic"/>
        <s v="Rail"/>
        <s v="Viral"/>
        <s v="Forest Fire"/>
        <s v="Tsunami"/>
        <s v="Landslide"/>
        <s v="Local Storm"/>
        <s v="Civil Unrest"/>
        <s v="Disease"/>
      </sharedItems>
    </cacheField>
    <cacheField name="Disaster Sub-Sub Type" numFmtId="0">
      <sharedItems containsBlank="1" count="30">
        <m/>
        <s v="Drought"/>
        <s v="General Floods"/>
        <s v="Earthquake"/>
        <s v="Volcanic Eruption"/>
        <s v="Hurricane"/>
        <s v="Radiation"/>
        <s v="Conflict"/>
        <s v="Cyclone"/>
        <s v="Storm Surge"/>
        <s v="Air"/>
        <s v="Fire"/>
        <s v="Bacterial"/>
        <s v="Snowstorm"/>
        <s v="Road"/>
        <s v="Terrorism"/>
        <s v="Water"/>
        <s v="Tropical Storm"/>
        <s v="Urban Fire"/>
        <s v="Explosion"/>
        <s v="Food Insecurity"/>
        <s v="Collapse"/>
        <s v="Typhoon"/>
        <s v="Parasitic"/>
        <s v="Viral"/>
        <s v="Tsunami"/>
        <s v="Mudslide"/>
        <s v="Tornado"/>
        <s v="Civil Unrest"/>
        <s v="Cholera"/>
      </sharedItems>
    </cacheField>
    <cacheField name="Total Affected" numFmtId="0">
      <sharedItems containsString="0" containsNumber="1" containsInteger="1"/>
    </cacheField>
    <cacheField name="Appeal?Y/N" numFmtId="0">
      <sharedItems containsBlank="1" count="3">
        <m/>
        <s v="Y"/>
        <s v="N"/>
      </sharedItems>
    </cacheField>
    <cacheField name="Whose Appeal?" numFmtId="0">
      <sharedItems containsBlank="1" count="11">
        <m/>
        <s v="IFRC"/>
        <s v="IFRC/ ICRC"/>
        <s v="ICRC"/>
        <s v="IFRC/ICRC"/>
        <s v="NS"/>
        <s v="?"/>
        <s v="ICRC &amp; IFRC"/>
        <s v="ICRC/Ntl Socs"/>
        <s v="ICRC /IFRC"/>
        <s v="IFRC &amp; ICRC"/>
      </sharedItems>
    </cacheField>
    <cacheField name="Appeal Amount" numFmtId="0">
      <sharedItems containsString="0" containsNumber="1" containsInteger="1"/>
    </cacheField>
    <cacheField name="Appeal #" numFmtId="0">
      <sharedItems containsString="0"/>
    </cacheField>
    <cacheField name="% of Appeal Covered by ARC" numFmtId="0">
      <sharedItems containsString="0" containsNumber="1"/>
    </cacheField>
    <cacheField name="Overall Appeal Coverage" numFmtId="0">
      <sharedItems containsString="0" containsNumber="1"/>
    </cacheField>
    <cacheField name="IFRC DREF?" numFmtId="0">
      <sharedItems containsBlank="1" count="3">
        <m/>
        <s v="Y"/>
        <s v="N"/>
      </sharedItems>
    </cacheField>
    <cacheField name="DREF Amount" numFmtId="0">
      <sharedItems containsString="0" containsNumber="1" containsInteger="1"/>
    </cacheField>
    <cacheField name="Multilateral Beneficiaries" numFmtId="0">
      <sharedItems containsString="0" containsNumber="1" containsInteger="1"/>
    </cacheField>
    <cacheField name="Direct Beneficiaries" numFmtId="0">
      <sharedItems containsBlank="1" containsMixedTypes="1" containsNumber="1" containsInteger="1" minValue="0" maxValue="50000" count="24">
        <m/>
        <n v="2500"/>
        <n v="3600"/>
        <n v="3000"/>
        <n v="5000"/>
        <n v="24000"/>
        <n v="10000"/>
        <s v="n/a"/>
        <n v="0"/>
        <n v="6445"/>
        <n v="15000"/>
        <n v="1250"/>
        <s v="-"/>
        <n v="10380"/>
        <n v="640"/>
        <n v="20000"/>
        <n v="165"/>
        <n v="50000"/>
        <n v="25000"/>
        <n v="21668"/>
        <n v="4639"/>
        <n v="1000"/>
        <n v="1500"/>
        <n v="300"/>
      </sharedItems>
    </cacheField>
    <cacheField name="Contribution to IFRC or ICRC &gt;/= $50K?" numFmtId="0">
      <sharedItems containsString="0" containsBlank="1" containsNumber="1" containsInteger="1" minValue="0" maxValue="1" count="3">
        <m/>
        <n v="1"/>
        <n v="0"/>
      </sharedItems>
    </cacheField>
    <cacheField name="Cash to IFRC" numFmtId="0">
      <sharedItems containsString="0" containsNumber="1"/>
    </cacheField>
    <cacheField name="Cash to ICRC" numFmtId="0">
      <sharedItems containsBlank="1" containsMixedTypes="1" containsNumber="1" minValue="50000" maxValue="4377346.43" count="15">
        <m/>
        <n v="104805"/>
        <n v="100000"/>
        <n v="242000"/>
        <n v="1000000"/>
        <n v="250000"/>
        <n v="1058600"/>
        <n v="50000"/>
        <n v="2000000"/>
        <n v="200000"/>
        <n v="714000"/>
        <s v=" "/>
        <n v="360625"/>
        <n v="500000"/>
        <n v="4377346.43"/>
      </sharedItems>
    </cacheField>
    <cacheField name="Cash to NS" numFmtId="0">
      <sharedItems containsString="0" containsBlank="1" containsNumber="1" minValue="1000" maxValue="3257775.37" count="56">
        <m/>
        <n v="100000"/>
        <n v="10000"/>
        <n v="25000"/>
        <n v="150000"/>
        <n v="200000"/>
        <n v="75000"/>
        <n v="50000"/>
        <n v="1360000"/>
        <n v="15000"/>
        <n v="9000"/>
        <n v="352704"/>
        <n v="28500"/>
        <n v="40000"/>
        <n v="77500"/>
        <n v="70000"/>
        <n v="24420"/>
        <n v="3257775.37"/>
        <n v="5000"/>
        <n v="11700"/>
        <n v="2000"/>
        <n v="90000"/>
        <n v="35000"/>
        <n v="120000"/>
        <n v="46670"/>
        <n v="237898.78"/>
        <n v="1000"/>
        <n v="1345"/>
        <n v="350000"/>
        <n v="32500"/>
        <n v="370642"/>
        <n v="60000"/>
        <n v="10500"/>
        <n v="18675"/>
        <n v="59896.536212325685"/>
        <n v="85000"/>
        <n v="325000"/>
        <n v="20000"/>
        <n v="356000"/>
        <n v="30000"/>
        <n v="20188"/>
        <n v="298680"/>
        <n v="2500"/>
        <n v="3000"/>
        <n v="867000"/>
        <n v="2400"/>
        <n v="245000"/>
        <n v="48500"/>
        <n v="560625"/>
        <n v="62250"/>
        <n v="1520000"/>
        <n v="981315"/>
        <n v="500000"/>
        <n v="80000"/>
        <n v="322330"/>
        <n v="250000" u="1"/>
      </sharedItems>
    </cacheField>
    <cacheField name="Total Cash" numFmtId="0">
      <sharedItems containsString="0" containsNumber="1"/>
    </cacheField>
    <cacheField name="ARC People Deployed" numFmtId="0">
      <sharedItems containsString="0" containsBlank="1" containsNumber="1" containsInteger="1" minValue="0" maxValue="82" count="19">
        <m/>
        <n v="0"/>
        <n v="1"/>
        <n v="20"/>
        <n v="2"/>
        <n v="3"/>
        <n v="4"/>
        <n v="10"/>
        <n v="23"/>
        <n v="9"/>
        <n v="5"/>
        <n v="12"/>
        <n v="19"/>
        <n v="8"/>
        <n v="30"/>
        <n v="7"/>
        <n v="6"/>
        <n v="17"/>
        <n v="82"/>
      </sharedItems>
    </cacheField>
    <cacheField name="ERUs" numFmtId="0">
      <sharedItems containsBlank="1" count="4">
        <m/>
        <s v="Relief ERU"/>
        <s v="IT/Telecoms"/>
        <s v=" IT/Telecoms; Relief ERU"/>
      </sharedItems>
    </cacheField>
    <cacheField name="Individual Deploy-ments" numFmtId="0">
      <sharedItems containsString="0" containsBlank="1" containsNumber="1" containsInteger="1" minValue="1" maxValue="85" count="7">
        <m/>
        <n v="1"/>
        <n v="2"/>
        <n v="5"/>
        <n v="3"/>
        <n v="85"/>
        <n v="6"/>
      </sharedItems>
    </cacheField>
    <cacheField name="Total ARC Items Supplied" numFmtId="0">
      <sharedItems containsString="0" containsNumber="1"/>
    </cacheField>
    <cacheField name="Pre-positioned?" numFmtId="0">
      <sharedItems containsBlank="1" count="4">
        <m/>
        <s v="mixed"/>
        <s v="Y"/>
        <s v="N"/>
      </sharedItems>
    </cacheField>
    <cacheField name="Hygiene Kits" numFmtId="0">
      <sharedItems containsString="0" containsBlank="1" containsNumber="1" containsInteger="1" minValue="214" maxValue="45000" count="17">
        <m/>
        <n v="11200"/>
        <n v="2200"/>
        <n v="500"/>
        <n v="10000"/>
        <n v="45000"/>
        <n v="1000"/>
        <n v="750"/>
        <n v="18000"/>
        <n v="2372"/>
        <n v="4500"/>
        <n v="3500"/>
        <n v="4000"/>
        <n v="7500"/>
        <n v="1840"/>
        <n v="1160"/>
        <n v="214"/>
      </sharedItems>
    </cacheField>
    <cacheField name="Blankets" numFmtId="0">
      <sharedItems containsString="0" containsBlank="1" containsNumber="1" containsInteger="1" minValue="1000" maxValue="222900" count="20">
        <m/>
        <n v="55000"/>
        <n v="4625"/>
        <n v="5100"/>
        <n v="6000"/>
        <n v="34200"/>
        <n v="27000"/>
        <n v="1000"/>
        <n v="5000"/>
        <n v="222900"/>
        <n v="7050"/>
        <n v="2000"/>
        <n v="25000"/>
        <n v="37500"/>
        <n v="4000"/>
        <n v="20981"/>
        <n v="198970"/>
        <n v="7500"/>
        <n v="35000"/>
        <n v="1500"/>
      </sharedItems>
    </cacheField>
    <cacheField name="Jerry Cans" numFmtId="0">
      <sharedItems containsString="0" containsBlank="1" containsNumber="1" containsInteger="1" minValue="321" maxValue="30000" count="14">
        <m/>
        <n v="10500"/>
        <n v="2550"/>
        <n v="30000"/>
        <n v="2350"/>
        <n v="481"/>
        <n v="802"/>
        <n v="321"/>
        <n v="8000"/>
        <n v="7500"/>
        <n v="10000"/>
        <n v="5000"/>
        <n v="900"/>
        <n v="15000"/>
      </sharedItems>
    </cacheField>
    <cacheField name="Buckets" numFmtId="0">
      <sharedItems containsString="0" containsBlank="1" containsNumber="1" containsInteger="1" minValue="3650" maxValue="28000" count="5">
        <m/>
        <n v="28000"/>
        <n v="4800"/>
        <n v="7500"/>
        <n v="3650"/>
      </sharedItems>
    </cacheField>
    <cacheField name="Tents" numFmtId="0">
      <sharedItems containsString="0" containsBlank="1" containsNumber="1" containsInteger="1" minValue="5" maxValue="5200" count="12">
        <m/>
        <n v="36"/>
        <n v="761"/>
        <n v="757"/>
        <n v="490"/>
        <n v="11"/>
        <n v="150"/>
        <n v="5"/>
        <n v="25"/>
        <n v="5200"/>
        <n v="45"/>
        <n v="500"/>
      </sharedItems>
    </cacheField>
    <cacheField name="Kitchen Sets" numFmtId="0">
      <sharedItems containsString="0" containsBlank="1" containsNumber="1" containsInteger="1" minValue="500" maxValue="18000" count="10">
        <m/>
        <n v="18000"/>
        <n v="2000"/>
        <n v="1000"/>
        <n v="5000"/>
        <n v="3000"/>
        <n v="7500"/>
        <n v="1500"/>
        <n v="500"/>
        <n v="10000"/>
      </sharedItems>
    </cacheField>
    <cacheField name="Sleeping Mats / Bedsheets" numFmtId="0">
      <sharedItems containsString="0" containsBlank="1" containsNumber="1" containsInteger="1" minValue="500" maxValue="30518" count="8">
        <m/>
        <n v="6120"/>
        <n v="6000"/>
        <n v="1100"/>
        <n v="5000"/>
        <n v="12360"/>
        <n v="500"/>
        <n v="30518"/>
      </sharedItems>
    </cacheField>
    <cacheField name="Mosquito Nets" numFmtId="0">
      <sharedItems containsString="0" containsBlank="1" containsNumber="1" containsInteger="1" minValue="1000" maxValue="20000" count="7">
        <m/>
        <n v="10000"/>
        <n v="20000"/>
        <n v="1000"/>
        <n v="6000"/>
        <n v="6800"/>
        <n v="13200"/>
      </sharedItems>
    </cacheField>
    <cacheField name="Food Parcels" numFmtId="0">
      <sharedItems containsString="0" containsBlank="1" containsNumber="1" containsInteger="1" minValue="2600" maxValue="40000" count="6">
        <m/>
        <n v="40000"/>
        <n v="5000"/>
        <n v="2600"/>
        <n v="14500"/>
        <n v="9000"/>
      </sharedItems>
    </cacheField>
    <cacheField name="Tarps" numFmtId="0">
      <sharedItems containsString="0" containsBlank="1" containsNumber="1" containsInteger="1" minValue="20" maxValue="11000" count="14">
        <m/>
        <n v="250"/>
        <n v="1000"/>
        <n v="20"/>
        <n v="1105"/>
        <n v="110"/>
        <n v="3000"/>
        <n v="3900"/>
        <n v="11000"/>
        <n v="350"/>
        <n v="2000"/>
        <n v="10000"/>
        <n v="9995"/>
        <n v="1300"/>
      </sharedItems>
    </cacheField>
    <cacheField name="Vehicles" numFmtId="0">
      <sharedItems containsString="0" containsBlank="1" containsNumber="1" containsInteger="1" minValue="1" maxValue="7" count="5">
        <m/>
        <n v="7"/>
        <n v="5"/>
        <n v="1"/>
        <n v="2"/>
      </sharedItems>
    </cacheField>
    <cacheField name="Other Items" numFmtId="0">
      <sharedItems containsString="0" containsBlank="1" containsNumber="1" containsInteger="1" minValue="3000" maxValue="6250" count="3">
        <m/>
        <n v="3000"/>
        <n v="6250"/>
      </sharedItems>
    </cacheField>
    <cacheField name="Rice Bags" numFmtId="0">
      <sharedItems containsString="0" containsBlank="1" count="1">
        <m/>
      </sharedItems>
    </cacheField>
    <cacheField name="Value of Supplies" numFmtId="0">
      <sharedItems containsString="0" containsNumber="1"/>
    </cacheField>
    <cacheField name="Operational (People) Cost for Response Phase" numFmtId="0">
      <sharedItems containsString="0" containsNumber="1"/>
    </cacheField>
    <cacheField name="Total $ Response Phase" numFmtId="0">
      <sharedItems containsString="0" containsNumber="1"/>
    </cacheField>
    <cacheField name="Early Recovery $" numFmtId="0">
      <sharedItems containsString="0" containsBlank="1" containsNumber="1" minValue="764192.86" maxValue="337000000" count="8">
        <m/>
        <n v="9767769"/>
        <n v="1200000"/>
        <n v="764192.86"/>
        <n v="337000000"/>
        <n v="5304000"/>
        <n v="1000000"/>
        <n v="2525023"/>
      </sharedItems>
    </cacheField>
    <cacheField name="Future Contrib Anticipated $" numFmtId="0">
      <sharedItems containsString="0" containsBlank="1" count="1">
        <m/>
      </sharedItems>
    </cacheField>
    <cacheField name="Beneficiaries Served (Final Report)" numFmtId="0">
      <sharedItems containsString="0" containsNumber="1"/>
    </cacheField>
    <cacheField name="Total Contributions" numFmtId="0">
      <sharedItems containsString="0" containsNumber="1"/>
    </cacheField>
    <cacheField name="AP Code" numFmtId="0">
      <sharedItems containsString="0" containsNumber="1" containsInteger="1"/>
    </cacheField>
    <cacheField name="Description " numFmtId="0">
      <sharedItems containsDate="1" containsString="0"/>
    </cacheField>
    <cacheField name="Comments on Contributions" numFmtId="0">
      <sharedItems containsString="0"/>
    </cacheField>
    <cacheField name="Funding Source &amp; Info" numFmtId="0">
      <sharedItems containsBlank="1" count="12">
        <m/>
        <s v="ARCT"/>
        <s v="OFDA grant for $500,000; ARCT funds used - $100,000"/>
        <s v="ARCT funds used - $100,000"/>
        <s v="ARCT Funds used - $200,000"/>
        <s v="ARCT Funds used"/>
        <s v="OFDA grant for $500,000 for NFIs"/>
        <s v="OFDA grant for $500,000 for cash transfer programming"/>
        <s v="UPS donated $50,000; ARCT Funds applied for as of 11/18/09"/>
        <s v="various - notably online and text donations from individuals; telethons. "/>
        <s v="ARCT funds - $200,000"/>
        <s v="OFDA"/>
      </sharedItems>
    </cacheField>
    <cacheField name="Stewardship report?" numFmtId="0">
      <sharedItems containsBlank="1" count="4">
        <m/>
        <s v="y"/>
        <s v="ARCT"/>
        <s v="definitely!"/>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r:id="rId1" refreshedBy="Amanda West" refreshedDate="40814.668663078701" createdVersion="1" refreshedVersion="2" recordCount="332" upgradeOnRefresh="1">
  <cacheSource type="worksheet">
    <worksheetSource ref="A1:BY334" sheet="Disaster Data"/>
  </cacheSource>
  <cacheFields count="61">
    <cacheField name="Glide #" numFmtId="0">
      <sharedItems containsBlank="1"/>
    </cacheField>
    <cacheField name="ARC Disaster #" numFmtId="0">
      <sharedItems containsMixedTypes="1" containsNumber="1" containsInteger="1" minValue="1" maxValue="258"/>
    </cacheField>
    <cacheField name="Disaster Name" numFmtId="0">
      <sharedItems/>
    </cacheField>
    <cacheField name="Date of Response" numFmtId="0">
      <sharedItems containsSemiMixedTypes="0" containsNonDate="0" containsDate="1" containsString="0" minDate="1985-09-01T00:00:00" maxDate="2010-12-17T00:00:00"/>
    </cacheField>
    <cacheField name="Fiscal Year" numFmtId="0">
      <sharedItems containsSemiMixedTypes="0" containsString="0" containsNumber="1" containsInteger="1" minValue="1986" maxValue="2011" count="16">
        <n v="1986"/>
        <n v="1989"/>
        <n v="1994"/>
        <n v="1999"/>
        <n v="2000"/>
        <n v="2001"/>
        <n v="2002"/>
        <n v="2003"/>
        <n v="2004"/>
        <n v="2005"/>
        <n v="2006"/>
        <n v="2007"/>
        <n v="2008"/>
        <n v="2009"/>
        <n v="2010"/>
        <n v="2011"/>
      </sharedItems>
    </cacheField>
    <cacheField name="FY #" numFmtId="0">
      <sharedItems containsString="0" containsBlank="1" containsNumber="1" containsInteger="1" minValue="1" maxValue="33"/>
    </cacheField>
    <cacheField name="Quarter" numFmtId="0">
      <sharedItems containsBlank="1" count="5">
        <m/>
        <s v="Q3"/>
        <s v="Q4"/>
        <s v="Q1"/>
        <s v="Q2"/>
      </sharedItems>
    </cacheField>
    <cacheField name="Calendar Year" numFmtId="0">
      <sharedItems containsSemiMixedTypes="0" containsString="0" containsNumber="1" containsInteger="1" minValue="1985" maxValue="2010" count="16">
        <n v="1985"/>
        <n v="1988"/>
        <n v="1994"/>
        <n v="1998"/>
        <n v="1999"/>
        <n v="2000"/>
        <n v="2001"/>
        <n v="2002"/>
        <n v="2003"/>
        <n v="2004"/>
        <n v="2005"/>
        <n v="2006"/>
        <n v="2007"/>
        <n v="2008"/>
        <n v="2009"/>
        <n v="2010"/>
      </sharedItems>
    </cacheField>
    <cacheField name="CY #" numFmtId="0">
      <sharedItems containsString="0" containsBlank="1" containsNumber="1" containsInteger="1" minValue="1" maxValue="33"/>
    </cacheField>
    <cacheField name="Region" numFmtId="0">
      <sharedItems containsBlank="1" count="5">
        <m/>
        <s v="Africa"/>
        <s v="LAC"/>
        <s v="Europe/Asia"/>
        <s v="North America"/>
      </sharedItems>
    </cacheField>
    <cacheField name="Country" numFmtId="0">
      <sharedItems containsBlank="1" count="119">
        <m/>
        <s v="Ethiopia"/>
        <s v="Mexico"/>
        <s v="Costa Rica"/>
        <s v="China"/>
        <s v="Turkey"/>
        <s v="Nicaragua"/>
        <s v="Cambodia"/>
        <s v="Greece"/>
        <s v="Bahamas"/>
        <s v="Taiwan"/>
        <s v="Japan"/>
        <s v="Russian Fed."/>
        <s v="Timor-Leste"/>
        <s v="Bangladesh"/>
        <s v="India"/>
        <s v="Vietnam"/>
        <s v="Dominica"/>
        <s v="St. Kitts &amp; Nevis"/>
        <s v="Antigua"/>
        <s v="Grenada"/>
        <s v="St. Maartens"/>
        <s v="Venezuela"/>
        <s v="South Africa"/>
        <s v="Botswana"/>
        <s v="Zimbabwe"/>
        <s v="Madagascar"/>
        <s v="Indonesia"/>
        <s v="Belize"/>
        <s v="Israel"/>
        <s v="Jordan"/>
        <s v="Palestine"/>
        <s v="Austria"/>
        <s v="Azerbaijan"/>
        <s v="Sri Lanka"/>
        <s v="El Salvador"/>
        <s v="Mozambique"/>
        <s v="Malawi"/>
        <s v="Bolivia"/>
        <s v="Peru"/>
        <s v="Canada"/>
        <s v="Macedonia"/>
        <s v="Bosnia"/>
        <s v="Honduras"/>
        <s v="Guatemala"/>
        <s v="Ecuador"/>
        <s v="Afghanistan"/>
        <s v="Pakistan"/>
        <s v="Uzbekistan"/>
        <s v="Iran"/>
        <s v="Turkmenistan"/>
        <s v="US"/>
        <s v="Cuba"/>
        <s v="Jamaica"/>
        <s v="Albania"/>
        <s v="DR Congo"/>
        <s v="Nigeria"/>
        <s v="Panama"/>
        <s v="Kenya"/>
        <s v="Syria"/>
        <s v="FS Micronesia"/>
        <s v="Romania"/>
        <s v="Germany"/>
        <s v="Czech Republic"/>
        <s v="Slovakia"/>
        <s v="Hungary"/>
        <s v="Paraguay"/>
        <s v="South Korea"/>
        <s v="Italy"/>
        <s v="Australia"/>
        <s v="Lesotho"/>
        <s v="Solomon Islands"/>
        <s v="Iraq"/>
        <s v="Argentina"/>
        <s v="Hong Kong"/>
        <s v="Dominican Republic"/>
        <s v="Algeria"/>
        <s v="Liberia"/>
        <s v="DPRK/North Korea"/>
        <s v="Haiti"/>
        <s v="Chad"/>
        <s v="Sudan"/>
        <s v="Cayman Islands"/>
        <s v="Bahamas "/>
        <s v="Maldives"/>
        <s v="Guyana"/>
        <s v="Niger"/>
        <s v="Colombia"/>
        <s v="Zambia"/>
        <s v="Philippines"/>
        <s v="Angola"/>
        <s v="Somalia"/>
        <s v="Spain"/>
        <s v="Lebanon"/>
        <s v="United Kingdom"/>
        <s v="Nepal"/>
        <s v="Uganda"/>
        <s v="Togo"/>
        <s v="Papua New Guinea"/>
        <s v="Tanzania"/>
        <s v="Myanmar"/>
        <s v="Chile"/>
        <s v="Yemen"/>
        <s v="Suriname"/>
        <s v="Ukraine"/>
        <s v="Georgia"/>
        <s v="[rollup]"/>
        <s v="Djibouti"/>
        <s v="Namibia"/>
        <s v="Tajikistan"/>
        <s v="Burkina Faso"/>
        <s v="Senegal"/>
        <s v="Samoa"/>
        <s v="Mongolia"/>
        <s v="Kyrgyzstan"/>
        <s v="Haiti/ Dominican  Republic"/>
        <s v="Saint Lucia/ Saint Vincent and the Grenadines/ Barbados "/>
        <s v="Nicaragua " u="1"/>
        <s v="North Korea" u="1"/>
      </sharedItems>
    </cacheField>
    <cacheField name="Major Disaster Category" numFmtId="0">
      <sharedItems containsBlank="1" count="5">
        <m/>
        <s v="Hydrometerological"/>
        <s v="Human Related"/>
        <s v="Geophysical"/>
        <s v="Biological"/>
      </sharedItems>
    </cacheField>
    <cacheField name="Disaster Type" numFmtId="0">
      <sharedItems containsBlank="1" count="23">
        <m/>
        <s v="Drought"/>
        <s v="Floods"/>
        <s v="Earthquake"/>
        <s v="Volcano"/>
        <s v="Storm"/>
        <s v="Industrial"/>
        <s v="Floods "/>
        <s v="Conflict"/>
        <s v="Transport"/>
        <s v="Miscellaneous"/>
        <s v="Epidemic"/>
        <s v="Terrorism"/>
        <s v="Meteorological"/>
        <s v="Food Insecurity"/>
        <s v="Wildfire"/>
        <s v="Tsunami"/>
        <s v="Tropical Storm"/>
        <s v="Mass Movement Wet"/>
        <s v="Civil Unrest"/>
        <s v="Cyclone"/>
        <s v="Winter storm"/>
        <s v="Tsunami &amp; Volcanic Eruption"/>
      </sharedItems>
    </cacheField>
    <cacheField name="Nature of Disaster (Disaster Sub-Type)" numFmtId="0">
      <sharedItems containsBlank="1" count="29">
        <m/>
        <s v="Drought"/>
        <s v="General Floods"/>
        <s v="Earthquake"/>
        <s v="Volcanic Eruption"/>
        <s v="Tropical Cyclone"/>
        <s v="Radiation"/>
        <s v="Conflict"/>
        <s v="Storm Surge"/>
        <s v="Air"/>
        <s v="Fire"/>
        <s v="Bacterial"/>
        <s v="Winter Storm"/>
        <s v="Road"/>
        <s v="Terrorism"/>
        <s v="Water"/>
        <s v="Winter Emergency"/>
        <s v="Explosion"/>
        <s v="Food Insecurity"/>
        <s v="Collapse"/>
        <s v="Parasitic"/>
        <s v="Rail"/>
        <s v="Viral"/>
        <s v="Forest Fire"/>
        <s v="Tsunami"/>
        <s v="Landslide"/>
        <s v="Local Storm"/>
        <s v="Civil Unrest"/>
        <s v="Disease"/>
      </sharedItems>
    </cacheField>
    <cacheField name="Disaster Sub-Sub Type" numFmtId="0">
      <sharedItems containsBlank="1" count="30">
        <m/>
        <s v="Drought"/>
        <s v="General Floods"/>
        <s v="Earthquake"/>
        <s v="Volcanic Eruption"/>
        <s v="Hurricane"/>
        <s v="Radiation"/>
        <s v="Conflict"/>
        <s v="Cyclone"/>
        <s v="Storm Surge"/>
        <s v="Air"/>
        <s v="Fire"/>
        <s v="Bacterial"/>
        <s v="Snowstorm"/>
        <s v="Road"/>
        <s v="Terrorism"/>
        <s v="Water"/>
        <s v="Tropical Storm"/>
        <s v="Urban Fire"/>
        <s v="Explosion"/>
        <s v="Food Insecurity"/>
        <s v="Collapse"/>
        <s v="Typhoon"/>
        <s v="Parasitic"/>
        <s v="Viral"/>
        <s v="Tsunami"/>
        <s v="Mudslide"/>
        <s v="Tornado"/>
        <s v="Civil Unrest"/>
        <s v="Cholera"/>
      </sharedItems>
    </cacheField>
    <cacheField name="Total Affected" numFmtId="0">
      <sharedItems containsBlank="1" containsMixedTypes="1" containsNumber="1" containsInteger="1" minValue="2500" maxValue="25000000"/>
    </cacheField>
    <cacheField name="Appeal?_x000a_Y/N" numFmtId="0">
      <sharedItems containsBlank="1" count="3">
        <m/>
        <s v="Y"/>
        <s v="N"/>
      </sharedItems>
    </cacheField>
    <cacheField name="Whose Appeal?" numFmtId="0">
      <sharedItems containsBlank="1" count="11">
        <m/>
        <s v="IFRC"/>
        <s v="IFRC/ ICRC"/>
        <s v="ICRC"/>
        <s v="IFRC/ICRC"/>
        <s v="NS"/>
        <s v="?"/>
        <s v="ICRC &amp; IFRC"/>
        <s v="ICRC/Ntl Socs"/>
        <s v="ICRC /IFRC"/>
        <s v="IFRC &amp; ICRC"/>
      </sharedItems>
    </cacheField>
    <cacheField name="Appeal Amount" numFmtId="0">
      <sharedItems containsBlank="1" containsMixedTypes="1" containsNumber="1" containsInteger="1" minValue="364732" maxValue="200000000"/>
    </cacheField>
    <cacheField name="Appeal #" numFmtId="0">
      <sharedItems containsBlank="1"/>
    </cacheField>
    <cacheField name="% of Appeal Covered by ARC" numFmtId="0">
      <sharedItems containsString="0" containsBlank="1" containsNumber="1" minValue="0" maxValue="0.44"/>
    </cacheField>
    <cacheField name="Overall Appeal Coverage" numFmtId="0">
      <sharedItems containsBlank="1" containsMixedTypes="1" containsNumber="1" minValue="0.06" maxValue="1.04"/>
    </cacheField>
    <cacheField name="IFRC DREF?" numFmtId="0">
      <sharedItems containsBlank="1" count="3">
        <m/>
        <s v="Y"/>
        <s v="N"/>
      </sharedItems>
    </cacheField>
    <cacheField name="DREF Amount" numFmtId="0">
      <sharedItems containsString="0" containsBlank="1" containsNumber="1" containsInteger="1" minValue="49273" maxValue="613944"/>
    </cacheField>
    <cacheField name="Multilateral Beneficiaries" numFmtId="0">
      <sharedItems containsBlank="1" containsMixedTypes="1" containsNumber="1" containsInteger="1" minValue="0" maxValue="25000000"/>
    </cacheField>
    <cacheField name="Direct Beneficiaries" numFmtId="0">
      <sharedItems containsBlank="1" containsMixedTypes="1" containsNumber="1" containsInteger="1" minValue="0" maxValue="50000" count="24">
        <m/>
        <n v="2500"/>
        <n v="3600"/>
        <n v="3000"/>
        <n v="5000"/>
        <n v="24000"/>
        <n v="10000"/>
        <s v="n/a"/>
        <n v="0"/>
        <n v="6445"/>
        <n v="15000"/>
        <n v="1250"/>
        <s v="-"/>
        <n v="10380"/>
        <n v="640"/>
        <n v="20000"/>
        <n v="165"/>
        <n v="50000"/>
        <n v="25000"/>
        <n v="21668"/>
        <n v="4639"/>
        <n v="1000"/>
        <n v="1500"/>
        <n v="300"/>
      </sharedItems>
    </cacheField>
    <cacheField name="Contribution to IFRC/ICRC &gt;/= $50K?" numFmtId="0">
      <sharedItems containsString="0" containsBlank="1" containsNumber="1" containsInteger="1" minValue="0" maxValue="1" count="3">
        <m/>
        <n v="1"/>
        <n v="0"/>
      </sharedItems>
    </cacheField>
    <cacheField name="Cash to IFRC" numFmtId="0">
      <sharedItems containsString="0" containsBlank="1" containsNumber="1" minValue="0" maxValue="30000000"/>
    </cacheField>
    <cacheField name="Cash to ICRC" numFmtId="0">
      <sharedItems containsBlank="1" containsMixedTypes="1" containsNumber="1" minValue="50000" maxValue="4377346.43" count="15">
        <m/>
        <n v="104805"/>
        <n v="100000"/>
        <n v="242000"/>
        <n v="1000000"/>
        <n v="250000"/>
        <n v="1058600"/>
        <n v="50000"/>
        <n v="2000000"/>
        <n v="200000"/>
        <n v="714000"/>
        <s v=" "/>
        <n v="360625"/>
        <n v="500000"/>
        <n v="4377346.43"/>
      </sharedItems>
    </cacheField>
    <cacheField name="Cash to NS" numFmtId="0">
      <sharedItems containsString="0" containsBlank="1" containsNumber="1" minValue="1000" maxValue="3257775.37"/>
    </cacheField>
    <cacheField name="Total Cash" numFmtId="0">
      <sharedItems containsBlank="1" containsMixedTypes="1" containsNumber="1" minValue="0" maxValue="10000000"/>
    </cacheField>
    <cacheField name="ARC People Deployed" numFmtId="0">
      <sharedItems containsString="0" containsBlank="1" containsNumber="1" containsInteger="1" minValue="0" maxValue="82" count="19">
        <m/>
        <n v="0"/>
        <n v="1"/>
        <n v="20"/>
        <n v="2"/>
        <n v="3"/>
        <n v="4"/>
        <n v="10"/>
        <n v="23"/>
        <n v="9"/>
        <n v="5"/>
        <n v="12"/>
        <n v="19"/>
        <n v="8"/>
        <n v="30"/>
        <n v="7"/>
        <n v="6"/>
        <n v="17"/>
        <n v="82"/>
      </sharedItems>
    </cacheField>
    <cacheField name="ERUs" numFmtId="0">
      <sharedItems containsBlank="1" count="4">
        <m/>
        <s v="Relief ERU"/>
        <s v="IT/Telecoms"/>
        <s v=" IT/Telecoms; Relief ERU"/>
      </sharedItems>
    </cacheField>
    <cacheField name="Individual Deployments" numFmtId="0">
      <sharedItems containsString="0" containsBlank="1" containsNumber="1" containsInteger="1" minValue="1" maxValue="85" count="7">
        <m/>
        <n v="1"/>
        <n v="2"/>
        <n v="5"/>
        <n v="3"/>
        <n v="85"/>
        <n v="6"/>
      </sharedItems>
    </cacheField>
    <cacheField name="Total ARC Items Supplied" numFmtId="0">
      <sharedItems containsBlank="1" containsMixedTypes="1" containsNumber="1" minValue="11" maxValue="5143307"/>
    </cacheField>
    <cacheField name="Pre-positioned?" numFmtId="0">
      <sharedItems containsBlank="1" count="4">
        <m/>
        <s v="mixed"/>
        <s v="Y"/>
        <s v="N"/>
      </sharedItems>
    </cacheField>
    <cacheField name="Hygiene Kits" numFmtId="0">
      <sharedItems containsString="0" containsBlank="1" containsNumber="1" containsInteger="1" minValue="214" maxValue="45000" count="17">
        <m/>
        <n v="11200"/>
        <n v="2200"/>
        <n v="500"/>
        <n v="10000"/>
        <n v="45000"/>
        <n v="1000"/>
        <n v="750"/>
        <n v="18000"/>
        <n v="2372"/>
        <n v="4500"/>
        <n v="3500"/>
        <n v="4000"/>
        <n v="7500"/>
        <n v="1840"/>
        <n v="1160"/>
        <n v="214"/>
      </sharedItems>
    </cacheField>
    <cacheField name="Blankets" numFmtId="0">
      <sharedItems containsString="0" containsBlank="1" containsNumber="1" containsInteger="1" minValue="1000" maxValue="222900" count="20">
        <m/>
        <n v="55000"/>
        <n v="4625"/>
        <n v="5100"/>
        <n v="6000"/>
        <n v="34200"/>
        <n v="27000"/>
        <n v="1000"/>
        <n v="5000"/>
        <n v="222900"/>
        <n v="7050"/>
        <n v="2000"/>
        <n v="25000"/>
        <n v="37500"/>
        <n v="4000"/>
        <n v="20981"/>
        <n v="198970"/>
        <n v="7500"/>
        <n v="35000"/>
        <n v="1500"/>
      </sharedItems>
    </cacheField>
    <cacheField name="Jerry Cans" numFmtId="0">
      <sharedItems containsString="0" containsBlank="1" containsNumber="1" containsInteger="1" minValue="321" maxValue="30000" count="14">
        <m/>
        <n v="10500"/>
        <n v="2550"/>
        <n v="30000"/>
        <n v="2350"/>
        <n v="481"/>
        <n v="802"/>
        <n v="321"/>
        <n v="8000"/>
        <n v="7500"/>
        <n v="10000"/>
        <n v="5000"/>
        <n v="900"/>
        <n v="15000"/>
      </sharedItems>
    </cacheField>
    <cacheField name="Buckets" numFmtId="0">
      <sharedItems containsString="0" containsBlank="1" containsNumber="1" containsInteger="1" minValue="3650" maxValue="28000" count="5">
        <m/>
        <n v="28000"/>
        <n v="4800"/>
        <n v="7500"/>
        <n v="3650"/>
      </sharedItems>
    </cacheField>
    <cacheField name="Tents" numFmtId="0">
      <sharedItems containsString="0" containsBlank="1" containsNumber="1" containsInteger="1" minValue="5" maxValue="5200" count="12">
        <m/>
        <n v="36"/>
        <n v="761"/>
        <n v="757"/>
        <n v="490"/>
        <n v="11"/>
        <n v="150"/>
        <n v="5"/>
        <n v="25"/>
        <n v="5200"/>
        <n v="45"/>
        <n v="500"/>
      </sharedItems>
    </cacheField>
    <cacheField name="Kitchen Sets" numFmtId="0">
      <sharedItems containsString="0" containsBlank="1" containsNumber="1" containsInteger="1" minValue="500" maxValue="18000" count="10">
        <m/>
        <n v="18000"/>
        <n v="2000"/>
        <n v="1000"/>
        <n v="5000"/>
        <n v="3000"/>
        <n v="7500"/>
        <n v="1500"/>
        <n v="500"/>
        <n v="10000"/>
      </sharedItems>
    </cacheField>
    <cacheField name="Sleeping Mats / Bedsheets" numFmtId="0">
      <sharedItems containsString="0" containsBlank="1" containsNumber="1" containsInteger="1" minValue="500" maxValue="30518" count="8">
        <m/>
        <n v="6120"/>
        <n v="6000"/>
        <n v="1100"/>
        <n v="5000"/>
        <n v="12360"/>
        <n v="500"/>
        <n v="30518"/>
      </sharedItems>
    </cacheField>
    <cacheField name="Mosquito Nets" numFmtId="0">
      <sharedItems containsString="0" containsBlank="1" containsNumber="1" containsInteger="1" minValue="1000" maxValue="20000" count="7">
        <m/>
        <n v="10000"/>
        <n v="20000"/>
        <n v="1000"/>
        <n v="6000"/>
        <n v="6800"/>
        <n v="13200"/>
      </sharedItems>
    </cacheField>
    <cacheField name="Food Parcels" numFmtId="0">
      <sharedItems containsString="0" containsBlank="1" containsNumber="1" containsInteger="1" minValue="2600" maxValue="40000" count="6">
        <m/>
        <n v="40000"/>
        <n v="5000"/>
        <n v="2600"/>
        <n v="14500"/>
        <n v="9000"/>
      </sharedItems>
    </cacheField>
    <cacheField name="Tarps" numFmtId="0">
      <sharedItems containsString="0" containsBlank="1" containsNumber="1" containsInteger="1" minValue="20" maxValue="11000" count="14">
        <m/>
        <n v="250"/>
        <n v="1000"/>
        <n v="20"/>
        <n v="1105"/>
        <n v="110"/>
        <n v="3000"/>
        <n v="3900"/>
        <n v="11000"/>
        <n v="350"/>
        <n v="2000"/>
        <n v="10000"/>
        <n v="9995"/>
        <n v="1300"/>
      </sharedItems>
    </cacheField>
    <cacheField name="Vehicles" numFmtId="0">
      <sharedItems containsString="0" containsBlank="1" containsNumber="1" containsInteger="1" minValue="1" maxValue="7" count="5">
        <m/>
        <n v="7"/>
        <n v="5"/>
        <n v="1"/>
        <n v="2"/>
      </sharedItems>
    </cacheField>
    <cacheField name="Other Items" numFmtId="0">
      <sharedItems containsString="0" containsBlank="1" containsNumber="1" containsInteger="1" minValue="3000" maxValue="6250" count="3">
        <m/>
        <n v="3000"/>
        <n v="6250"/>
      </sharedItems>
    </cacheField>
    <cacheField name="Rice Bags" numFmtId="0">
      <sharedItems containsString="0" containsBlank="1" count="1">
        <m/>
      </sharedItems>
    </cacheField>
    <cacheField name="Value of Supplies" numFmtId="0">
      <sharedItems containsBlank="1" containsMixedTypes="1" containsNumber="1" minValue="0" maxValue="15266353"/>
    </cacheField>
    <cacheField name="Operational (People) Cost for Response Phase" numFmtId="0">
      <sharedItems containsBlank="1" containsMixedTypes="1" containsNumber="1" minValue="0" maxValue="100000000"/>
    </cacheField>
    <cacheField name="Total $ Response Phase" numFmtId="0">
      <sharedItems containsBlank="1" containsMixedTypes="1" containsNumber="1" minValue="0" maxValue="139611532"/>
    </cacheField>
    <cacheField name="Early Recovery $" numFmtId="0">
      <sharedItems containsString="0" containsBlank="1" containsNumber="1" minValue="764192.86" maxValue="337000000" count="7">
        <m/>
        <n v="9767769"/>
        <n v="1200000"/>
        <n v="764192.86"/>
        <n v="337000000"/>
        <n v="5304000"/>
        <n v="2525023"/>
      </sharedItems>
    </cacheField>
    <cacheField name="Future Contrib Anticipated $" numFmtId="0">
      <sharedItems containsString="0" containsBlank="1" containsNumber="1" containsInteger="1" minValue="500000" maxValue="500000" count="2">
        <m/>
        <n v="500000"/>
      </sharedItems>
    </cacheField>
    <cacheField name="Beneficiaries Served (Final Report)" numFmtId="0">
      <sharedItems containsString="0" containsBlank="1" containsNumber="1" minValue="0" maxValue="455000"/>
    </cacheField>
    <cacheField name="Total Contributions" numFmtId="0">
      <sharedItems containsMixedTypes="1" containsNumber="1" minValue="0" maxValue="477328823.80666667"/>
    </cacheField>
    <cacheField name="AP Code" numFmtId="0">
      <sharedItems containsBlank="1" containsMixedTypes="1" containsNumber="1" containsInteger="1" minValue="2002" maxValue="9306"/>
    </cacheField>
    <cacheField name="Description " numFmtId="0">
      <sharedItems containsDate="1" containsBlank="1" containsMixedTypes="1" minDate="2008-09-11T00:00:00" maxDate="1900-01-04T11:09:05"/>
    </cacheField>
    <cacheField name="Comments on Contributions" numFmtId="0">
      <sharedItems containsBlank="1"/>
    </cacheField>
    <cacheField name="Funding Source &amp; Info" numFmtId="0">
      <sharedItems containsBlank="1" count="12">
        <m/>
        <s v="ARCT"/>
        <s v="OFDA grant for $500,000; ARCT funds used - $100,000"/>
        <s v="ARCT funds used - $100,000"/>
        <s v="ARCT Funds used - $200,000"/>
        <s v="ARCT Funds used"/>
        <s v="OFDA grant for $500,000 for NFIs"/>
        <s v="OFDA grant for $500,000 for cash transfer programming"/>
        <s v="UPS donated $50,000; ARCT Funds applied for as of 11/18/09"/>
        <s v="various - notably online and text donations from individuals; telethons. "/>
        <s v="ARCT funds - $200,000"/>
        <s v="OFDA"/>
      </sharedItems>
    </cacheField>
    <cacheField name="Stewardship report?" numFmtId="0">
      <sharedItems containsBlank="1" count="4">
        <m/>
        <s v="y"/>
        <s v="ARCT"/>
        <s v="definitely!"/>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invalid="1" refreshedBy="Amanda West" refreshedDate="40484.653265624998" createdVersion="1" refreshedVersion="2" recordCount="592" upgradeOnRefresh="1">
  <cacheSource type="worksheet">
    <worksheetSource ref="A1:BY334" sheet="Disaster Data"/>
  </cacheSource>
  <cacheFields count="58">
    <cacheField name="Glide #" numFmtId="0">
      <sharedItems containsString="0"/>
    </cacheField>
    <cacheField name="ARC Disaster #" numFmtId="0">
      <sharedItems containsString="0" containsNumber="1" containsInteger="1"/>
    </cacheField>
    <cacheField name="Disaster Name" numFmtId="0">
      <sharedItems containsString="0"/>
    </cacheField>
    <cacheField name="Date of Response" numFmtId="0">
      <sharedItems containsDate="1" containsString="0"/>
    </cacheField>
    <cacheField name="Fiscal Year" numFmtId="0">
      <sharedItems containsString="0" containsBlank="1" containsNumber="1" containsInteger="1" minValue="1986" maxValue="2011" count="17">
        <n v="1986"/>
        <n v="1989"/>
        <n v="1994"/>
        <n v="1999"/>
        <n v="2000"/>
        <n v="2001"/>
        <n v="2002"/>
        <n v="2003"/>
        <n v="2004"/>
        <n v="2005"/>
        <n v="2006"/>
        <n v="2007"/>
        <n v="2008"/>
        <n v="2009"/>
        <n v="2010"/>
        <n v="2011"/>
        <m/>
      </sharedItems>
    </cacheField>
    <cacheField name="FY #" numFmtId="0">
      <sharedItems containsString="0" containsBlank="1" containsNumber="1" containsInteger="1" minValue="1" maxValue="33" count="34">
        <m/>
        <n v="1"/>
        <n v="2"/>
        <n v="3"/>
        <n v="4"/>
        <n v="5"/>
        <n v="6"/>
        <n v="7"/>
        <n v="8"/>
        <n v="9"/>
        <n v="10"/>
        <n v="11"/>
        <n v="12"/>
        <n v="13"/>
        <n v="14"/>
        <n v="15"/>
        <n v="16"/>
        <n v="17"/>
        <n v="18"/>
        <n v="19"/>
        <n v="21"/>
        <n v="22"/>
        <n v="23"/>
        <n v="20"/>
        <n v="24"/>
        <n v="25"/>
        <n v="26"/>
        <n v="27"/>
        <n v="28"/>
        <n v="29"/>
        <n v="32"/>
        <n v="30"/>
        <n v="31"/>
        <n v="33"/>
      </sharedItems>
    </cacheField>
    <cacheField name="Quarter" numFmtId="0">
      <sharedItems containsBlank="1" count="5">
        <m/>
        <s v="Q3"/>
        <s v="Q4"/>
        <s v="Q1"/>
        <s v="Q2"/>
      </sharedItems>
    </cacheField>
    <cacheField name="Calendar Year" numFmtId="0">
      <sharedItems containsString="0" containsBlank="1" containsNumber="1" containsInteger="1" minValue="1999" maxValue="2010" count="13">
        <m/>
        <n v="1999"/>
        <n v="2000"/>
        <n v="2001"/>
        <n v="2002"/>
        <n v="2003"/>
        <n v="2004"/>
        <n v="2005"/>
        <n v="2006"/>
        <n v="2007"/>
        <n v="2008"/>
        <n v="2009"/>
        <n v="2010"/>
      </sharedItems>
    </cacheField>
    <cacheField name="CY #" numFmtId="0">
      <sharedItems containsString="0" containsNumber="1" containsInteger="1"/>
    </cacheField>
    <cacheField name="Region" numFmtId="0">
      <sharedItems containsBlank="1" count="5">
        <m/>
        <s v="Africa"/>
        <s v="LAC"/>
        <s v="Europe/Asia"/>
        <s v="North America"/>
      </sharedItems>
    </cacheField>
    <cacheField name="Country" numFmtId="0">
      <sharedItems containsBlank="1" count="115">
        <m/>
        <s v="Ethiopia"/>
        <s v="Mexico"/>
        <s v="Costa Rica"/>
        <s v="China"/>
        <s v="Turkey"/>
        <s v="Nicaragua"/>
        <s v="Cambodia"/>
        <s v="Greece"/>
        <s v="Bahamas"/>
        <s v="Taiwan"/>
        <s v="Japan"/>
        <s v="Russian Fed."/>
        <s v="Timor-Leste"/>
        <s v="Bangladesh"/>
        <s v="India"/>
        <s v="Vietnam"/>
        <s v="Dominica"/>
        <s v="St. Kitts &amp; Nevis"/>
        <s v="Antigua"/>
        <s v="Grenada"/>
        <s v="St. Maartens"/>
        <s v="Venezuela"/>
        <s v="South Africa"/>
        <s v="Botswana"/>
        <s v="Zimbabwe"/>
        <s v="Madagascar"/>
        <s v="Indonesia"/>
        <s v="Belize"/>
        <s v="Israel"/>
        <s v="Jordan"/>
        <s v="Palestine"/>
        <s v="Austria"/>
        <s v="Azerbaijan"/>
        <s v="Sri Lanka"/>
        <s v="El Salvador"/>
        <s v="Mozambique"/>
        <s v="Malawi"/>
        <s v="Bolivia"/>
        <s v="Peru"/>
        <s v="Canada"/>
        <s v="Macedonia"/>
        <s v="Bosnia"/>
        <s v="Honduras"/>
        <s v="Guatemala"/>
        <s v="Ecuador"/>
        <s v="Afghanistan"/>
        <s v="Pakistan"/>
        <s v="Uzbekistan"/>
        <s v="Iran"/>
        <s v="Turkmenistan"/>
        <s v="US"/>
        <s v="Cuba"/>
        <s v="Jamaica"/>
        <s v="Albania"/>
        <s v="DR Congo"/>
        <s v="Nigeria"/>
        <s v="Panama"/>
        <s v="Kenya"/>
        <s v="Syria"/>
        <s v="FS Micronesia"/>
        <s v="Romania"/>
        <s v="Germany"/>
        <s v="Czech Republic"/>
        <s v="Slovakia"/>
        <s v="Hungary"/>
        <s v="Paraguay"/>
        <s v="South Korea"/>
        <s v="Italy"/>
        <s v="Australia"/>
        <s v="Lesotho"/>
        <s v="Solomon Islands"/>
        <s v="Iraq"/>
        <s v="Argentina"/>
        <s v="Hong Kong"/>
        <s v="Dominican Republic"/>
        <s v="Algeria"/>
        <s v="Liberia"/>
        <s v="North Korea"/>
        <s v="Haiti"/>
        <s v="Chad"/>
        <s v="Sudan"/>
        <s v="Cayman Islands"/>
        <s v="Bahamas "/>
        <s v="Maldives"/>
        <s v="Guyana"/>
        <s v="Niger"/>
        <s v="Colombia"/>
        <s v="Zambia"/>
        <s v="Philippines"/>
        <s v="Angola"/>
        <s v="Somalia"/>
        <s v="Spain"/>
        <s v="Lebanon"/>
        <s v="United Kingdom"/>
        <s v="Nepal"/>
        <s v="Uganda"/>
        <s v="Togo"/>
        <s v="Papua New Guinea"/>
        <s v="Tanzania"/>
        <s v="Myanmar"/>
        <s v="Chile"/>
        <s v="Yemen"/>
        <s v="Suriname"/>
        <s v="Ukraine"/>
        <s v="Georgia"/>
        <s v="[rollup]"/>
        <s v="Djibouti"/>
        <s v="Namibia"/>
        <s v="Tajikistan"/>
        <s v="Burkina Faso"/>
        <s v="Senegal"/>
        <s v="Samoa"/>
        <s v="Mongolia"/>
        <s v="Kyrgyzstan"/>
      </sharedItems>
    </cacheField>
    <cacheField name="Major Disaster Category" numFmtId="0">
      <sharedItems containsBlank="1" count="5">
        <m/>
        <s v="Hydrometerological"/>
        <s v="Human Related"/>
        <s v="Geophysical"/>
        <s v="Biological"/>
      </sharedItems>
    </cacheField>
    <cacheField name="Disaster Type" numFmtId="0">
      <sharedItems containsBlank="1" count="22">
        <m/>
        <s v="Drought"/>
        <s v="Floods"/>
        <s v="Earthquake"/>
        <s v="Volcano"/>
        <s v="Storm"/>
        <s v="Industrial"/>
        <s v="Floods "/>
        <s v="Conflict"/>
        <s v="Transport"/>
        <s v="Miscellaneous"/>
        <s v="Epidemic"/>
        <s v="Terrorism"/>
        <s v="Meteorological"/>
        <s v="Food Insecurity"/>
        <s v="Wildfire"/>
        <s v="Tsunami"/>
        <s v="Tropical Storm"/>
        <s v="Mass Movement Wet"/>
        <s v="Civil Unrest"/>
        <s v="Cyclone"/>
        <s v="Winter storm"/>
      </sharedItems>
    </cacheField>
    <cacheField name="Nature of Disaster (Disaster Sub-Type)" numFmtId="0">
      <sharedItems containsBlank="1" count="29">
        <m/>
        <s v="Drought"/>
        <s v="General Floods"/>
        <s v="Earthquake"/>
        <s v="Volcanic Eruption"/>
        <s v="Tropical Cyclone"/>
        <s v="Radiation"/>
        <s v="Conflict"/>
        <s v="Storm Surge"/>
        <s v="Air"/>
        <s v="Fire"/>
        <s v="Bacterial"/>
        <s v="Winter Storm"/>
        <s v="Road"/>
        <s v="Terrorism"/>
        <s v="Water"/>
        <s v="Winter Emergency"/>
        <s v="Explosion"/>
        <s v="Food Insecurity"/>
        <s v="Collapse"/>
        <s v="Parasitic"/>
        <s v="Rail"/>
        <s v="Viral"/>
        <s v="Forest Fire"/>
        <s v="Tsunami"/>
        <s v="Landslide"/>
        <s v="Local Storm"/>
        <s v="Civil Unrest"/>
        <s v="Disease"/>
      </sharedItems>
    </cacheField>
    <cacheField name="Disaster Sub-Sub Type" numFmtId="0">
      <sharedItems containsBlank="1" count="30">
        <m/>
        <s v="Drought"/>
        <s v="General Floods"/>
        <s v="Earthquake"/>
        <s v="Volcanic Eruption"/>
        <s v="Hurricane"/>
        <s v="Radiation"/>
        <s v="Conflict"/>
        <s v="Cyclone"/>
        <s v="Storm Surge"/>
        <s v="Air"/>
        <s v="Fire"/>
        <s v="Bacterial"/>
        <s v="Snowstorm"/>
        <s v="Road"/>
        <s v="Terrorism"/>
        <s v="Water"/>
        <s v="Tropical Storm"/>
        <s v="Urban Fire"/>
        <s v="Explosion"/>
        <s v="Food Insecurity"/>
        <s v="Collapse"/>
        <s v="Typhoon"/>
        <s v="Parasitic"/>
        <s v="Viral"/>
        <s v="Tsunami"/>
        <s v="Mudslide"/>
        <s v="Tornado"/>
        <s v="Civil Unrest"/>
        <s v="Cholera"/>
      </sharedItems>
    </cacheField>
    <cacheField name="Total Affected" numFmtId="0">
      <sharedItems containsString="0" containsNumber="1" containsInteger="1"/>
    </cacheField>
    <cacheField name="Appeal?Y/N" numFmtId="0">
      <sharedItems containsBlank="1" count="3">
        <m/>
        <s v="Y"/>
        <s v="N"/>
      </sharedItems>
    </cacheField>
    <cacheField name="Whose Appeal?" numFmtId="0">
      <sharedItems containsBlank="1" count="8">
        <m/>
        <s v="IFRC"/>
        <s v="ICRC"/>
        <s v="?"/>
        <s v="ICRC &amp; IFRC"/>
        <s v="ICRC/Ntl Socs"/>
        <s v="NS"/>
        <s v="ICRC /IFRC"/>
      </sharedItems>
    </cacheField>
    <cacheField name="Appeal Amount" numFmtId="0">
      <sharedItems containsString="0" containsNumber="1" containsInteger="1"/>
    </cacheField>
    <cacheField name="Appeal #" numFmtId="0">
      <sharedItems containsString="0"/>
    </cacheField>
    <cacheField name="% of Appeal Covered by ARC" numFmtId="0">
      <sharedItems containsString="0" containsNumber="1"/>
    </cacheField>
    <cacheField name="Overall Appeal Coverage" numFmtId="0">
      <sharedItems containsString="0" containsNumber="1"/>
    </cacheField>
    <cacheField name="IFRC DREF?" numFmtId="0">
      <sharedItems containsBlank="1" count="3">
        <m/>
        <s v="Y"/>
        <s v="N"/>
      </sharedItems>
    </cacheField>
    <cacheField name="DREF Amount" numFmtId="0">
      <sharedItems containsString="0" containsNumber="1" containsInteger="1"/>
    </cacheField>
    <cacheField name="Multilateral Bene" numFmtId="0">
      <sharedItems containsString="0" containsNumber="1" containsInteger="1"/>
    </cacheField>
    <cacheField name="Direct Bene" numFmtId="0">
      <sharedItems containsString="0" containsNumber="1" containsInteger="1"/>
    </cacheField>
    <cacheField name="Contribution to IFRC or ICRC &gt;/= $50K?" numFmtId="0">
      <sharedItems containsString="0" containsBlank="1" containsNumber="1" containsInteger="1" minValue="0" maxValue="1" count="3">
        <m/>
        <n v="1"/>
        <n v="0"/>
      </sharedItems>
    </cacheField>
    <cacheField name="Cash to IFRC" numFmtId="0">
      <sharedItems containsString="0" containsNumber="1"/>
    </cacheField>
    <cacheField name="Cash to ICRC" numFmtId="0">
      <sharedItems containsBlank="1" containsMixedTypes="1" containsNumber="1" containsInteger="1" minValue="50000" maxValue="2000000" count="14">
        <m/>
        <n v="104805"/>
        <n v="100000"/>
        <n v="242000"/>
        <n v="1000000"/>
        <n v="250000"/>
        <n v="1058600"/>
        <n v="50000"/>
        <n v="2000000"/>
        <n v="200000"/>
        <n v="714000"/>
        <s v=" "/>
        <n v="360625"/>
        <n v="500000"/>
      </sharedItems>
    </cacheField>
    <cacheField name="Cash to NS" numFmtId="0">
      <sharedItems containsString="0" containsNumber="1"/>
    </cacheField>
    <cacheField name="Total Cash" numFmtId="0">
      <sharedItems containsString="0" containsNumber="1"/>
    </cacheField>
    <cacheField name="ARC People Deployed" numFmtId="0">
      <sharedItems containsString="0" containsBlank="1" containsNumber="1" containsInteger="1" minValue="0" maxValue="82" count="19">
        <m/>
        <n v="0"/>
        <n v="1"/>
        <n v="20"/>
        <n v="2"/>
        <n v="3"/>
        <n v="4"/>
        <n v="10"/>
        <n v="23"/>
        <n v="9"/>
        <n v="5"/>
        <n v="12"/>
        <n v="19"/>
        <n v="8"/>
        <n v="30"/>
        <n v="7"/>
        <n v="6"/>
        <n v="17"/>
        <n v="82"/>
      </sharedItems>
    </cacheField>
    <cacheField name="Total ARC Items Supplied" numFmtId="0">
      <sharedItems containsString="0" containsNumber="1"/>
    </cacheField>
    <cacheField name="Pre-positioned?" numFmtId="0">
      <sharedItems containsBlank="1" count="4">
        <m/>
        <s v="mixed"/>
        <s v="Y"/>
        <s v="N"/>
      </sharedItems>
    </cacheField>
    <cacheField name="Hygiene Kits" numFmtId="0">
      <sharedItems containsString="0" containsBlank="1" containsNumber="1" containsInteger="1" minValue="500" maxValue="45000" count="16">
        <m/>
        <n v="11200"/>
        <n v="2200"/>
        <n v="500"/>
        <n v="10000"/>
        <n v="45000"/>
        <n v="1000"/>
        <n v="750"/>
        <n v="18000"/>
        <n v="2372"/>
        <n v="4500"/>
        <n v="3500"/>
        <n v="4000"/>
        <n v="7500"/>
        <n v="1840"/>
        <n v="1160"/>
      </sharedItems>
    </cacheField>
    <cacheField name="Blankets/_x000a_Quilts" numFmtId="0">
      <sharedItems containsString="0" containsBlank="1" containsNumber="1" containsInteger="1" minValue="1000" maxValue="222900" count="19">
        <m/>
        <n v="55000"/>
        <n v="4625"/>
        <n v="5100"/>
        <n v="6000"/>
        <n v="34200"/>
        <n v="27000"/>
        <n v="1000"/>
        <n v="5000"/>
        <n v="222900"/>
        <n v="7050"/>
        <n v="2000"/>
        <n v="25000"/>
        <n v="37500"/>
        <n v="4000"/>
        <n v="20981"/>
        <n v="198970"/>
        <n v="7500"/>
        <n v="35000"/>
      </sharedItems>
    </cacheField>
    <cacheField name="Jerry Cans" numFmtId="0">
      <sharedItems containsString="0" containsBlank="1" containsNumber="1" containsInteger="1" minValue="321" maxValue="30000" count="14">
        <m/>
        <n v="10500"/>
        <n v="2550"/>
        <n v="30000"/>
        <n v="2350"/>
        <n v="481"/>
        <n v="802"/>
        <n v="321"/>
        <n v="8000"/>
        <n v="7500"/>
        <n v="10000"/>
        <n v="5000"/>
        <n v="900"/>
        <n v="15000"/>
      </sharedItems>
    </cacheField>
    <cacheField name="Buckets" numFmtId="0">
      <sharedItems containsString="0" containsBlank="1" containsNumber="1" containsInteger="1" minValue="3650" maxValue="28000" count="5">
        <m/>
        <n v="28000"/>
        <n v="4800"/>
        <n v="7500"/>
        <n v="3650"/>
      </sharedItems>
    </cacheField>
    <cacheField name="Tents" numFmtId="0">
      <sharedItems containsString="0" containsBlank="1" containsNumber="1" containsInteger="1" minValue="5" maxValue="5200" count="12">
        <m/>
        <n v="36"/>
        <n v="761"/>
        <n v="757"/>
        <n v="490"/>
        <n v="11"/>
        <n v="150"/>
        <n v="5"/>
        <n v="25"/>
        <n v="5200"/>
        <n v="45"/>
        <n v="500"/>
      </sharedItems>
    </cacheField>
    <cacheField name="Kitchen Sets" numFmtId="0">
      <sharedItems containsString="0" containsBlank="1" containsNumber="1" containsInteger="1" minValue="500" maxValue="18000" count="10">
        <m/>
        <n v="18000"/>
        <n v="2000"/>
        <n v="1000"/>
        <n v="5000"/>
        <n v="3000"/>
        <n v="7500"/>
        <n v="1500"/>
        <n v="500"/>
        <n v="10000"/>
      </sharedItems>
    </cacheField>
    <cacheField name="Bedsheets" numFmtId="0">
      <sharedItems containsString="0" containsBlank="1" containsNumber="1" containsInteger="1" minValue="500" maxValue="30518" count="8">
        <m/>
        <n v="6120"/>
        <n v="6000"/>
        <n v="1100"/>
        <n v="5000"/>
        <n v="12360"/>
        <n v="500"/>
        <n v="30518"/>
      </sharedItems>
    </cacheField>
    <cacheField name="Mosquito Nets" numFmtId="0">
      <sharedItems containsString="0" containsBlank="1" containsNumber="1" containsInteger="1" minValue="1000" maxValue="20000" count="7">
        <m/>
        <n v="10000"/>
        <n v="20000"/>
        <n v="1000"/>
        <n v="6000"/>
        <n v="6800"/>
        <n v="13200"/>
      </sharedItems>
    </cacheField>
    <cacheField name="Food Parcels" numFmtId="0">
      <sharedItems containsString="0" containsBlank="1" containsNumber="1" containsInteger="1" minValue="2600" maxValue="40000" count="6">
        <m/>
        <n v="40000"/>
        <n v="5000"/>
        <n v="2600"/>
        <n v="14500"/>
        <n v="9000"/>
      </sharedItems>
    </cacheField>
    <cacheField name="Tarps" numFmtId="0">
      <sharedItems containsString="0" containsBlank="1" containsNumber="1" containsInteger="1" minValue="20" maxValue="11000" count="14">
        <m/>
        <n v="250"/>
        <n v="1000"/>
        <n v="20"/>
        <n v="1105"/>
        <n v="110"/>
        <n v="3000"/>
        <n v="3900"/>
        <n v="11000"/>
        <n v="350"/>
        <n v="2000"/>
        <n v="10000"/>
        <n v="9995"/>
        <n v="1300"/>
      </sharedItems>
    </cacheField>
    <cacheField name="Vehicles" numFmtId="0">
      <sharedItems containsString="0" containsBlank="1" containsNumber="1" containsInteger="1" minValue="1" maxValue="7" count="5">
        <m/>
        <n v="7"/>
        <n v="5"/>
        <n v="1"/>
        <n v="2"/>
      </sharedItems>
    </cacheField>
    <cacheField name="Other Items" numFmtId="0">
      <sharedItems containsString="0" containsBlank="1" containsNumber="1" containsInteger="1" minValue="3000" maxValue="6250" count="3">
        <m/>
        <n v="3000"/>
        <n v="6250"/>
      </sharedItems>
    </cacheField>
    <cacheField name="Value of Supplies" numFmtId="0">
      <sharedItems containsString="0" containsNumber="1"/>
    </cacheField>
    <cacheField name="Operational (People) Cost for Response Phase" numFmtId="0">
      <sharedItems containsString="0" containsNumber="1"/>
    </cacheField>
    <cacheField name="Total $ Response Phase" numFmtId="0">
      <sharedItems containsString="0" containsNumber="1"/>
    </cacheField>
    <cacheField name="Early Recovery $" numFmtId="0">
      <sharedItems containsString="0" containsBlank="1" containsNumber="1" minValue="764192.86" maxValue="337000000" count="7">
        <m/>
        <n v="9767769"/>
        <n v="1200000"/>
        <n v="764192.86"/>
        <n v="337000000"/>
        <n v="5304000"/>
        <n v="1000000"/>
      </sharedItems>
    </cacheField>
    <cacheField name="Future Contrib Anticipated $" numFmtId="0">
      <sharedItems containsString="0" containsBlank="1" count="1">
        <m/>
      </sharedItems>
    </cacheField>
    <cacheField name="Beneficiaries Served (Final Report)" numFmtId="0">
      <sharedItems containsString="0" containsNumber="1"/>
    </cacheField>
    <cacheField name="Total Contributions" numFmtId="0">
      <sharedItems containsString="0" containsNumber="1"/>
    </cacheField>
    <cacheField name="AP Code" numFmtId="0">
      <sharedItems containsString="0" containsNumber="1" containsInteger="1"/>
    </cacheField>
    <cacheField name="Description " numFmtId="0">
      <sharedItems containsDate="1" containsString="0"/>
    </cacheField>
    <cacheField name="Comments on Contributions" numFmtId="0">
      <sharedItems containsString="0"/>
    </cacheField>
    <cacheField name="Funding Source &amp; Info" numFmtId="0">
      <sharedItems containsBlank="1" count="10">
        <m/>
        <s v="OFDA grant for $500,000; ARCT funds used - $100,000"/>
        <s v="ARCT funds used - $100,000"/>
        <s v="ARCT Funds used - $200,000"/>
        <s v="ARCT Funds used"/>
        <s v="OFDA grant for $500,000 for NFIs"/>
        <s v="OFDA grant for $500,000 for cash transfer programming"/>
        <s v="UPS donated $50,000; ARCT Funds applied for as of 11/18/09"/>
        <s v="various - notably online and text donations from individuals; telethons. "/>
        <s v="ARCT funds - $200,000"/>
      </sharedItems>
    </cacheField>
    <cacheField name="Stewardship report?" numFmtId="0">
      <sharedItems containsBlank="1" count="4">
        <m/>
        <s v="y"/>
        <s v="ARCT"/>
        <s v="definitely!"/>
      </sharedItems>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invalid="1" refreshedBy="Amanda West" refreshedDate="40557.640260879627" createdVersion="1" refreshedVersion="2" recordCount="335" upgradeOnRefresh="1">
  <cacheSource type="worksheet">
    <worksheetSource ref="A1:BY335" sheet="Disaster Data"/>
  </cacheSource>
  <cacheFields count="59">
    <cacheField name="Glide #" numFmtId="0">
      <sharedItems containsString="0"/>
    </cacheField>
    <cacheField name="ARC Disaster #" numFmtId="0">
      <sharedItems containsString="0" containsNumber="1" containsInteger="1"/>
    </cacheField>
    <cacheField name="Disaster Name" numFmtId="0">
      <sharedItems containsString="0"/>
    </cacheField>
    <cacheField name="Date of Response" numFmtId="0">
      <sharedItems containsDate="1" containsString="0"/>
    </cacheField>
    <cacheField name="Fiscal Year" numFmtId="0">
      <sharedItems containsBlank="1" containsMixedTypes="1" containsNumber="1" containsInteger="1" minValue="1986" maxValue="2011" count="18">
        <n v="1986"/>
        <n v="1989"/>
        <n v="1994"/>
        <n v="1999"/>
        <n v="2000"/>
        <n v="2001"/>
        <n v="2002"/>
        <n v="2003"/>
        <n v="2004"/>
        <n v="2005"/>
        <n v="2006"/>
        <s v="`"/>
        <n v="2007"/>
        <n v="2008"/>
        <n v="2009"/>
        <n v="2010"/>
        <n v="2011"/>
        <m/>
      </sharedItems>
    </cacheField>
    <cacheField name="FY #" numFmtId="0">
      <sharedItems containsString="0" containsBlank="1" containsNumber="1" containsInteger="1" minValue="1" maxValue="33" count="34">
        <m/>
        <n v="1"/>
        <n v="2"/>
        <n v="3"/>
        <n v="4"/>
        <n v="5"/>
        <n v="6"/>
        <n v="7"/>
        <n v="8"/>
        <n v="9"/>
        <n v="10"/>
        <n v="11"/>
        <n v="12"/>
        <n v="13"/>
        <n v="14"/>
        <n v="15"/>
        <n v="16"/>
        <n v="17"/>
        <n v="18"/>
        <n v="19"/>
        <n v="21"/>
        <n v="22"/>
        <n v="23"/>
        <n v="20"/>
        <n v="24"/>
        <n v="25"/>
        <n v="26"/>
        <n v="27"/>
        <n v="28"/>
        <n v="29"/>
        <n v="32"/>
        <n v="30"/>
        <n v="31"/>
        <n v="33"/>
      </sharedItems>
    </cacheField>
    <cacheField name="Quarter" numFmtId="0">
      <sharedItems containsBlank="1" count="5">
        <m/>
        <s v="Q3"/>
        <s v="Q4"/>
        <s v="Q1"/>
        <s v="Q2"/>
      </sharedItems>
    </cacheField>
    <cacheField name="Calendar Year" numFmtId="0">
      <sharedItems containsString="0" containsBlank="1" containsNumber="1" containsInteger="1" minValue="1999" maxValue="2010" count="13">
        <m/>
        <n v="1999"/>
        <n v="2000"/>
        <n v="2001"/>
        <n v="2002"/>
        <n v="2003"/>
        <n v="2004"/>
        <n v="2005"/>
        <n v="2006"/>
        <n v="2007"/>
        <n v="2008"/>
        <n v="2009"/>
        <n v="2010"/>
      </sharedItems>
    </cacheField>
    <cacheField name="CY #" numFmtId="0">
      <sharedItems containsString="0" containsNumber="1" containsInteger="1"/>
    </cacheField>
    <cacheField name="Region" numFmtId="0">
      <sharedItems containsBlank="1" count="5">
        <m/>
        <s v="Africa"/>
        <s v="LAC"/>
        <s v="Europe/Asia"/>
        <s v="North America"/>
      </sharedItems>
    </cacheField>
    <cacheField name="Country" numFmtId="0">
      <sharedItems containsBlank="1" count="116">
        <m/>
        <s v="Ethiopia"/>
        <s v="Mexico"/>
        <s v="Costa Rica"/>
        <s v="China"/>
        <s v="Turkey"/>
        <s v="Nicaragua"/>
        <s v="Cambodia"/>
        <s v="Greece"/>
        <s v="Bahamas"/>
        <s v="Taiwan"/>
        <s v="Japan"/>
        <s v="Russian Fed."/>
        <s v="Timor-Leste"/>
        <s v="Bangladesh"/>
        <s v="India"/>
        <s v="Vietnam"/>
        <s v="Dominica"/>
        <s v="St. Kitts &amp; Nevis"/>
        <s v="Antigua"/>
        <s v="Grenada"/>
        <s v="St. Maartens"/>
        <s v="Venezuela"/>
        <s v="South Africa"/>
        <s v="Botswana"/>
        <s v="Zimbabwe"/>
        <s v="Madagascar"/>
        <s v="Indonesia"/>
        <s v="Belize"/>
        <s v="Israel"/>
        <s v="Jordan"/>
        <s v="Palestine"/>
        <s v="Austria"/>
        <s v="Azerbaijan"/>
        <s v="Sri Lanka"/>
        <s v="El Salvador"/>
        <s v="Mozambique"/>
        <s v="Malawi"/>
        <s v="Bolivia"/>
        <s v="Peru"/>
        <s v="Canada"/>
        <s v="Macedonia"/>
        <s v="Bosnia"/>
        <s v="Honduras"/>
        <s v="Guatemala"/>
        <s v="Ecuador"/>
        <s v="Afghanistan"/>
        <s v="Pakistan"/>
        <s v="Uzbekistan"/>
        <s v="Iran"/>
        <s v="Turkmenistan"/>
        <s v="US"/>
        <s v="Cuba"/>
        <s v="Jamaica"/>
        <s v="Albania"/>
        <s v="DR Congo"/>
        <s v="Nigeria"/>
        <s v="Panama"/>
        <s v="Kenya"/>
        <s v="Syria"/>
        <s v="FS Micronesia"/>
        <s v="Romania"/>
        <s v="Germany"/>
        <s v="Czech Republic"/>
        <s v="Slovakia"/>
        <s v="Hungary"/>
        <s v="Paraguay"/>
        <s v="South Korea"/>
        <s v="Italy"/>
        <s v="Australia"/>
        <s v="Lesotho"/>
        <s v="Solomon Islands"/>
        <s v="Iraq"/>
        <s v="Argentina"/>
        <s v="Hong Kong"/>
        <s v="Dominican Republic"/>
        <s v="Algeria"/>
        <s v="Liberia"/>
        <s v="North Korea"/>
        <s v="Haiti"/>
        <s v="Chad"/>
        <s v="Sudan"/>
        <s v="Cayman Islands"/>
        <s v="Bahamas "/>
        <s v="Maldives"/>
        <s v="Guyana"/>
        <s v="Niger"/>
        <s v="Colombia"/>
        <s v="Zambia"/>
        <s v="Philippines"/>
        <s v="Angola"/>
        <s v="Somalia"/>
        <s v="Spain"/>
        <s v="Lebanon"/>
        <s v="United Kingdom"/>
        <s v="Nepal"/>
        <s v="Uganda"/>
        <s v="Togo"/>
        <s v="Papua New Guinea"/>
        <s v="Tanzania"/>
        <s v="Myanmar"/>
        <s v="Chile"/>
        <s v="Yemen"/>
        <s v="Suriname"/>
        <s v="Ukraine"/>
        <s v="Georgia"/>
        <s v="[rollup]"/>
        <s v="Djibouti"/>
        <s v="Namibia"/>
        <s v="Tajikistan"/>
        <s v="Burkina Faso"/>
        <s v="Senegal"/>
        <s v="Samoa"/>
        <s v="Mongolia"/>
        <s v="Kyrgyzstan"/>
        <s v="Saint Lucia/ Saint Vincent and the Grenadines/ Barbados "/>
      </sharedItems>
    </cacheField>
    <cacheField name="Major Disaster Category" numFmtId="0">
      <sharedItems containsBlank="1" count="5">
        <m/>
        <s v="Hydrometerological"/>
        <s v="Human Related"/>
        <s v="Geophysical"/>
        <s v="Biological"/>
      </sharedItems>
    </cacheField>
    <cacheField name="Disaster Type" numFmtId="0">
      <sharedItems containsBlank="1" count="23">
        <m/>
        <s v="Drought"/>
        <s v="Floods"/>
        <s v="Earthquake"/>
        <s v="Volcano"/>
        <s v="Storm"/>
        <s v="Industrial"/>
        <s v="Floods "/>
        <s v="Conflict"/>
        <s v="Transport"/>
        <s v="Miscellaneous"/>
        <s v="Epidemic"/>
        <s v="Terrorism"/>
        <s v="Meteorological"/>
        <s v="Food Insecurity"/>
        <s v="Wildfire"/>
        <s v="Tsunami"/>
        <s v="Tropical Storm"/>
        <s v="Mass Movement Wet"/>
        <s v="Civil Unrest"/>
        <s v="Cyclone"/>
        <s v="Winter storm"/>
        <s v="Tsunami &amp; Volcanic Eruption"/>
      </sharedItems>
    </cacheField>
    <cacheField name="Nature of Disaster (Disaster Sub-Type)" numFmtId="0">
      <sharedItems containsBlank="1" count="29">
        <m/>
        <s v="Drought"/>
        <s v="General Floods"/>
        <s v="Earthquake"/>
        <s v="Volcanic Eruption"/>
        <s v="Tropical Cyclone"/>
        <s v="Radiation"/>
        <s v="Conflict"/>
        <s v="Storm Surge"/>
        <s v="Air"/>
        <s v="Fire"/>
        <s v="Bacterial"/>
        <s v="Winter Storm"/>
        <s v="Road"/>
        <s v="Terrorism"/>
        <s v="Water"/>
        <s v="Winter Emergency"/>
        <s v="Explosion"/>
        <s v="Food Insecurity"/>
        <s v="Collapse"/>
        <s v="Parasitic"/>
        <s v="Rail"/>
        <s v="Viral"/>
        <s v="Forest Fire"/>
        <s v="Tsunami"/>
        <s v="Landslide"/>
        <s v="Local Storm"/>
        <s v="Civil Unrest"/>
        <s v="Disease"/>
      </sharedItems>
    </cacheField>
    <cacheField name="Disaster Sub-Sub Type" numFmtId="0">
      <sharedItems containsBlank="1" count="30">
        <m/>
        <s v="Drought"/>
        <s v="General Floods"/>
        <s v="Earthquake"/>
        <s v="Volcanic Eruption"/>
        <s v="Hurricane"/>
        <s v="Radiation"/>
        <s v="Conflict"/>
        <s v="Cyclone"/>
        <s v="Storm Surge"/>
        <s v="Air"/>
        <s v="Fire"/>
        <s v="Bacterial"/>
        <s v="Snowstorm"/>
        <s v="Road"/>
        <s v="Terrorism"/>
        <s v="Water"/>
        <s v="Tropical Storm"/>
        <s v="Urban Fire"/>
        <s v="Explosion"/>
        <s v="Food Insecurity"/>
        <s v="Collapse"/>
        <s v="Typhoon"/>
        <s v="Parasitic"/>
        <s v="Viral"/>
        <s v="Tsunami"/>
        <s v="Mudslide"/>
        <s v="Tornado"/>
        <s v="Civil Unrest"/>
        <s v="Cholera"/>
      </sharedItems>
    </cacheField>
    <cacheField name="Total Affected" numFmtId="0">
      <sharedItems containsString="0" containsNumber="1" containsInteger="1"/>
    </cacheField>
    <cacheField name="Appeal?Y/N" numFmtId="0">
      <sharedItems containsBlank="1" count="3">
        <m/>
        <s v="Y"/>
        <s v="N"/>
      </sharedItems>
    </cacheField>
    <cacheField name="Whose Appeal?" numFmtId="0">
      <sharedItems containsBlank="1" count="9">
        <m/>
        <s v="IFRC"/>
        <s v="ICRC"/>
        <s v="?"/>
        <s v="ICRC &amp; IFRC"/>
        <s v="ICRC/Ntl Socs"/>
        <s v="NS"/>
        <s v="ICRC /IFRC"/>
        <s v="ICRC/IFRC"/>
      </sharedItems>
    </cacheField>
    <cacheField name="Appeal Amount" numFmtId="0">
      <sharedItems containsString="0" containsNumber="1" containsInteger="1"/>
    </cacheField>
    <cacheField name="Appeal #" numFmtId="0">
      <sharedItems containsString="0"/>
    </cacheField>
    <cacheField name="% of Appeal Covered by ARC" numFmtId="0">
      <sharedItems containsString="0" containsNumber="1"/>
    </cacheField>
    <cacheField name="Overall Appeal Coverage" numFmtId="0">
      <sharedItems containsString="0" containsNumber="1"/>
    </cacheField>
    <cacheField name="IFRC DREF?" numFmtId="0">
      <sharedItems containsBlank="1" count="3">
        <m/>
        <s v="Y"/>
        <s v="N"/>
      </sharedItems>
    </cacheField>
    <cacheField name="DREF Amount" numFmtId="0">
      <sharedItems containsString="0" containsNumber="1" containsInteger="1"/>
    </cacheField>
    <cacheField name="Multilateral Bene" numFmtId="0">
      <sharedItems containsString="0" containsNumber="1" containsInteger="1"/>
    </cacheField>
    <cacheField name="Direct Bene" numFmtId="0">
      <sharedItems containsString="0" containsNumber="1" containsInteger="1"/>
    </cacheField>
    <cacheField name="Contribution to IFRC or ICRC &gt;/= $50K?" numFmtId="0">
      <sharedItems containsString="0" containsBlank="1" containsNumber="1" containsInteger="1" minValue="0" maxValue="1" count="3">
        <m/>
        <n v="1"/>
        <n v="0"/>
      </sharedItems>
    </cacheField>
    <cacheField name="Cash to IFRC" numFmtId="0">
      <sharedItems containsString="0" containsNumber="1"/>
    </cacheField>
    <cacheField name="Cash to ICRC" numFmtId="0">
      <sharedItems containsBlank="1" containsMixedTypes="1" containsNumber="1" minValue="50000" maxValue="4377346.43" count="15">
        <m/>
        <n v="104805"/>
        <n v="100000"/>
        <n v="242000"/>
        <n v="1000000"/>
        <n v="250000"/>
        <n v="1058600"/>
        <n v="50000"/>
        <n v="2000000"/>
        <n v="200000"/>
        <n v="714000"/>
        <s v=" "/>
        <n v="360625"/>
        <n v="500000"/>
        <n v="4377346.43"/>
      </sharedItems>
    </cacheField>
    <cacheField name="Cash to NS" numFmtId="0">
      <sharedItems containsString="0" containsNumber="1"/>
    </cacheField>
    <cacheField name="Total Cash" numFmtId="0">
      <sharedItems containsString="0" containsNumber="1"/>
    </cacheField>
    <cacheField name="ARC People Deployed" numFmtId="0">
      <sharedItems containsString="0" containsBlank="1" containsNumber="1" containsInteger="1" minValue="0" maxValue="82" count="19">
        <m/>
        <n v="0"/>
        <n v="1"/>
        <n v="20"/>
        <n v="2"/>
        <n v="3"/>
        <n v="4"/>
        <n v="10"/>
        <n v="23"/>
        <n v="9"/>
        <n v="5"/>
        <n v="12"/>
        <n v="19"/>
        <n v="8"/>
        <n v="30"/>
        <n v="7"/>
        <n v="6"/>
        <n v="17"/>
        <n v="82"/>
      </sharedItems>
    </cacheField>
    <cacheField name="Total ARC Items Supplied" numFmtId="0">
      <sharedItems containsString="0" containsNumber="1"/>
    </cacheField>
    <cacheField name="Pre-positioned?" numFmtId="0">
      <sharedItems containsBlank="1" count="4">
        <m/>
        <s v="mixed"/>
        <s v="Y"/>
        <s v="N"/>
      </sharedItems>
    </cacheField>
    <cacheField name="Hygiene Kits" numFmtId="0">
      <sharedItems containsString="0" containsBlank="1" containsNumber="1" containsInteger="1" minValue="214" maxValue="45000" count="17">
        <m/>
        <n v="11200"/>
        <n v="2200"/>
        <n v="500"/>
        <n v="10000"/>
        <n v="45000"/>
        <n v="1000"/>
        <n v="750"/>
        <n v="18000"/>
        <n v="2372"/>
        <n v="4500"/>
        <n v="3500"/>
        <n v="4000"/>
        <n v="7500"/>
        <n v="1840"/>
        <n v="1160"/>
        <n v="214"/>
      </sharedItems>
    </cacheField>
    <cacheField name="Blankets/_x000a_Quilts" numFmtId="0">
      <sharedItems containsString="0" containsBlank="1" containsNumber="1" containsInteger="1" minValue="1000" maxValue="222900" count="20">
        <m/>
        <n v="55000"/>
        <n v="4625"/>
        <n v="5100"/>
        <n v="6000"/>
        <n v="34200"/>
        <n v="27000"/>
        <n v="1000"/>
        <n v="5000"/>
        <n v="222900"/>
        <n v="7050"/>
        <n v="2000"/>
        <n v="25000"/>
        <n v="37500"/>
        <n v="4000"/>
        <n v="20981"/>
        <n v="198970"/>
        <n v="7500"/>
        <n v="35000"/>
        <n v="1500"/>
      </sharedItems>
    </cacheField>
    <cacheField name="Jerry Cans" numFmtId="0">
      <sharedItems containsString="0" containsBlank="1" containsNumber="1" containsInteger="1" minValue="321" maxValue="30000" count="14">
        <m/>
        <n v="10500"/>
        <n v="2550"/>
        <n v="30000"/>
        <n v="2350"/>
        <n v="481"/>
        <n v="802"/>
        <n v="321"/>
        <n v="8000"/>
        <n v="7500"/>
        <n v="10000"/>
        <n v="5000"/>
        <n v="900"/>
        <n v="15000"/>
      </sharedItems>
    </cacheField>
    <cacheField name="Buckets" numFmtId="0">
      <sharedItems containsString="0" containsBlank="1" containsNumber="1" containsInteger="1" minValue="3650" maxValue="28000" count="5">
        <m/>
        <n v="28000"/>
        <n v="4800"/>
        <n v="7500"/>
        <n v="3650"/>
      </sharedItems>
    </cacheField>
    <cacheField name="Tents" numFmtId="0">
      <sharedItems containsString="0" containsBlank="1" containsNumber="1" containsInteger="1" minValue="5" maxValue="5200" count="12">
        <m/>
        <n v="36"/>
        <n v="761"/>
        <n v="757"/>
        <n v="490"/>
        <n v="11"/>
        <n v="150"/>
        <n v="5"/>
        <n v="25"/>
        <n v="5200"/>
        <n v="45"/>
        <n v="500"/>
      </sharedItems>
    </cacheField>
    <cacheField name="Kitchen Sets" numFmtId="0">
      <sharedItems containsString="0" containsBlank="1" containsNumber="1" containsInteger="1" minValue="500" maxValue="18000" count="10">
        <m/>
        <n v="18000"/>
        <n v="2000"/>
        <n v="1000"/>
        <n v="5000"/>
        <n v="3000"/>
        <n v="7500"/>
        <n v="1500"/>
        <n v="500"/>
        <n v="10000"/>
      </sharedItems>
    </cacheField>
    <cacheField name="Bedsheets" numFmtId="0">
      <sharedItems containsString="0" containsBlank="1" containsNumber="1" containsInteger="1" minValue="500" maxValue="30518" count="8">
        <m/>
        <n v="6120"/>
        <n v="6000"/>
        <n v="1100"/>
        <n v="5000"/>
        <n v="12360"/>
        <n v="500"/>
        <n v="30518"/>
      </sharedItems>
    </cacheField>
    <cacheField name="Mosquito Nets" numFmtId="0">
      <sharedItems containsString="0" containsBlank="1" containsNumber="1" containsInteger="1" minValue="1000" maxValue="20000" count="8">
        <m/>
        <n v="10000"/>
        <n v="20000"/>
        <n v="1000"/>
        <n v="6000"/>
        <n v="6800"/>
        <n v="13200"/>
        <n v="3000"/>
      </sharedItems>
    </cacheField>
    <cacheField name="Food Parcels" numFmtId="0">
      <sharedItems containsString="0" containsBlank="1" containsNumber="1" containsInteger="1" minValue="2600" maxValue="40000" count="6">
        <m/>
        <n v="40000"/>
        <n v="5000"/>
        <n v="2600"/>
        <n v="14500"/>
        <n v="9000"/>
      </sharedItems>
    </cacheField>
    <cacheField name="Tarps" numFmtId="0">
      <sharedItems containsString="0" containsBlank="1" containsNumber="1" containsInteger="1" minValue="20" maxValue="11000" count="14">
        <m/>
        <n v="250"/>
        <n v="1000"/>
        <n v="20"/>
        <n v="1105"/>
        <n v="110"/>
        <n v="3000"/>
        <n v="3900"/>
        <n v="11000"/>
        <n v="350"/>
        <n v="2000"/>
        <n v="10000"/>
        <n v="9995"/>
        <n v="1300"/>
      </sharedItems>
    </cacheField>
    <cacheField name="Vehicles" numFmtId="0">
      <sharedItems containsString="0" containsBlank="1" containsNumber="1" containsInteger="1" minValue="1" maxValue="7" count="5">
        <m/>
        <n v="7"/>
        <n v="5"/>
        <n v="1"/>
        <n v="2"/>
      </sharedItems>
    </cacheField>
    <cacheField name="Other Items" numFmtId="0">
      <sharedItems containsString="0" containsBlank="1" containsNumber="1" containsInteger="1" minValue="3000" maxValue="6250" count="3">
        <m/>
        <n v="3000"/>
        <n v="6250"/>
      </sharedItems>
    </cacheField>
    <cacheField name="Rice Bags" numFmtId="0">
      <sharedItems containsString="0" containsBlank="1" count="1">
        <m/>
      </sharedItems>
    </cacheField>
    <cacheField name="Value of Supplies" numFmtId="0">
      <sharedItems containsString="0" containsNumber="1"/>
    </cacheField>
    <cacheField name="Operational (People) Cost for Response Phase" numFmtId="0">
      <sharedItems containsString="0" containsNumber="1"/>
    </cacheField>
    <cacheField name="Total $ Response Phase" numFmtId="0">
      <sharedItems containsString="0" containsNumber="1"/>
    </cacheField>
    <cacheField name="Early Recovery $" numFmtId="0">
      <sharedItems containsString="0" containsBlank="1" containsNumber="1" minValue="764192.86" maxValue="337000000" count="7">
        <m/>
        <n v="9767769"/>
        <n v="1200000"/>
        <n v="764192.86"/>
        <n v="337000000"/>
        <n v="5304000"/>
        <n v="1000000"/>
      </sharedItems>
    </cacheField>
    <cacheField name="Future Contrib Anticipated $" numFmtId="0">
      <sharedItems containsString="0" containsBlank="1" count="1">
        <m/>
      </sharedItems>
    </cacheField>
    <cacheField name="Beneficiaries Served (Final Report)" numFmtId="0">
      <sharedItems containsString="0" containsNumber="1"/>
    </cacheField>
    <cacheField name="Total Contributions" numFmtId="0">
      <sharedItems containsString="0" containsNumber="1"/>
    </cacheField>
    <cacheField name="AP Code" numFmtId="0">
      <sharedItems containsString="0" containsNumber="1" containsInteger="1"/>
    </cacheField>
    <cacheField name="Description " numFmtId="0">
      <sharedItems containsDate="1" containsString="0"/>
    </cacheField>
    <cacheField name="Comments on Contributions" numFmtId="0">
      <sharedItems containsString="0"/>
    </cacheField>
    <cacheField name="Funding Source &amp; Info" numFmtId="0">
      <sharedItems containsBlank="1" count="12">
        <m/>
        <s v="ARCT"/>
        <s v="OFDA grant for $500,000; ARCT funds used - $100,000"/>
        <s v="ARCT funds used - $100,000"/>
        <s v="ARCT Funds used - $200,000"/>
        <s v="ARCT Funds used"/>
        <s v="OFDA grant for $500,000 for NFIs"/>
        <s v="OFDA grant for $500,000 for cash transfer programming"/>
        <s v="UPS donated $50,000; ARCT Funds applied for as of 11/18/09"/>
        <s v="various - notably online and text donations from individuals; telethons. "/>
        <s v="ARCT funds - $200,000"/>
        <s v="OFDA"/>
      </sharedItems>
    </cacheField>
    <cacheField name="Stewardship report?" numFmtId="0">
      <sharedItems containsBlank="1" count="4">
        <m/>
        <s v="y"/>
        <s v="ARCT"/>
        <s v="definitely!"/>
      </sharedItems>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invalid="1" refreshedBy="Amanda West" refreshedDate="40680.413320023152" createdVersion="1" refreshedVersion="2" recordCount="386" upgradeOnRefresh="1">
  <cacheSource type="worksheet">
    <worksheetSource name="DisasterData"/>
  </cacheSource>
  <cacheFields count="61">
    <cacheField name="Glide #" numFmtId="0">
      <sharedItems containsString="0"/>
    </cacheField>
    <cacheField name="ARC Disaster #" numFmtId="0">
      <sharedItems containsString="0" containsNumber="1" containsInteger="1"/>
    </cacheField>
    <cacheField name="Disaster Name" numFmtId="0">
      <sharedItems containsString="0"/>
    </cacheField>
    <cacheField name="Date of Response" numFmtId="0">
      <sharedItems containsDate="1" containsString="0"/>
    </cacheField>
    <cacheField name="Fiscal Year" numFmtId="0">
      <sharedItems containsString="0" containsBlank="1" containsNumber="1" containsInteger="1" minValue="1986" maxValue="2011" count="17">
        <n v="1986"/>
        <n v="1989"/>
        <n v="1994"/>
        <n v="1999"/>
        <n v="2000"/>
        <n v="2001"/>
        <n v="2002"/>
        <n v="2003"/>
        <n v="2004"/>
        <n v="2005"/>
        <n v="2006"/>
        <n v="2007"/>
        <n v="2008"/>
        <n v="2009"/>
        <n v="2010"/>
        <n v="2011"/>
        <m/>
      </sharedItems>
    </cacheField>
    <cacheField name="FY #" numFmtId="0">
      <sharedItems containsString="0" containsNumber="1" containsInteger="1"/>
    </cacheField>
    <cacheField name="Quarter" numFmtId="0">
      <sharedItems containsBlank="1" count="5">
        <m/>
        <s v="Q3"/>
        <s v="Q4"/>
        <s v="Q1"/>
        <s v="Q2"/>
      </sharedItems>
    </cacheField>
    <cacheField name="Calendar Year" numFmtId="0">
      <sharedItems containsString="0" containsBlank="1" containsNumber="1" containsInteger="1" minValue="1985" maxValue="2011" count="18">
        <n v="1985"/>
        <n v="1988"/>
        <n v="1994"/>
        <n v="1998"/>
        <n v="1999"/>
        <n v="2000"/>
        <n v="2001"/>
        <n v="2002"/>
        <n v="2003"/>
        <n v="2004"/>
        <n v="2005"/>
        <n v="2006"/>
        <n v="2007"/>
        <n v="2008"/>
        <n v="2009"/>
        <n v="2010"/>
        <n v="2011"/>
        <m/>
      </sharedItems>
    </cacheField>
    <cacheField name="CY #" numFmtId="0">
      <sharedItems containsString="0" containsNumber="1" containsInteger="1"/>
    </cacheField>
    <cacheField name="Region" numFmtId="0">
      <sharedItems containsBlank="1" count="5">
        <m/>
        <s v="Africa"/>
        <s v="LAC"/>
        <s v="Europe/Asia"/>
        <s v="North America"/>
      </sharedItems>
    </cacheField>
    <cacheField name="Country" numFmtId="0">
      <sharedItems containsBlank="1" count="118">
        <m/>
        <s v="Ethiopia"/>
        <s v="Mexico"/>
        <s v="Costa Rica"/>
        <s v="China"/>
        <s v="Turkey"/>
        <s v="Nicaragua"/>
        <s v="Cambodia"/>
        <s v="Greece"/>
        <s v="Bahamas"/>
        <s v="Taiwan"/>
        <s v="Japan"/>
        <s v="Russian Fed."/>
        <s v="Timor-Leste"/>
        <s v="Bangladesh"/>
        <s v="India"/>
        <s v="Vietnam"/>
        <s v="Dominica"/>
        <s v="St. Kitts &amp; Nevis"/>
        <s v="Antigua"/>
        <s v="Grenada"/>
        <s v="St. Maartens"/>
        <s v="Venezuela"/>
        <s v="South Africa"/>
        <s v="Botswana"/>
        <s v="Zimbabwe"/>
        <s v="Madagascar"/>
        <s v="Indonesia"/>
        <s v="Belize"/>
        <s v="Israel"/>
        <s v="Jordan"/>
        <s v="Palestine"/>
        <s v="Austria"/>
        <s v="Azerbaijan"/>
        <s v="Sri Lanka"/>
        <s v="El Salvador"/>
        <s v="Mozambique"/>
        <s v="Malawi"/>
        <s v="Bolivia"/>
        <s v="Peru"/>
        <s v="Canada"/>
        <s v="Macedonia"/>
        <s v="Bosnia"/>
        <s v="Honduras"/>
        <s v="Guatemala"/>
        <s v="Ecuador"/>
        <s v="Afghanistan"/>
        <s v="Pakistan"/>
        <s v="Uzbekistan"/>
        <s v="Iran"/>
        <s v="Turkmenistan"/>
        <s v="US"/>
        <s v="Cuba"/>
        <s v="Jamaica"/>
        <s v="Albania"/>
        <s v="DR Congo"/>
        <s v="Nigeria"/>
        <s v="Panama"/>
        <s v="Kenya"/>
        <s v="Syria"/>
        <s v="FS Micronesia"/>
        <s v="Romania"/>
        <s v="Germany"/>
        <s v="Czech Republic"/>
        <s v="Slovakia"/>
        <s v="Hungary"/>
        <s v="Paraguay"/>
        <s v="South Korea"/>
        <s v="Italy"/>
        <s v="Australia"/>
        <s v="Lesotho"/>
        <s v="Solomon Islands"/>
        <s v="Iraq"/>
        <s v="Argentina"/>
        <s v="Hong Kong"/>
        <s v="Dominican Republic"/>
        <s v="Algeria"/>
        <s v="Liberia"/>
        <s v="North Korea"/>
        <s v="Haiti"/>
        <s v="Chad"/>
        <s v="Sudan"/>
        <s v="Cayman Islands"/>
        <s v="Bahamas "/>
        <s v="Maldives"/>
        <s v="Guyana"/>
        <s v="Niger"/>
        <s v="Colombia"/>
        <s v="Zambia"/>
        <s v="Philippines"/>
        <s v="Angola"/>
        <s v="Somalia"/>
        <s v="Spain"/>
        <s v="Lebanon"/>
        <s v="United Kingdom"/>
        <s v="Nepal"/>
        <s v="Uganda"/>
        <s v="Togo"/>
        <s v="Papua New Guinea"/>
        <s v="Tanzania"/>
        <s v="Myanmar"/>
        <s v="Chile"/>
        <s v="Yemen"/>
        <s v="Suriname"/>
        <s v="Ukraine"/>
        <s v="Georgia"/>
        <s v="[rollup]"/>
        <s v="Djibouti"/>
        <s v="Namibia"/>
        <s v="Tajikistan"/>
        <s v="Burkina Faso"/>
        <s v="Senegal"/>
        <s v="Samoa"/>
        <s v="Mongolia"/>
        <s v="Kyrgyzstan"/>
        <s v="Saint Lucia/ Saint Vincent and the Grenadines/ Barbados "/>
        <s v="Tunisia"/>
        <s v="New Zealand"/>
      </sharedItems>
    </cacheField>
    <cacheField name="Major Disaster Category" numFmtId="0">
      <sharedItems containsBlank="1" count="5">
        <m/>
        <s v="Hydrometerological"/>
        <s v="Human Related"/>
        <s v="Geophysical"/>
        <s v="Biological"/>
      </sharedItems>
    </cacheField>
    <cacheField name="Disaster Type" numFmtId="0">
      <sharedItems containsBlank="1" count="25">
        <m/>
        <s v="Drought"/>
        <s v="Floods"/>
        <s v="Earthquake"/>
        <s v="Volcano"/>
        <s v="Storm"/>
        <s v="Industrial"/>
        <s v="Floods "/>
        <s v="Conflict"/>
        <s v="Transport"/>
        <s v="Miscellaneous"/>
        <s v="Epidemic"/>
        <s v="Terrorism"/>
        <s v="Meteorological"/>
        <s v="Food Insecurity"/>
        <s v="Wildfire"/>
        <s v="Tsunami"/>
        <s v="Tropical Storm"/>
        <s v="Mass Movement Wet"/>
        <s v="Civil Unrest"/>
        <s v="Cyclone"/>
        <s v="Winter storm"/>
        <s v="Tsunami &amp; Volcanic Eruption"/>
        <s v="Earthquake/Tsunami"/>
        <s v="Population Movement"/>
      </sharedItems>
    </cacheField>
    <cacheField name="Nature of Disaster (Disaster Sub-Type)" numFmtId="0">
      <sharedItems containsBlank="1" count="29">
        <m/>
        <s v="Drought"/>
        <s v="General Floods"/>
        <s v="Earthquake"/>
        <s v="Volcanic Eruption"/>
        <s v="Tropical Cyclone"/>
        <s v="Radiation"/>
        <s v="Conflict"/>
        <s v="Storm Surge"/>
        <s v="Air"/>
        <s v="Fire"/>
        <s v="Bacterial"/>
        <s v="Winter Storm"/>
        <s v="Road"/>
        <s v="Terrorism"/>
        <s v="Water"/>
        <s v="Winter Emergency"/>
        <s v="Explosion"/>
        <s v="Food Insecurity"/>
        <s v="Collapse"/>
        <s v="Parasitic"/>
        <s v="Rail"/>
        <s v="Viral"/>
        <s v="Forest Fire"/>
        <s v="Tsunami"/>
        <s v="Landslide"/>
        <s v="Local Storm"/>
        <s v="Civil Unrest"/>
        <s v="Disease"/>
      </sharedItems>
    </cacheField>
    <cacheField name="Disaster Sub-Sub Type" numFmtId="0">
      <sharedItems containsBlank="1" count="30">
        <m/>
        <s v="Drought"/>
        <s v="General Floods"/>
        <s v="Earthquake"/>
        <s v="Volcanic Eruption"/>
        <s v="Hurricane"/>
        <s v="Radiation"/>
        <s v="Conflict"/>
        <s v="Cyclone"/>
        <s v="Storm Surge"/>
        <s v="Air"/>
        <s v="Fire"/>
        <s v="Bacterial"/>
        <s v="Snowstorm"/>
        <s v="Road"/>
        <s v="Terrorism"/>
        <s v="Water"/>
        <s v="Tropical Storm"/>
        <s v="Urban Fire"/>
        <s v="Explosion"/>
        <s v="Food Insecurity"/>
        <s v="Collapse"/>
        <s v="Typhoon"/>
        <s v="Parasitic"/>
        <s v="Viral"/>
        <s v="Tsunami"/>
        <s v="Mudslide"/>
        <s v="Tornado"/>
        <s v="Civil Unrest"/>
        <s v="Cholera"/>
      </sharedItems>
    </cacheField>
    <cacheField name="Total Affected" numFmtId="0">
      <sharedItems containsString="0" containsNumber="1" containsInteger="1"/>
    </cacheField>
    <cacheField name="Appeal?Y/N" numFmtId="0">
      <sharedItems containsBlank="1" count="3">
        <m/>
        <s v="Y"/>
        <s v="N"/>
      </sharedItems>
    </cacheField>
    <cacheField name="Whose Appeal?" numFmtId="0">
      <sharedItems containsBlank="1" count="11">
        <m/>
        <s v="IFRC"/>
        <s v="IFRC/ ICRC"/>
        <s v="ICRC"/>
        <s v="IFRC/ICRC"/>
        <s v="NS"/>
        <s v="?"/>
        <s v="ICRC &amp; IFRC"/>
        <s v="ICRC/Ntl Socs"/>
        <s v="ICRC /IFRC"/>
        <s v="IFRC &amp; ICRC"/>
      </sharedItems>
    </cacheField>
    <cacheField name="Appeal Amount" numFmtId="0">
      <sharedItems containsString="0" containsNumber="1" containsInteger="1"/>
    </cacheField>
    <cacheField name="Appeal #" numFmtId="0">
      <sharedItems containsString="0"/>
    </cacheField>
    <cacheField name="% of Appeal Covered by ARC" numFmtId="0">
      <sharedItems containsString="0" containsNumber="1"/>
    </cacheField>
    <cacheField name="Overall Appeal Coverage" numFmtId="0">
      <sharedItems containsString="0" containsNumber="1"/>
    </cacheField>
    <cacheField name="IFRC DREF?" numFmtId="0">
      <sharedItems containsBlank="1" count="3">
        <m/>
        <s v="Y"/>
        <s v="N"/>
      </sharedItems>
    </cacheField>
    <cacheField name="DREF Amount" numFmtId="0">
      <sharedItems containsString="0" containsNumber="1" containsInteger="1"/>
    </cacheField>
    <cacheField name="Multilateral Beneficiaries" numFmtId="0">
      <sharedItems containsString="0" containsNumber="1" containsInteger="1"/>
    </cacheField>
    <cacheField name="Direct Beneficiaries" numFmtId="0">
      <sharedItems containsBlank="1" containsMixedTypes="1" containsNumber="1" containsInteger="1" minValue="0" maxValue="50000" count="25">
        <m/>
        <n v="2500"/>
        <n v="3600"/>
        <n v="3000"/>
        <n v="5000"/>
        <n v="24000"/>
        <n v="10000"/>
        <s v="n/a"/>
        <n v="0"/>
        <n v="6445"/>
        <n v="15000"/>
        <n v="1250"/>
        <s v="-"/>
        <n v="10380"/>
        <n v="640"/>
        <n v="20000"/>
        <n v="165"/>
        <n v="50000"/>
        <n v="25000"/>
        <n v="21668"/>
        <n v="4639"/>
        <n v="1000"/>
        <n v="1500"/>
        <n v="300"/>
        <n v="2000"/>
      </sharedItems>
    </cacheField>
    <cacheField name="Contribution to IFRC or ICRC &gt;/= $50K?" numFmtId="0">
      <sharedItems containsString="0" containsBlank="1" containsNumber="1" containsInteger="1" minValue="0" maxValue="1" count="3">
        <m/>
        <n v="1"/>
        <n v="0"/>
      </sharedItems>
    </cacheField>
    <cacheField name="Cash to IFRC" numFmtId="0">
      <sharedItems containsString="0" containsNumber="1"/>
    </cacheField>
    <cacheField name="Cash to ICRC" numFmtId="0">
      <sharedItems containsBlank="1" containsMixedTypes="1" containsNumber="1" minValue="50000" maxValue="4377346.43" count="15">
        <m/>
        <n v="104805"/>
        <n v="100000"/>
        <n v="242000"/>
        <n v="1000000"/>
        <n v="250000"/>
        <n v="1058600"/>
        <n v="50000"/>
        <n v="2000000"/>
        <n v="200000"/>
        <n v="714000"/>
        <s v=" "/>
        <n v="360625"/>
        <n v="500000"/>
        <n v="4377346.43"/>
      </sharedItems>
    </cacheField>
    <cacheField name="Cash to NS" numFmtId="0">
      <sharedItems containsString="0" containsNumber="1"/>
    </cacheField>
    <cacheField name="Total Cash" numFmtId="0">
      <sharedItems containsString="0" containsNumber="1"/>
    </cacheField>
    <cacheField name="ARC People Deployed" numFmtId="0">
      <sharedItems containsString="0" containsBlank="1" containsNumber="1" containsInteger="1" minValue="0" maxValue="82" count="19">
        <m/>
        <n v="0"/>
        <n v="1"/>
        <n v="20"/>
        <n v="2"/>
        <n v="3"/>
        <n v="4"/>
        <n v="10"/>
        <n v="23"/>
        <n v="9"/>
        <n v="5"/>
        <n v="12"/>
        <n v="19"/>
        <n v="8"/>
        <n v="30"/>
        <n v="7"/>
        <n v="6"/>
        <n v="17"/>
        <n v="82"/>
      </sharedItems>
    </cacheField>
    <cacheField name="ERUs" numFmtId="0">
      <sharedItems containsBlank="1" count="4">
        <m/>
        <s v="Relief ERU"/>
        <s v="IT/Telecoms"/>
        <s v=" IT/Telecoms; Relief ERU"/>
      </sharedItems>
    </cacheField>
    <cacheField name="Individual Deploy-ments" numFmtId="0">
      <sharedItems containsString="0" containsBlank="1" containsNumber="1" containsInteger="1" minValue="1" maxValue="85" count="7">
        <m/>
        <n v="1"/>
        <n v="2"/>
        <n v="5"/>
        <n v="3"/>
        <n v="85"/>
        <n v="6"/>
      </sharedItems>
    </cacheField>
    <cacheField name="Total ARC Items Supplied" numFmtId="0">
      <sharedItems containsString="0" containsNumber="1"/>
    </cacheField>
    <cacheField name="Pre-positioned?" numFmtId="0">
      <sharedItems containsBlank="1" count="4">
        <m/>
        <s v="mixed"/>
        <s v="Y"/>
        <s v="N"/>
      </sharedItems>
    </cacheField>
    <cacheField name="Hygiene Kits" numFmtId="0">
      <sharedItems containsString="0" containsBlank="1" containsNumber="1" containsInteger="1" minValue="214" maxValue="45000" count="17">
        <m/>
        <n v="11200"/>
        <n v="2200"/>
        <n v="500"/>
        <n v="10000"/>
        <n v="45000"/>
        <n v="1000"/>
        <n v="750"/>
        <n v="18000"/>
        <n v="2372"/>
        <n v="4500"/>
        <n v="3500"/>
        <n v="4000"/>
        <n v="7500"/>
        <n v="1840"/>
        <n v="1160"/>
        <n v="214"/>
      </sharedItems>
    </cacheField>
    <cacheField name="Blankets" numFmtId="0">
      <sharedItems containsString="0" containsBlank="1" containsNumber="1" containsInteger="1" minValue="1000" maxValue="222900" count="20">
        <m/>
        <n v="55000"/>
        <n v="4625"/>
        <n v="5100"/>
        <n v="6000"/>
        <n v="34200"/>
        <n v="27000"/>
        <n v="1000"/>
        <n v="5000"/>
        <n v="222900"/>
        <n v="7050"/>
        <n v="2000"/>
        <n v="25000"/>
        <n v="37500"/>
        <n v="4000"/>
        <n v="20981"/>
        <n v="198970"/>
        <n v="7500"/>
        <n v="35000"/>
        <n v="1500"/>
      </sharedItems>
    </cacheField>
    <cacheField name="Jerry Cans" numFmtId="0">
      <sharedItems containsString="0" containsBlank="1" containsNumber="1" containsInteger="1" minValue="321" maxValue="30000" count="14">
        <m/>
        <n v="10500"/>
        <n v="2550"/>
        <n v="30000"/>
        <n v="2350"/>
        <n v="481"/>
        <n v="802"/>
        <n v="321"/>
        <n v="8000"/>
        <n v="7500"/>
        <n v="10000"/>
        <n v="5000"/>
        <n v="900"/>
        <n v="15000"/>
      </sharedItems>
    </cacheField>
    <cacheField name="Buckets" numFmtId="0">
      <sharedItems containsString="0" containsBlank="1" containsNumber="1" containsInteger="1" minValue="3650" maxValue="28000" count="5">
        <m/>
        <n v="28000"/>
        <n v="4800"/>
        <n v="7500"/>
        <n v="3650"/>
      </sharedItems>
    </cacheField>
    <cacheField name="Tents" numFmtId="0">
      <sharedItems containsString="0" containsBlank="1" containsNumber="1" containsInteger="1" minValue="5" maxValue="5200" count="12">
        <m/>
        <n v="36"/>
        <n v="761"/>
        <n v="757"/>
        <n v="490"/>
        <n v="11"/>
        <n v="150"/>
        <n v="5"/>
        <n v="25"/>
        <n v="5200"/>
        <n v="45"/>
        <n v="500"/>
      </sharedItems>
    </cacheField>
    <cacheField name="Kitchen Sets" numFmtId="0">
      <sharedItems containsString="0" containsBlank="1" containsNumber="1" containsInteger="1" minValue="500" maxValue="18000" count="10">
        <m/>
        <n v="18000"/>
        <n v="2000"/>
        <n v="1000"/>
        <n v="5000"/>
        <n v="3000"/>
        <n v="7500"/>
        <n v="1500"/>
        <n v="500"/>
        <n v="10000"/>
      </sharedItems>
    </cacheField>
    <cacheField name="Sleeping Mats / Bedsheets" numFmtId="0">
      <sharedItems containsString="0" containsBlank="1" containsNumber="1" containsInteger="1" minValue="500" maxValue="30518" count="8">
        <m/>
        <n v="6120"/>
        <n v="6000"/>
        <n v="1100"/>
        <n v="5000"/>
        <n v="12360"/>
        <n v="500"/>
        <n v="30518"/>
      </sharedItems>
    </cacheField>
    <cacheField name="Mosquito Nets" numFmtId="0">
      <sharedItems containsString="0" containsBlank="1" containsNumber="1" containsInteger="1" minValue="1000" maxValue="20000" count="7">
        <m/>
        <n v="10000"/>
        <n v="20000"/>
        <n v="1000"/>
        <n v="6000"/>
        <n v="6800"/>
        <n v="13200"/>
      </sharedItems>
    </cacheField>
    <cacheField name="Food Parcels" numFmtId="0">
      <sharedItems containsString="0" containsBlank="1" containsNumber="1" containsInteger="1" minValue="2600" maxValue="40000" count="6">
        <m/>
        <n v="40000"/>
        <n v="5000"/>
        <n v="2600"/>
        <n v="14500"/>
        <n v="9000"/>
      </sharedItems>
    </cacheField>
    <cacheField name="Tarps" numFmtId="0">
      <sharedItems containsString="0" containsBlank="1" containsNumber="1" containsInteger="1" minValue="20" maxValue="11000" count="15">
        <m/>
        <n v="250"/>
        <n v="1000"/>
        <n v="20"/>
        <n v="1105"/>
        <n v="110"/>
        <n v="3000"/>
        <n v="3900"/>
        <n v="11000"/>
        <n v="350"/>
        <n v="2000"/>
        <n v="10000"/>
        <n v="9995"/>
        <n v="1300"/>
        <n v="1500"/>
      </sharedItems>
    </cacheField>
    <cacheField name="Vehicles" numFmtId="0">
      <sharedItems containsString="0" containsBlank="1" containsNumber="1" containsInteger="1" minValue="1" maxValue="7" count="5">
        <m/>
        <n v="7"/>
        <n v="5"/>
        <n v="1"/>
        <n v="2"/>
      </sharedItems>
    </cacheField>
    <cacheField name="Other Items" numFmtId="0">
      <sharedItems containsString="0" containsBlank="1" containsNumber="1" containsInteger="1" minValue="3000" maxValue="6250" count="3">
        <m/>
        <n v="3000"/>
        <n v="6250"/>
      </sharedItems>
    </cacheField>
    <cacheField name="Rice Bags" numFmtId="0">
      <sharedItems containsString="0" containsBlank="1" count="1">
        <m/>
      </sharedItems>
    </cacheField>
    <cacheField name="Value of Supplies" numFmtId="0">
      <sharedItems containsString="0" containsNumber="1"/>
    </cacheField>
    <cacheField name="Operational (People) Cost for Response Phase" numFmtId="0">
      <sharedItems containsString="0" containsNumber="1"/>
    </cacheField>
    <cacheField name="Total $ Response Phase" numFmtId="0">
      <sharedItems containsString="0" containsNumber="1"/>
    </cacheField>
    <cacheField name="Early Recovery $" numFmtId="0">
      <sharedItems containsString="0" containsBlank="1" containsNumber="1" minValue="764192.86" maxValue="337000000" count="8">
        <m/>
        <n v="9767769"/>
        <n v="1200000"/>
        <n v="764192.86"/>
        <n v="337000000"/>
        <n v="5304000"/>
        <n v="1000000"/>
        <n v="2525023"/>
      </sharedItems>
    </cacheField>
    <cacheField name="Future Contrib Anticipated $" numFmtId="0">
      <sharedItems containsString="0" containsBlank="1" count="1">
        <m/>
      </sharedItems>
    </cacheField>
    <cacheField name="Beneficiaries Served (Final Report)" numFmtId="0">
      <sharedItems containsString="0" containsNumber="1"/>
    </cacheField>
    <cacheField name="Total Contributions" numFmtId="0">
      <sharedItems containsString="0" containsNumber="1"/>
    </cacheField>
    <cacheField name="AP Code" numFmtId="0">
      <sharedItems containsString="0" containsNumber="1" containsInteger="1"/>
    </cacheField>
    <cacheField name="Description " numFmtId="0">
      <sharedItems containsDate="1" containsString="0"/>
    </cacheField>
    <cacheField name="Comments on Contributions" numFmtId="0">
      <sharedItems containsString="0"/>
    </cacheField>
    <cacheField name="Funding Source &amp; Info" numFmtId="0">
      <sharedItems containsBlank="1" count="13">
        <m/>
        <s v="ARCT"/>
        <s v="OFDA grant for $500,000; ARCT funds used - $100,000"/>
        <s v="ARCT funds used - $100,000"/>
        <s v="ARCT Funds used - $200,000"/>
        <s v="ARCT Funds used"/>
        <s v="OFDA grant for $500,000 for NFIs"/>
        <s v="OFDA grant for $500,000 for cash transfer programming"/>
        <s v="UPS donated $50,000; ARCT Funds applied for as of 11/18/09"/>
        <s v="various - notably online and text donations from individuals; telethons. "/>
        <s v="ARCT funds - $200,000"/>
        <s v="OFDA"/>
        <s v="Potential ARCT funding for relief supplies"/>
      </sharedItems>
    </cacheField>
    <cacheField name="Stewardship report?" numFmtId="0">
      <sharedItems containsBlank="1" count="4">
        <m/>
        <s v="y"/>
        <s v="ARCT"/>
        <s v="definitely!"/>
      </sharedItems>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invalid="1" refreshedBy="Amanda West" refreshedDate="40680.411939583333" createdVersion="1" refreshedVersion="2" recordCount="386" upgradeOnRefresh="1">
  <cacheSource type="worksheet">
    <worksheetSource name="DisasterData"/>
  </cacheSource>
  <cacheFields count="61">
    <cacheField name="Glide #" numFmtId="0">
      <sharedItems containsString="0"/>
    </cacheField>
    <cacheField name="ARC Disaster #" numFmtId="0">
      <sharedItems containsString="0" containsNumber="1" containsInteger="1"/>
    </cacheField>
    <cacheField name="Disaster Name" numFmtId="0">
      <sharedItems containsString="0"/>
    </cacheField>
    <cacheField name="Date of Response" numFmtId="0">
      <sharedItems containsDate="1" containsString="0"/>
    </cacheField>
    <cacheField name="Fiscal Year" numFmtId="0">
      <sharedItems containsString="0" containsBlank="1" containsNumber="1" containsInteger="1" minValue="1986" maxValue="2011" count="17">
        <n v="1986"/>
        <n v="1989"/>
        <n v="1994"/>
        <n v="1999"/>
        <n v="2000"/>
        <n v="2001"/>
        <n v="2002"/>
        <n v="2003"/>
        <n v="2004"/>
        <n v="2005"/>
        <n v="2006"/>
        <n v="2007"/>
        <n v="2008"/>
        <n v="2009"/>
        <n v="2010"/>
        <n v="2011"/>
        <m/>
      </sharedItems>
    </cacheField>
    <cacheField name="FY #" numFmtId="0">
      <sharedItems containsString="0" containsNumber="1" containsInteger="1"/>
    </cacheField>
    <cacheField name="Quarter" numFmtId="0">
      <sharedItems containsBlank="1" count="5">
        <m/>
        <s v="Q3"/>
        <s v="Q4"/>
        <s v="Q1"/>
        <s v="Q2"/>
      </sharedItems>
    </cacheField>
    <cacheField name="Calendar Year" numFmtId="0">
      <sharedItems containsString="0" containsBlank="1" containsNumber="1" containsInteger="1" minValue="1985" maxValue="2011" count="18">
        <n v="1985"/>
        <n v="1988"/>
        <n v="1994"/>
        <n v="1998"/>
        <n v="1999"/>
        <n v="2000"/>
        <n v="2001"/>
        <n v="2002"/>
        <n v="2003"/>
        <n v="2004"/>
        <n v="2005"/>
        <n v="2006"/>
        <n v="2007"/>
        <n v="2008"/>
        <n v="2009"/>
        <n v="2010"/>
        <n v="2011"/>
        <m/>
      </sharedItems>
    </cacheField>
    <cacheField name="CY #" numFmtId="0">
      <sharedItems containsString="0" containsNumber="1" containsInteger="1"/>
    </cacheField>
    <cacheField name="Region" numFmtId="0">
      <sharedItems containsBlank="1" count="5">
        <m/>
        <s v="Africa"/>
        <s v="LAC"/>
        <s v="Europe/Asia"/>
        <s v="North America"/>
      </sharedItems>
    </cacheField>
    <cacheField name="Country" numFmtId="0">
      <sharedItems containsString="0"/>
    </cacheField>
    <cacheField name="Major Disaster Category" numFmtId="0">
      <sharedItems containsBlank="1" count="5">
        <m/>
        <s v="Hydrometerological"/>
        <s v="Human Related"/>
        <s v="Geophysical"/>
        <s v="Biological"/>
      </sharedItems>
    </cacheField>
    <cacheField name="Disaster Type" numFmtId="0">
      <sharedItems containsBlank="1" count="25">
        <m/>
        <s v="Drought"/>
        <s v="Floods"/>
        <s v="Earthquake"/>
        <s v="Volcano"/>
        <s v="Storm"/>
        <s v="Industrial"/>
        <s v="Floods "/>
        <s v="Conflict"/>
        <s v="Transport"/>
        <s v="Miscellaneous"/>
        <s v="Epidemic"/>
        <s v="Terrorism"/>
        <s v="Meteorological"/>
        <s v="Food Insecurity"/>
        <s v="Wildfire"/>
        <s v="Tsunami"/>
        <s v="Tropical Storm"/>
        <s v="Mass Movement Wet"/>
        <s v="Civil Unrest"/>
        <s v="Cyclone"/>
        <s v="Winter storm"/>
        <s v="Tsunami &amp; Volcanic Eruption"/>
        <s v="Earthquake/Tsunami"/>
        <s v="Population Movement"/>
      </sharedItems>
    </cacheField>
    <cacheField name="Nature of Disaster (Disaster Sub-Type)" numFmtId="0">
      <sharedItems containsBlank="1" count="29">
        <m/>
        <s v="Drought"/>
        <s v="General Floods"/>
        <s v="Earthquake"/>
        <s v="Volcanic Eruption"/>
        <s v="Tropical Cyclone"/>
        <s v="Radiation"/>
        <s v="Conflict"/>
        <s v="Storm Surge"/>
        <s v="Air"/>
        <s v="Fire"/>
        <s v="Bacterial"/>
        <s v="Winter Storm"/>
        <s v="Road"/>
        <s v="Terrorism"/>
        <s v="Water"/>
        <s v="Winter Emergency"/>
        <s v="Explosion"/>
        <s v="Food Insecurity"/>
        <s v="Collapse"/>
        <s v="Parasitic"/>
        <s v="Rail"/>
        <s v="Viral"/>
        <s v="Forest Fire"/>
        <s v="Tsunami"/>
        <s v="Landslide"/>
        <s v="Local Storm"/>
        <s v="Civil Unrest"/>
        <s v="Disease"/>
      </sharedItems>
    </cacheField>
    <cacheField name="Disaster Sub-Sub Type" numFmtId="0">
      <sharedItems containsBlank="1" count="30">
        <m/>
        <s v="Drought"/>
        <s v="General Floods"/>
        <s v="Earthquake"/>
        <s v="Volcanic Eruption"/>
        <s v="Hurricane"/>
        <s v="Radiation"/>
        <s v="Conflict"/>
        <s v="Cyclone"/>
        <s v="Storm Surge"/>
        <s v="Air"/>
        <s v="Fire"/>
        <s v="Bacterial"/>
        <s v="Snowstorm"/>
        <s v="Road"/>
        <s v="Terrorism"/>
        <s v="Water"/>
        <s v="Tropical Storm"/>
        <s v="Urban Fire"/>
        <s v="Explosion"/>
        <s v="Food Insecurity"/>
        <s v="Collapse"/>
        <s v="Typhoon"/>
        <s v="Parasitic"/>
        <s v="Viral"/>
        <s v="Tsunami"/>
        <s v="Mudslide"/>
        <s v="Tornado"/>
        <s v="Civil Unrest"/>
        <s v="Cholera"/>
      </sharedItems>
    </cacheField>
    <cacheField name="Total Affected" numFmtId="0">
      <sharedItems containsString="0" containsNumber="1" containsInteger="1"/>
    </cacheField>
    <cacheField name="Appeal?Y/N" numFmtId="0">
      <sharedItems containsBlank="1" count="3">
        <m/>
        <s v="Y"/>
        <s v="N"/>
      </sharedItems>
    </cacheField>
    <cacheField name="Whose Appeal?" numFmtId="0">
      <sharedItems containsBlank="1" count="11">
        <m/>
        <s v="IFRC"/>
        <s v="IFRC/ ICRC"/>
        <s v="ICRC"/>
        <s v="IFRC/ICRC"/>
        <s v="NS"/>
        <s v="?"/>
        <s v="ICRC &amp; IFRC"/>
        <s v="ICRC/Ntl Socs"/>
        <s v="ICRC /IFRC"/>
        <s v="IFRC &amp; ICRC"/>
      </sharedItems>
    </cacheField>
    <cacheField name="Appeal Amount" numFmtId="0">
      <sharedItems containsString="0" containsNumber="1" containsInteger="1"/>
    </cacheField>
    <cacheField name="Appeal #" numFmtId="0">
      <sharedItems containsString="0"/>
    </cacheField>
    <cacheField name="% of Appeal Covered by ARC" numFmtId="0">
      <sharedItems containsString="0" containsNumber="1"/>
    </cacheField>
    <cacheField name="Overall Appeal Coverage" numFmtId="0">
      <sharedItems containsString="0" containsNumber="1"/>
    </cacheField>
    <cacheField name="IFRC DREF?" numFmtId="0">
      <sharedItems containsBlank="1" count="3">
        <m/>
        <s v="Y"/>
        <s v="N"/>
      </sharedItems>
    </cacheField>
    <cacheField name="DREF Amount" numFmtId="0">
      <sharedItems containsString="0" containsNumber="1" containsInteger="1"/>
    </cacheField>
    <cacheField name="Multilateral Beneficiaries" numFmtId="0">
      <sharedItems containsString="0" containsNumber="1" containsInteger="1"/>
    </cacheField>
    <cacheField name="Direct Beneficiaries" numFmtId="0">
      <sharedItems containsBlank="1" containsMixedTypes="1" containsNumber="1" containsInteger="1" minValue="0" maxValue="50000" count="25">
        <m/>
        <n v="2500"/>
        <n v="3600"/>
        <n v="3000"/>
        <n v="5000"/>
        <n v="24000"/>
        <n v="10000"/>
        <s v="n/a"/>
        <n v="0"/>
        <n v="6445"/>
        <n v="15000"/>
        <n v="1250"/>
        <s v="-"/>
        <n v="10380"/>
        <n v="640"/>
        <n v="20000"/>
        <n v="165"/>
        <n v="50000"/>
        <n v="25000"/>
        <n v="21668"/>
        <n v="4639"/>
        <n v="1000"/>
        <n v="1500"/>
        <n v="300"/>
        <n v="2000"/>
      </sharedItems>
    </cacheField>
    <cacheField name="Contribution to IFRC or ICRC &gt;/= $50K?" numFmtId="0">
      <sharedItems containsString="0" containsBlank="1" containsNumber="1" containsInteger="1" minValue="0" maxValue="1" count="3">
        <m/>
        <n v="1"/>
        <n v="0"/>
      </sharedItems>
    </cacheField>
    <cacheField name="Cash to IFRC" numFmtId="0">
      <sharedItems containsString="0" containsNumber="1"/>
    </cacheField>
    <cacheField name="Cash to ICRC" numFmtId="0">
      <sharedItems containsBlank="1" containsMixedTypes="1" containsNumber="1" minValue="50000" maxValue="4377346.43" count="15">
        <m/>
        <n v="104805"/>
        <n v="100000"/>
        <n v="242000"/>
        <n v="1000000"/>
        <n v="250000"/>
        <n v="1058600"/>
        <n v="50000"/>
        <n v="2000000"/>
        <n v="200000"/>
        <n v="714000"/>
        <s v=" "/>
        <n v="360625"/>
        <n v="500000"/>
        <n v="4377346.43"/>
      </sharedItems>
    </cacheField>
    <cacheField name="Cash to NS" numFmtId="0">
      <sharedItems containsString="0" containsNumber="1"/>
    </cacheField>
    <cacheField name="Total Cash" numFmtId="0">
      <sharedItems containsString="0" containsNumber="1"/>
    </cacheField>
    <cacheField name="ARC People Deployed" numFmtId="0">
      <sharedItems containsString="0" containsBlank="1" containsNumber="1" containsInteger="1" minValue="0" maxValue="82" count="19">
        <m/>
        <n v="0"/>
        <n v="1"/>
        <n v="20"/>
        <n v="2"/>
        <n v="3"/>
        <n v="4"/>
        <n v="10"/>
        <n v="23"/>
        <n v="9"/>
        <n v="5"/>
        <n v="12"/>
        <n v="19"/>
        <n v="8"/>
        <n v="30"/>
        <n v="7"/>
        <n v="6"/>
        <n v="17"/>
        <n v="82"/>
      </sharedItems>
    </cacheField>
    <cacheField name="ERUs" numFmtId="0">
      <sharedItems containsBlank="1" count="4">
        <m/>
        <s v="Relief ERU"/>
        <s v="IT/Telecoms"/>
        <s v=" IT/Telecoms; Relief ERU"/>
      </sharedItems>
    </cacheField>
    <cacheField name="Individual Deploy-ments" numFmtId="0">
      <sharedItems containsString="0" containsBlank="1" containsNumber="1" containsInteger="1" minValue="1" maxValue="85" count="7">
        <m/>
        <n v="1"/>
        <n v="2"/>
        <n v="5"/>
        <n v="3"/>
        <n v="85"/>
        <n v="6"/>
      </sharedItems>
    </cacheField>
    <cacheField name="Total ARC Items Supplied" numFmtId="0">
      <sharedItems containsString="0" containsNumber="1"/>
    </cacheField>
    <cacheField name="Pre-positioned?" numFmtId="0">
      <sharedItems containsBlank="1" count="4">
        <m/>
        <s v="mixed"/>
        <s v="Y"/>
        <s v="N"/>
      </sharedItems>
    </cacheField>
    <cacheField name="Hygiene Kits" numFmtId="0">
      <sharedItems containsString="0" containsBlank="1" containsNumber="1" containsInteger="1" minValue="214" maxValue="45000" count="17">
        <m/>
        <n v="11200"/>
        <n v="2200"/>
        <n v="500"/>
        <n v="10000"/>
        <n v="45000"/>
        <n v="1000"/>
        <n v="750"/>
        <n v="18000"/>
        <n v="2372"/>
        <n v="4500"/>
        <n v="3500"/>
        <n v="4000"/>
        <n v="7500"/>
        <n v="1840"/>
        <n v="1160"/>
        <n v="214"/>
      </sharedItems>
    </cacheField>
    <cacheField name="Blankets" numFmtId="0">
      <sharedItems containsString="0" containsBlank="1" containsNumber="1" containsInteger="1" minValue="1000" maxValue="222900" count="20">
        <m/>
        <n v="55000"/>
        <n v="4625"/>
        <n v="5100"/>
        <n v="6000"/>
        <n v="34200"/>
        <n v="27000"/>
        <n v="1000"/>
        <n v="5000"/>
        <n v="222900"/>
        <n v="7050"/>
        <n v="2000"/>
        <n v="25000"/>
        <n v="37500"/>
        <n v="4000"/>
        <n v="20981"/>
        <n v="198970"/>
        <n v="7500"/>
        <n v="35000"/>
        <n v="1500"/>
      </sharedItems>
    </cacheField>
    <cacheField name="Jerry Cans" numFmtId="0">
      <sharedItems containsString="0" containsBlank="1" containsNumber="1" containsInteger="1" minValue="321" maxValue="30000" count="14">
        <m/>
        <n v="10500"/>
        <n v="2550"/>
        <n v="30000"/>
        <n v="2350"/>
        <n v="481"/>
        <n v="802"/>
        <n v="321"/>
        <n v="8000"/>
        <n v="7500"/>
        <n v="10000"/>
        <n v="5000"/>
        <n v="900"/>
        <n v="15000"/>
      </sharedItems>
    </cacheField>
    <cacheField name="Buckets" numFmtId="0">
      <sharedItems containsString="0" containsBlank="1" containsNumber="1" containsInteger="1" minValue="3650" maxValue="28000" count="5">
        <m/>
        <n v="28000"/>
        <n v="4800"/>
        <n v="7500"/>
        <n v="3650"/>
      </sharedItems>
    </cacheField>
    <cacheField name="Tents" numFmtId="0">
      <sharedItems containsString="0" containsBlank="1" containsNumber="1" containsInteger="1" minValue="5" maxValue="5200" count="12">
        <m/>
        <n v="36"/>
        <n v="761"/>
        <n v="757"/>
        <n v="490"/>
        <n v="11"/>
        <n v="150"/>
        <n v="5"/>
        <n v="25"/>
        <n v="5200"/>
        <n v="45"/>
        <n v="500"/>
      </sharedItems>
    </cacheField>
    <cacheField name="Kitchen Sets" numFmtId="0">
      <sharedItems containsString="0" containsBlank="1" containsNumber="1" containsInteger="1" minValue="500" maxValue="18000" count="10">
        <m/>
        <n v="18000"/>
        <n v="2000"/>
        <n v="1000"/>
        <n v="5000"/>
        <n v="3000"/>
        <n v="7500"/>
        <n v="1500"/>
        <n v="500"/>
        <n v="10000"/>
      </sharedItems>
    </cacheField>
    <cacheField name="Sleeping Mats / Bedsheets" numFmtId="0">
      <sharedItems containsString="0" containsBlank="1" containsNumber="1" containsInteger="1" minValue="500" maxValue="30518" count="8">
        <m/>
        <n v="6120"/>
        <n v="6000"/>
        <n v="1100"/>
        <n v="5000"/>
        <n v="12360"/>
        <n v="500"/>
        <n v="30518"/>
      </sharedItems>
    </cacheField>
    <cacheField name="Mosquito Nets" numFmtId="0">
      <sharedItems containsString="0" containsBlank="1" containsNumber="1" containsInteger="1" minValue="1000" maxValue="20000" count="7">
        <m/>
        <n v="10000"/>
        <n v="20000"/>
        <n v="1000"/>
        <n v="6000"/>
        <n v="6800"/>
        <n v="13200"/>
      </sharedItems>
    </cacheField>
    <cacheField name="Food Parcels" numFmtId="0">
      <sharedItems containsString="0" containsBlank="1" containsNumber="1" containsInteger="1" minValue="2600" maxValue="40000" count="6">
        <m/>
        <n v="40000"/>
        <n v="5000"/>
        <n v="2600"/>
        <n v="14500"/>
        <n v="9000"/>
      </sharedItems>
    </cacheField>
    <cacheField name="Tarps" numFmtId="0">
      <sharedItems containsString="0" containsBlank="1" containsNumber="1" containsInteger="1" minValue="20" maxValue="11000" count="15">
        <m/>
        <n v="250"/>
        <n v="1000"/>
        <n v="20"/>
        <n v="1105"/>
        <n v="110"/>
        <n v="3000"/>
        <n v="3900"/>
        <n v="11000"/>
        <n v="350"/>
        <n v="2000"/>
        <n v="10000"/>
        <n v="9995"/>
        <n v="1300"/>
        <n v="1500"/>
      </sharedItems>
    </cacheField>
    <cacheField name="Vehicles" numFmtId="0">
      <sharedItems containsString="0" containsBlank="1" containsNumber="1" containsInteger="1" minValue="1" maxValue="7" count="5">
        <m/>
        <n v="7"/>
        <n v="5"/>
        <n v="1"/>
        <n v="2"/>
      </sharedItems>
    </cacheField>
    <cacheField name="Other Items" numFmtId="0">
      <sharedItems containsString="0" containsBlank="1" containsNumber="1" containsInteger="1" minValue="3000" maxValue="6250" count="3">
        <m/>
        <n v="3000"/>
        <n v="6250"/>
      </sharedItems>
    </cacheField>
    <cacheField name="Rice Bags" numFmtId="0">
      <sharedItems containsString="0" containsBlank="1" count="1">
        <m/>
      </sharedItems>
    </cacheField>
    <cacheField name="Value of Supplies" numFmtId="0">
      <sharedItems containsString="0" containsNumber="1"/>
    </cacheField>
    <cacheField name="Operational (People) Cost for Response Phase" numFmtId="0">
      <sharedItems containsString="0" containsNumber="1"/>
    </cacheField>
    <cacheField name="Total $ Response Phase" numFmtId="0">
      <sharedItems containsString="0" containsNumber="1"/>
    </cacheField>
    <cacheField name="Early Recovery $" numFmtId="0">
      <sharedItems containsString="0" containsBlank="1" containsNumber="1" minValue="764192.86" maxValue="337000000" count="8">
        <m/>
        <n v="9767769"/>
        <n v="1200000"/>
        <n v="764192.86"/>
        <n v="337000000"/>
        <n v="5304000"/>
        <n v="1000000"/>
        <n v="2525023"/>
      </sharedItems>
    </cacheField>
    <cacheField name="Future Contrib Anticipated $" numFmtId="0">
      <sharedItems containsString="0" containsBlank="1" count="1">
        <m/>
      </sharedItems>
    </cacheField>
    <cacheField name="Beneficiaries Served (Final Report)" numFmtId="0">
      <sharedItems containsString="0" containsNumber="1"/>
    </cacheField>
    <cacheField name="Total Contributions" numFmtId="0">
      <sharedItems containsString="0" containsNumber="1"/>
    </cacheField>
    <cacheField name="AP Code" numFmtId="0">
      <sharedItems containsString="0" containsNumber="1" containsInteger="1"/>
    </cacheField>
    <cacheField name="Description " numFmtId="0">
      <sharedItems containsDate="1" containsString="0"/>
    </cacheField>
    <cacheField name="Comments on Contributions" numFmtId="0">
      <sharedItems containsString="0"/>
    </cacheField>
    <cacheField name="Funding Source &amp; Info" numFmtId="0">
      <sharedItems containsBlank="1" count="13">
        <m/>
        <s v="ARCT"/>
        <s v="OFDA grant for $500,000; ARCT funds used - $100,000"/>
        <s v="ARCT funds used - $100,000"/>
        <s v="ARCT Funds used - $200,000"/>
        <s v="ARCT Funds used"/>
        <s v="OFDA grant for $500,000 for NFIs"/>
        <s v="OFDA grant for $500,000 for cash transfer programming"/>
        <s v="UPS donated $50,000; ARCT Funds applied for as of 11/18/09"/>
        <s v="various - notably online and text donations from individuals; telethons. "/>
        <s v="ARCT funds - $200,000"/>
        <s v="OFDA"/>
        <s v="Potential ARCT funding for relief supplies"/>
      </sharedItems>
    </cacheField>
    <cacheField name="Stewardship report?" numFmtId="0">
      <sharedItems containsBlank="1" count="4">
        <m/>
        <s v="y"/>
        <s v="ARCT"/>
        <s v="definitely!"/>
      </sharedItems>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invalid="1" refreshedBy="Amanda West" refreshedDate="40588.597452430557" createdVersion="1" refreshedVersion="2" recordCount="334" upgradeOnRefresh="1">
  <cacheSource type="worksheet">
    <worksheetSource name="DisasterData"/>
  </cacheSource>
  <cacheFields count="61">
    <cacheField name="Glide #" numFmtId="0">
      <sharedItems containsString="0"/>
    </cacheField>
    <cacheField name="ARC Disaster #" numFmtId="0">
      <sharedItems containsString="0" containsNumber="1" containsInteger="1"/>
    </cacheField>
    <cacheField name="Disaster Name" numFmtId="0">
      <sharedItems containsString="0"/>
    </cacheField>
    <cacheField name="Date of Response" numFmtId="0">
      <sharedItems containsSemiMixedTypes="0" containsNonDate="0" containsDate="1" containsString="0"/>
    </cacheField>
    <cacheField name="Fiscal Year" numFmtId="0">
      <sharedItems containsSemiMixedTypes="0" containsString="0" containsNumber="1" containsInteger="1" minValue="1986" maxValue="2011" count="16">
        <n v="1986"/>
        <n v="1989"/>
        <n v="1994"/>
        <n v="1999"/>
        <n v="2000"/>
        <n v="2001"/>
        <n v="2002"/>
        <n v="2003"/>
        <n v="2004"/>
        <n v="2005"/>
        <n v="2006"/>
        <n v="2007"/>
        <n v="2008"/>
        <n v="2009"/>
        <n v="2010"/>
        <n v="2011"/>
      </sharedItems>
    </cacheField>
    <cacheField name="FY #" numFmtId="0">
      <sharedItems containsString="0" containsBlank="1" containsNumber="1" containsInteger="1" minValue="1" maxValue="33" count="34">
        <m/>
        <n v="1"/>
        <n v="2"/>
        <n v="3"/>
        <n v="4"/>
        <n v="5"/>
        <n v="6"/>
        <n v="7"/>
        <n v="8"/>
        <n v="9"/>
        <n v="10"/>
        <n v="11"/>
        <n v="12"/>
        <n v="13"/>
        <n v="14"/>
        <n v="15"/>
        <n v="16"/>
        <n v="17"/>
        <n v="18"/>
        <n v="19"/>
        <n v="21"/>
        <n v="22"/>
        <n v="23"/>
        <n v="20"/>
        <n v="24"/>
        <n v="25"/>
        <n v="26"/>
        <n v="27"/>
        <n v="28"/>
        <n v="29"/>
        <n v="32"/>
        <n v="30"/>
        <n v="31"/>
        <n v="33"/>
      </sharedItems>
    </cacheField>
    <cacheField name="Quarter" numFmtId="0">
      <sharedItems containsBlank="1" count="5">
        <m/>
        <s v="Q3"/>
        <s v="Q4"/>
        <s v="Q1"/>
        <s v="Q2"/>
      </sharedItems>
    </cacheField>
    <cacheField name="Calendar Year" numFmtId="0">
      <sharedItems containsSemiMixedTypes="0" containsString="0" containsNumber="1" containsInteger="1" minValue="1985" maxValue="2010" count="16">
        <n v="1985"/>
        <n v="1988"/>
        <n v="1994"/>
        <n v="1998"/>
        <n v="1999"/>
        <n v="2000"/>
        <n v="2001"/>
        <n v="2002"/>
        <n v="2003"/>
        <n v="2004"/>
        <n v="2005"/>
        <n v="2006"/>
        <n v="2007"/>
        <n v="2008"/>
        <n v="2009"/>
        <n v="2010"/>
      </sharedItems>
    </cacheField>
    <cacheField name="CY #" numFmtId="0">
      <sharedItems containsString="0" containsNumber="1" containsInteger="1"/>
    </cacheField>
    <cacheField name="Region" numFmtId="0">
      <sharedItems containsBlank="1" count="5">
        <m/>
        <s v="Africa"/>
        <s v="LAC"/>
        <s v="Europe/Asia"/>
        <s v="North America"/>
      </sharedItems>
    </cacheField>
    <cacheField name="Country" numFmtId="0">
      <sharedItems containsBlank="1" count="116">
        <m/>
        <s v="Ethiopia"/>
        <s v="Mexico"/>
        <s v="Costa Rica"/>
        <s v="China"/>
        <s v="Turkey"/>
        <s v="Nicaragua"/>
        <s v="Cambodia"/>
        <s v="Greece"/>
        <s v="Bahamas"/>
        <s v="Taiwan"/>
        <s v="Japan"/>
        <s v="Russian Fed."/>
        <s v="Timor-Leste"/>
        <s v="Bangladesh"/>
        <s v="India"/>
        <s v="Vietnam"/>
        <s v="Dominica"/>
        <s v="St. Kitts &amp; Nevis"/>
        <s v="Antigua"/>
        <s v="Grenada"/>
        <s v="St. Maartens"/>
        <s v="Venezuela"/>
        <s v="South Africa"/>
        <s v="Botswana"/>
        <s v="Zimbabwe"/>
        <s v="Madagascar"/>
        <s v="Indonesia"/>
        <s v="Belize"/>
        <s v="Israel"/>
        <s v="Jordan"/>
        <s v="Palestine"/>
        <s v="Austria"/>
        <s v="Azerbaijan"/>
        <s v="Sri Lanka"/>
        <s v="El Salvador"/>
        <s v="Mozambique"/>
        <s v="Malawi"/>
        <s v="Bolivia"/>
        <s v="Peru"/>
        <s v="Canada"/>
        <s v="Macedonia"/>
        <s v="Bosnia"/>
        <s v="Honduras"/>
        <s v="Guatemala"/>
        <s v="Ecuador"/>
        <s v="Afghanistan"/>
        <s v="Pakistan"/>
        <s v="Uzbekistan"/>
        <s v="Iran"/>
        <s v="Turkmenistan"/>
        <s v="US"/>
        <s v="Cuba"/>
        <s v="Jamaica"/>
        <s v="Albania"/>
        <s v="DR Congo"/>
        <s v="Nigeria"/>
        <s v="Panama"/>
        <s v="Kenya"/>
        <s v="Syria"/>
        <s v="FS Micronesia"/>
        <s v="Romania"/>
        <s v="Germany"/>
        <s v="Czech Republic"/>
        <s v="Slovakia"/>
        <s v="Hungary"/>
        <s v="Paraguay"/>
        <s v="South Korea"/>
        <s v="Italy"/>
        <s v="Australia"/>
        <s v="Lesotho"/>
        <s v="Solomon Islands"/>
        <s v="Iraq"/>
        <s v="Argentina"/>
        <s v="Hong Kong"/>
        <s v="Dominican Republic"/>
        <s v="Algeria"/>
        <s v="Liberia"/>
        <s v="North Korea"/>
        <s v="Haiti"/>
        <s v="Chad"/>
        <s v="Sudan"/>
        <s v="Cayman Islands"/>
        <s v="Bahamas "/>
        <s v="Maldives"/>
        <s v="Guyana"/>
        <s v="Niger"/>
        <s v="Colombia"/>
        <s v="Zambia"/>
        <s v="Philippines"/>
        <s v="Angola"/>
        <s v="Somalia"/>
        <s v="Spain"/>
        <s v="Lebanon"/>
        <s v="United Kingdom"/>
        <s v="Nepal"/>
        <s v="Uganda"/>
        <s v="Togo"/>
        <s v="Papua New Guinea"/>
        <s v="Tanzania"/>
        <s v="Myanmar"/>
        <s v="Chile"/>
        <s v="Yemen"/>
        <s v="Suriname"/>
        <s v="Ukraine"/>
        <s v="Georgia"/>
        <s v="[rollup]"/>
        <s v="Djibouti"/>
        <s v="Namibia"/>
        <s v="Tajikistan"/>
        <s v="Burkina Faso"/>
        <s v="Senegal"/>
        <s v="Samoa"/>
        <s v="Mongolia"/>
        <s v="Kyrgyzstan"/>
        <s v="Saint Lucia/ Saint Vincent and the Grenadines/ Barbados "/>
      </sharedItems>
    </cacheField>
    <cacheField name="Major Disaster Category" numFmtId="0">
      <sharedItems containsBlank="1" count="5">
        <m/>
        <s v="Hydrometerological"/>
        <s v="Human Related"/>
        <s v="Geophysical"/>
        <s v="Biological"/>
      </sharedItems>
    </cacheField>
    <cacheField name="Disaster Type" numFmtId="0">
      <sharedItems containsBlank="1" count="23">
        <m/>
        <s v="Drought"/>
        <s v="Floods"/>
        <s v="Earthquake"/>
        <s v="Volcano"/>
        <s v="Storm"/>
        <s v="Industrial"/>
        <s v="Floods "/>
        <s v="Conflict"/>
        <s v="Transport"/>
        <s v="Miscellaneous"/>
        <s v="Epidemic"/>
        <s v="Terrorism"/>
        <s v="Meteorological"/>
        <s v="Food Insecurity"/>
        <s v="Wildfire"/>
        <s v="Tsunami"/>
        <s v="Tropical Storm"/>
        <s v="Mass Movement Wet"/>
        <s v="Civil Unrest"/>
        <s v="Cyclone"/>
        <s v="Winter storm"/>
        <s v="Tsunami &amp; Volcanic Eruption"/>
      </sharedItems>
    </cacheField>
    <cacheField name="Nature of Disaster (Disaster Sub-Type)" numFmtId="0">
      <sharedItems containsBlank="1" count="29">
        <m/>
        <s v="Drought"/>
        <s v="General Floods"/>
        <s v="Earthquake"/>
        <s v="Volcanic Eruption"/>
        <s v="Tropical Cyclone"/>
        <s v="Radiation"/>
        <s v="Conflict"/>
        <s v="Storm Surge"/>
        <s v="Air"/>
        <s v="Fire"/>
        <s v="Bacterial"/>
        <s v="Winter Storm"/>
        <s v="Road"/>
        <s v="Terrorism"/>
        <s v="Water"/>
        <s v="Winter Emergency"/>
        <s v="Explosion"/>
        <s v="Food Insecurity"/>
        <s v="Collapse"/>
        <s v="Parasitic"/>
        <s v="Rail"/>
        <s v="Viral"/>
        <s v="Forest Fire"/>
        <s v="Tsunami"/>
        <s v="Landslide"/>
        <s v="Local Storm"/>
        <s v="Civil Unrest"/>
        <s v="Disease"/>
      </sharedItems>
    </cacheField>
    <cacheField name="Disaster Sub-Sub Type" numFmtId="0">
      <sharedItems containsBlank="1" count="30">
        <m/>
        <s v="Drought"/>
        <s v="General Floods"/>
        <s v="Earthquake"/>
        <s v="Volcanic Eruption"/>
        <s v="Hurricane"/>
        <s v="Radiation"/>
        <s v="Conflict"/>
        <s v="Cyclone"/>
        <s v="Storm Surge"/>
        <s v="Air"/>
        <s v="Fire"/>
        <s v="Bacterial"/>
        <s v="Snowstorm"/>
        <s v="Road"/>
        <s v="Terrorism"/>
        <s v="Water"/>
        <s v="Tropical Storm"/>
        <s v="Urban Fire"/>
        <s v="Explosion"/>
        <s v="Food Insecurity"/>
        <s v="Collapse"/>
        <s v="Typhoon"/>
        <s v="Parasitic"/>
        <s v="Viral"/>
        <s v="Tsunami"/>
        <s v="Mudslide"/>
        <s v="Tornado"/>
        <s v="Civil Unrest"/>
        <s v="Cholera"/>
      </sharedItems>
    </cacheField>
    <cacheField name="Total Affected" numFmtId="0">
      <sharedItems containsString="0" containsNumber="1" containsInteger="1"/>
    </cacheField>
    <cacheField name="Appeal?Y/N" numFmtId="0">
      <sharedItems containsBlank="1" count="3">
        <m/>
        <s v="Y"/>
        <s v="N"/>
      </sharedItems>
    </cacheField>
    <cacheField name="Whose Appeal?" numFmtId="0">
      <sharedItems containsBlank="1" count="9">
        <m/>
        <s v="IFRC"/>
        <s v="ICRC"/>
        <s v="?"/>
        <s v="ICRC &amp; IFRC"/>
        <s v="ICRC/Ntl Socs"/>
        <s v="NS"/>
        <s v="ICRC /IFRC"/>
        <s v="ICRC/IFRC"/>
      </sharedItems>
    </cacheField>
    <cacheField name="Appeal Amount" numFmtId="0">
      <sharedItems containsString="0" containsNumber="1" containsInteger="1"/>
    </cacheField>
    <cacheField name="Appeal #" numFmtId="0">
      <sharedItems containsString="0"/>
    </cacheField>
    <cacheField name="% of Appeal Covered by ARC" numFmtId="0">
      <sharedItems containsString="0" containsNumber="1"/>
    </cacheField>
    <cacheField name="Overall Appeal Coverage" numFmtId="0">
      <sharedItems containsString="0" containsNumber="1"/>
    </cacheField>
    <cacheField name="IFRC DREF?" numFmtId="0">
      <sharedItems containsBlank="1" count="3">
        <m/>
        <s v="Y"/>
        <s v="N"/>
      </sharedItems>
    </cacheField>
    <cacheField name="DREF Amount" numFmtId="0">
      <sharedItems containsString="0" containsNumber="1" containsInteger="1"/>
    </cacheField>
    <cacheField name="Multilateral Bene" numFmtId="0">
      <sharedItems containsString="0" containsNumber="1" containsInteger="1"/>
    </cacheField>
    <cacheField name="Direct Bene" numFmtId="0">
      <sharedItems containsString="0" containsNumber="1" containsInteger="1"/>
    </cacheField>
    <cacheField name="Contribution to IFRC or ICRC &gt;/= $50K?" numFmtId="0">
      <sharedItems containsString="0" containsBlank="1" containsNumber="1" containsInteger="1" minValue="0" maxValue="1" count="3">
        <m/>
        <n v="1"/>
        <n v="0"/>
      </sharedItems>
    </cacheField>
    <cacheField name="Cash to IFRC" numFmtId="0">
      <sharedItems containsString="0" containsNumber="1"/>
    </cacheField>
    <cacheField name="Cash to ICRC" numFmtId="0">
      <sharedItems containsBlank="1" containsMixedTypes="1" containsNumber="1" minValue="50000" maxValue="4377346.43" count="15">
        <m/>
        <n v="104805"/>
        <n v="100000"/>
        <n v="242000"/>
        <n v="1000000"/>
        <n v="250000"/>
        <n v="1058600"/>
        <n v="50000"/>
        <n v="2000000"/>
        <n v="200000"/>
        <n v="714000"/>
        <s v=" "/>
        <n v="360625"/>
        <n v="500000"/>
        <n v="4377346.43"/>
      </sharedItems>
    </cacheField>
    <cacheField name="Cash to NS" numFmtId="0">
      <sharedItems containsString="0" containsNumber="1"/>
    </cacheField>
    <cacheField name="Total Cash" numFmtId="0">
      <sharedItems containsString="0" containsNumber="1"/>
    </cacheField>
    <cacheField name="ARC People Deployed" numFmtId="0">
      <sharedItems containsString="0" containsBlank="1" containsNumber="1" containsInteger="1" minValue="0" maxValue="82" count="19">
        <m/>
        <n v="0"/>
        <n v="1"/>
        <n v="20"/>
        <n v="2"/>
        <n v="3"/>
        <n v="4"/>
        <n v="10"/>
        <n v="23"/>
        <n v="9"/>
        <n v="5"/>
        <n v="12"/>
        <n v="19"/>
        <n v="8"/>
        <n v="30"/>
        <n v="7"/>
        <n v="6"/>
        <n v="17"/>
        <n v="82"/>
      </sharedItems>
    </cacheField>
    <cacheField name="ERUs" numFmtId="0">
      <sharedItems containsBlank="1" count="4">
        <m/>
        <s v="Relief ERU"/>
        <s v="IT/Telecoms"/>
        <s v=" IT/Telecoms; Relief ERU"/>
      </sharedItems>
    </cacheField>
    <cacheField name="Individual Deploy-ments" numFmtId="0">
      <sharedItems containsString="0" containsBlank="1" containsNumber="1" containsInteger="1" minValue="1" maxValue="85" count="7">
        <m/>
        <n v="1"/>
        <n v="2"/>
        <n v="5"/>
        <n v="3"/>
        <n v="85"/>
        <n v="6"/>
      </sharedItems>
    </cacheField>
    <cacheField name="Total ARC Items Supplied" numFmtId="0">
      <sharedItems containsString="0" containsNumber="1"/>
    </cacheField>
    <cacheField name="Pre-positioned?" numFmtId="0">
      <sharedItems containsBlank="1" count="4">
        <m/>
        <s v="mixed"/>
        <s v="Y"/>
        <s v="N"/>
      </sharedItems>
    </cacheField>
    <cacheField name="Hygiene Kits" numFmtId="0">
      <sharedItems containsString="0" containsBlank="1" containsNumber="1" containsInteger="1" minValue="214" maxValue="45000" count="17">
        <m/>
        <n v="11200"/>
        <n v="2200"/>
        <n v="500"/>
        <n v="10000"/>
        <n v="45000"/>
        <n v="1000"/>
        <n v="750"/>
        <n v="18000"/>
        <n v="2372"/>
        <n v="4500"/>
        <n v="3500"/>
        <n v="4000"/>
        <n v="7500"/>
        <n v="1840"/>
        <n v="1160"/>
        <n v="214"/>
      </sharedItems>
    </cacheField>
    <cacheField name="Blankets" numFmtId="0">
      <sharedItems containsString="0" containsBlank="1" containsNumber="1" containsInteger="1" minValue="1000" maxValue="222900" count="20">
        <m/>
        <n v="55000"/>
        <n v="4625"/>
        <n v="5100"/>
        <n v="6000"/>
        <n v="34200"/>
        <n v="27000"/>
        <n v="1000"/>
        <n v="5000"/>
        <n v="222900"/>
        <n v="7050"/>
        <n v="2000"/>
        <n v="25000"/>
        <n v="37500"/>
        <n v="4000"/>
        <n v="20981"/>
        <n v="198970"/>
        <n v="7500"/>
        <n v="35000"/>
        <n v="1500"/>
      </sharedItems>
    </cacheField>
    <cacheField name="Jerry Cans" numFmtId="0">
      <sharedItems containsString="0" containsBlank="1" containsNumber="1" containsInteger="1" minValue="321" maxValue="30000" count="14">
        <m/>
        <n v="10500"/>
        <n v="2550"/>
        <n v="30000"/>
        <n v="2350"/>
        <n v="481"/>
        <n v="802"/>
        <n v="321"/>
        <n v="8000"/>
        <n v="7500"/>
        <n v="10000"/>
        <n v="5000"/>
        <n v="900"/>
        <n v="15000"/>
      </sharedItems>
    </cacheField>
    <cacheField name="Buckets" numFmtId="0">
      <sharedItems containsString="0" containsBlank="1" containsNumber="1" containsInteger="1" minValue="3650" maxValue="28000" count="5">
        <m/>
        <n v="28000"/>
        <n v="4800"/>
        <n v="7500"/>
        <n v="3650"/>
      </sharedItems>
    </cacheField>
    <cacheField name="Tents" numFmtId="0">
      <sharedItems containsString="0" containsBlank="1" containsNumber="1" containsInteger="1" minValue="5" maxValue="5200" count="12">
        <m/>
        <n v="36"/>
        <n v="761"/>
        <n v="757"/>
        <n v="490"/>
        <n v="11"/>
        <n v="150"/>
        <n v="5"/>
        <n v="25"/>
        <n v="5200"/>
        <n v="45"/>
        <n v="500"/>
      </sharedItems>
    </cacheField>
    <cacheField name="Kitchen Sets" numFmtId="0">
      <sharedItems containsString="0" containsBlank="1" containsNumber="1" containsInteger="1" minValue="500" maxValue="18000" count="10">
        <m/>
        <n v="18000"/>
        <n v="2000"/>
        <n v="1000"/>
        <n v="5000"/>
        <n v="3000"/>
        <n v="7500"/>
        <n v="1500"/>
        <n v="500"/>
        <n v="10000"/>
      </sharedItems>
    </cacheField>
    <cacheField name="Bedsheets" numFmtId="0">
      <sharedItems containsString="0" containsBlank="1" containsNumber="1" containsInteger="1" minValue="500" maxValue="30518" count="8">
        <m/>
        <n v="6120"/>
        <n v="6000"/>
        <n v="1100"/>
        <n v="5000"/>
        <n v="12360"/>
        <n v="500"/>
        <n v="30518"/>
      </sharedItems>
    </cacheField>
    <cacheField name="Mosquito Nets" numFmtId="0">
      <sharedItems containsString="0" containsBlank="1" containsNumber="1" containsInteger="1" minValue="1000" maxValue="20000" count="8">
        <m/>
        <n v="10000"/>
        <n v="20000"/>
        <n v="1000"/>
        <n v="6000"/>
        <n v="6800"/>
        <n v="13200"/>
        <n v="3000"/>
      </sharedItems>
    </cacheField>
    <cacheField name="Food Parcels" numFmtId="0">
      <sharedItems containsString="0" containsBlank="1" containsNumber="1" containsInteger="1" minValue="2600" maxValue="40000" count="6">
        <m/>
        <n v="40000"/>
        <n v="5000"/>
        <n v="2600"/>
        <n v="14500"/>
        <n v="9000"/>
      </sharedItems>
    </cacheField>
    <cacheField name="Tarps" numFmtId="0">
      <sharedItems containsString="0" containsBlank="1" containsNumber="1" containsInteger="1" minValue="20" maxValue="11000" count="14">
        <m/>
        <n v="250"/>
        <n v="1000"/>
        <n v="20"/>
        <n v="1105"/>
        <n v="110"/>
        <n v="3000"/>
        <n v="3900"/>
        <n v="11000"/>
        <n v="350"/>
        <n v="2000"/>
        <n v="10000"/>
        <n v="9995"/>
        <n v="1300"/>
      </sharedItems>
    </cacheField>
    <cacheField name="Vehicles" numFmtId="0">
      <sharedItems containsString="0" containsBlank="1" containsNumber="1" containsInteger="1" minValue="1" maxValue="7" count="5">
        <m/>
        <n v="7"/>
        <n v="5"/>
        <n v="1"/>
        <n v="2"/>
      </sharedItems>
    </cacheField>
    <cacheField name="Other Items" numFmtId="0">
      <sharedItems containsString="0" containsBlank="1" containsNumber="1" containsInteger="1" minValue="3000" maxValue="6250" count="3">
        <m/>
        <n v="3000"/>
        <n v="6250"/>
      </sharedItems>
    </cacheField>
    <cacheField name="Rice Bags" numFmtId="0">
      <sharedItems containsString="0" containsBlank="1" count="1">
        <m/>
      </sharedItems>
    </cacheField>
    <cacheField name="Value of Supplies" numFmtId="0">
      <sharedItems containsString="0" containsNumber="1"/>
    </cacheField>
    <cacheField name="Operational (People) Cost for Response Phase" numFmtId="0">
      <sharedItems containsString="0" containsNumber="1"/>
    </cacheField>
    <cacheField name="Total $ Response Phase" numFmtId="0">
      <sharedItems containsString="0" containsNumber="1"/>
    </cacheField>
    <cacheField name="Early Recovery $" numFmtId="0">
      <sharedItems containsString="0" containsBlank="1" containsNumber="1" minValue="764192.86" maxValue="337000000" count="7">
        <m/>
        <n v="9767769"/>
        <n v="1200000"/>
        <n v="764192.86"/>
        <n v="337000000"/>
        <n v="5304000"/>
        <n v="1000000"/>
      </sharedItems>
    </cacheField>
    <cacheField name="Future Contrib Anticipated $" numFmtId="0">
      <sharedItems containsString="0" containsBlank="1" count="1">
        <m/>
      </sharedItems>
    </cacheField>
    <cacheField name="Beneficiaries Served (Final Report)" numFmtId="0">
      <sharedItems containsString="0" containsNumber="1"/>
    </cacheField>
    <cacheField name="Total Contributions" numFmtId="0">
      <sharedItems containsString="0" containsNumber="1"/>
    </cacheField>
    <cacheField name="AP Code" numFmtId="0">
      <sharedItems containsString="0" containsNumber="1" containsInteger="1"/>
    </cacheField>
    <cacheField name="Description " numFmtId="0">
      <sharedItems containsDate="1" containsString="0"/>
    </cacheField>
    <cacheField name="Comments on Contributions" numFmtId="0">
      <sharedItems containsString="0"/>
    </cacheField>
    <cacheField name="Funding Source &amp; Info" numFmtId="0">
      <sharedItems containsBlank="1" count="12">
        <m/>
        <s v="ARCT"/>
        <s v="OFDA grant for $500,000; ARCT funds used - $100,000"/>
        <s v="ARCT funds used - $100,000"/>
        <s v="ARCT Funds used - $200,000"/>
        <s v="ARCT Funds used"/>
        <s v="OFDA grant for $500,000 for NFIs"/>
        <s v="OFDA grant for $500,000 for cash transfer programming"/>
        <s v="UPS donated $50,000; ARCT Funds applied for as of 11/18/09"/>
        <s v="various - notably online and text donations from individuals; telethons. "/>
        <s v="ARCT funds - $200,000"/>
        <s v="OFDA"/>
      </sharedItems>
    </cacheField>
    <cacheField name="Stewardship report?" numFmtId="0">
      <sharedItems containsBlank="1" count="4">
        <m/>
        <s v="y"/>
        <s v="ARCT"/>
        <s v="definitely!"/>
      </sharedItems>
    </cacheField>
  </cacheFields>
  <extLst>
    <ext xmlns:x14="http://schemas.microsoft.com/office/spreadsheetml/2009/9/main" uri="{725AE2AE-9491-48be-B2B4-4EB974FC3084}">
      <x14:pivotCacheDefinition/>
    </ext>
  </extLst>
</pivotCacheDefinition>
</file>

<file path=xl/pivotCache/pivotCacheDefinition11.xml><?xml version="1.0" encoding="utf-8"?>
<pivotCacheDefinition xmlns="http://schemas.openxmlformats.org/spreadsheetml/2006/main" xmlns:r="http://schemas.openxmlformats.org/officeDocument/2006/relationships" invalid="1" refreshedBy="Amanda West" refreshedDate="40680.412123842594" createdVersion="1" refreshedVersion="2" recordCount="386" upgradeOnRefresh="1">
  <cacheSource type="worksheet">
    <worksheetSource name="DisasterData"/>
  </cacheSource>
  <cacheFields count="61">
    <cacheField name="Glide #" numFmtId="0">
      <sharedItems containsString="0"/>
    </cacheField>
    <cacheField name="ARC Disaster #" numFmtId="0">
      <sharedItems containsString="0" containsNumber="1" containsInteger="1"/>
    </cacheField>
    <cacheField name="Disaster Name" numFmtId="0">
      <sharedItems containsString="0"/>
    </cacheField>
    <cacheField name="Date of Response" numFmtId="0">
      <sharedItems containsDate="1" containsString="0"/>
    </cacheField>
    <cacheField name="Fiscal Year" numFmtId="0">
      <sharedItems containsString="0" containsBlank="1" containsNumber="1" containsInteger="1" minValue="1986" maxValue="2011" count="17">
        <n v="1986"/>
        <n v="1989"/>
        <n v="1994"/>
        <n v="1999"/>
        <n v="2000"/>
        <n v="2001"/>
        <n v="2002"/>
        <n v="2003"/>
        <n v="2004"/>
        <n v="2005"/>
        <n v="2006"/>
        <n v="2007"/>
        <n v="2008"/>
        <n v="2009"/>
        <n v="2010"/>
        <n v="2011"/>
        <m/>
      </sharedItems>
    </cacheField>
    <cacheField name="FY #" numFmtId="0">
      <sharedItems containsString="0" containsNumber="1" containsInteger="1"/>
    </cacheField>
    <cacheField name="Quarter" numFmtId="0">
      <sharedItems containsBlank="1" count="5">
        <m/>
        <s v="Q3"/>
        <s v="Q4"/>
        <s v="Q1"/>
        <s v="Q2"/>
      </sharedItems>
    </cacheField>
    <cacheField name="Calendar Year" numFmtId="0">
      <sharedItems containsString="0" containsBlank="1" containsNumber="1" containsInteger="1" minValue="1985" maxValue="2011" count="18">
        <n v="1985"/>
        <n v="1988"/>
        <n v="1994"/>
        <n v="1998"/>
        <n v="1999"/>
        <n v="2000"/>
        <n v="2001"/>
        <n v="2002"/>
        <n v="2003"/>
        <n v="2004"/>
        <n v="2005"/>
        <n v="2006"/>
        <n v="2007"/>
        <n v="2008"/>
        <n v="2009"/>
        <n v="2010"/>
        <n v="2011"/>
        <m/>
      </sharedItems>
    </cacheField>
    <cacheField name="CY #" numFmtId="0">
      <sharedItems containsString="0" containsNumber="1" containsInteger="1"/>
    </cacheField>
    <cacheField name="Region" numFmtId="0">
      <sharedItems containsBlank="1" count="5">
        <m/>
        <s v="Africa"/>
        <s v="LAC"/>
        <s v="Europe/Asia"/>
        <s v="North America"/>
      </sharedItems>
    </cacheField>
    <cacheField name="Country" numFmtId="0">
      <sharedItems containsString="0"/>
    </cacheField>
    <cacheField name="Major Disaster Category" numFmtId="0">
      <sharedItems containsBlank="1" count="5">
        <m/>
        <s v="Hydrometerological"/>
        <s v="Human Related"/>
        <s v="Geophysical"/>
        <s v="Biological"/>
      </sharedItems>
    </cacheField>
    <cacheField name="Disaster Type" numFmtId="0">
      <sharedItems containsBlank="1" count="25">
        <m/>
        <s v="Drought"/>
        <s v="Floods"/>
        <s v="Earthquake"/>
        <s v="Volcano"/>
        <s v="Storm"/>
        <s v="Industrial"/>
        <s v="Floods "/>
        <s v="Conflict"/>
        <s v="Transport"/>
        <s v="Miscellaneous"/>
        <s v="Epidemic"/>
        <s v="Terrorism"/>
        <s v="Meteorological"/>
        <s v="Food Insecurity"/>
        <s v="Wildfire"/>
        <s v="Tsunami"/>
        <s v="Tropical Storm"/>
        <s v="Mass Movement Wet"/>
        <s v="Civil Unrest"/>
        <s v="Cyclone"/>
        <s v="Winter storm"/>
        <s v="Tsunami &amp; Volcanic Eruption"/>
        <s v="Earthquake/Tsunami"/>
        <s v="Population Movement"/>
      </sharedItems>
    </cacheField>
    <cacheField name="Nature of Disaster (Disaster Sub-Type)" numFmtId="0">
      <sharedItems containsBlank="1" count="29">
        <m/>
        <s v="Drought"/>
        <s v="General Floods"/>
        <s v="Earthquake"/>
        <s v="Volcanic Eruption"/>
        <s v="Tropical Cyclone"/>
        <s v="Radiation"/>
        <s v="Conflict"/>
        <s v="Storm Surge"/>
        <s v="Air"/>
        <s v="Fire"/>
        <s v="Bacterial"/>
        <s v="Winter Storm"/>
        <s v="Road"/>
        <s v="Terrorism"/>
        <s v="Water"/>
        <s v="Winter Emergency"/>
        <s v="Explosion"/>
        <s v="Food Insecurity"/>
        <s v="Collapse"/>
        <s v="Parasitic"/>
        <s v="Rail"/>
        <s v="Viral"/>
        <s v="Forest Fire"/>
        <s v="Tsunami"/>
        <s v="Landslide"/>
        <s v="Local Storm"/>
        <s v="Civil Unrest"/>
        <s v="Disease"/>
      </sharedItems>
    </cacheField>
    <cacheField name="Disaster Sub-Sub Type" numFmtId="0">
      <sharedItems containsBlank="1" count="30">
        <m/>
        <s v="Drought"/>
        <s v="General Floods"/>
        <s v="Earthquake"/>
        <s v="Volcanic Eruption"/>
        <s v="Hurricane"/>
        <s v="Radiation"/>
        <s v="Conflict"/>
        <s v="Cyclone"/>
        <s v="Storm Surge"/>
        <s v="Air"/>
        <s v="Fire"/>
        <s v="Bacterial"/>
        <s v="Snowstorm"/>
        <s v="Road"/>
        <s v="Terrorism"/>
        <s v="Water"/>
        <s v="Tropical Storm"/>
        <s v="Urban Fire"/>
        <s v="Explosion"/>
        <s v="Food Insecurity"/>
        <s v="Collapse"/>
        <s v="Typhoon"/>
        <s v="Parasitic"/>
        <s v="Viral"/>
        <s v="Tsunami"/>
        <s v="Mudslide"/>
        <s v="Tornado"/>
        <s v="Civil Unrest"/>
        <s v="Cholera"/>
      </sharedItems>
    </cacheField>
    <cacheField name="Total Affected" numFmtId="0">
      <sharedItems containsString="0" containsNumber="1" containsInteger="1"/>
    </cacheField>
    <cacheField name="Appeal?Y/N" numFmtId="0">
      <sharedItems containsBlank="1" count="3">
        <m/>
        <s v="Y"/>
        <s v="N"/>
      </sharedItems>
    </cacheField>
    <cacheField name="Whose Appeal?" numFmtId="0">
      <sharedItems containsBlank="1" count="11">
        <m/>
        <s v="IFRC"/>
        <s v="IFRC/ ICRC"/>
        <s v="ICRC"/>
        <s v="IFRC/ICRC"/>
        <s v="NS"/>
        <s v="?"/>
        <s v="ICRC &amp; IFRC"/>
        <s v="ICRC/Ntl Socs"/>
        <s v="ICRC /IFRC"/>
        <s v="IFRC &amp; ICRC"/>
      </sharedItems>
    </cacheField>
    <cacheField name="Appeal Amount" numFmtId="0">
      <sharedItems containsString="0" containsNumber="1" containsInteger="1"/>
    </cacheField>
    <cacheField name="Appeal #" numFmtId="0">
      <sharedItems containsString="0"/>
    </cacheField>
    <cacheField name="% of Appeal Covered by ARC" numFmtId="0">
      <sharedItems containsString="0" containsNumber="1"/>
    </cacheField>
    <cacheField name="Overall Appeal Coverage" numFmtId="0">
      <sharedItems containsString="0" containsNumber="1"/>
    </cacheField>
    <cacheField name="IFRC DREF?" numFmtId="0">
      <sharedItems containsBlank="1" count="3">
        <m/>
        <s v="Y"/>
        <s v="N"/>
      </sharedItems>
    </cacheField>
    <cacheField name="DREF Amount" numFmtId="0">
      <sharedItems containsString="0" containsNumber="1" containsInteger="1"/>
    </cacheField>
    <cacheField name="Multilateral Beneficiaries" numFmtId="0">
      <sharedItems containsString="0" containsNumber="1" containsInteger="1"/>
    </cacheField>
    <cacheField name="Direct Beneficiaries" numFmtId="0">
      <sharedItems containsBlank="1" containsMixedTypes="1" containsNumber="1" containsInteger="1" minValue="0" maxValue="50000" count="25">
        <m/>
        <n v="2500"/>
        <n v="3600"/>
        <n v="3000"/>
        <n v="5000"/>
        <n v="24000"/>
        <n v="10000"/>
        <s v="n/a"/>
        <n v="0"/>
        <n v="6445"/>
        <n v="15000"/>
        <n v="1250"/>
        <s v="-"/>
        <n v="10380"/>
        <n v="640"/>
        <n v="20000"/>
        <n v="165"/>
        <n v="50000"/>
        <n v="25000"/>
        <n v="21668"/>
        <n v="4639"/>
        <n v="1000"/>
        <n v="1500"/>
        <n v="300"/>
        <n v="2000"/>
      </sharedItems>
    </cacheField>
    <cacheField name="Contribution to IFRC or ICRC &gt;/= $50K?" numFmtId="0">
      <sharedItems containsString="0" containsBlank="1" containsNumber="1" containsInteger="1" minValue="0" maxValue="1" count="3">
        <m/>
        <n v="1"/>
        <n v="0"/>
      </sharedItems>
    </cacheField>
    <cacheField name="Cash to IFRC" numFmtId="0">
      <sharedItems containsString="0" containsNumber="1"/>
    </cacheField>
    <cacheField name="Cash to ICRC" numFmtId="0">
      <sharedItems containsBlank="1" containsMixedTypes="1" containsNumber="1" minValue="50000" maxValue="4377346.43" count="15">
        <m/>
        <n v="104805"/>
        <n v="100000"/>
        <n v="242000"/>
        <n v="1000000"/>
        <n v="250000"/>
        <n v="1058600"/>
        <n v="50000"/>
        <n v="2000000"/>
        <n v="200000"/>
        <n v="714000"/>
        <s v=" "/>
        <n v="360625"/>
        <n v="500000"/>
        <n v="4377346.43"/>
      </sharedItems>
    </cacheField>
    <cacheField name="Cash to NS" numFmtId="0">
      <sharedItems containsString="0" containsNumber="1"/>
    </cacheField>
    <cacheField name="Total Cash" numFmtId="0">
      <sharedItems containsString="0" containsNumber="1"/>
    </cacheField>
    <cacheField name="ARC People Deployed" numFmtId="0">
      <sharedItems containsString="0" containsBlank="1" containsNumber="1" containsInteger="1" minValue="0" maxValue="82" count="19">
        <m/>
        <n v="0"/>
        <n v="1"/>
        <n v="20"/>
        <n v="2"/>
        <n v="3"/>
        <n v="4"/>
        <n v="10"/>
        <n v="23"/>
        <n v="9"/>
        <n v="5"/>
        <n v="12"/>
        <n v="19"/>
        <n v="8"/>
        <n v="30"/>
        <n v="7"/>
        <n v="6"/>
        <n v="17"/>
        <n v="82"/>
      </sharedItems>
    </cacheField>
    <cacheField name="ERUs" numFmtId="0">
      <sharedItems containsBlank="1" count="4">
        <m/>
        <s v="Relief ERU"/>
        <s v="IT/Telecoms"/>
        <s v=" IT/Telecoms; Relief ERU"/>
      </sharedItems>
    </cacheField>
    <cacheField name="Individual Deploy-ments" numFmtId="0">
      <sharedItems containsString="0" containsBlank="1" containsNumber="1" containsInteger="1" minValue="1" maxValue="85" count="7">
        <m/>
        <n v="1"/>
        <n v="2"/>
        <n v="5"/>
        <n v="3"/>
        <n v="85"/>
        <n v="6"/>
      </sharedItems>
    </cacheField>
    <cacheField name="Total ARC Items Supplied" numFmtId="0">
      <sharedItems containsString="0" containsNumber="1"/>
    </cacheField>
    <cacheField name="Pre-positioned?" numFmtId="0">
      <sharedItems containsBlank="1" count="4">
        <m/>
        <s v="mixed"/>
        <s v="Y"/>
        <s v="N"/>
      </sharedItems>
    </cacheField>
    <cacheField name="Hygiene Kits" numFmtId="0">
      <sharedItems containsString="0" containsBlank="1" containsNumber="1" containsInteger="1" minValue="214" maxValue="45000" count="17">
        <m/>
        <n v="11200"/>
        <n v="2200"/>
        <n v="500"/>
        <n v="10000"/>
        <n v="45000"/>
        <n v="1000"/>
        <n v="750"/>
        <n v="18000"/>
        <n v="2372"/>
        <n v="4500"/>
        <n v="3500"/>
        <n v="4000"/>
        <n v="7500"/>
        <n v="1840"/>
        <n v="1160"/>
        <n v="214"/>
      </sharedItems>
    </cacheField>
    <cacheField name="Blankets" numFmtId="0">
      <sharedItems containsString="0" containsBlank="1" containsNumber="1" containsInteger="1" minValue="1000" maxValue="222900" count="20">
        <m/>
        <n v="55000"/>
        <n v="4625"/>
        <n v="5100"/>
        <n v="6000"/>
        <n v="34200"/>
        <n v="27000"/>
        <n v="1000"/>
        <n v="5000"/>
        <n v="222900"/>
        <n v="7050"/>
        <n v="2000"/>
        <n v="25000"/>
        <n v="37500"/>
        <n v="4000"/>
        <n v="20981"/>
        <n v="198970"/>
        <n v="7500"/>
        <n v="35000"/>
        <n v="1500"/>
      </sharedItems>
    </cacheField>
    <cacheField name="Jerry Cans" numFmtId="0">
      <sharedItems containsString="0" containsBlank="1" containsNumber="1" containsInteger="1" minValue="321" maxValue="30000" count="14">
        <m/>
        <n v="10500"/>
        <n v="2550"/>
        <n v="30000"/>
        <n v="2350"/>
        <n v="481"/>
        <n v="802"/>
        <n v="321"/>
        <n v="8000"/>
        <n v="7500"/>
        <n v="10000"/>
        <n v="5000"/>
        <n v="900"/>
        <n v="15000"/>
      </sharedItems>
    </cacheField>
    <cacheField name="Buckets" numFmtId="0">
      <sharedItems containsString="0" containsBlank="1" containsNumber="1" containsInteger="1" minValue="3650" maxValue="28000" count="5">
        <m/>
        <n v="28000"/>
        <n v="4800"/>
        <n v="7500"/>
        <n v="3650"/>
      </sharedItems>
    </cacheField>
    <cacheField name="Tents" numFmtId="0">
      <sharedItems containsString="0" containsBlank="1" containsNumber="1" containsInteger="1" minValue="5" maxValue="5200" count="12">
        <m/>
        <n v="36"/>
        <n v="761"/>
        <n v="757"/>
        <n v="490"/>
        <n v="11"/>
        <n v="150"/>
        <n v="5"/>
        <n v="25"/>
        <n v="5200"/>
        <n v="45"/>
        <n v="500"/>
      </sharedItems>
    </cacheField>
    <cacheField name="Kitchen Sets" numFmtId="0">
      <sharedItems containsString="0" containsBlank="1" containsNumber="1" containsInteger="1" minValue="500" maxValue="18000" count="10">
        <m/>
        <n v="18000"/>
        <n v="2000"/>
        <n v="1000"/>
        <n v="5000"/>
        <n v="3000"/>
        <n v="7500"/>
        <n v="1500"/>
        <n v="500"/>
        <n v="10000"/>
      </sharedItems>
    </cacheField>
    <cacheField name="Sleeping Mats / Bedsheets" numFmtId="0">
      <sharedItems containsString="0" containsBlank="1" containsNumber="1" containsInteger="1" minValue="500" maxValue="30518" count="8">
        <m/>
        <n v="6120"/>
        <n v="6000"/>
        <n v="1100"/>
        <n v="5000"/>
        <n v="12360"/>
        <n v="500"/>
        <n v="30518"/>
      </sharedItems>
    </cacheField>
    <cacheField name="Mosquito Nets" numFmtId="0">
      <sharedItems containsString="0" containsBlank="1" containsNumber="1" containsInteger="1" minValue="1000" maxValue="20000" count="7">
        <m/>
        <n v="10000"/>
        <n v="20000"/>
        <n v="1000"/>
        <n v="6000"/>
        <n v="6800"/>
        <n v="13200"/>
      </sharedItems>
    </cacheField>
    <cacheField name="Food Parcels" numFmtId="0">
      <sharedItems containsString="0" containsBlank="1" containsNumber="1" containsInteger="1" minValue="2600" maxValue="40000" count="6">
        <m/>
        <n v="40000"/>
        <n v="5000"/>
        <n v="2600"/>
        <n v="14500"/>
        <n v="9000"/>
      </sharedItems>
    </cacheField>
    <cacheField name="Tarps" numFmtId="0">
      <sharedItems containsString="0" containsBlank="1" containsNumber="1" containsInteger="1" minValue="20" maxValue="11000" count="15">
        <m/>
        <n v="250"/>
        <n v="1000"/>
        <n v="20"/>
        <n v="1105"/>
        <n v="110"/>
        <n v="3000"/>
        <n v="3900"/>
        <n v="11000"/>
        <n v="350"/>
        <n v="2000"/>
        <n v="10000"/>
        <n v="9995"/>
        <n v="1300"/>
        <n v="1500"/>
      </sharedItems>
    </cacheField>
    <cacheField name="Vehicles" numFmtId="0">
      <sharedItems containsString="0" containsBlank="1" containsNumber="1" containsInteger="1" minValue="1" maxValue="7" count="5">
        <m/>
        <n v="7"/>
        <n v="5"/>
        <n v="1"/>
        <n v="2"/>
      </sharedItems>
    </cacheField>
    <cacheField name="Other Items" numFmtId="0">
      <sharedItems containsString="0" containsBlank="1" containsNumber="1" containsInteger="1" minValue="3000" maxValue="6250" count="3">
        <m/>
        <n v="3000"/>
        <n v="6250"/>
      </sharedItems>
    </cacheField>
    <cacheField name="Rice Bags" numFmtId="0">
      <sharedItems containsString="0" containsBlank="1" count="1">
        <m/>
      </sharedItems>
    </cacheField>
    <cacheField name="Value of Supplies" numFmtId="0">
      <sharedItems containsString="0" containsNumber="1"/>
    </cacheField>
    <cacheField name="Operational (People) Cost for Response Phase" numFmtId="0">
      <sharedItems containsString="0" containsNumber="1"/>
    </cacheField>
    <cacheField name="Total $ Response Phase" numFmtId="0">
      <sharedItems containsString="0" containsNumber="1"/>
    </cacheField>
    <cacheField name="Early Recovery $" numFmtId="0">
      <sharedItems containsString="0" containsBlank="1" containsNumber="1" minValue="764192.86" maxValue="337000000" count="8">
        <m/>
        <n v="9767769"/>
        <n v="1200000"/>
        <n v="764192.86"/>
        <n v="337000000"/>
        <n v="5304000"/>
        <n v="1000000"/>
        <n v="2525023"/>
      </sharedItems>
    </cacheField>
    <cacheField name="Future Contrib Anticipated $" numFmtId="0">
      <sharedItems containsString="0" containsBlank="1" count="1">
        <m/>
      </sharedItems>
    </cacheField>
    <cacheField name="Beneficiaries Served (Final Report)" numFmtId="0">
      <sharedItems containsString="0" containsNumber="1"/>
    </cacheField>
    <cacheField name="Total Contributions" numFmtId="0">
      <sharedItems containsString="0" containsNumber="1"/>
    </cacheField>
    <cacheField name="AP Code" numFmtId="0">
      <sharedItems containsString="0" containsNumber="1" containsInteger="1"/>
    </cacheField>
    <cacheField name="Description " numFmtId="0">
      <sharedItems containsDate="1" containsString="0"/>
    </cacheField>
    <cacheField name="Comments on Contributions" numFmtId="0">
      <sharedItems containsString="0"/>
    </cacheField>
    <cacheField name="Funding Source &amp; Info" numFmtId="0">
      <sharedItems containsBlank="1" count="13">
        <m/>
        <s v="ARCT"/>
        <s v="OFDA grant for $500,000; ARCT funds used - $100,000"/>
        <s v="ARCT funds used - $100,000"/>
        <s v="ARCT Funds used - $200,000"/>
        <s v="ARCT Funds used"/>
        <s v="OFDA grant for $500,000 for NFIs"/>
        <s v="OFDA grant for $500,000 for cash transfer programming"/>
        <s v="UPS donated $50,000; ARCT Funds applied for as of 11/18/09"/>
        <s v="various - notably online and text donations from individuals; telethons. "/>
        <s v="ARCT funds - $200,000"/>
        <s v="OFDA"/>
        <s v="Potential ARCT funding for relief supplies"/>
      </sharedItems>
    </cacheField>
    <cacheField name="Stewardship report?" numFmtId="0">
      <sharedItems containsBlank="1" count="4">
        <m/>
        <s v="y"/>
        <s v="ARCT"/>
        <s v="definitely!"/>
      </sharedItems>
    </cacheField>
  </cacheFields>
  <extLst>
    <ext xmlns:x14="http://schemas.microsoft.com/office/spreadsheetml/2009/9/main" uri="{725AE2AE-9491-48be-B2B4-4EB974FC3084}">
      <x14:pivotCacheDefinition/>
    </ext>
  </extLst>
</pivotCacheDefinition>
</file>

<file path=xl/pivotCache/pivotCacheDefinition12.xml><?xml version="1.0" encoding="utf-8"?>
<pivotCacheDefinition xmlns="http://schemas.openxmlformats.org/spreadsheetml/2006/main" xmlns:r="http://schemas.openxmlformats.org/officeDocument/2006/relationships" invalid="1" refreshedBy="Amanda West" refreshedDate="40646.429571296299" createdVersion="1" refreshedVersion="2" recordCount="387" upgradeOnRefresh="1">
  <cacheSource type="worksheet">
    <worksheetSource name="DisasterData"/>
  </cacheSource>
  <cacheFields count="61">
    <cacheField name="Glide #" numFmtId="0">
      <sharedItems containsString="0"/>
    </cacheField>
    <cacheField name="ARC Disaster #" numFmtId="0">
      <sharedItems containsString="0" containsNumber="1" containsInteger="1"/>
    </cacheField>
    <cacheField name="Disaster Name" numFmtId="0">
      <sharedItems containsBlank="1" count="251">
        <s v="Mexico Earthquake"/>
        <s v="Armenia Earthquake"/>
        <s v="Rwanda Crisis"/>
        <s v="Hurricane Mitch"/>
        <s v="Balkans Crisis"/>
        <s v="Ethiopia Drought"/>
        <s v="Mexico Floods"/>
        <s v="Costa Rica Floods"/>
        <s v="China Floods"/>
        <s v="Turkey Earthquake"/>
        <s v="Nicaragua Volcano"/>
        <s v="Cambodia Floods"/>
        <s v="Greece Earthquake"/>
        <s v="Bahamas Storm"/>
        <s v="Taiwan Earthquake"/>
        <s v="Japan Industrial"/>
        <s v="Mexico Floods "/>
        <s v="Russian Fed. Conflict"/>
        <s v="Timor-Leste Conflict"/>
        <s v="Bangladesh Floods"/>
        <s v="India Storm"/>
        <s v="Vietnam Floods"/>
        <s v="Dominica Storm"/>
        <s v="St. Kitts &amp; Nevis Storm"/>
        <s v="Antigua Storm"/>
        <s v="Grenada Storm"/>
        <s v="St. Maartens Storm"/>
        <s v="Venezuela Floods"/>
        <s v="South Africa Floods"/>
        <s v="Botswana Floods"/>
        <s v="Zimbabwe Floods"/>
        <s v="Madagascar Floods"/>
        <s v="Indonesia Earthquake"/>
        <s v="India Floods"/>
        <s v="Belize Storm"/>
        <s v="Israel Conflict"/>
        <s v="Jordan Conflict"/>
        <s v="Palestine Conflict"/>
        <s v="Taiwan Transport"/>
        <s v="Austria Miscellaneous"/>
        <s v="Azerbaijan Earthquake"/>
        <s v="Sri Lanka Storm"/>
        <s v="South Africa Epidemic"/>
        <s v="El Salvador Earthquake"/>
        <s v="China Storm"/>
        <s v="India Earthquake"/>
        <s v="Mozambique Floods"/>
        <s v="Malawi Floods"/>
        <s v="Bolivia Floods"/>
        <s v="Peru Floods"/>
        <s v="Canada Transport"/>
        <s v="Russian Fed. Floods"/>
        <s v="Macedonia Conflict"/>
        <s v="Bosnia Floods"/>
        <s v="Peru Earthquake"/>
        <s v="El Salvador Drought"/>
        <s v="Honduras Drought"/>
        <s v="Nicaragua Drought"/>
        <s v="Guatemala Drought"/>
        <s v="Ecuador Volcano"/>
        <s v="Afghanistan Conflict"/>
        <s v="Pakistan Conflict"/>
        <s v="Uzbekistan Conflict"/>
        <s v="Iran Conflict"/>
        <s v="Turkmenistan Conflict"/>
        <s v="US Terrorism"/>
        <s v="Mexico Transport"/>
        <s v="Mexico Storm"/>
        <s v="Belize Meteorological"/>
        <s v="Belize Transport"/>
        <s v="Honduras Storm"/>
        <s v="Nicaragua Storm"/>
        <s v="Cuba Storm"/>
        <s v="Jamaica Storm"/>
        <s v="US Transport"/>
        <s v="Cambodia Miscellaneous"/>
        <s v="Albania Storm"/>
        <s v="DR Congo Volcano"/>
        <s v="Nigeria Industrial"/>
        <s v="Afghanistan Earthquake"/>
        <s v="Panama Floods"/>
        <s v="Kenya Floods"/>
        <s v="Malawi Food Insecurity"/>
        <s v="Nicaragua  Floods"/>
        <s v="Syria Miscellaneous"/>
        <s v="FS Micronesia Storm"/>
        <s v="Peru Storm"/>
        <s v="Bolivia Storm"/>
        <s v="Romania Floods"/>
        <s v="Germany Floods"/>
        <s v="Czech Republic Floods"/>
        <s v="Slovakia Floods"/>
        <s v="Hungary Floods"/>
        <s v="Austria Floods"/>
        <s v="Paraguay Drought"/>
        <s v="South Korea Storm"/>
        <s v="Italy Earthquake"/>
        <s v="Indonesia Terrorism"/>
        <s v="Australia Terrorism"/>
        <s v="Vietnam Miscellaneous"/>
        <s v="Lesotho Food Insecurity"/>
        <s v="Kenya Epidemic"/>
        <s v="Solomon Islands Storm"/>
        <s v="South Korea Transport"/>
        <s v="China Earthquake"/>
        <s v="Iraq Conflict"/>
        <s v="Syria Conflict"/>
        <s v="Turkey Conflict"/>
        <s v="Argentina Floods"/>
        <s v="China Epidemic"/>
        <s v="Hong Kong Epidemic"/>
        <s v="Sri Lanka Floods"/>
        <s v="Canada Wildfire"/>
        <s v="Dominican Republic Earthquake"/>
        <s v="Algeria Earthquake"/>
        <s v="Liberia Conflict"/>
        <s v="Dominican Republic Floods"/>
        <s v="Iran Earthquake"/>
        <s v="Panama Earthquake"/>
        <s v="North Korea Transport"/>
        <s v="Haiti Floods"/>
        <s v="Malawi Epidemic"/>
        <s v="Jamaica Conflict"/>
        <s v="Paraguay Miscellaneous"/>
        <s v="Chad Conflict"/>
        <s v="Sudan Conflict"/>
        <s v="Taiwan Storm"/>
        <s v="Cayman Islands Storm"/>
        <s v="Sri Lanka Tsunami"/>
        <s v="Indonesia Tsunami"/>
        <s v="Maldives Tsunami"/>
        <s v="Guyana Floods"/>
        <s v="Canada Floods"/>
        <s v="Hurricane Dennis - Jamaica "/>
        <s v="Hurricane Dennis - Grenada"/>
        <s v="Hurricane Dennis - Haiti"/>
        <s v="Sahel Food Crisis"/>
        <s v="Hurricane Katrina"/>
        <s v="Pakistan Earthquake"/>
        <s v="Hurricane Stan - Guatemala"/>
        <s v="Hurricane Stan - Mexico"/>
        <s v="El Salvador Hurricane Stan &amp; Volcano Eruption"/>
        <s v="Hurricane Wilma - Bahamas"/>
        <s v="Hurricane Wilma - Mexico"/>
        <s v="Vietnam Typhoon Damrey"/>
        <s v="Colombia Volcano"/>
        <s v="Southern Africa Food Security Crisis - Lesotho"/>
        <s v="Southern Africa Food Security Crisis - Malawi"/>
        <s v="Southern Africa Food Security Crisis - Zimbabwe"/>
        <s v="Southern Africa Food Security Crisis - Zambia"/>
        <s v="Eastern Africa Drought"/>
        <s v="Iraq Humanitarian Emergency"/>
        <s v="Timor-Leste Floods"/>
        <s v="Philippines Mudslides"/>
        <s v="Angola Cholera Epidemic"/>
        <s v="Somalia Drought"/>
        <s v="Spain Terrorism"/>
        <s v="Colombia Floods"/>
        <s v="Indonesia Yogyakarta Earthquake"/>
        <s v="Middle East Humanitarian Crisis"/>
        <s v="Ecuador Volanic Eruption"/>
        <s v="Ethiopia Floods"/>
        <s v="Sudan Floods"/>
        <s v="Philippines Typhoons"/>
        <s v="Vietnam Typhoons"/>
        <s v="Somalia Conflict"/>
        <s v="Somalia Floods"/>
        <s v="Sri Lanka Conflict"/>
        <s v="Madagascar Cyclones"/>
        <s v="Solomon Islands Tsunami/ Earthquake"/>
        <s v="Colombia Tolima Floods"/>
        <s v="Mexico Coahuila Tornado"/>
        <s v="Pakistan Cyclone Yemyin"/>
        <s v="United Kingdom Floods"/>
        <s v="Nepal Floods"/>
        <s v="Hurricane Dean"/>
        <s v="Greece Wildfire"/>
        <s v="Hurricane Felix"/>
        <s v="Indonesia Bengkulu Earthquake"/>
        <s v="Uganda Floods"/>
        <s v="Togo Floods"/>
        <s v="Tropical Storm Noel"/>
        <s v="Vietnam Typhoon Lekima"/>
        <s v="Bangladesh Cyclone Sidr"/>
        <s v="Papua New Guinea Storm"/>
        <s v="Kenya Election Civil Unrest"/>
        <s v="China Snow Disaster"/>
        <s v="Guyana Civil Unrest"/>
        <s v="Ecuador Floods"/>
        <s v="Madagascar Cyclone Ivan"/>
        <s v="Southern Africa Floods - Cyclone Jokwe"/>
        <s v="Myanmar Cyclone Nargis"/>
        <s v="China Sichuan Earthquake"/>
        <s v="Ethiopia Food Insecurity"/>
        <s v="South Africa Civil Unrest"/>
        <s v="Chile Floods"/>
        <s v="Philippines – Typhoon Fengshen"/>
        <s v="Yemen Conflict"/>
        <s v="Suriname Floods"/>
        <s v="Moldova and Ukraine Floods"/>
        <s v="Georgia Conflict"/>
        <s v="Haiti Hurricane Season 2008"/>
        <s v="Carribean Hurricane Season 2008 - Bahamas"/>
        <s v="Carribean Hurricane Season 2008 -  Jamaica"/>
        <s v="Cuba Hurricane Season 2008"/>
        <s v="Central America Floods"/>
        <s v="Pakistan Baluchistan Earthquake"/>
        <s v="Panama &amp; Costa Rica Floods"/>
        <s v="Horn of Africa Food Insecurity Crisis"/>
        <s v="Uganda, Rwanda, Burundi Population Movement"/>
        <s v="Zimbabwe Cholera Epidemic"/>
        <s v="Gaza Conflict - Israel"/>
        <s v="Gaza Conflict - Palestine"/>
        <s v="Costa Rica Earthquake"/>
        <s v="Australia Wildfires"/>
        <s v="Namibia Floods"/>
        <s v="Africa Polio Outbreak"/>
        <s v="Pakistan Internally Displaced Persons Crisis"/>
        <s v="Bangladesh Cyclone Aila"/>
        <s v="Tajikistan Mudslides and Floods"/>
        <s v="Syria Drought"/>
        <s v="West &amp; Central Africa Floods - Burkina Faso"/>
        <s v="West &amp; Central Africa Floods - Senegal"/>
        <s v="Mexico Hurricane Jimena"/>
        <s v="Java Indonesia Earthquake"/>
        <s v="Southeast Asia Typhoons - Philippines"/>
        <s v="Southeast Asia Typhoons - Vietnam"/>
        <s v="West Sumatra Indonesia Earthquake"/>
        <s v="Samoa Islands Tsunami"/>
        <s v="Kenya Drought"/>
        <s v="El Salvador Floods"/>
        <s v="Haiti Earthquake"/>
        <s v="Tanzania Floods"/>
        <s v="Chile Earthquake"/>
        <s v="Mongolia Severe Winter"/>
        <s v="Nepal Diarrhea Outbreak"/>
        <s v="Tropical Storm Agatha"/>
        <s v="Kyrgyzstan-Uzbekistan Population Movement"/>
        <s v="Pakistan Monsoon Floods"/>
        <s v="Haiti Cholera Outbreak"/>
        <s v="Philippines Typhoon Megi"/>
        <s v="Indonesia Tsunami &amp; Volcanic Eruption"/>
        <s v="Caribbean Hurricane Tomas"/>
        <s v="Belize Hurricane Richard"/>
        <s v="Colombian Floods"/>
        <s v="North Africa &amp; Middle East Civil Unrest"/>
        <s v="New Zealand Earthquake"/>
        <s v="Paraguay Dengue Epidemic"/>
        <s v="Japan Earthquake &amp; Tsunami"/>
        <s v="West African Population Movement"/>
        <m/>
      </sharedItems>
    </cacheField>
    <cacheField name="Date of Response" numFmtId="0">
      <sharedItems containsDate="1" containsString="0" containsBlank="1" minDate="1985-09-01T00:00:00" maxDate="2011-04-02T00:00:00" count="146">
        <d v="1985-09-01T00:00:00"/>
        <d v="1988-12-01T00:00:00"/>
        <d v="1994-06-01T00:00:00"/>
        <d v="1998-10-01T00:00:00"/>
        <d v="1999-03-01T00:00:00"/>
        <d v="1999-06-01T00:00:00"/>
        <d v="1999-08-01T00:00:00"/>
        <d v="1999-09-01T00:00:00"/>
        <d v="1999-10-01T00:00:00"/>
        <d v="1999-11-01T00:00:00"/>
        <d v="1999-12-01T00:00:00"/>
        <d v="2000-02-01T00:00:00"/>
        <d v="2000-03-01T00:00:00"/>
        <d v="2000-04-01T00:00:00"/>
        <d v="2000-06-01T00:00:00"/>
        <d v="2000-08-01T00:00:00"/>
        <d v="2000-09-01T00:00:00"/>
        <d v="2000-10-01T00:00:00"/>
        <d v="2000-11-01T00:00:00"/>
        <d v="2000-12-01T00:00:00"/>
        <d v="2001-01-01T00:00:00"/>
        <d v="2001-02-01T00:00:00"/>
        <d v="2001-03-01T00:00:00"/>
        <d v="2001-04-01T00:00:00"/>
        <d v="2001-05-01T00:00:00"/>
        <d v="2001-06-01T00:00:00"/>
        <d v="2001-07-01T00:00:00"/>
        <d v="2001-08-01T00:00:00"/>
        <d v="2001-09-01T00:00:00"/>
        <d v="2001-10-01T00:00:00"/>
        <d v="2001-11-01T00:00:00"/>
        <d v="2002-01-01T00:00:00"/>
        <d v="2002-02-01T00:00:00"/>
        <d v="2002-03-01T00:00:00"/>
        <d v="2002-04-01T00:00:00"/>
        <d v="2002-05-01T00:00:00"/>
        <d v="2002-06-01T00:00:00"/>
        <d v="2002-07-01T00:00:00"/>
        <d v="2002-08-01T00:00:00"/>
        <d v="2002-09-01T00:00:00"/>
        <d v="2002-10-01T00:00:00"/>
        <d v="2002-12-01T00:00:00"/>
        <d v="2003-01-01T00:00:00"/>
        <d v="2003-02-01T00:00:00"/>
        <d v="2003-03-01T00:00:00"/>
        <d v="2003-05-01T00:00:00"/>
        <d v="2003-07-01T00:00:00"/>
        <d v="2003-09-01T00:00:00"/>
        <d v="2003-10-01T00:00:00"/>
        <d v="2003-08-01T00:00:00"/>
        <d v="2003-11-01T00:00:00"/>
        <d v="2003-12-01T00:00:00"/>
        <d v="2004-04-01T00:00:00"/>
        <d v="2004-05-01T00:00:00"/>
        <d v="2004-07-01T00:00:00"/>
        <d v="2004-08-01T00:00:00"/>
        <d v="2004-09-01T00:00:00"/>
        <d v="2004-11-01T00:00:00"/>
        <d v="2004-12-01T00:00:00"/>
        <d v="2005-01-01T00:00:00"/>
        <d v="2005-06-01T00:00:00"/>
        <d v="2005-07-01T00:00:00"/>
        <d v="2005-08-01T00:00:00"/>
        <d v="2005-10-01T00:00:00"/>
        <d v="2005-11-01T00:00:00"/>
        <d v="2006-01-01T00:00:00"/>
        <d v="2006-03-01T00:00:00"/>
        <d v="2006-02-01T00:00:00"/>
        <d v="2006-05-01T00:00:00"/>
        <d v="2006-04-01T00:00:00"/>
        <d v="2006-07-01T00:00:00"/>
        <d v="2006-08-01T00:00:00"/>
        <d v="2006-09-01T00:00:00"/>
        <d v="2006-10-01T00:00:00"/>
        <d v="2006-11-01T00:00:00"/>
        <d v="2007-02-01T00:00:00"/>
        <d v="2007-03-01T00:00:00"/>
        <d v="2007-04-01T00:00:00"/>
        <d v="2007-05-01T00:00:00"/>
        <d v="2007-06-01T00:00:00"/>
        <d v="2007-07-01T00:00:00"/>
        <d v="2007-08-01T00:00:00"/>
        <d v="2007-09-01T00:00:00"/>
        <d v="2007-10-01T00:00:00"/>
        <d v="2007-11-01T00:00:00"/>
        <d v="2008-01-01T00:00:00"/>
        <d v="2008-02-01T00:00:00"/>
        <d v="2008-03-08T00:00:00"/>
        <d v="2008-05-08T00:00:00"/>
        <d v="2008-06-08T00:00:00"/>
        <d v="2008-07-08T00:00:00"/>
        <d v="2008-07-01T00:00:00"/>
        <d v="2008-08-01T00:00:00"/>
        <d v="2008-09-08T00:00:00"/>
        <d v="2008-10-01T00:00:00"/>
        <d v="2008-11-08T00:00:00"/>
        <d v="2008-12-09T00:00:00"/>
        <d v="2008-12-08T00:00:00"/>
        <d v="2008-12-11T00:00:00"/>
        <d v="2008-12-12T00:00:00"/>
        <d v="2008-12-13T00:00:00"/>
        <d v="2008-12-10T00:00:00"/>
        <d v="2008-12-14T00:00:00"/>
        <d v="2008-12-17T00:00:00"/>
        <d v="2009-01-08T00:00:00"/>
        <d v="2009-02-07T00:00:00"/>
        <d v="2009-03-05T00:00:00"/>
        <d v="2009-03-19T00:00:00"/>
        <d v="2009-04-07T00:00:00"/>
        <d v="2009-05-15T00:00:00"/>
        <d v="2009-06-26T00:00:00"/>
        <d v="2009-08-12T00:00:00"/>
        <d v="2009-09-01T00:00:00"/>
        <d v="2009-09-10T00:00:00"/>
        <d v="2009-09-03T00:00:00"/>
        <d v="2009-09-02T00:00:00"/>
        <d v="2009-10-01T00:00:00"/>
        <d v="2009-10-27T00:00:00"/>
        <d v="2009-11-05T00:00:00"/>
        <d v="2009-11-12T00:00:00"/>
        <d v="2009-11-16T00:00:00"/>
        <d v="2010-01-12T00:00:00"/>
        <d v="2010-01-25T00:00:00"/>
        <d v="2010-02-27T00:00:00"/>
        <d v="2010-04-10T00:00:00"/>
        <d v="2010-05-10T00:00:00"/>
        <d v="2010-05-20T00:00:00"/>
        <d v="2010-06-01T00:00:00"/>
        <d v="2010-08-02T00:00:00"/>
        <d v="2010-10-01T00:00:00"/>
        <d v="2010-10-18T00:00:00"/>
        <d v="2010-10-24T00:00:00"/>
        <d v="2010-10-26T00:00:00"/>
        <d v="2010-11-08T00:00:00"/>
        <d v="2010-11-03T00:00:00"/>
        <d v="2010-11-09T00:00:00"/>
        <d v="2010-11-10T00:00:00"/>
        <d v="2010-12-16T00:00:00"/>
        <d v="2010-11-30T00:00:00"/>
        <d v="2011-02-28T00:00:00"/>
        <d v="2011-02-23T00:00:00"/>
        <d v="2011-03-01T00:00:00"/>
        <d v="2011-03-11T00:00:00"/>
        <d v="2011-03-23T00:00:00"/>
        <d v="2011-04-01T00:00:00"/>
        <m/>
      </sharedItems>
    </cacheField>
    <cacheField name="Fiscal Year" numFmtId="0">
      <sharedItems containsString="0" containsBlank="1" containsNumber="1" containsInteger="1" minValue="1986" maxValue="2011" count="17">
        <n v="1986"/>
        <n v="1989"/>
        <n v="1994"/>
        <n v="1999"/>
        <n v="2000"/>
        <n v="2001"/>
        <n v="2002"/>
        <n v="2003"/>
        <n v="2004"/>
        <n v="2005"/>
        <n v="2006"/>
        <n v="2007"/>
        <n v="2008"/>
        <n v="2009"/>
        <n v="2010"/>
        <n v="2011"/>
        <m/>
      </sharedItems>
    </cacheField>
    <cacheField name="FY #" numFmtId="0">
      <sharedItems containsString="0" containsNumber="1" containsInteger="1"/>
    </cacheField>
    <cacheField name="Quarter" numFmtId="0">
      <sharedItems containsBlank="1" count="5">
        <m/>
        <s v="Q3"/>
        <s v="Q4"/>
        <s v="Q1"/>
        <s v="Q2"/>
      </sharedItems>
    </cacheField>
    <cacheField name="Calendar Year" numFmtId="0">
      <sharedItems containsString="0" containsBlank="1" containsNumber="1" containsInteger="1" minValue="1985" maxValue="2011" count="18">
        <n v="1985"/>
        <n v="1988"/>
        <n v="1994"/>
        <n v="1998"/>
        <n v="1999"/>
        <n v="2000"/>
        <n v="2001"/>
        <n v="2002"/>
        <n v="2003"/>
        <n v="2004"/>
        <n v="2005"/>
        <n v="2006"/>
        <n v="2007"/>
        <n v="2008"/>
        <n v="2009"/>
        <n v="2010"/>
        <n v="2011"/>
        <m/>
      </sharedItems>
    </cacheField>
    <cacheField name="CY #" numFmtId="0">
      <sharedItems containsString="0" containsNumber="1" containsInteger="1"/>
    </cacheField>
    <cacheField name="Region" numFmtId="0">
      <sharedItems containsBlank="1" count="5">
        <m/>
        <s v="Africa"/>
        <s v="LAC"/>
        <s v="Europe/Asia"/>
        <s v="North America"/>
      </sharedItems>
    </cacheField>
    <cacheField name="Country" numFmtId="0">
      <sharedItems containsBlank="1" count="118">
        <m/>
        <s v="Ethiopia"/>
        <s v="Mexico"/>
        <s v="Costa Rica"/>
        <s v="China"/>
        <s v="Turkey"/>
        <s v="Nicaragua"/>
        <s v="Cambodia"/>
        <s v="Greece"/>
        <s v="Bahamas"/>
        <s v="Taiwan"/>
        <s v="Japan"/>
        <s v="Russian Fed."/>
        <s v="Timor-Leste"/>
        <s v="Bangladesh"/>
        <s v="India"/>
        <s v="Vietnam"/>
        <s v="Dominica"/>
        <s v="St. Kitts &amp; Nevis"/>
        <s v="Antigua"/>
        <s v="Grenada"/>
        <s v="St. Maartens"/>
        <s v="Venezuela"/>
        <s v="South Africa"/>
        <s v="Botswana"/>
        <s v="Zimbabwe"/>
        <s v="Madagascar"/>
        <s v="Indonesia"/>
        <s v="Belize"/>
        <s v="Israel"/>
        <s v="Jordan"/>
        <s v="Palestine"/>
        <s v="Austria"/>
        <s v="Azerbaijan"/>
        <s v="Sri Lanka"/>
        <s v="El Salvador"/>
        <s v="Mozambique"/>
        <s v="Malawi"/>
        <s v="Bolivia"/>
        <s v="Peru"/>
        <s v="Canada"/>
        <s v="Macedonia"/>
        <s v="Bosnia"/>
        <s v="Honduras"/>
        <s v="Guatemala"/>
        <s v="Ecuador"/>
        <s v="Afghanistan"/>
        <s v="Pakistan"/>
        <s v="Uzbekistan"/>
        <s v="Iran"/>
        <s v="Turkmenistan"/>
        <s v="US"/>
        <s v="Cuba"/>
        <s v="Jamaica"/>
        <s v="Albania"/>
        <s v="DR Congo"/>
        <s v="Nigeria"/>
        <s v="Panama"/>
        <s v="Kenya"/>
        <s v="Syria"/>
        <s v="FS Micronesia"/>
        <s v="Romania"/>
        <s v="Germany"/>
        <s v="Czech Republic"/>
        <s v="Slovakia"/>
        <s v="Hungary"/>
        <s v="Paraguay"/>
        <s v="South Korea"/>
        <s v="Italy"/>
        <s v="Australia"/>
        <s v="Lesotho"/>
        <s v="Solomon Islands"/>
        <s v="Iraq"/>
        <s v="Argentina"/>
        <s v="Hong Kong"/>
        <s v="Dominican Republic"/>
        <s v="Algeria"/>
        <s v="Liberia"/>
        <s v="North Korea"/>
        <s v="Haiti"/>
        <s v="Chad"/>
        <s v="Sudan"/>
        <s v="Cayman Islands"/>
        <s v="Bahamas "/>
        <s v="Maldives"/>
        <s v="Guyana"/>
        <s v="Niger"/>
        <s v="Colombia"/>
        <s v="Zambia"/>
        <s v="Philippines"/>
        <s v="Angola"/>
        <s v="Somalia"/>
        <s v="Spain"/>
        <s v="Lebanon"/>
        <s v="United Kingdom"/>
        <s v="Nepal"/>
        <s v="Uganda"/>
        <s v="Togo"/>
        <s v="Papua New Guinea"/>
        <s v="Tanzania"/>
        <s v="Myanmar"/>
        <s v="Chile"/>
        <s v="Yemen"/>
        <s v="Suriname"/>
        <s v="Ukraine"/>
        <s v="Georgia"/>
        <s v="[rollup]"/>
        <s v="Djibouti"/>
        <s v="Namibia"/>
        <s v="Tajikistan"/>
        <s v="Burkina Faso"/>
        <s v="Senegal"/>
        <s v="Samoa"/>
        <s v="Mongolia"/>
        <s v="Kyrgyzstan"/>
        <s v="Saint Lucia/ Saint Vincent and the Grenadines/ Barbados "/>
        <s v="Tunisia"/>
        <s v="New Zealand"/>
      </sharedItems>
    </cacheField>
    <cacheField name="Major Disaster Category" numFmtId="0">
      <sharedItems containsBlank="1" count="5">
        <m/>
        <s v="Hydrometerological"/>
        <s v="Human Related"/>
        <s v="Geophysical"/>
        <s v="Biological"/>
      </sharedItems>
    </cacheField>
    <cacheField name="Disaster Type" numFmtId="0">
      <sharedItems containsBlank="1" count="25">
        <m/>
        <s v="Drought"/>
        <s v="Floods"/>
        <s v="Earthquake"/>
        <s v="Volcano"/>
        <s v="Storm"/>
        <s v="Industrial"/>
        <s v="Floods "/>
        <s v="Conflict"/>
        <s v="Transport"/>
        <s v="Miscellaneous"/>
        <s v="Epidemic"/>
        <s v="Terrorism"/>
        <s v="Meteorological"/>
        <s v="Food Insecurity"/>
        <s v="Wildfire"/>
        <s v="Tsunami"/>
        <s v="Tropical Storm"/>
        <s v="Mass Movement Wet"/>
        <s v="Civil Unrest"/>
        <s v="Cyclone"/>
        <s v="Winter storm"/>
        <s v="Tsunami &amp; Volcanic Eruption"/>
        <s v="Earthquake/Tsunami"/>
        <s v="Population Movement"/>
      </sharedItems>
    </cacheField>
    <cacheField name="Nature of Disaster (Disaster Sub-Type)" numFmtId="0">
      <sharedItems containsBlank="1" count="29">
        <m/>
        <s v="Drought"/>
        <s v="General Floods"/>
        <s v="Earthquake"/>
        <s v="Volcanic Eruption"/>
        <s v="Tropical Cyclone"/>
        <s v="Radiation"/>
        <s v="Conflict"/>
        <s v="Storm Surge"/>
        <s v="Air"/>
        <s v="Fire"/>
        <s v="Bacterial"/>
        <s v="Winter Storm"/>
        <s v="Road"/>
        <s v="Terrorism"/>
        <s v="Water"/>
        <s v="Winter Emergency"/>
        <s v="Explosion"/>
        <s v="Food Insecurity"/>
        <s v="Collapse"/>
        <s v="Parasitic"/>
        <s v="Rail"/>
        <s v="Viral"/>
        <s v="Forest Fire"/>
        <s v="Tsunami"/>
        <s v="Landslide"/>
        <s v="Local Storm"/>
        <s v="Civil Unrest"/>
        <s v="Disease"/>
      </sharedItems>
    </cacheField>
    <cacheField name="Disaster Sub-Sub Type" numFmtId="0">
      <sharedItems containsBlank="1" count="30">
        <m/>
        <s v="Drought"/>
        <s v="General Floods"/>
        <s v="Earthquake"/>
        <s v="Volcanic Eruption"/>
        <s v="Hurricane"/>
        <s v="Radiation"/>
        <s v="Conflict"/>
        <s v="Cyclone"/>
        <s v="Storm Surge"/>
        <s v="Air"/>
        <s v="Fire"/>
        <s v="Bacterial"/>
        <s v="Snowstorm"/>
        <s v="Road"/>
        <s v="Terrorism"/>
        <s v="Water"/>
        <s v="Tropical Storm"/>
        <s v="Urban Fire"/>
        <s v="Explosion"/>
        <s v="Food Insecurity"/>
        <s v="Collapse"/>
        <s v="Typhoon"/>
        <s v="Parasitic"/>
        <s v="Viral"/>
        <s v="Tsunami"/>
        <s v="Mudslide"/>
        <s v="Tornado"/>
        <s v="Civil Unrest"/>
        <s v="Cholera"/>
      </sharedItems>
    </cacheField>
    <cacheField name="Total Affected" numFmtId="0">
      <sharedItems containsString="0" containsNumber="1" containsInteger="1"/>
    </cacheField>
    <cacheField name="Appeal?Y/N" numFmtId="0">
      <sharedItems containsBlank="1" count="3">
        <m/>
        <s v="Y"/>
        <s v="N"/>
      </sharedItems>
    </cacheField>
    <cacheField name="Whose Appeal?" numFmtId="0">
      <sharedItems containsBlank="1" count="11">
        <m/>
        <s v="IFRC"/>
        <s v="IFRC/ ICRC"/>
        <s v="ICRC"/>
        <s v="IFRC/ICRC"/>
        <s v="NS"/>
        <s v="?"/>
        <s v="ICRC &amp; IFRC"/>
        <s v="ICRC/Ntl Socs"/>
        <s v="ICRC /IFRC"/>
        <s v="IFRC &amp; ICRC"/>
      </sharedItems>
    </cacheField>
    <cacheField name="Appeal Amount" numFmtId="0">
      <sharedItems containsString="0" containsNumber="1" containsInteger="1"/>
    </cacheField>
    <cacheField name="Appeal #" numFmtId="0">
      <sharedItems containsString="0"/>
    </cacheField>
    <cacheField name="% of Appeal Covered by ARC" numFmtId="0">
      <sharedItems containsString="0" containsNumber="1"/>
    </cacheField>
    <cacheField name="Overall Appeal Coverage" numFmtId="0">
      <sharedItems containsString="0" containsNumber="1"/>
    </cacheField>
    <cacheField name="IFRC DREF?" numFmtId="0">
      <sharedItems containsBlank="1" count="3">
        <m/>
        <s v="Y"/>
        <s v="N"/>
      </sharedItems>
    </cacheField>
    <cacheField name="DREF Amount" numFmtId="0">
      <sharedItems containsString="0" containsNumber="1" containsInteger="1"/>
    </cacheField>
    <cacheField name="Multilateral Bene" numFmtId="0">
      <sharedItems containsString="0" containsNumber="1" containsInteger="1"/>
    </cacheField>
    <cacheField name="Direct Bene" numFmtId="0">
      <sharedItems containsString="0" containsNumber="1" containsInteger="1"/>
    </cacheField>
    <cacheField name="Contribution to IFRC or ICRC &gt;/= $50K?" numFmtId="0">
      <sharedItems containsString="0" containsBlank="1" containsNumber="1" containsInteger="1" minValue="0" maxValue="1" count="3">
        <m/>
        <n v="1"/>
        <n v="0"/>
      </sharedItems>
    </cacheField>
    <cacheField name="Cash to IFRC" numFmtId="0">
      <sharedItems containsString="0" containsNumber="1"/>
    </cacheField>
    <cacheField name="Cash to ICRC" numFmtId="0">
      <sharedItems containsBlank="1" containsMixedTypes="1" containsNumber="1" minValue="50000" maxValue="4377346.43" count="15">
        <m/>
        <n v="104805"/>
        <n v="100000"/>
        <n v="242000"/>
        <n v="1000000"/>
        <n v="250000"/>
        <n v="1058600"/>
        <n v="50000"/>
        <n v="2000000"/>
        <n v="200000"/>
        <n v="714000"/>
        <s v=" "/>
        <n v="360625"/>
        <n v="500000"/>
        <n v="4377346.43"/>
      </sharedItems>
    </cacheField>
    <cacheField name="Cash to NS" numFmtId="0">
      <sharedItems containsString="0" containsNumber="1"/>
    </cacheField>
    <cacheField name="Total Cash" numFmtId="0">
      <sharedItems containsString="0" containsNumber="1"/>
    </cacheField>
    <cacheField name="ARC People Deployed" numFmtId="0">
      <sharedItems containsString="0" containsBlank="1" containsNumber="1" containsInteger="1" minValue="0" maxValue="82" count="19">
        <m/>
        <n v="0"/>
        <n v="1"/>
        <n v="20"/>
        <n v="2"/>
        <n v="3"/>
        <n v="4"/>
        <n v="10"/>
        <n v="23"/>
        <n v="9"/>
        <n v="5"/>
        <n v="12"/>
        <n v="19"/>
        <n v="8"/>
        <n v="30"/>
        <n v="7"/>
        <n v="6"/>
        <n v="17"/>
        <n v="82"/>
      </sharedItems>
    </cacheField>
    <cacheField name="ERUs" numFmtId="0">
      <sharedItems containsBlank="1" count="4">
        <m/>
        <s v="Relief ERU"/>
        <s v="IT/Telecoms"/>
        <s v=" IT/Telecoms; Relief ERU"/>
      </sharedItems>
    </cacheField>
    <cacheField name="Individual Deploy-ments" numFmtId="0">
      <sharedItems containsString="0" containsBlank="1" containsNumber="1" containsInteger="1" minValue="1" maxValue="85" count="7">
        <m/>
        <n v="1"/>
        <n v="2"/>
        <n v="5"/>
        <n v="3"/>
        <n v="85"/>
        <n v="6"/>
      </sharedItems>
    </cacheField>
    <cacheField name="Total ARC Items Supplied" numFmtId="0">
      <sharedItems containsString="0" containsNumber="1"/>
    </cacheField>
    <cacheField name="Pre-positioned?" numFmtId="0">
      <sharedItems containsBlank="1" count="4">
        <m/>
        <s v="mixed"/>
        <s v="Y"/>
        <s v="N"/>
      </sharedItems>
    </cacheField>
    <cacheField name="Hygiene Kits" numFmtId="0">
      <sharedItems containsString="0" containsBlank="1" containsNumber="1" containsInteger="1" minValue="214" maxValue="45000" count="17">
        <m/>
        <n v="11200"/>
        <n v="2200"/>
        <n v="500"/>
        <n v="10000"/>
        <n v="45000"/>
        <n v="1000"/>
        <n v="750"/>
        <n v="18000"/>
        <n v="2372"/>
        <n v="4500"/>
        <n v="3500"/>
        <n v="4000"/>
        <n v="7500"/>
        <n v="1840"/>
        <n v="1160"/>
        <n v="214"/>
      </sharedItems>
    </cacheField>
    <cacheField name="Blankets" numFmtId="0">
      <sharedItems containsString="0" containsBlank="1" containsNumber="1" containsInteger="1" minValue="1000" maxValue="222900" count="21">
        <m/>
        <n v="55000"/>
        <n v="4625"/>
        <n v="5100"/>
        <n v="6000"/>
        <n v="34200"/>
        <n v="27000"/>
        <n v="1000"/>
        <n v="5000"/>
        <n v="222900"/>
        <n v="7050"/>
        <n v="2000"/>
        <n v="25000"/>
        <n v="37500"/>
        <n v="4000"/>
        <n v="20981"/>
        <n v="198970"/>
        <n v="7500"/>
        <n v="35000"/>
        <n v="1500"/>
        <n v="20000"/>
      </sharedItems>
    </cacheField>
    <cacheField name="Jerry Cans" numFmtId="0">
      <sharedItems containsString="0" containsBlank="1" containsNumber="1" containsInteger="1" minValue="321" maxValue="30000" count="14">
        <m/>
        <n v="10500"/>
        <n v="2550"/>
        <n v="30000"/>
        <n v="2350"/>
        <n v="481"/>
        <n v="802"/>
        <n v="321"/>
        <n v="8000"/>
        <n v="7500"/>
        <n v="10000"/>
        <n v="5000"/>
        <n v="900"/>
        <n v="15000"/>
      </sharedItems>
    </cacheField>
    <cacheField name="Buckets" numFmtId="0">
      <sharedItems containsString="0" containsBlank="1" containsNumber="1" containsInteger="1" minValue="3650" maxValue="28000" count="5">
        <m/>
        <n v="28000"/>
        <n v="4800"/>
        <n v="7500"/>
        <n v="3650"/>
      </sharedItems>
    </cacheField>
    <cacheField name="Tents" numFmtId="0">
      <sharedItems containsString="0" containsBlank="1" containsNumber="1" containsInteger="1" minValue="5" maxValue="5200" count="12">
        <m/>
        <n v="36"/>
        <n v="761"/>
        <n v="757"/>
        <n v="490"/>
        <n v="11"/>
        <n v="150"/>
        <n v="5"/>
        <n v="25"/>
        <n v="5200"/>
        <n v="45"/>
        <n v="500"/>
      </sharedItems>
    </cacheField>
    <cacheField name="Kitchen Sets" numFmtId="0">
      <sharedItems containsString="0" containsBlank="1" containsNumber="1" containsInteger="1" minValue="500" maxValue="18000" count="10">
        <m/>
        <n v="18000"/>
        <n v="2000"/>
        <n v="1000"/>
        <n v="5000"/>
        <n v="3000"/>
        <n v="7500"/>
        <n v="1500"/>
        <n v="500"/>
        <n v="10000"/>
      </sharedItems>
    </cacheField>
    <cacheField name="Bedsheets" numFmtId="0">
      <sharedItems containsString="0" containsBlank="1" containsNumber="1" containsInteger="1" minValue="500" maxValue="30518" count="8">
        <m/>
        <n v="6120"/>
        <n v="6000"/>
        <n v="1100"/>
        <n v="5000"/>
        <n v="12360"/>
        <n v="500"/>
        <n v="30518"/>
      </sharedItems>
    </cacheField>
    <cacheField name="Mosquito Nets" numFmtId="0">
      <sharedItems containsString="0" containsBlank="1" containsNumber="1" containsInteger="1" minValue="1000" maxValue="20000" count="7">
        <m/>
        <n v="10000"/>
        <n v="20000"/>
        <n v="1000"/>
        <n v="6000"/>
        <n v="6800"/>
        <n v="13200"/>
      </sharedItems>
    </cacheField>
    <cacheField name="Food Parcels" numFmtId="0">
      <sharedItems containsString="0" containsBlank="1" containsNumber="1" containsInteger="1" minValue="2600" maxValue="40000" count="6">
        <m/>
        <n v="40000"/>
        <n v="5000"/>
        <n v="2600"/>
        <n v="14500"/>
        <n v="9000"/>
      </sharedItems>
    </cacheField>
    <cacheField name="Tarps" numFmtId="0">
      <sharedItems containsString="0" containsBlank="1" containsNumber="1" containsInteger="1" minValue="20" maxValue="11000" count="15">
        <m/>
        <n v="250"/>
        <n v="1000"/>
        <n v="20"/>
        <n v="1105"/>
        <n v="110"/>
        <n v="3000"/>
        <n v="3900"/>
        <n v="11000"/>
        <n v="350"/>
        <n v="2000"/>
        <n v="10000"/>
        <n v="9995"/>
        <n v="1300"/>
        <n v="1500"/>
      </sharedItems>
    </cacheField>
    <cacheField name="Vehicles" numFmtId="0">
      <sharedItems containsString="0" containsBlank="1" containsNumber="1" containsInteger="1" minValue="1" maxValue="7" count="5">
        <m/>
        <n v="7"/>
        <n v="5"/>
        <n v="1"/>
        <n v="2"/>
      </sharedItems>
    </cacheField>
    <cacheField name="Other Items" numFmtId="0">
      <sharedItems containsString="0" containsBlank="1" containsNumber="1" containsInteger="1" minValue="3000" maxValue="6250" count="3">
        <m/>
        <n v="3000"/>
        <n v="6250"/>
      </sharedItems>
    </cacheField>
    <cacheField name="Rice Bags" numFmtId="0">
      <sharedItems containsString="0" containsBlank="1" count="1">
        <m/>
      </sharedItems>
    </cacheField>
    <cacheField name="Value of Supplies" numFmtId="0">
      <sharedItems containsString="0" containsNumber="1"/>
    </cacheField>
    <cacheField name="Operational (People) Cost for Response Phase" numFmtId="0">
      <sharedItems containsString="0" containsNumber="1"/>
    </cacheField>
    <cacheField name="Total $ Response Phase" numFmtId="0">
      <sharedItems containsString="0" containsNumber="1"/>
    </cacheField>
    <cacheField name="Early Recovery $" numFmtId="0">
      <sharedItems containsString="0" containsBlank="1" containsNumber="1" minValue="764192.86" maxValue="337000000" count="7">
        <m/>
        <n v="9767769"/>
        <n v="1200000"/>
        <n v="764192.86"/>
        <n v="337000000"/>
        <n v="5304000"/>
        <n v="1000000"/>
      </sharedItems>
    </cacheField>
    <cacheField name="Future Contrib Anticipated $" numFmtId="0">
      <sharedItems containsString="0" containsBlank="1" count="1">
        <m/>
      </sharedItems>
    </cacheField>
    <cacheField name="Beneficiaries Served (Final Report)" numFmtId="0">
      <sharedItems containsString="0" containsNumber="1"/>
    </cacheField>
    <cacheField name="Total Contributions" numFmtId="0">
      <sharedItems containsString="0" containsNumber="1"/>
    </cacheField>
    <cacheField name="AP Code" numFmtId="0">
      <sharedItems containsString="0" containsNumber="1" containsInteger="1"/>
    </cacheField>
    <cacheField name="Description " numFmtId="0">
      <sharedItems containsDate="1" containsString="0"/>
    </cacheField>
    <cacheField name="Comments on Contributions" numFmtId="0">
      <sharedItems containsString="0"/>
    </cacheField>
    <cacheField name="Funding Source &amp; Info" numFmtId="0">
      <sharedItems containsBlank="1" count="13">
        <m/>
        <s v="ARCT"/>
        <s v="OFDA grant for $500,000; ARCT funds used - $100,000"/>
        <s v="ARCT funds used - $100,000"/>
        <s v="ARCT Funds used - $200,000"/>
        <s v="ARCT Funds used"/>
        <s v="OFDA grant for $500,000 for NFIs"/>
        <s v="OFDA grant for $500,000 for cash transfer programming"/>
        <s v="UPS donated $50,000; ARCT Funds applied for as of 11/18/09"/>
        <s v="various - notably online and text donations from individuals; telethons. "/>
        <s v="ARCT funds - $200,000"/>
        <s v="OFDA"/>
        <s v="Potential ARCT funding for relief supplies"/>
      </sharedItems>
    </cacheField>
    <cacheField name="Stewardship report?" numFmtId="0">
      <sharedItems containsBlank="1" count="4">
        <m/>
        <s v="y"/>
        <s v="ARCT"/>
        <s v="definitely!"/>
      </sharedItems>
    </cacheField>
  </cacheFields>
  <extLst>
    <ext xmlns:x14="http://schemas.microsoft.com/office/spreadsheetml/2009/9/main" uri="{725AE2AE-9491-48be-B2B4-4EB974FC3084}">
      <x14:pivotCacheDefinition/>
    </ext>
  </extLst>
</pivotCacheDefinition>
</file>

<file path=xl/pivotCache/pivotCacheDefinition13.xml><?xml version="1.0" encoding="utf-8"?>
<pivotCacheDefinition xmlns="http://schemas.openxmlformats.org/spreadsheetml/2006/main" xmlns:r="http://schemas.openxmlformats.org/officeDocument/2006/relationships" invalid="1" refreshedBy="Amanda West" refreshedDate="40653.714139583331" createdVersion="1" refreshedVersion="2" recordCount="387" upgradeOnRefresh="1">
  <cacheSource type="worksheet">
    <worksheetSource name="DisasterData"/>
  </cacheSource>
  <cacheFields count="61">
    <cacheField name="Glide #" numFmtId="0">
      <sharedItems containsString="0"/>
    </cacheField>
    <cacheField name="ARC Disaster #" numFmtId="0">
      <sharedItems containsString="0" containsNumber="1" containsInteger="1"/>
    </cacheField>
    <cacheField name="Disaster Name" numFmtId="0">
      <sharedItems containsBlank="1" count="251">
        <s v="Mexico Earthquake"/>
        <s v="Armenia Earthquake"/>
        <s v="Rwanda Crisis"/>
        <s v="Hurricane Mitch"/>
        <s v="Balkans Crisis"/>
        <s v="Ethiopia Drought"/>
        <s v="Mexico Floods"/>
        <s v="Costa Rica Floods"/>
        <s v="China Floods"/>
        <s v="Turkey Earthquake"/>
        <s v="Nicaragua Volcano"/>
        <s v="Cambodia Floods"/>
        <s v="Greece Earthquake"/>
        <s v="Bahamas Storm"/>
        <s v="Taiwan Earthquake"/>
        <s v="Japan Industrial"/>
        <s v="Mexico Floods "/>
        <s v="Russian Fed. Conflict"/>
        <s v="Timor-Leste Conflict"/>
        <s v="Bangladesh Floods"/>
        <s v="India Storm"/>
        <s v="Vietnam Floods"/>
        <s v="Dominica Storm"/>
        <s v="St. Kitts &amp; Nevis Storm"/>
        <s v="Antigua Storm"/>
        <s v="Grenada Storm"/>
        <s v="St. Maartens Storm"/>
        <s v="Venezuela Floods"/>
        <s v="South Africa Floods"/>
        <s v="Botswana Floods"/>
        <s v="Zimbabwe Floods"/>
        <s v="Madagascar Floods"/>
        <s v="Indonesia Earthquake"/>
        <s v="India Floods"/>
        <s v="Belize Storm"/>
        <s v="Israel Conflict"/>
        <s v="Jordan Conflict"/>
        <s v="Palestine Conflict"/>
        <s v="Taiwan Transport"/>
        <s v="Austria Miscellaneous"/>
        <s v="Azerbaijan Earthquake"/>
        <s v="Sri Lanka Storm"/>
        <s v="South Africa Epidemic"/>
        <s v="El Salvador Earthquake"/>
        <s v="China Storm"/>
        <s v="India Earthquake"/>
        <s v="Mozambique Floods"/>
        <s v="Malawi Floods"/>
        <s v="Bolivia Floods"/>
        <s v="Peru Floods"/>
        <s v="Canada Transport"/>
        <s v="Russian Fed. Floods"/>
        <s v="Macedonia Conflict"/>
        <s v="Bosnia Floods"/>
        <s v="Peru Earthquake"/>
        <s v="El Salvador Drought"/>
        <s v="Honduras Drought"/>
        <s v="Nicaragua Drought"/>
        <s v="Guatemala Drought"/>
        <s v="Ecuador Volcano"/>
        <s v="Afghanistan Conflict"/>
        <s v="Pakistan Conflict"/>
        <s v="Uzbekistan Conflict"/>
        <s v="Iran Conflict"/>
        <s v="Turkmenistan Conflict"/>
        <s v="US Terrorism"/>
        <s v="Mexico Transport"/>
        <s v="Mexico Storm"/>
        <s v="Belize Meteorological"/>
        <s v="Belize Transport"/>
        <s v="Honduras Storm"/>
        <s v="Nicaragua Storm"/>
        <s v="Cuba Storm"/>
        <s v="Jamaica Storm"/>
        <s v="US Transport"/>
        <s v="Cambodia Miscellaneous"/>
        <s v="Albania Storm"/>
        <s v="DR Congo Volcano"/>
        <s v="Nigeria Industrial"/>
        <s v="Afghanistan Earthquake"/>
        <s v="Panama Floods"/>
        <s v="Kenya Floods"/>
        <s v="Malawi Food Insecurity"/>
        <s v="Nicaragua  Floods"/>
        <s v="Syria Miscellaneous"/>
        <s v="FS Micronesia Storm"/>
        <s v="Peru Storm"/>
        <s v="Bolivia Storm"/>
        <s v="Romania Floods"/>
        <s v="Germany Floods"/>
        <s v="Czech Republic Floods"/>
        <s v="Slovakia Floods"/>
        <s v="Hungary Floods"/>
        <s v="Austria Floods"/>
        <s v="Paraguay Drought"/>
        <s v="South Korea Storm"/>
        <s v="Italy Earthquake"/>
        <s v="Indonesia Terrorism"/>
        <s v="Australia Terrorism"/>
        <s v="Vietnam Miscellaneous"/>
        <s v="Lesotho Food Insecurity"/>
        <s v="Kenya Epidemic"/>
        <s v="Solomon Islands Storm"/>
        <s v="South Korea Transport"/>
        <s v="China Earthquake"/>
        <s v="Iraq Conflict"/>
        <s v="Syria Conflict"/>
        <s v="Turkey Conflict"/>
        <s v="Argentina Floods"/>
        <s v="China Epidemic"/>
        <s v="Hong Kong Epidemic"/>
        <s v="Sri Lanka Floods"/>
        <s v="Canada Wildfire"/>
        <s v="Dominican Republic Earthquake"/>
        <s v="Algeria Earthquake"/>
        <s v="Liberia Conflict"/>
        <s v="Dominican Republic Floods"/>
        <s v="Iran Earthquake"/>
        <s v="Panama Earthquake"/>
        <s v="North Korea Transport"/>
        <s v="Haiti Floods"/>
        <s v="Malawi Epidemic"/>
        <s v="Jamaica Conflict"/>
        <s v="Paraguay Miscellaneous"/>
        <s v="Chad Conflict"/>
        <s v="Sudan Conflict"/>
        <s v="Taiwan Storm"/>
        <s v="Cayman Islands Storm"/>
        <s v="Sri Lanka Tsunami"/>
        <s v="Indonesia Tsunami"/>
        <s v="Maldives Tsunami"/>
        <s v="Guyana Floods"/>
        <s v="Canada Floods"/>
        <s v="Hurricane Dennis - Jamaica "/>
        <s v="Hurricane Dennis - Grenada"/>
        <s v="Hurricane Dennis - Haiti"/>
        <s v="Sahel Food Crisis"/>
        <s v="Hurricane Katrina"/>
        <s v="Pakistan Earthquake"/>
        <s v="Hurricane Stan - Guatemala"/>
        <s v="Hurricane Stan - Mexico"/>
        <s v="El Salvador Hurricane Stan &amp; Volcano Eruption"/>
        <s v="Hurricane Wilma - Bahamas"/>
        <s v="Hurricane Wilma - Mexico"/>
        <s v="Vietnam Typhoon Damrey"/>
        <s v="Colombia Volcano"/>
        <s v="Southern Africa Food Security Crisis - Lesotho"/>
        <s v="Southern Africa Food Security Crisis - Malawi"/>
        <s v="Southern Africa Food Security Crisis - Zimbabwe"/>
        <s v="Southern Africa Food Security Crisis - Zambia"/>
        <s v="Eastern Africa Drought"/>
        <s v="Iraq Humanitarian Emergency"/>
        <s v="Timor-Leste Floods"/>
        <s v="Philippines Mudslides"/>
        <s v="Angola Cholera Epidemic"/>
        <s v="Somalia Drought"/>
        <s v="Spain Terrorism"/>
        <s v="Colombia Floods"/>
        <s v="Indonesia Yogyakarta Earthquake"/>
        <s v="Middle East Humanitarian Crisis"/>
        <s v="Ecuador Volanic Eruption"/>
        <s v="Ethiopia Floods"/>
        <s v="Sudan Floods"/>
        <s v="Philippines Typhoons"/>
        <s v="Vietnam Typhoons"/>
        <s v="Somalia Conflict"/>
        <s v="Somalia Floods"/>
        <s v="Sri Lanka Conflict"/>
        <s v="Madagascar Cyclones"/>
        <s v="Solomon Islands Tsunami/ Earthquake"/>
        <s v="Colombia Tolima Floods"/>
        <s v="Mexico Coahuila Tornado"/>
        <s v="Pakistan Cyclone Yemyin"/>
        <s v="United Kingdom Floods"/>
        <s v="Nepal Floods"/>
        <s v="Hurricane Dean"/>
        <s v="Greece Wildfire"/>
        <s v="Hurricane Felix"/>
        <s v="Indonesia Bengkulu Earthquake"/>
        <s v="Uganda Floods"/>
        <s v="Togo Floods"/>
        <s v="Tropical Storm Noel"/>
        <s v="Vietnam Typhoon Lekima"/>
        <s v="Bangladesh Cyclone Sidr"/>
        <s v="Papua New Guinea Storm"/>
        <s v="Kenya Election Civil Unrest"/>
        <s v="China Snow Disaster"/>
        <s v="Guyana Civil Unrest"/>
        <s v="Ecuador Floods"/>
        <s v="Madagascar Cyclone Ivan"/>
        <s v="Southern Africa Floods - Cyclone Jokwe"/>
        <s v="Myanmar Cyclone Nargis"/>
        <s v="China Sichuan Earthquake"/>
        <s v="Ethiopia Food Insecurity"/>
        <s v="South Africa Civil Unrest"/>
        <s v="Chile Floods"/>
        <s v="Philippines – Typhoon Fengshen"/>
        <s v="Yemen Conflict"/>
        <s v="Suriname Floods"/>
        <s v="Moldova and Ukraine Floods"/>
        <s v="Georgia Conflict"/>
        <s v="Haiti Hurricane Season 2008"/>
        <s v="Carribean Hurricane Season 2008 - Bahamas"/>
        <s v="Carribean Hurricane Season 2008 -  Jamaica"/>
        <s v="Cuba Hurricane Season 2008"/>
        <s v="Central America Floods"/>
        <s v="Pakistan Baluchistan Earthquake"/>
        <s v="Panama &amp; Costa Rica Floods"/>
        <s v="Horn of Africa Food Insecurity Crisis"/>
        <s v="Uganda, Rwanda, Burundi Population Movement"/>
        <s v="Zimbabwe Cholera Epidemic"/>
        <s v="Gaza Conflict - Israel"/>
        <s v="Gaza Conflict - Palestine"/>
        <s v="Costa Rica Earthquake"/>
        <s v="Australia Wildfires"/>
        <s v="Namibia Floods"/>
        <s v="Africa Polio Outbreak"/>
        <s v="Pakistan Internally Displaced Persons Crisis"/>
        <s v="Bangladesh Cyclone Aila"/>
        <s v="Tajikistan Mudslides and Floods"/>
        <s v="Syria Drought"/>
        <s v="West &amp; Central Africa Floods - Burkina Faso"/>
        <s v="West &amp; Central Africa Floods - Senegal"/>
        <s v="Mexico Hurricane Jimena"/>
        <s v="Java Indonesia Earthquake"/>
        <s v="Southeast Asia Typhoons - Philippines"/>
        <s v="Southeast Asia Typhoons - Vietnam"/>
        <s v="West Sumatra Indonesia Earthquake"/>
        <s v="Samoa Islands Tsunami"/>
        <s v="Kenya Drought"/>
        <s v="El Salvador Floods"/>
        <s v="Haiti Earthquake"/>
        <s v="Tanzania Floods"/>
        <s v="Chile Earthquake"/>
        <s v="Mongolia Severe Winter"/>
        <s v="Nepal Diarrhea Outbreak"/>
        <s v="Tropical Storm Agatha"/>
        <s v="Kyrgyzstan-Uzbekistan Population Movement"/>
        <s v="Pakistan Monsoon Floods"/>
        <s v="Haiti Cholera Outbreak"/>
        <s v="Philippines Typhoon Megi"/>
        <s v="Indonesia Tsunami &amp; Volcanic Eruption"/>
        <s v="Caribbean Hurricane Tomas"/>
        <s v="Belize Hurricane Richard"/>
        <s v="Colombian Floods"/>
        <s v="North Africa &amp; Middle East Civil Unrest"/>
        <s v="New Zealand Earthquake"/>
        <s v="Paraguay Dengue Epidemic"/>
        <s v="Japan Earthquake &amp; Tsunami"/>
        <s v="West African Population Movement"/>
        <m/>
      </sharedItems>
    </cacheField>
    <cacheField name="Date of Response" numFmtId="0">
      <sharedItems containsDate="1" containsString="0"/>
    </cacheField>
    <cacheField name="Fiscal Year" numFmtId="0">
      <sharedItems containsString="0" containsBlank="1" containsNumber="1" containsInteger="1" minValue="1986" maxValue="2011" count="17">
        <n v="1986"/>
        <n v="1989"/>
        <n v="1994"/>
        <n v="1999"/>
        <n v="2000"/>
        <n v="2001"/>
        <n v="2002"/>
        <n v="2003"/>
        <n v="2004"/>
        <n v="2005"/>
        <n v="2006"/>
        <n v="2007"/>
        <n v="2008"/>
        <n v="2009"/>
        <n v="2010"/>
        <n v="2011"/>
        <m/>
      </sharedItems>
    </cacheField>
    <cacheField name="FY #" numFmtId="0">
      <sharedItems containsString="0" containsBlank="1" containsNumber="1" containsInteger="1" minValue="1" maxValue="33" count="34">
        <m/>
        <n v="1"/>
        <n v="2"/>
        <n v="3"/>
        <n v="4"/>
        <n v="5"/>
        <n v="6"/>
        <n v="7"/>
        <n v="8"/>
        <n v="9"/>
        <n v="10"/>
        <n v="11"/>
        <n v="12"/>
        <n v="13"/>
        <n v="14"/>
        <n v="15"/>
        <n v="16"/>
        <n v="17"/>
        <n v="18"/>
        <n v="19"/>
        <n v="21"/>
        <n v="22"/>
        <n v="23"/>
        <n v="20"/>
        <n v="24"/>
        <n v="25"/>
        <n v="26"/>
        <n v="27"/>
        <n v="28"/>
        <n v="29"/>
        <n v="32"/>
        <n v="30"/>
        <n v="31"/>
        <n v="33"/>
      </sharedItems>
    </cacheField>
    <cacheField name="Quarter" numFmtId="0">
      <sharedItems containsBlank="1" count="5">
        <m/>
        <s v="Q3"/>
        <s v="Q4"/>
        <s v="Q1"/>
        <s v="Q2"/>
      </sharedItems>
    </cacheField>
    <cacheField name="Calendar Year" numFmtId="0">
      <sharedItems containsString="0" containsBlank="1" containsNumber="1" containsInteger="1" minValue="1985" maxValue="2011" count="18">
        <n v="1985"/>
        <n v="1988"/>
        <n v="1994"/>
        <n v="1998"/>
        <n v="1999"/>
        <n v="2000"/>
        <n v="2001"/>
        <n v="2002"/>
        <n v="2003"/>
        <n v="2004"/>
        <n v="2005"/>
        <n v="2006"/>
        <n v="2007"/>
        <n v="2008"/>
        <n v="2009"/>
        <n v="2010"/>
        <n v="2011"/>
        <m/>
      </sharedItems>
    </cacheField>
    <cacheField name="CY #" numFmtId="0">
      <sharedItems containsString="0" containsNumber="1" containsInteger="1"/>
    </cacheField>
    <cacheField name="Region" numFmtId="0">
      <sharedItems containsBlank="1" count="5">
        <m/>
        <s v="Africa"/>
        <s v="LAC"/>
        <s v="Europe/Asia"/>
        <s v="North America"/>
      </sharedItems>
    </cacheField>
    <cacheField name="Country" numFmtId="0">
      <sharedItems containsBlank="1" count="118">
        <m/>
        <s v="Ethiopia"/>
        <s v="Mexico"/>
        <s v="Costa Rica"/>
        <s v="China"/>
        <s v="Turkey"/>
        <s v="Nicaragua"/>
        <s v="Cambodia"/>
        <s v="Greece"/>
        <s v="Bahamas"/>
        <s v="Taiwan"/>
        <s v="Japan"/>
        <s v="Russian Fed."/>
        <s v="Timor-Leste"/>
        <s v="Bangladesh"/>
        <s v="India"/>
        <s v="Vietnam"/>
        <s v="Dominica"/>
        <s v="St. Kitts &amp; Nevis"/>
        <s v="Antigua"/>
        <s v="Grenada"/>
        <s v="St. Maartens"/>
        <s v="Venezuela"/>
        <s v="South Africa"/>
        <s v="Botswana"/>
        <s v="Zimbabwe"/>
        <s v="Madagascar"/>
        <s v="Indonesia"/>
        <s v="Belize"/>
        <s v="Israel"/>
        <s v="Jordan"/>
        <s v="Palestine"/>
        <s v="Austria"/>
        <s v="Azerbaijan"/>
        <s v="Sri Lanka"/>
        <s v="El Salvador"/>
        <s v="Mozambique"/>
        <s v="Malawi"/>
        <s v="Bolivia"/>
        <s v="Peru"/>
        <s v="Canada"/>
        <s v="Macedonia"/>
        <s v="Bosnia"/>
        <s v="Honduras"/>
        <s v="Guatemala"/>
        <s v="Ecuador"/>
        <s v="Afghanistan"/>
        <s v="Pakistan"/>
        <s v="Uzbekistan"/>
        <s v="Iran"/>
        <s v="Turkmenistan"/>
        <s v="US"/>
        <s v="Cuba"/>
        <s v="Jamaica"/>
        <s v="Albania"/>
        <s v="DR Congo"/>
        <s v="Nigeria"/>
        <s v="Panama"/>
        <s v="Kenya"/>
        <s v="Syria"/>
        <s v="FS Micronesia"/>
        <s v="Romania"/>
        <s v="Germany"/>
        <s v="Czech Republic"/>
        <s v="Slovakia"/>
        <s v="Hungary"/>
        <s v="Paraguay"/>
        <s v="South Korea"/>
        <s v="Italy"/>
        <s v="Australia"/>
        <s v="Lesotho"/>
        <s v="Solomon Islands"/>
        <s v="Iraq"/>
        <s v="Argentina"/>
        <s v="Hong Kong"/>
        <s v="Dominican Republic"/>
        <s v="Algeria"/>
        <s v="Liberia"/>
        <s v="North Korea"/>
        <s v="Haiti"/>
        <s v="Chad"/>
        <s v="Sudan"/>
        <s v="Cayman Islands"/>
        <s v="Bahamas "/>
        <s v="Maldives"/>
        <s v="Guyana"/>
        <s v="Niger"/>
        <s v="Colombia"/>
        <s v="Zambia"/>
        <s v="Philippines"/>
        <s v="Angola"/>
        <s v="Somalia"/>
        <s v="Spain"/>
        <s v="Lebanon"/>
        <s v="United Kingdom"/>
        <s v="Nepal"/>
        <s v="Uganda"/>
        <s v="Togo"/>
        <s v="Papua New Guinea"/>
        <s v="Tanzania"/>
        <s v="Myanmar"/>
        <s v="Chile"/>
        <s v="Yemen"/>
        <s v="Suriname"/>
        <s v="Ukraine"/>
        <s v="Georgia"/>
        <s v="[rollup]"/>
        <s v="Djibouti"/>
        <s v="Namibia"/>
        <s v="Tajikistan"/>
        <s v="Burkina Faso"/>
        <s v="Senegal"/>
        <s v="Samoa"/>
        <s v="Mongolia"/>
        <s v="Kyrgyzstan"/>
        <s v="Saint Lucia/ Saint Vincent and the Grenadines/ Barbados "/>
        <s v="Tunisia"/>
        <s v="New Zealand"/>
      </sharedItems>
    </cacheField>
    <cacheField name="Major Disaster Category" numFmtId="0">
      <sharedItems containsBlank="1" count="5">
        <m/>
        <s v="Hydrometerological"/>
        <s v="Human Related"/>
        <s v="Geophysical"/>
        <s v="Biological"/>
      </sharedItems>
    </cacheField>
    <cacheField name="Disaster Type" numFmtId="0">
      <sharedItems containsBlank="1" count="25">
        <m/>
        <s v="Drought"/>
        <s v="Floods"/>
        <s v="Earthquake"/>
        <s v="Volcano"/>
        <s v="Storm"/>
        <s v="Industrial"/>
        <s v="Floods "/>
        <s v="Conflict"/>
        <s v="Transport"/>
        <s v="Miscellaneous"/>
        <s v="Epidemic"/>
        <s v="Terrorism"/>
        <s v="Meteorological"/>
        <s v="Food Insecurity"/>
        <s v="Wildfire"/>
        <s v="Tsunami"/>
        <s v="Tropical Storm"/>
        <s v="Mass Movement Wet"/>
        <s v="Civil Unrest"/>
        <s v="Cyclone"/>
        <s v="Winter storm"/>
        <s v="Tsunami &amp; Volcanic Eruption"/>
        <s v="Earthquake/Tsunami"/>
        <s v="Population Movement"/>
      </sharedItems>
    </cacheField>
    <cacheField name="Nature of Disaster (Disaster Sub-Type)" numFmtId="0">
      <sharedItems containsBlank="1" count="29">
        <m/>
        <s v="Drought"/>
        <s v="General Floods"/>
        <s v="Earthquake"/>
        <s v="Volcanic Eruption"/>
        <s v="Tropical Cyclone"/>
        <s v="Radiation"/>
        <s v="Conflict"/>
        <s v="Storm Surge"/>
        <s v="Air"/>
        <s v="Fire"/>
        <s v="Bacterial"/>
        <s v="Winter Storm"/>
        <s v="Road"/>
        <s v="Terrorism"/>
        <s v="Water"/>
        <s v="Winter Emergency"/>
        <s v="Explosion"/>
        <s v="Food Insecurity"/>
        <s v="Collapse"/>
        <s v="Parasitic"/>
        <s v="Rail"/>
        <s v="Viral"/>
        <s v="Forest Fire"/>
        <s v="Tsunami"/>
        <s v="Landslide"/>
        <s v="Local Storm"/>
        <s v="Civil Unrest"/>
        <s v="Disease"/>
      </sharedItems>
    </cacheField>
    <cacheField name="Disaster Sub-Sub Type" numFmtId="0">
      <sharedItems containsBlank="1" count="30">
        <m/>
        <s v="Drought"/>
        <s v="General Floods"/>
        <s v="Earthquake"/>
        <s v="Volcanic Eruption"/>
        <s v="Hurricane"/>
        <s v="Radiation"/>
        <s v="Conflict"/>
        <s v="Cyclone"/>
        <s v="Storm Surge"/>
        <s v="Air"/>
        <s v="Fire"/>
        <s v="Bacterial"/>
        <s v="Snowstorm"/>
        <s v="Road"/>
        <s v="Terrorism"/>
        <s v="Water"/>
        <s v="Tropical Storm"/>
        <s v="Urban Fire"/>
        <s v="Explosion"/>
        <s v="Food Insecurity"/>
        <s v="Collapse"/>
        <s v="Typhoon"/>
        <s v="Parasitic"/>
        <s v="Viral"/>
        <s v="Tsunami"/>
        <s v="Mudslide"/>
        <s v="Tornado"/>
        <s v="Civil Unrest"/>
        <s v="Cholera"/>
      </sharedItems>
    </cacheField>
    <cacheField name="Total Affected" numFmtId="0">
      <sharedItems containsString="0" containsNumber="1" containsInteger="1"/>
    </cacheField>
    <cacheField name="Appeal?Y/N" numFmtId="0">
      <sharedItems containsBlank="1" count="3">
        <m/>
        <s v="Y"/>
        <s v="N"/>
      </sharedItems>
    </cacheField>
    <cacheField name="Whose Appeal?" numFmtId="0">
      <sharedItems containsBlank="1" count="11">
        <m/>
        <s v="IFRC"/>
        <s v="IFRC/ ICRC"/>
        <s v="ICRC"/>
        <s v="IFRC/ICRC"/>
        <s v="NS"/>
        <s v="?"/>
        <s v="ICRC &amp; IFRC"/>
        <s v="ICRC/Ntl Socs"/>
        <s v="ICRC /IFRC"/>
        <s v="IFRC &amp; ICRC"/>
      </sharedItems>
    </cacheField>
    <cacheField name="Appeal Amount" numFmtId="0">
      <sharedItems containsString="0" containsNumber="1" containsInteger="1"/>
    </cacheField>
    <cacheField name="Appeal #" numFmtId="0">
      <sharedItems containsString="0"/>
    </cacheField>
    <cacheField name="% of Appeal Covered by ARC" numFmtId="0">
      <sharedItems containsString="0" containsNumber="1"/>
    </cacheField>
    <cacheField name="Overall Appeal Coverage" numFmtId="0">
      <sharedItems containsString="0" containsNumber="1"/>
    </cacheField>
    <cacheField name="IFRC DREF?" numFmtId="0">
      <sharedItems containsBlank="1" count="3">
        <m/>
        <s v="Y"/>
        <s v="N"/>
      </sharedItems>
    </cacheField>
    <cacheField name="DREF Amount" numFmtId="0">
      <sharedItems containsString="0" containsNumber="1" containsInteger="1"/>
    </cacheField>
    <cacheField name="Multilateral Bene" numFmtId="0">
      <sharedItems containsString="0" containsNumber="1" containsInteger="1"/>
    </cacheField>
    <cacheField name="Direct Bene" numFmtId="0">
      <sharedItems containsString="0" containsNumber="1" containsInteger="1"/>
    </cacheField>
    <cacheField name="Contribution to IFRC or ICRC &gt;/= $50K?" numFmtId="0">
      <sharedItems containsString="0" containsBlank="1" containsNumber="1" containsInteger="1" minValue="0" maxValue="1" count="3">
        <m/>
        <n v="1"/>
        <n v="0"/>
      </sharedItems>
    </cacheField>
    <cacheField name="Cash to IFRC" numFmtId="0">
      <sharedItems containsString="0" containsNumber="1"/>
    </cacheField>
    <cacheField name="Cash to ICRC" numFmtId="0">
      <sharedItems containsBlank="1" containsMixedTypes="1" containsNumber="1" minValue="50000" maxValue="4377346.43" count="15">
        <m/>
        <n v="104805"/>
        <n v="100000"/>
        <n v="242000"/>
        <n v="1000000"/>
        <n v="250000"/>
        <n v="1058600"/>
        <n v="50000"/>
        <n v="2000000"/>
        <n v="200000"/>
        <n v="714000"/>
        <s v=" "/>
        <n v="360625"/>
        <n v="500000"/>
        <n v="4377346.43"/>
      </sharedItems>
    </cacheField>
    <cacheField name="Cash to NS" numFmtId="0">
      <sharedItems containsString="0" containsNumber="1"/>
    </cacheField>
    <cacheField name="Total Cash" numFmtId="0">
      <sharedItems containsString="0" containsNumber="1"/>
    </cacheField>
    <cacheField name="ARC People Deployed" numFmtId="0">
      <sharedItems containsString="0" containsBlank="1" containsNumber="1" containsInteger="1" minValue="0" maxValue="82" count="19">
        <m/>
        <n v="0"/>
        <n v="1"/>
        <n v="20"/>
        <n v="2"/>
        <n v="3"/>
        <n v="4"/>
        <n v="10"/>
        <n v="23"/>
        <n v="9"/>
        <n v="5"/>
        <n v="12"/>
        <n v="19"/>
        <n v="8"/>
        <n v="30"/>
        <n v="7"/>
        <n v="6"/>
        <n v="17"/>
        <n v="82"/>
      </sharedItems>
    </cacheField>
    <cacheField name="ERUs" numFmtId="0">
      <sharedItems containsBlank="1" count="4">
        <m/>
        <s v="Relief ERU"/>
        <s v="IT/Telecoms"/>
        <s v=" IT/Telecoms; Relief ERU"/>
      </sharedItems>
    </cacheField>
    <cacheField name="Individual Deploy-ments" numFmtId="0">
      <sharedItems containsString="0" containsBlank="1" containsNumber="1" containsInteger="1" minValue="1" maxValue="85" count="7">
        <m/>
        <n v="1"/>
        <n v="2"/>
        <n v="5"/>
        <n v="3"/>
        <n v="85"/>
        <n v="6"/>
      </sharedItems>
    </cacheField>
    <cacheField name="Total ARC Items Supplied" numFmtId="0">
      <sharedItems containsString="0" containsNumber="1"/>
    </cacheField>
    <cacheField name="Pre-positioned?" numFmtId="0">
      <sharedItems containsBlank="1" count="4">
        <m/>
        <s v="mixed"/>
        <s v="Y"/>
        <s v="N"/>
      </sharedItems>
    </cacheField>
    <cacheField name="Hygiene Kits" numFmtId="0">
      <sharedItems containsString="0" containsBlank="1" containsNumber="1" containsInteger="1" minValue="214" maxValue="45000" count="17">
        <m/>
        <n v="11200"/>
        <n v="2200"/>
        <n v="500"/>
        <n v="10000"/>
        <n v="45000"/>
        <n v="1000"/>
        <n v="750"/>
        <n v="18000"/>
        <n v="2372"/>
        <n v="4500"/>
        <n v="3500"/>
        <n v="4000"/>
        <n v="7500"/>
        <n v="1840"/>
        <n v="1160"/>
        <n v="214"/>
      </sharedItems>
    </cacheField>
    <cacheField name="Blankets" numFmtId="0">
      <sharedItems containsString="0" containsBlank="1" containsNumber="1" containsInteger="1" minValue="1000" maxValue="222900" count="21">
        <m/>
        <n v="55000"/>
        <n v="4625"/>
        <n v="5100"/>
        <n v="6000"/>
        <n v="34200"/>
        <n v="27000"/>
        <n v="1000"/>
        <n v="5000"/>
        <n v="222900"/>
        <n v="7050"/>
        <n v="2000"/>
        <n v="25000"/>
        <n v="37500"/>
        <n v="4000"/>
        <n v="20981"/>
        <n v="198970"/>
        <n v="7500"/>
        <n v="35000"/>
        <n v="1500"/>
        <n v="20000"/>
      </sharedItems>
    </cacheField>
    <cacheField name="Jerry Cans" numFmtId="0">
      <sharedItems containsString="0" containsBlank="1" containsNumber="1" containsInteger="1" minValue="321" maxValue="30000" count="14">
        <m/>
        <n v="10500"/>
        <n v="2550"/>
        <n v="30000"/>
        <n v="2350"/>
        <n v="481"/>
        <n v="802"/>
        <n v="321"/>
        <n v="8000"/>
        <n v="7500"/>
        <n v="10000"/>
        <n v="5000"/>
        <n v="900"/>
        <n v="15000"/>
      </sharedItems>
    </cacheField>
    <cacheField name="Buckets" numFmtId="0">
      <sharedItems containsString="0" containsBlank="1" containsNumber="1" containsInteger="1" minValue="3650" maxValue="28000" count="5">
        <m/>
        <n v="28000"/>
        <n v="4800"/>
        <n v="7500"/>
        <n v="3650"/>
      </sharedItems>
    </cacheField>
    <cacheField name="Tents" numFmtId="0">
      <sharedItems containsString="0" containsBlank="1" containsNumber="1" containsInteger="1" minValue="5" maxValue="5200" count="12">
        <m/>
        <n v="36"/>
        <n v="761"/>
        <n v="757"/>
        <n v="490"/>
        <n v="11"/>
        <n v="150"/>
        <n v="5"/>
        <n v="25"/>
        <n v="5200"/>
        <n v="45"/>
        <n v="500"/>
      </sharedItems>
    </cacheField>
    <cacheField name="Kitchen Sets" numFmtId="0">
      <sharedItems containsString="0" containsBlank="1" containsNumber="1" containsInteger="1" minValue="500" maxValue="18000" count="10">
        <m/>
        <n v="18000"/>
        <n v="2000"/>
        <n v="1000"/>
        <n v="5000"/>
        <n v="3000"/>
        <n v="7500"/>
        <n v="1500"/>
        <n v="500"/>
        <n v="10000"/>
      </sharedItems>
    </cacheField>
    <cacheField name="Bedsheets" numFmtId="0">
      <sharedItems containsString="0" containsBlank="1" containsNumber="1" containsInteger="1" minValue="500" maxValue="30518" count="8">
        <m/>
        <n v="6120"/>
        <n v="6000"/>
        <n v="1100"/>
        <n v="5000"/>
        <n v="12360"/>
        <n v="500"/>
        <n v="30518"/>
      </sharedItems>
    </cacheField>
    <cacheField name="Mosquito Nets" numFmtId="0">
      <sharedItems containsString="0" containsBlank="1" containsNumber="1" containsInteger="1" minValue="1000" maxValue="20000" count="7">
        <m/>
        <n v="10000"/>
        <n v="20000"/>
        <n v="1000"/>
        <n v="6000"/>
        <n v="6800"/>
        <n v="13200"/>
      </sharedItems>
    </cacheField>
    <cacheField name="Food Parcels" numFmtId="0">
      <sharedItems containsString="0" containsBlank="1" containsNumber="1" containsInteger="1" minValue="2600" maxValue="40000" count="6">
        <m/>
        <n v="40000"/>
        <n v="5000"/>
        <n v="2600"/>
        <n v="14500"/>
        <n v="9000"/>
      </sharedItems>
    </cacheField>
    <cacheField name="Tarps" numFmtId="0">
      <sharedItems containsString="0" containsBlank="1" containsNumber="1" containsInteger="1" minValue="20" maxValue="11000" count="15">
        <m/>
        <n v="250"/>
        <n v="1000"/>
        <n v="20"/>
        <n v="1105"/>
        <n v="110"/>
        <n v="3000"/>
        <n v="3900"/>
        <n v="11000"/>
        <n v="350"/>
        <n v="2000"/>
        <n v="10000"/>
        <n v="9995"/>
        <n v="1300"/>
        <n v="1500"/>
      </sharedItems>
    </cacheField>
    <cacheField name="Vehicles" numFmtId="0">
      <sharedItems containsString="0" containsBlank="1" containsNumber="1" containsInteger="1" minValue="1" maxValue="7" count="5">
        <m/>
        <n v="7"/>
        <n v="5"/>
        <n v="1"/>
        <n v="2"/>
      </sharedItems>
    </cacheField>
    <cacheField name="Other Items" numFmtId="0">
      <sharedItems containsString="0" containsBlank="1" containsNumber="1" containsInteger="1" minValue="3000" maxValue="6250" count="3">
        <m/>
        <n v="3000"/>
        <n v="6250"/>
      </sharedItems>
    </cacheField>
    <cacheField name="Rice Bags" numFmtId="0">
      <sharedItems containsString="0" containsBlank="1" count="1">
        <m/>
      </sharedItems>
    </cacheField>
    <cacheField name="Value of Supplies" numFmtId="0">
      <sharedItems containsString="0" containsNumber="1"/>
    </cacheField>
    <cacheField name="Operational (People) Cost for Response Phase" numFmtId="0">
      <sharedItems containsString="0" containsNumber="1"/>
    </cacheField>
    <cacheField name="Total $ Response Phase" numFmtId="0">
      <sharedItems containsString="0" containsNumber="1"/>
    </cacheField>
    <cacheField name="Early Recovery $" numFmtId="0">
      <sharedItems containsString="0" containsBlank="1" containsNumber="1" minValue="764192.86" maxValue="337000000" count="7">
        <m/>
        <n v="9767769"/>
        <n v="1200000"/>
        <n v="764192.86"/>
        <n v="337000000"/>
        <n v="5304000"/>
        <n v="1000000"/>
      </sharedItems>
    </cacheField>
    <cacheField name="Future Contrib Anticipated $" numFmtId="0">
      <sharedItems containsString="0" containsBlank="1" count="1">
        <m/>
      </sharedItems>
    </cacheField>
    <cacheField name="Beneficiaries Served (Final Report)" numFmtId="0">
      <sharedItems containsString="0" containsNumber="1"/>
    </cacheField>
    <cacheField name="Total Contributions" numFmtId="0">
      <sharedItems containsBlank="1" containsMixedTypes="1" containsNumber="1" minValue="0" maxValue="477328823.80666667" count="185">
        <n v="19700000"/>
        <n v="14000000"/>
        <n v="18000000"/>
        <n v="50000000"/>
        <n v="39000000"/>
        <n v="100000"/>
        <n v="10000"/>
        <n v="0"/>
        <n v="25000"/>
        <n v="80000"/>
        <n v="132193"/>
        <n v="1200000"/>
        <n v="200"/>
        <n v="150000"/>
        <n v="205000"/>
        <n v="610134"/>
        <n v="50000"/>
        <n v="5153184.1400000006"/>
        <n v="15000"/>
        <n v="9000"/>
        <n v="1056000"/>
        <n v="23333.333333333332"/>
        <n v="23333.343333333331"/>
        <n v="389265"/>
        <n v="352704"/>
        <n v="20000"/>
        <n v="118500"/>
        <n v="40000"/>
        <n v="172000"/>
        <n v="90000"/>
        <n v="7500"/>
        <n v="2577.8000000000002"/>
        <n v="30500"/>
        <n v="227500"/>
        <n v="690000"/>
        <n v="250000"/>
        <n v="174000"/>
        <n v="1000"/>
        <n v="20700"/>
        <n v="18000"/>
        <n v="699130"/>
        <n v="12000000"/>
        <n v="3515479.37"/>
        <n v="97982"/>
        <n v="4400"/>
        <n v="60000"/>
        <n v="5000"/>
        <n v="500"/>
        <n v="71832"/>
        <n v="45000"/>
        <n v="21612.23"/>
        <n v="350424.24"/>
        <n v="11700"/>
        <n v="104805"/>
        <n v="225000"/>
        <n v="2000"/>
        <n v="75000"/>
        <n v="232252.87"/>
        <n v="115139.84"/>
        <n v="35000"/>
        <n v="130000"/>
        <n v="46670"/>
        <n v="237898.78"/>
        <n v="1345"/>
        <n v="7242.1372799999999"/>
        <n v="350000"/>
        <n v="421694"/>
        <n v="32812"/>
        <n v="17812"/>
        <n v="331380"/>
        <n v="32500"/>
        <n v="370642"/>
        <n v="21400"/>
        <n v="16700"/>
        <n v="65870"/>
        <n v="35027"/>
        <n v="10500"/>
        <n v="1175801.98"/>
        <n v="19975"/>
        <n v="6178"/>
        <n v="220134.81245"/>
        <n v="44557.856"/>
        <n v="61220"/>
        <n v="110266.26"/>
        <n v="97442.48"/>
        <n v="3000"/>
        <n v="18675"/>
        <n v="247400"/>
        <n v="35975"/>
        <n v="59896.536212325685"/>
        <n v="302452.19"/>
        <n v="131046.88"/>
        <n v="112853.79"/>
        <n v="401375"/>
        <n v="2655"/>
        <n v="103848909.52666667"/>
        <n v="477328823.80666667"/>
        <n v="1822266.6666666667"/>
        <n v="13100"/>
        <n v="32475"/>
        <n v="108693"/>
        <n v="36200"/>
        <n v="12558310"/>
        <n v="47581"/>
        <n v="342378"/>
        <n v="7034"/>
        <n v="20597"/>
        <n v="497744"/>
        <n v="21068"/>
        <n v="17402"/>
        <n v="400000"/>
        <n v="188443"/>
        <n v="55000"/>
        <n v="94461"/>
        <n v="1485750"/>
        <n v="1889600"/>
        <n v="85000"/>
        <n v="46900"/>
        <n v="793500"/>
        <n v="63000"/>
        <n v="200000"/>
        <n v="245000"/>
        <n v="2000000"/>
        <n v="102000"/>
        <n v="295000"/>
        <n v="124500"/>
        <n v="153400"/>
        <n v="20188"/>
        <n v="3400000"/>
        <n v="34565"/>
        <n v="298680"/>
        <n v="2500"/>
        <n v="22500"/>
        <n v="47500"/>
        <n v="17400"/>
        <n v="19970"/>
        <n v="104055"/>
        <n v="58073"/>
        <n v="37440"/>
        <n v="1900000"/>
        <n v="115000"/>
        <n v="1356654"/>
        <n v="23750"/>
        <n v="300000"/>
        <n v="867000"/>
        <n v="12400"/>
        <n v="714000"/>
        <n v="269000"/>
        <n v="48500"/>
        <n v="55000000"/>
        <n v="185000"/>
        <n v="44250"/>
        <n v="1532876"/>
        <n v="121044"/>
        <s v="-"/>
        <n v="1129943"/>
        <n v="246683"/>
        <n v="921250"/>
        <n v="74200"/>
        <n v="1520000"/>
        <n v="500000"/>
        <n v="30000"/>
        <n v="981315"/>
        <n v="330000"/>
        <n v="11500"/>
        <n v="259500"/>
        <n v="1168000"/>
        <n v="2150000"/>
        <n v="1664192.86"/>
        <n v="190000"/>
        <n v="274845"/>
        <n v="139611532"/>
        <n v="6400000"/>
        <n v="1000000"/>
        <n v="145000"/>
        <n v="180000"/>
        <n v="5674977"/>
        <n v="4500000"/>
        <n v="322330"/>
        <n v="240000"/>
        <n v="9812"/>
        <n v="692000"/>
        <n v="56000"/>
        <n v="100000000"/>
        <m/>
      </sharedItems>
    </cacheField>
    <cacheField name="AP Code" numFmtId="0">
      <sharedItems containsString="0" containsNumber="1" containsInteger="1"/>
    </cacheField>
    <cacheField name="Description " numFmtId="0">
      <sharedItems containsDate="1" containsString="0"/>
    </cacheField>
    <cacheField name="Comments on Contributions" numFmtId="0">
      <sharedItems containsString="0"/>
    </cacheField>
    <cacheField name="Funding Source &amp; Info" numFmtId="0">
      <sharedItems containsBlank="1" count="13">
        <m/>
        <s v="ARCT"/>
        <s v="OFDA grant for $500,000; ARCT funds used - $100,000"/>
        <s v="ARCT funds used - $100,000"/>
        <s v="ARCT Funds used - $200,000"/>
        <s v="ARCT Funds used"/>
        <s v="OFDA grant for $500,000 for NFIs"/>
        <s v="OFDA grant for $500,000 for cash transfer programming"/>
        <s v="UPS donated $50,000; ARCT Funds applied for as of 11/18/09"/>
        <s v="various - notably online and text donations from individuals; telethons. "/>
        <s v="ARCT funds - $200,000"/>
        <s v="OFDA"/>
        <s v="Potential ARCT funding for relief supplies"/>
      </sharedItems>
    </cacheField>
    <cacheField name="Stewardship report?" numFmtId="0">
      <sharedItems containsBlank="1" count="4">
        <m/>
        <s v="y"/>
        <s v="ARCT"/>
        <s v="definitely!"/>
      </sharedItems>
    </cacheField>
  </cacheFields>
  <extLst>
    <ext xmlns:x14="http://schemas.microsoft.com/office/spreadsheetml/2009/9/main" uri="{725AE2AE-9491-48be-B2B4-4EB974FC3084}">
      <x14:pivotCacheDefinition/>
    </ext>
  </extLst>
</pivotCacheDefinition>
</file>

<file path=xl/pivotCache/pivotCacheDefinition14.xml><?xml version="1.0" encoding="utf-8"?>
<pivotCacheDefinition xmlns="http://schemas.openxmlformats.org/spreadsheetml/2006/main" xmlns:r="http://schemas.openxmlformats.org/officeDocument/2006/relationships" invalid="1" refreshedBy="Amanda West" refreshedDate="40750.473787152776" createdVersion="1" refreshedVersion="2" recordCount="386" upgradeOnRefresh="1">
  <cacheSource type="worksheet">
    <worksheetSource name="DisasterData"/>
  </cacheSource>
  <cacheFields count="61">
    <cacheField name="Glide #" numFmtId="0">
      <sharedItems containsString="0"/>
    </cacheField>
    <cacheField name="ARC Disaster #" numFmtId="0">
      <sharedItems containsString="0" containsNumber="1" containsInteger="1"/>
    </cacheField>
    <cacheField name="Disaster Name" numFmtId="0">
      <sharedItems containsBlank="1" count="251">
        <s v="Mexico Earthquake"/>
        <s v="Armenia Earthquake"/>
        <s v="Rwanda Crisis"/>
        <s v="Hurricane Mitch"/>
        <s v="Balkans Crisis"/>
        <s v="Ethiopia Drought"/>
        <s v="Mexico Floods"/>
        <s v="Costa Rica Floods"/>
        <s v="China Floods"/>
        <s v="Turkey Earthquake"/>
        <s v="Nicaragua Volcano"/>
        <s v="Cambodia Floods"/>
        <s v="Greece Earthquake"/>
        <s v="Bahamas Storm"/>
        <s v="Taiwan Earthquake"/>
        <s v="Japan Industrial"/>
        <s v="Mexico Floods "/>
        <s v="Russian Fed. Conflict"/>
        <s v="Timor-Leste Conflict"/>
        <s v="Bangladesh Floods"/>
        <s v="India Storm"/>
        <s v="Vietnam Floods"/>
        <s v="Dominica Storm"/>
        <s v="St. Kitts &amp; Nevis Storm"/>
        <s v="Antigua Storm"/>
        <s v="Grenada Storm"/>
        <s v="St. Maartens Storm"/>
        <s v="Venezuela Floods"/>
        <s v="South Africa Floods"/>
        <s v="Botswana Floods"/>
        <s v="Zimbabwe Floods"/>
        <s v="Madagascar Floods"/>
        <s v="Indonesia Earthquake"/>
        <s v="India Floods"/>
        <s v="Belize Storm"/>
        <s v="Israel Conflict"/>
        <s v="Jordan Conflict"/>
        <s v="Palestine Conflict"/>
        <s v="Taiwan Transport"/>
        <s v="Austria Miscellaneous"/>
        <s v="Azerbaijan Earthquake"/>
        <s v="Sri Lanka Storm"/>
        <s v="South Africa Epidemic"/>
        <s v="El Salvador Earthquake"/>
        <s v="China Storm"/>
        <s v="India Earthquake"/>
        <s v="Mozambique Floods"/>
        <s v="Malawi Floods"/>
        <s v="Bolivia Floods"/>
        <s v="Peru Floods"/>
        <s v="Canada Transport"/>
        <s v="Russian Fed. Floods"/>
        <s v="Macedonia Conflict"/>
        <s v="Bosnia Floods"/>
        <s v="Peru Earthquake"/>
        <s v="El Salvador Drought"/>
        <s v="Honduras Drought"/>
        <s v="Nicaragua Drought"/>
        <s v="Guatemala Drought"/>
        <s v="Ecuador Volcano"/>
        <s v="Afghanistan Conflict"/>
        <s v="Pakistan Conflict"/>
        <s v="Uzbekistan Conflict"/>
        <s v="Iran Conflict"/>
        <s v="Turkmenistan Conflict"/>
        <s v="US Terrorism"/>
        <s v="Mexico Transport"/>
        <s v="Mexico Storm"/>
        <s v="Belize Meteorological"/>
        <s v="Belize Transport"/>
        <s v="Honduras Storm"/>
        <s v="Nicaragua Storm"/>
        <s v="Cuba Storm"/>
        <s v="Jamaica Storm"/>
        <s v="US Transport"/>
        <s v="Cambodia Miscellaneous"/>
        <s v="Albania Storm"/>
        <s v="DR Congo Volcano"/>
        <s v="Nigeria Industrial"/>
        <s v="Afghanistan Earthquake"/>
        <s v="Panama Floods"/>
        <s v="Kenya Floods"/>
        <s v="Malawi Food Insecurity"/>
        <s v="Nicaragua  Floods"/>
        <s v="Syria Miscellaneous"/>
        <s v="FS Micronesia Storm"/>
        <s v="Peru Storm"/>
        <s v="Bolivia Storm"/>
        <s v="Romania Floods"/>
        <s v="Germany Floods"/>
        <s v="Czech Republic Floods"/>
        <s v="Slovakia Floods"/>
        <s v="Hungary Floods"/>
        <s v="Austria Floods"/>
        <s v="Paraguay Drought"/>
        <s v="South Korea Storm"/>
        <s v="Italy Earthquake"/>
        <s v="Indonesia Terrorism"/>
        <s v="Australia Terrorism"/>
        <s v="Vietnam Miscellaneous"/>
        <s v="Lesotho Food Insecurity"/>
        <s v="Kenya Epidemic"/>
        <s v="Solomon Islands Storm"/>
        <s v="South Korea Transport"/>
        <s v="China Earthquake"/>
        <s v="Iraq Conflict"/>
        <s v="Syria Conflict"/>
        <s v="Turkey Conflict"/>
        <s v="Argentina Floods"/>
        <s v="China Epidemic"/>
        <s v="Hong Kong Epidemic"/>
        <s v="Sri Lanka Floods"/>
        <s v="Canada Wildfire"/>
        <s v="Dominican Republic Earthquake"/>
        <s v="Algeria Earthquake"/>
        <s v="Liberia Conflict"/>
        <s v="Dominican Republic Floods"/>
        <s v="Iran Earthquake"/>
        <s v="Panama Earthquake"/>
        <s v="North Korea Transport"/>
        <s v="Haiti Floods"/>
        <s v="Malawi Epidemic"/>
        <s v="Jamaica Conflict"/>
        <s v="Paraguay Miscellaneous"/>
        <s v="Chad Conflict"/>
        <s v="Sudan Conflict"/>
        <s v="Taiwan Storm"/>
        <s v="Cayman Islands Storm"/>
        <s v="Sri Lanka Tsunami"/>
        <s v="Indonesia Tsunami"/>
        <s v="Maldives Tsunami"/>
        <s v="Guyana Floods"/>
        <s v="Canada Floods"/>
        <s v="Hurricane Dennis - Jamaica "/>
        <s v="Hurricane Dennis - Grenada"/>
        <s v="Hurricane Dennis - Haiti"/>
        <s v="Sahel Food Crisis"/>
        <s v="Hurricane Katrina"/>
        <s v="Pakistan Earthquake"/>
        <s v="Hurricane Stan - Guatemala"/>
        <s v="Hurricane Stan - Mexico"/>
        <s v="El Salvador Hurricane Stan &amp; Volcano Eruption"/>
        <s v="Hurricane Wilma - Bahamas"/>
        <s v="Hurricane Wilma - Mexico"/>
        <s v="Vietnam Typhoon Damrey"/>
        <s v="Colombia Volcano"/>
        <s v="Southern Africa Food Security Crisis - Lesotho"/>
        <s v="Southern Africa Food Security Crisis - Malawi"/>
        <s v="Southern Africa Food Security Crisis - Zimbabwe"/>
        <s v="Southern Africa Food Security Crisis - Zambia"/>
        <s v="Eastern Africa Drought"/>
        <s v="Iraq Humanitarian Emergency"/>
        <s v="Timor-Leste Floods"/>
        <s v="Philippines Mudslides"/>
        <s v="Angola Cholera Epidemic"/>
        <s v="Somalia Drought"/>
        <s v="Spain Terrorism"/>
        <s v="Colombia Floods"/>
        <s v="Indonesia Yogyakarta Earthquake"/>
        <s v="Middle East Humanitarian Crisis"/>
        <s v="Ecuador Volanic Eruption"/>
        <s v="Ethiopia Floods"/>
        <s v="Sudan Floods"/>
        <s v="Philippines Typhoons"/>
        <s v="Vietnam Typhoons"/>
        <s v="Somalia Conflict"/>
        <s v="Somalia Floods"/>
        <s v="Sri Lanka Conflict"/>
        <s v="Madagascar Cyclones"/>
        <s v="Solomon Islands Tsunami/ Earthquake"/>
        <s v="Colombia Tolima Floods"/>
        <s v="Mexico Coahuila Tornado"/>
        <s v="Pakistan Cyclone Yemyin"/>
        <s v="United Kingdom Floods"/>
        <s v="Nepal Floods"/>
        <s v="Hurricane Dean"/>
        <s v="Greece Wildfire"/>
        <s v="Hurricane Felix"/>
        <s v="Indonesia Bengkulu Earthquake"/>
        <s v="Uganda Floods"/>
        <s v="Togo Floods"/>
        <s v="Tropical Storm Noel"/>
        <s v="Vietnam Typhoon Lekima"/>
        <s v="Bangladesh Cyclone Sidr"/>
        <s v="Papua New Guinea Storm"/>
        <s v="Kenya Election Civil Unrest"/>
        <s v="China Snow Disaster"/>
        <s v="Guyana Civil Unrest"/>
        <s v="Ecuador Floods"/>
        <s v="Madagascar Cyclone Ivan"/>
        <s v="Southern Africa Floods - Cyclone Jokwe"/>
        <s v="Myanmar Cyclone Nargis"/>
        <s v="China Sichuan Earthquake"/>
        <s v="Ethiopia Food Insecurity"/>
        <s v="South Africa Civil Unrest"/>
        <s v="Chile Floods"/>
        <s v="Philippines – Typhoon Fengshen"/>
        <s v="Yemen Conflict"/>
        <s v="Suriname Floods"/>
        <s v="Moldova and Ukraine Floods"/>
        <s v="Georgia Conflict"/>
        <s v="Haiti Hurricane Season 2008"/>
        <s v="Carribean Hurricane Season 2008 - Bahamas"/>
        <s v="Carribean Hurricane Season 2008 -  Jamaica"/>
        <s v="Cuba Hurricane Season 2008"/>
        <s v="Central America Floods"/>
        <s v="Pakistan Baluchistan Earthquake"/>
        <s v="Panama &amp; Costa Rica Floods"/>
        <s v="Horn of Africa Food Insecurity Crisis"/>
        <s v="Uganda, Rwanda, Burundi Population Movement"/>
        <s v="Zimbabwe Cholera Epidemic"/>
        <s v="Gaza Conflict - Israel"/>
        <s v="Gaza Conflict - Palestine"/>
        <s v="Costa Rica Earthquake"/>
        <s v="Australia Wildfires"/>
        <s v="Namibia Floods"/>
        <s v="Africa Polio Outbreak"/>
        <s v="Pakistan Internally Displaced Persons Crisis"/>
        <s v="Bangladesh Cyclone Aila"/>
        <s v="Tajikistan Mudslides and Floods"/>
        <s v="Syria Drought"/>
        <s v="West &amp; Central Africa Floods - Burkina Faso"/>
        <s v="West &amp; Central Africa Floods - Senegal"/>
        <s v="Mexico Hurricane Jimena"/>
        <s v="Java Indonesia Earthquake"/>
        <s v="Southeast Asia Typhoons - Philippines"/>
        <s v="Southeast Asia Typhoons - Vietnam"/>
        <s v="West Sumatra Indonesia Earthquake"/>
        <s v="Samoa Islands Tsunami"/>
        <s v="Kenya Drought"/>
        <s v="El Salvador Floods"/>
        <s v="Haiti Earthquake"/>
        <s v="Tanzania Floods"/>
        <s v="Chile Earthquake"/>
        <s v="Mongolia Severe Winter"/>
        <s v="Nepal Diarrhea Outbreak"/>
        <s v="Tropical Storm Agatha"/>
        <s v="Kyrgyzstan-Uzbekistan Population Movement"/>
        <s v="Pakistan Monsoon Floods"/>
        <s v="Haiti Cholera Outbreak"/>
        <s v="Philippines Typhoon Megi"/>
        <s v="Indonesia Tsunami &amp; Volcanic Eruption"/>
        <s v="Caribbean Hurricane Tomas"/>
        <s v="Belize Hurricane Richard"/>
        <s v="Colombian Floods"/>
        <s v="North Africa &amp; Middle East Civil Unrest"/>
        <s v="New Zealand Earthquake"/>
        <s v="Paraguay Dengue Epidemic"/>
        <s v="Japan Earthquake &amp; Tsunami"/>
        <s v="West African Population Movement"/>
        <m/>
      </sharedItems>
    </cacheField>
    <cacheField name="Date of Response" numFmtId="0">
      <sharedItems containsDate="1" containsString="0"/>
    </cacheField>
    <cacheField name="Fiscal Year" numFmtId="0">
      <sharedItems containsString="0" containsBlank="1" containsNumber="1" containsInteger="1" minValue="1986" maxValue="2011" count="17">
        <n v="1986"/>
        <n v="1989"/>
        <n v="1994"/>
        <n v="1999"/>
        <n v="2000"/>
        <n v="2001"/>
        <n v="2002"/>
        <n v="2003"/>
        <n v="2004"/>
        <n v="2005"/>
        <n v="2006"/>
        <n v="2007"/>
        <n v="2008"/>
        <n v="2009"/>
        <n v="2010"/>
        <n v="2011"/>
        <m/>
      </sharedItems>
    </cacheField>
    <cacheField name="FY #" numFmtId="0">
      <sharedItems containsString="0" containsNumber="1" containsInteger="1"/>
    </cacheField>
    <cacheField name="Quarter" numFmtId="0">
      <sharedItems containsBlank="1" count="5">
        <m/>
        <s v="Q3"/>
        <s v="Q4"/>
        <s v="Q1"/>
        <s v="Q2"/>
      </sharedItems>
    </cacheField>
    <cacheField name="Calendar Year" numFmtId="0">
      <sharedItems containsString="0" containsBlank="1" containsNumber="1" containsInteger="1" minValue="1985" maxValue="2011" count="18">
        <n v="1985"/>
        <n v="1988"/>
        <n v="1994"/>
        <n v="1998"/>
        <n v="1999"/>
        <n v="2000"/>
        <n v="2001"/>
        <n v="2002"/>
        <n v="2003"/>
        <n v="2004"/>
        <n v="2005"/>
        <n v="2006"/>
        <n v="2007"/>
        <n v="2008"/>
        <n v="2009"/>
        <n v="2010"/>
        <n v="2011"/>
        <m/>
      </sharedItems>
    </cacheField>
    <cacheField name="CY #" numFmtId="0">
      <sharedItems containsString="0" containsNumber="1" containsInteger="1"/>
    </cacheField>
    <cacheField name="Region" numFmtId="0">
      <sharedItems containsBlank="1" count="5">
        <m/>
        <s v="Africa"/>
        <s v="LAC"/>
        <s v="Europe/Asia"/>
        <s v="North America"/>
      </sharedItems>
    </cacheField>
    <cacheField name="Country" numFmtId="0">
      <sharedItems containsBlank="1" count="118">
        <m/>
        <s v="Ethiopia"/>
        <s v="Mexico"/>
        <s v="Costa Rica"/>
        <s v="China"/>
        <s v="Turkey"/>
        <s v="Nicaragua"/>
        <s v="Cambodia"/>
        <s v="Greece"/>
        <s v="Bahamas"/>
        <s v="Taiwan"/>
        <s v="Japan"/>
        <s v="Russian Fed."/>
        <s v="Timor-Leste"/>
        <s v="Bangladesh"/>
        <s v="India"/>
        <s v="Vietnam"/>
        <s v="Dominica"/>
        <s v="St. Kitts &amp; Nevis"/>
        <s v="Antigua"/>
        <s v="Grenada"/>
        <s v="St. Maartens"/>
        <s v="Venezuela"/>
        <s v="South Africa"/>
        <s v="Botswana"/>
        <s v="Zimbabwe"/>
        <s v="Madagascar"/>
        <s v="Indonesia"/>
        <s v="Belize"/>
        <s v="Israel"/>
        <s v="Jordan"/>
        <s v="Palestine"/>
        <s v="Austria"/>
        <s v="Azerbaijan"/>
        <s v="Sri Lanka"/>
        <s v="El Salvador"/>
        <s v="Mozambique"/>
        <s v="Malawi"/>
        <s v="Bolivia"/>
        <s v="Peru"/>
        <s v="Canada"/>
        <s v="Macedonia"/>
        <s v="Bosnia"/>
        <s v="Honduras"/>
        <s v="Guatemala"/>
        <s v="Ecuador"/>
        <s v="Afghanistan"/>
        <s v="Pakistan"/>
        <s v="Uzbekistan"/>
        <s v="Iran"/>
        <s v="Turkmenistan"/>
        <s v="US"/>
        <s v="Cuba"/>
        <s v="Jamaica"/>
        <s v="Albania"/>
        <s v="DR Congo"/>
        <s v="Nigeria"/>
        <s v="Panama"/>
        <s v="Kenya"/>
        <s v="Syria"/>
        <s v="FS Micronesia"/>
        <s v="Romania"/>
        <s v="Germany"/>
        <s v="Czech Republic"/>
        <s v="Slovakia"/>
        <s v="Hungary"/>
        <s v="Paraguay"/>
        <s v="South Korea"/>
        <s v="Italy"/>
        <s v="Australia"/>
        <s v="Lesotho"/>
        <s v="Solomon Islands"/>
        <s v="Iraq"/>
        <s v="Argentina"/>
        <s v="Hong Kong"/>
        <s v="Dominican Republic"/>
        <s v="Algeria"/>
        <s v="Liberia"/>
        <s v="North Korea"/>
        <s v="Haiti"/>
        <s v="Chad"/>
        <s v="Sudan"/>
        <s v="Cayman Islands"/>
        <s v="Bahamas "/>
        <s v="Maldives"/>
        <s v="Guyana"/>
        <s v="Niger"/>
        <s v="Colombia"/>
        <s v="Zambia"/>
        <s v="Philippines"/>
        <s v="Angola"/>
        <s v="Somalia"/>
        <s v="Spain"/>
        <s v="Lebanon"/>
        <s v="United Kingdom"/>
        <s v="Nepal"/>
        <s v="Uganda"/>
        <s v="Togo"/>
        <s v="Papua New Guinea"/>
        <s v="Tanzania"/>
        <s v="Myanmar"/>
        <s v="Chile"/>
        <s v="Yemen"/>
        <s v="Suriname"/>
        <s v="Ukraine"/>
        <s v="Georgia"/>
        <s v="[rollup]"/>
        <s v="Djibouti"/>
        <s v="Namibia"/>
        <s v="Tajikistan"/>
        <s v="Burkina Faso"/>
        <s v="Senegal"/>
        <s v="Samoa"/>
        <s v="Mongolia"/>
        <s v="Kyrgyzstan"/>
        <s v="Saint Lucia/ Saint Vincent and the Grenadines/ Barbados "/>
        <s v="Tunisia"/>
        <s v="New Zealand"/>
      </sharedItems>
    </cacheField>
    <cacheField name="Major Disaster Category" numFmtId="0">
      <sharedItems containsBlank="1" count="5">
        <m/>
        <s v="Hydrometerological"/>
        <s v="Human Related"/>
        <s v="Geophysical"/>
        <s v="Biological"/>
      </sharedItems>
    </cacheField>
    <cacheField name="Disaster Type" numFmtId="0">
      <sharedItems containsBlank="1" count="25">
        <m/>
        <s v="Drought"/>
        <s v="Floods"/>
        <s v="Earthquake"/>
        <s v="Volcano"/>
        <s v="Storm"/>
        <s v="Industrial"/>
        <s v="Floods "/>
        <s v="Conflict"/>
        <s v="Transport"/>
        <s v="Miscellaneous"/>
        <s v="Epidemic"/>
        <s v="Terrorism"/>
        <s v="Meteorological"/>
        <s v="Food Insecurity"/>
        <s v="Wildfire"/>
        <s v="Tsunami"/>
        <s v="Tropical Storm"/>
        <s v="Mass Movement Wet"/>
        <s v="Civil Unrest"/>
        <s v="Cyclone"/>
        <s v="Winter storm"/>
        <s v="Tsunami &amp; Volcanic Eruption"/>
        <s v="Earthquake/Tsunami"/>
        <s v="Population Movement"/>
      </sharedItems>
    </cacheField>
    <cacheField name="Nature of Disaster (Disaster Sub-Type)" numFmtId="0">
      <sharedItems containsBlank="1" count="29">
        <m/>
        <s v="Drought"/>
        <s v="General Floods"/>
        <s v="Earthquake"/>
        <s v="Volcanic Eruption"/>
        <s v="Tropical Cyclone"/>
        <s v="Radiation"/>
        <s v="Conflict"/>
        <s v="Storm Surge"/>
        <s v="Air"/>
        <s v="Fire"/>
        <s v="Bacterial"/>
        <s v="Winter Storm"/>
        <s v="Road"/>
        <s v="Terrorism"/>
        <s v="Water"/>
        <s v="Winter Emergency"/>
        <s v="Explosion"/>
        <s v="Food Insecurity"/>
        <s v="Collapse"/>
        <s v="Parasitic"/>
        <s v="Rail"/>
        <s v="Viral"/>
        <s v="Forest Fire"/>
        <s v="Tsunami"/>
        <s v="Landslide"/>
        <s v="Local Storm"/>
        <s v="Civil Unrest"/>
        <s v="Disease"/>
      </sharedItems>
    </cacheField>
    <cacheField name="Disaster Sub-Sub Type" numFmtId="0">
      <sharedItems containsBlank="1" count="30">
        <m/>
        <s v="Drought"/>
        <s v="General Floods"/>
        <s v="Earthquake"/>
        <s v="Volcanic Eruption"/>
        <s v="Hurricane"/>
        <s v="Radiation"/>
        <s v="Conflict"/>
        <s v="Cyclone"/>
        <s v="Storm Surge"/>
        <s v="Air"/>
        <s v="Fire"/>
        <s v="Bacterial"/>
        <s v="Snowstorm"/>
        <s v="Road"/>
        <s v="Terrorism"/>
        <s v="Water"/>
        <s v="Tropical Storm"/>
        <s v="Urban Fire"/>
        <s v="Explosion"/>
        <s v="Food Insecurity"/>
        <s v="Collapse"/>
        <s v="Typhoon"/>
        <s v="Parasitic"/>
        <s v="Viral"/>
        <s v="Tsunami"/>
        <s v="Mudslide"/>
        <s v="Tornado"/>
        <s v="Civil Unrest"/>
        <s v="Cholera"/>
      </sharedItems>
    </cacheField>
    <cacheField name="Total Affected" numFmtId="0">
      <sharedItems containsString="0" containsNumber="1" containsInteger="1"/>
    </cacheField>
    <cacheField name="Appeal?_x000a_Y/N" numFmtId="0">
      <sharedItems containsBlank="1" count="3">
        <m/>
        <s v="Y"/>
        <s v="N"/>
      </sharedItems>
    </cacheField>
    <cacheField name="Whose Appeal?" numFmtId="0">
      <sharedItems containsBlank="1" count="11">
        <m/>
        <s v="IFRC"/>
        <s v="IFRC/ ICRC"/>
        <s v="ICRC"/>
        <s v="IFRC/ICRC"/>
        <s v="NS"/>
        <s v="?"/>
        <s v="ICRC &amp; IFRC"/>
        <s v="ICRC/Ntl Socs"/>
        <s v="ICRC /IFRC"/>
        <s v="IFRC &amp; ICRC"/>
      </sharedItems>
    </cacheField>
    <cacheField name="Appeal Amount" numFmtId="0">
      <sharedItems containsString="0" containsNumber="1" containsInteger="1"/>
    </cacheField>
    <cacheField name="Appeal #" numFmtId="0">
      <sharedItems containsString="0"/>
    </cacheField>
    <cacheField name="% of Appeal Covered by ARC" numFmtId="0">
      <sharedItems containsString="0" containsNumber="1"/>
    </cacheField>
    <cacheField name="Overall Appeal Coverage" numFmtId="0">
      <sharedItems containsString="0" containsNumber="1"/>
    </cacheField>
    <cacheField name="IFRC DREF?" numFmtId="0">
      <sharedItems containsBlank="1" count="3">
        <m/>
        <s v="Y"/>
        <s v="N"/>
      </sharedItems>
    </cacheField>
    <cacheField name="DREF Amount" numFmtId="0">
      <sharedItems containsString="0" containsNumber="1" containsInteger="1"/>
    </cacheField>
    <cacheField name="Multilateral Beneficiaries" numFmtId="0">
      <sharedItems containsString="0" containsNumber="1" containsInteger="1"/>
    </cacheField>
    <cacheField name="Direct Beneficiaries" numFmtId="0">
      <sharedItems containsBlank="1" containsMixedTypes="1" containsNumber="1" containsInteger="1" minValue="0" maxValue="50000" count="25">
        <m/>
        <n v="2500"/>
        <n v="3600"/>
        <n v="3000"/>
        <n v="5000"/>
        <n v="24000"/>
        <n v="10000"/>
        <s v="n/a"/>
        <n v="0"/>
        <n v="6445"/>
        <n v="15000"/>
        <n v="1250"/>
        <s v="-"/>
        <n v="10380"/>
        <n v="640"/>
        <n v="20000"/>
        <n v="165"/>
        <n v="50000"/>
        <n v="25000"/>
        <n v="21668"/>
        <n v="4639"/>
        <n v="1000"/>
        <n v="1500"/>
        <n v="300"/>
        <n v="2000"/>
      </sharedItems>
    </cacheField>
    <cacheField name="Contribution to IFRC/ICRC &gt;/= $50K?" numFmtId="0">
      <sharedItems containsString="0" containsBlank="1" containsNumber="1" containsInteger="1" minValue="0" maxValue="1" count="3">
        <m/>
        <n v="1"/>
        <n v="0"/>
      </sharedItems>
    </cacheField>
    <cacheField name="Cash to IFRC" numFmtId="0">
      <sharedItems containsString="0" containsNumber="1"/>
    </cacheField>
    <cacheField name="Cash to ICRC" numFmtId="0">
      <sharedItems containsBlank="1" containsMixedTypes="1" containsNumber="1" minValue="50000" maxValue="4377346.43" count="15">
        <m/>
        <n v="104805"/>
        <n v="100000"/>
        <n v="242000"/>
        <n v="1000000"/>
        <n v="250000"/>
        <n v="1058600"/>
        <n v="50000"/>
        <n v="2000000"/>
        <n v="200000"/>
        <n v="714000"/>
        <s v=" "/>
        <n v="360625"/>
        <n v="500000"/>
        <n v="4377346.43"/>
      </sharedItems>
    </cacheField>
    <cacheField name="Cash to NS" numFmtId="0">
      <sharedItems containsString="0" containsNumber="1"/>
    </cacheField>
    <cacheField name="Total Cash" numFmtId="0">
      <sharedItems containsString="0" containsNumber="1"/>
    </cacheField>
    <cacheField name="ARC People Deployed" numFmtId="0">
      <sharedItems containsString="0" containsBlank="1" containsNumber="1" containsInteger="1" minValue="0" maxValue="82" count="19">
        <m/>
        <n v="0"/>
        <n v="1"/>
        <n v="20"/>
        <n v="2"/>
        <n v="3"/>
        <n v="4"/>
        <n v="10"/>
        <n v="23"/>
        <n v="9"/>
        <n v="5"/>
        <n v="12"/>
        <n v="19"/>
        <n v="8"/>
        <n v="30"/>
        <n v="7"/>
        <n v="6"/>
        <n v="17"/>
        <n v="82"/>
      </sharedItems>
    </cacheField>
    <cacheField name="ERUs" numFmtId="0">
      <sharedItems containsBlank="1" count="4">
        <m/>
        <s v="Relief ERU"/>
        <s v="IT/Telecoms"/>
        <s v=" IT/Telecoms; Relief ERU"/>
      </sharedItems>
    </cacheField>
    <cacheField name="Individual Deployments" numFmtId="0">
      <sharedItems containsString="0" containsBlank="1" containsNumber="1" containsInteger="1" minValue="1" maxValue="85" count="7">
        <m/>
        <n v="1"/>
        <n v="2"/>
        <n v="5"/>
        <n v="3"/>
        <n v="85"/>
        <n v="6"/>
      </sharedItems>
    </cacheField>
    <cacheField name="Total ARC Items Supplied" numFmtId="0">
      <sharedItems containsString="0" containsNumber="1"/>
    </cacheField>
    <cacheField name="Pre-positioned?" numFmtId="0">
      <sharedItems containsBlank="1" count="4">
        <m/>
        <s v="mixed"/>
        <s v="Y"/>
        <s v="N"/>
      </sharedItems>
    </cacheField>
    <cacheField name="Hygiene Kits" numFmtId="0">
      <sharedItems containsString="0" containsBlank="1" containsNumber="1" containsInteger="1" minValue="214" maxValue="45000" count="17">
        <m/>
        <n v="11200"/>
        <n v="2200"/>
        <n v="500"/>
        <n v="10000"/>
        <n v="45000"/>
        <n v="1000"/>
        <n v="750"/>
        <n v="18000"/>
        <n v="2372"/>
        <n v="4500"/>
        <n v="3500"/>
        <n v="4000"/>
        <n v="7500"/>
        <n v="1840"/>
        <n v="1160"/>
        <n v="214"/>
      </sharedItems>
    </cacheField>
    <cacheField name="Blankets" numFmtId="0">
      <sharedItems containsString="0" containsBlank="1" containsNumber="1" containsInteger="1" minValue="1000" maxValue="222900" count="20">
        <m/>
        <n v="55000"/>
        <n v="4625"/>
        <n v="5100"/>
        <n v="6000"/>
        <n v="34200"/>
        <n v="27000"/>
        <n v="1000"/>
        <n v="5000"/>
        <n v="222900"/>
        <n v="7050"/>
        <n v="2000"/>
        <n v="25000"/>
        <n v="37500"/>
        <n v="4000"/>
        <n v="20981"/>
        <n v="198970"/>
        <n v="7500"/>
        <n v="35000"/>
        <n v="1500"/>
      </sharedItems>
    </cacheField>
    <cacheField name="Jerry Cans" numFmtId="0">
      <sharedItems containsString="0" containsBlank="1" containsNumber="1" containsInteger="1" minValue="321" maxValue="30000" count="14">
        <m/>
        <n v="10500"/>
        <n v="2550"/>
        <n v="30000"/>
        <n v="2350"/>
        <n v="481"/>
        <n v="802"/>
        <n v="321"/>
        <n v="8000"/>
        <n v="7500"/>
        <n v="10000"/>
        <n v="5000"/>
        <n v="900"/>
        <n v="15000"/>
      </sharedItems>
    </cacheField>
    <cacheField name="Buckets" numFmtId="0">
      <sharedItems containsString="0" containsBlank="1" containsNumber="1" containsInteger="1" minValue="3650" maxValue="28000" count="5">
        <m/>
        <n v="28000"/>
        <n v="4800"/>
        <n v="7500"/>
        <n v="3650"/>
      </sharedItems>
    </cacheField>
    <cacheField name="Tents" numFmtId="0">
      <sharedItems containsString="0" containsBlank="1" containsNumber="1" containsInteger="1" minValue="5" maxValue="5200" count="12">
        <m/>
        <n v="36"/>
        <n v="761"/>
        <n v="757"/>
        <n v="490"/>
        <n v="11"/>
        <n v="150"/>
        <n v="5"/>
        <n v="25"/>
        <n v="5200"/>
        <n v="45"/>
        <n v="500"/>
      </sharedItems>
    </cacheField>
    <cacheField name="Kitchen Sets" numFmtId="0">
      <sharedItems containsString="0" containsBlank="1" containsNumber="1" containsInteger="1" minValue="500" maxValue="18000" count="10">
        <m/>
        <n v="18000"/>
        <n v="2000"/>
        <n v="1000"/>
        <n v="5000"/>
        <n v="3000"/>
        <n v="7500"/>
        <n v="1500"/>
        <n v="500"/>
        <n v="10000"/>
      </sharedItems>
    </cacheField>
    <cacheField name="Sleeping Mats / Bedsheets" numFmtId="0">
      <sharedItems containsString="0" containsBlank="1" containsNumber="1" containsInteger="1" minValue="500" maxValue="30518" count="8">
        <m/>
        <n v="6120"/>
        <n v="6000"/>
        <n v="1100"/>
        <n v="5000"/>
        <n v="12360"/>
        <n v="500"/>
        <n v="30518"/>
      </sharedItems>
    </cacheField>
    <cacheField name="Mosquito Nets" numFmtId="0">
      <sharedItems containsString="0" containsBlank="1" containsNumber="1" containsInteger="1" minValue="1000" maxValue="20000" count="7">
        <m/>
        <n v="10000"/>
        <n v="20000"/>
        <n v="1000"/>
        <n v="6000"/>
        <n v="6800"/>
        <n v="13200"/>
      </sharedItems>
    </cacheField>
    <cacheField name="Food Parcels" numFmtId="0">
      <sharedItems containsString="0" containsBlank="1" containsNumber="1" containsInteger="1" minValue="2600" maxValue="40000" count="6">
        <m/>
        <n v="40000"/>
        <n v="5000"/>
        <n v="2600"/>
        <n v="14500"/>
        <n v="9000"/>
      </sharedItems>
    </cacheField>
    <cacheField name="Tarps" numFmtId="0">
      <sharedItems containsString="0" containsBlank="1" containsNumber="1" containsInteger="1" minValue="20" maxValue="11000" count="15">
        <m/>
        <n v="250"/>
        <n v="1000"/>
        <n v="20"/>
        <n v="1105"/>
        <n v="110"/>
        <n v="3000"/>
        <n v="3900"/>
        <n v="11000"/>
        <n v="350"/>
        <n v="2000"/>
        <n v="10000"/>
        <n v="9995"/>
        <n v="1300"/>
        <n v="1500"/>
      </sharedItems>
    </cacheField>
    <cacheField name="Vehicles" numFmtId="0">
      <sharedItems containsString="0" containsBlank="1" containsNumber="1" containsInteger="1" minValue="1" maxValue="7" count="5">
        <m/>
        <n v="7"/>
        <n v="5"/>
        <n v="1"/>
        <n v="2"/>
      </sharedItems>
    </cacheField>
    <cacheField name="Other Items" numFmtId="0">
      <sharedItems containsString="0" containsBlank="1" containsNumber="1" containsInteger="1" minValue="3000" maxValue="6250" count="3">
        <m/>
        <n v="3000"/>
        <n v="6250"/>
      </sharedItems>
    </cacheField>
    <cacheField name="Rice Bags" numFmtId="0">
      <sharedItems containsString="0" containsBlank="1" count="1">
        <m/>
      </sharedItems>
    </cacheField>
    <cacheField name="Value of Supplies" numFmtId="0">
      <sharedItems containsString="0" containsNumber="1"/>
    </cacheField>
    <cacheField name="Operational (People) Cost for Response Phase" numFmtId="0">
      <sharedItems containsString="0" containsNumber="1"/>
    </cacheField>
    <cacheField name="Total $ Response Phase" numFmtId="0">
      <sharedItems containsString="0" containsNumber="1"/>
    </cacheField>
    <cacheField name="Early Recovery $" numFmtId="0">
      <sharedItems containsString="0" containsBlank="1" containsNumber="1" minValue="764192.86" maxValue="337000000" count="7">
        <m/>
        <n v="9767769"/>
        <n v="1200000"/>
        <n v="764192.86"/>
        <n v="337000000"/>
        <n v="5304000"/>
        <n v="2525023"/>
      </sharedItems>
    </cacheField>
    <cacheField name="Future Contrib Anticipated $" numFmtId="0">
      <sharedItems containsString="0" containsBlank="1" containsNumber="1" containsInteger="1" minValue="500000" maxValue="3800000" count="3">
        <m/>
        <n v="500000"/>
        <n v="3800000"/>
      </sharedItems>
    </cacheField>
    <cacheField name="Beneficiaries Served (Final Report)" numFmtId="0">
      <sharedItems containsString="0" containsNumber="1"/>
    </cacheField>
    <cacheField name="Total Contributions" numFmtId="0">
      <sharedItems containsString="0" containsNumber="1"/>
    </cacheField>
    <cacheField name="AP Code" numFmtId="0">
      <sharedItems containsString="0" containsNumber="1" containsInteger="1"/>
    </cacheField>
    <cacheField name="Description " numFmtId="0">
      <sharedItems containsDate="1" containsString="0"/>
    </cacheField>
    <cacheField name="Comments on Contributions" numFmtId="0">
      <sharedItems containsString="0"/>
    </cacheField>
    <cacheField name="Funding Source &amp; Info" numFmtId="0">
      <sharedItems containsBlank="1" count="13">
        <m/>
        <s v="ARCT"/>
        <s v="OFDA grant for $500,000; ARCT funds used - $100,000"/>
        <s v="ARCT funds used - $100,000"/>
        <s v="ARCT Funds used - $200,000"/>
        <s v="ARCT Funds used"/>
        <s v="OFDA grant for $500,000 for NFIs"/>
        <s v="OFDA grant for $500,000 for cash transfer programming"/>
        <s v="UPS donated $50,000; ARCT Funds applied for as of 11/18/09"/>
        <s v="various - notably online and text donations from individuals; telethons. "/>
        <s v="ARCT funds - $200,000"/>
        <s v="OFDA"/>
        <s v="ARCT funding"/>
      </sharedItems>
    </cacheField>
    <cacheField name="Stewardship report?" numFmtId="0">
      <sharedItems containsBlank="1" count="4">
        <m/>
        <s v="y"/>
        <s v="ARCT"/>
        <s v="definitely!"/>
      </sharedItems>
    </cacheField>
  </cacheFields>
  <extLst>
    <ext xmlns:x14="http://schemas.microsoft.com/office/spreadsheetml/2009/9/main" uri="{725AE2AE-9491-48be-B2B4-4EB974FC3084}">
      <x14:pivotCacheDefinition/>
    </ext>
  </extLst>
</pivotCacheDefinition>
</file>

<file path=xl/pivotCache/pivotCacheDefinition15.xml><?xml version="1.0" encoding="utf-8"?>
<pivotCacheDefinition xmlns="http://schemas.openxmlformats.org/spreadsheetml/2006/main" xmlns:r="http://schemas.openxmlformats.org/officeDocument/2006/relationships" invalid="1" refreshedBy="Amanda West" refreshedDate="40675.691120370371" createdVersion="1" refreshedVersion="2" recordCount="386" upgradeOnRefresh="1">
  <cacheSource type="worksheet">
    <worksheetSource name="DisasterData"/>
  </cacheSource>
  <cacheFields count="61">
    <cacheField name="Glide #" numFmtId="0">
      <sharedItems containsString="0"/>
    </cacheField>
    <cacheField name="ARC Disaster #" numFmtId="0">
      <sharedItems containsString="0" containsNumber="1" containsInteger="1"/>
    </cacheField>
    <cacheField name="Disaster Name" numFmtId="0">
      <sharedItems containsBlank="1" count="251">
        <s v="Mexico Earthquake"/>
        <s v="Armenia Earthquake"/>
        <s v="Rwanda Crisis"/>
        <s v="Hurricane Mitch"/>
        <s v="Balkans Crisis"/>
        <s v="Ethiopia Drought"/>
        <s v="Mexico Floods"/>
        <s v="Costa Rica Floods"/>
        <s v="China Floods"/>
        <s v="Turkey Earthquake"/>
        <s v="Nicaragua Volcano"/>
        <s v="Cambodia Floods"/>
        <s v="Greece Earthquake"/>
        <s v="Bahamas Storm"/>
        <s v="Taiwan Earthquake"/>
        <s v="Japan Industrial"/>
        <s v="Mexico Floods "/>
        <s v="Russian Fed. Conflict"/>
        <s v="Timor-Leste Conflict"/>
        <s v="Bangladesh Floods"/>
        <s v="India Storm"/>
        <s v="Vietnam Floods"/>
        <s v="Dominica Storm"/>
        <s v="St. Kitts &amp; Nevis Storm"/>
        <s v="Antigua Storm"/>
        <s v="Grenada Storm"/>
        <s v="St. Maartens Storm"/>
        <s v="Venezuela Floods"/>
        <s v="South Africa Floods"/>
        <s v="Botswana Floods"/>
        <s v="Zimbabwe Floods"/>
        <s v="Madagascar Floods"/>
        <s v="Indonesia Earthquake"/>
        <s v="India Floods"/>
        <s v="Belize Storm"/>
        <s v="Israel Conflict"/>
        <s v="Jordan Conflict"/>
        <s v="Palestine Conflict"/>
        <s v="Taiwan Transport"/>
        <s v="Austria Miscellaneous"/>
        <s v="Azerbaijan Earthquake"/>
        <s v="Sri Lanka Storm"/>
        <s v="South Africa Epidemic"/>
        <s v="El Salvador Earthquake"/>
        <s v="China Storm"/>
        <s v="India Earthquake"/>
        <s v="Mozambique Floods"/>
        <s v="Malawi Floods"/>
        <s v="Bolivia Floods"/>
        <s v="Peru Floods"/>
        <s v="Canada Transport"/>
        <s v="Russian Fed. Floods"/>
        <s v="Macedonia Conflict"/>
        <s v="Bosnia Floods"/>
        <s v="Peru Earthquake"/>
        <s v="El Salvador Drought"/>
        <s v="Honduras Drought"/>
        <s v="Nicaragua Drought"/>
        <s v="Guatemala Drought"/>
        <s v="Ecuador Volcano"/>
        <s v="Afghanistan Conflict"/>
        <s v="Pakistan Conflict"/>
        <s v="Uzbekistan Conflict"/>
        <s v="Iran Conflict"/>
        <s v="Turkmenistan Conflict"/>
        <s v="US Terrorism"/>
        <s v="Mexico Transport"/>
        <s v="Mexico Storm"/>
        <s v="Belize Meteorological"/>
        <s v="Belize Transport"/>
        <s v="Honduras Storm"/>
        <s v="Nicaragua Storm"/>
        <s v="Cuba Storm"/>
        <s v="Jamaica Storm"/>
        <s v="US Transport"/>
        <s v="Cambodia Miscellaneous"/>
        <s v="Albania Storm"/>
        <s v="DR Congo Volcano"/>
        <s v="Nigeria Industrial"/>
        <s v="Afghanistan Earthquake"/>
        <s v="Panama Floods"/>
        <s v="Kenya Floods"/>
        <s v="Malawi Food Insecurity"/>
        <s v="Nicaragua  Floods"/>
        <s v="Syria Miscellaneous"/>
        <s v="FS Micronesia Storm"/>
        <s v="Peru Storm"/>
        <s v="Bolivia Storm"/>
        <s v="Romania Floods"/>
        <s v="Germany Floods"/>
        <s v="Czech Republic Floods"/>
        <s v="Slovakia Floods"/>
        <s v="Hungary Floods"/>
        <s v="Austria Floods"/>
        <s v="Paraguay Drought"/>
        <s v="South Korea Storm"/>
        <s v="Italy Earthquake"/>
        <s v="Indonesia Terrorism"/>
        <s v="Australia Terrorism"/>
        <s v="Vietnam Miscellaneous"/>
        <s v="Lesotho Food Insecurity"/>
        <s v="Kenya Epidemic"/>
        <s v="Solomon Islands Storm"/>
        <s v="South Korea Transport"/>
        <s v="China Earthquake"/>
        <s v="Iraq Conflict"/>
        <s v="Syria Conflict"/>
        <s v="Turkey Conflict"/>
        <s v="Argentina Floods"/>
        <s v="China Epidemic"/>
        <s v="Hong Kong Epidemic"/>
        <s v="Sri Lanka Floods"/>
        <s v="Canada Wildfire"/>
        <s v="Dominican Republic Earthquake"/>
        <s v="Algeria Earthquake"/>
        <s v="Liberia Conflict"/>
        <s v="Dominican Republic Floods"/>
        <s v="Iran Earthquake"/>
        <s v="Panama Earthquake"/>
        <s v="North Korea Transport"/>
        <s v="Haiti Floods"/>
        <s v="Malawi Epidemic"/>
        <s v="Jamaica Conflict"/>
        <s v="Paraguay Miscellaneous"/>
        <s v="Chad Conflict"/>
        <s v="Sudan Conflict"/>
        <s v="Taiwan Storm"/>
        <s v="Cayman Islands Storm"/>
        <s v="Sri Lanka Tsunami"/>
        <s v="Indonesia Tsunami"/>
        <s v="Maldives Tsunami"/>
        <s v="Guyana Floods"/>
        <s v="Canada Floods"/>
        <s v="Hurricane Dennis - Jamaica "/>
        <s v="Hurricane Dennis - Grenada"/>
        <s v="Hurricane Dennis - Haiti"/>
        <s v="Sahel Food Crisis"/>
        <s v="Hurricane Katrina"/>
        <s v="Pakistan Earthquake"/>
        <s v="Hurricane Stan - Guatemala"/>
        <s v="Hurricane Stan - Mexico"/>
        <s v="El Salvador Hurricane Stan &amp; Volcano Eruption"/>
        <s v="Hurricane Wilma - Bahamas"/>
        <s v="Hurricane Wilma - Mexico"/>
        <s v="Vietnam Typhoon Damrey"/>
        <s v="Colombia Volcano"/>
        <s v="Southern Africa Food Security Crisis - Lesotho"/>
        <s v="Southern Africa Food Security Crisis - Malawi"/>
        <s v="Southern Africa Food Security Crisis - Zimbabwe"/>
        <s v="Southern Africa Food Security Crisis - Zambia"/>
        <s v="Eastern Africa Drought"/>
        <s v="Iraq Humanitarian Emergency"/>
        <s v="Timor-Leste Floods"/>
        <s v="Philippines Mudslides"/>
        <s v="Angola Cholera Epidemic"/>
        <s v="Somalia Drought"/>
        <s v="Spain Terrorism"/>
        <s v="Colombia Floods"/>
        <s v="Indonesia Yogyakarta Earthquake"/>
        <s v="Middle East Humanitarian Crisis"/>
        <s v="Ecuador Volanic Eruption"/>
        <s v="Ethiopia Floods"/>
        <s v="Sudan Floods"/>
        <s v="Philippines Typhoons"/>
        <s v="Vietnam Typhoons"/>
        <s v="Somalia Conflict"/>
        <s v="Somalia Floods"/>
        <s v="Sri Lanka Conflict"/>
        <s v="Madagascar Cyclones"/>
        <s v="Solomon Islands Tsunami/ Earthquake"/>
        <s v="Colombia Tolima Floods"/>
        <s v="Mexico Coahuila Tornado"/>
        <s v="Pakistan Cyclone Yemyin"/>
        <s v="United Kingdom Floods"/>
        <s v="Nepal Floods"/>
        <s v="Hurricane Dean"/>
        <s v="Greece Wildfire"/>
        <s v="Hurricane Felix"/>
        <s v="Indonesia Bengkulu Earthquake"/>
        <s v="Uganda Floods"/>
        <s v="Togo Floods"/>
        <s v="Tropical Storm Noel"/>
        <s v="Vietnam Typhoon Lekima"/>
        <s v="Bangladesh Cyclone Sidr"/>
        <s v="Papua New Guinea Storm"/>
        <s v="Kenya Election Civil Unrest"/>
        <s v="China Snow Disaster"/>
        <s v="Guyana Civil Unrest"/>
        <s v="Ecuador Floods"/>
        <s v="Madagascar Cyclone Ivan"/>
        <s v="Southern Africa Floods - Cyclone Jokwe"/>
        <s v="Myanmar Cyclone Nargis"/>
        <s v="China Sichuan Earthquake"/>
        <s v="Ethiopia Food Insecurity"/>
        <s v="South Africa Civil Unrest"/>
        <s v="Chile Floods"/>
        <s v="Philippines – Typhoon Fengshen"/>
        <s v="Yemen Conflict"/>
        <s v="Suriname Floods"/>
        <s v="Moldova and Ukraine Floods"/>
        <s v="Georgia Conflict"/>
        <s v="Haiti Hurricane Season 2008"/>
        <s v="Carribean Hurricane Season 2008 - Bahamas"/>
        <s v="Carribean Hurricane Season 2008 -  Jamaica"/>
        <s v="Cuba Hurricane Season 2008"/>
        <s v="Central America Floods"/>
        <s v="Pakistan Baluchistan Earthquake"/>
        <s v="Panama &amp; Costa Rica Floods"/>
        <s v="Horn of Africa Food Insecurity Crisis"/>
        <s v="Uganda, Rwanda, Burundi Population Movement"/>
        <s v="Zimbabwe Cholera Epidemic"/>
        <s v="Gaza Conflict - Israel"/>
        <s v="Gaza Conflict - Palestine"/>
        <s v="Costa Rica Earthquake"/>
        <s v="Australia Wildfires"/>
        <s v="Namibia Floods"/>
        <s v="Africa Polio Outbreak"/>
        <s v="Pakistan Internally Displaced Persons Crisis"/>
        <s v="Bangladesh Cyclone Aila"/>
        <s v="Tajikistan Mudslides and Floods"/>
        <s v="Syria Drought"/>
        <s v="West &amp; Central Africa Floods - Burkina Faso"/>
        <s v="West &amp; Central Africa Floods - Senegal"/>
        <s v="Mexico Hurricane Jimena"/>
        <s v="Java Indonesia Earthquake"/>
        <s v="Southeast Asia Typhoons - Philippines"/>
        <s v="Southeast Asia Typhoons - Vietnam"/>
        <s v="West Sumatra Indonesia Earthquake"/>
        <s v="Samoa Islands Tsunami"/>
        <s v="Kenya Drought"/>
        <s v="El Salvador Floods"/>
        <s v="Haiti Earthquake"/>
        <s v="Tanzania Floods"/>
        <s v="Chile Earthquake"/>
        <s v="Mongolia Severe Winter"/>
        <s v="Nepal Diarrhea Outbreak"/>
        <s v="Tropical Storm Agatha"/>
        <s v="Kyrgyzstan-Uzbekistan Population Movement"/>
        <s v="Pakistan Monsoon Floods"/>
        <s v="Haiti Cholera Outbreak"/>
        <s v="Philippines Typhoon Megi"/>
        <s v="Indonesia Tsunami &amp; Volcanic Eruption"/>
        <s v="Caribbean Hurricane Tomas"/>
        <s v="Belize Hurricane Richard"/>
        <s v="Colombian Floods"/>
        <s v="North Africa &amp; Middle East Civil Unrest"/>
        <s v="New Zealand Earthquake"/>
        <s v="Paraguay Dengue Epidemic"/>
        <s v="Japan Earthquake &amp; Tsunami"/>
        <s v="West African Population Movement"/>
        <m/>
      </sharedItems>
    </cacheField>
    <cacheField name="Date of Response" numFmtId="0">
      <sharedItems containsDate="1" containsString="0"/>
    </cacheField>
    <cacheField name="Fiscal Year" numFmtId="0">
      <sharedItems containsString="0" containsBlank="1" containsNumber="1" containsInteger="1" minValue="1986" maxValue="2011" count="17">
        <n v="1986"/>
        <n v="1989"/>
        <n v="1994"/>
        <n v="1999"/>
        <n v="2000"/>
        <n v="2001"/>
        <n v="2002"/>
        <n v="2003"/>
        <n v="2004"/>
        <n v="2005"/>
        <n v="2006"/>
        <n v="2007"/>
        <n v="2008"/>
        <n v="2009"/>
        <n v="2010"/>
        <n v="2011"/>
        <m/>
      </sharedItems>
    </cacheField>
    <cacheField name="FY #" numFmtId="0">
      <sharedItems containsString="0" containsNumber="1" containsInteger="1"/>
    </cacheField>
    <cacheField name="Quarter" numFmtId="0">
      <sharedItems containsBlank="1" count="5">
        <m/>
        <s v="Q3"/>
        <s v="Q4"/>
        <s v="Q1"/>
        <s v="Q2"/>
      </sharedItems>
    </cacheField>
    <cacheField name="Calendar Year" numFmtId="0">
      <sharedItems containsString="0" containsBlank="1" containsNumber="1" containsInteger="1" minValue="1985" maxValue="2011" count="18">
        <n v="1985"/>
        <n v="1988"/>
        <n v="1994"/>
        <n v="1998"/>
        <n v="1999"/>
        <n v="2000"/>
        <n v="2001"/>
        <n v="2002"/>
        <n v="2003"/>
        <n v="2004"/>
        <n v="2005"/>
        <n v="2006"/>
        <n v="2007"/>
        <n v="2008"/>
        <n v="2009"/>
        <n v="2010"/>
        <n v="2011"/>
        <m/>
      </sharedItems>
    </cacheField>
    <cacheField name="CY #" numFmtId="0">
      <sharedItems containsString="0" containsNumber="1" containsInteger="1"/>
    </cacheField>
    <cacheField name="Region" numFmtId="0">
      <sharedItems containsBlank="1" count="5">
        <m/>
        <s v="Africa"/>
        <s v="LAC"/>
        <s v="Europe/Asia"/>
        <s v="North America"/>
      </sharedItems>
    </cacheField>
    <cacheField name="Country" numFmtId="0">
      <sharedItems containsString="0"/>
    </cacheField>
    <cacheField name="Major Disaster Category" numFmtId="0">
      <sharedItems containsBlank="1" count="5">
        <m/>
        <s v="Hydrometerological"/>
        <s v="Human Related"/>
        <s v="Geophysical"/>
        <s v="Biological"/>
      </sharedItems>
    </cacheField>
    <cacheField name="Disaster Type" numFmtId="0">
      <sharedItems containsBlank="1" count="25">
        <m/>
        <s v="Drought"/>
        <s v="Floods"/>
        <s v="Earthquake"/>
        <s v="Volcano"/>
        <s v="Storm"/>
        <s v="Industrial"/>
        <s v="Floods "/>
        <s v="Conflict"/>
        <s v="Transport"/>
        <s v="Miscellaneous"/>
        <s v="Epidemic"/>
        <s v="Terrorism"/>
        <s v="Meteorological"/>
        <s v="Food Insecurity"/>
        <s v="Wildfire"/>
        <s v="Tsunami"/>
        <s v="Tropical Storm"/>
        <s v="Mass Movement Wet"/>
        <s v="Civil Unrest"/>
        <s v="Cyclone"/>
        <s v="Winter storm"/>
        <s v="Tsunami &amp; Volcanic Eruption"/>
        <s v="Earthquake/Tsunami"/>
        <s v="Population Movement"/>
      </sharedItems>
    </cacheField>
    <cacheField name="Nature of Disaster (Disaster Sub-Type)" numFmtId="0">
      <sharedItems containsBlank="1" count="29">
        <m/>
        <s v="Drought"/>
        <s v="General Floods"/>
        <s v="Earthquake"/>
        <s v="Volcanic Eruption"/>
        <s v="Tropical Cyclone"/>
        <s v="Radiation"/>
        <s v="Conflict"/>
        <s v="Storm Surge"/>
        <s v="Air"/>
        <s v="Fire"/>
        <s v="Bacterial"/>
        <s v="Winter Storm"/>
        <s v="Road"/>
        <s v="Terrorism"/>
        <s v="Water"/>
        <s v="Winter Emergency"/>
        <s v="Explosion"/>
        <s v="Food Insecurity"/>
        <s v="Collapse"/>
        <s v="Parasitic"/>
        <s v="Rail"/>
        <s v="Viral"/>
        <s v="Forest Fire"/>
        <s v="Tsunami"/>
        <s v="Landslide"/>
        <s v="Local Storm"/>
        <s v="Civil Unrest"/>
        <s v="Disease"/>
      </sharedItems>
    </cacheField>
    <cacheField name="Disaster Sub-Sub Type" numFmtId="0">
      <sharedItems containsBlank="1" count="30">
        <m/>
        <s v="Drought"/>
        <s v="General Floods"/>
        <s v="Earthquake"/>
        <s v="Volcanic Eruption"/>
        <s v="Hurricane"/>
        <s v="Radiation"/>
        <s v="Conflict"/>
        <s v="Cyclone"/>
        <s v="Storm Surge"/>
        <s v="Air"/>
        <s v="Fire"/>
        <s v="Bacterial"/>
        <s v="Snowstorm"/>
        <s v="Road"/>
        <s v="Terrorism"/>
        <s v="Water"/>
        <s v="Tropical Storm"/>
        <s v="Urban Fire"/>
        <s v="Explosion"/>
        <s v="Food Insecurity"/>
        <s v="Collapse"/>
        <s v="Typhoon"/>
        <s v="Parasitic"/>
        <s v="Viral"/>
        <s v="Tsunami"/>
        <s v="Mudslide"/>
        <s v="Tornado"/>
        <s v="Civil Unrest"/>
        <s v="Cholera"/>
      </sharedItems>
    </cacheField>
    <cacheField name="Total Affected" numFmtId="0">
      <sharedItems containsString="0" containsNumber="1" containsInteger="1"/>
    </cacheField>
    <cacheField name="Appeal?Y/N" numFmtId="0">
      <sharedItems containsBlank="1" count="3">
        <m/>
        <s v="Y"/>
        <s v="N"/>
      </sharedItems>
    </cacheField>
    <cacheField name="Whose Appeal?" numFmtId="0">
      <sharedItems containsBlank="1" count="11">
        <m/>
        <s v="IFRC"/>
        <s v="IFRC/ ICRC"/>
        <s v="ICRC"/>
        <s v="IFRC/ICRC"/>
        <s v="NS"/>
        <s v="?"/>
        <s v="ICRC &amp; IFRC"/>
        <s v="ICRC/Ntl Socs"/>
        <s v="ICRC /IFRC"/>
        <s v="IFRC &amp; ICRC"/>
      </sharedItems>
    </cacheField>
    <cacheField name="Appeal Amount" numFmtId="0">
      <sharedItems containsString="0" containsNumber="1" containsInteger="1"/>
    </cacheField>
    <cacheField name="Appeal #" numFmtId="0">
      <sharedItems containsString="0"/>
    </cacheField>
    <cacheField name="% of Appeal Covered by ARC" numFmtId="0">
      <sharedItems containsString="0" containsNumber="1"/>
    </cacheField>
    <cacheField name="Overall Appeal Coverage" numFmtId="0">
      <sharedItems containsString="0" containsNumber="1"/>
    </cacheField>
    <cacheField name="IFRC DREF?" numFmtId="0">
      <sharedItems containsBlank="1" count="3">
        <m/>
        <s v="Y"/>
        <s v="N"/>
      </sharedItems>
    </cacheField>
    <cacheField name="DREF Amount" numFmtId="0">
      <sharedItems containsString="0" containsNumber="1" containsInteger="1"/>
    </cacheField>
    <cacheField name="Multilateral Bene" numFmtId="0">
      <sharedItems containsString="0" containsNumber="1" containsInteger="1"/>
    </cacheField>
    <cacheField name="Direct Bene" numFmtId="0">
      <sharedItems containsBlank="1" containsMixedTypes="1" containsNumber="1" containsInteger="1" minValue="0" maxValue="50000" count="25">
        <m/>
        <n v="2500"/>
        <n v="3600"/>
        <n v="3000"/>
        <n v="5000"/>
        <n v="24000"/>
        <n v="10000"/>
        <s v="n/a"/>
        <n v="0"/>
        <n v="6445"/>
        <n v="15000"/>
        <n v="1250"/>
        <s v="-"/>
        <n v="10380"/>
        <n v="640"/>
        <n v="20000"/>
        <n v="165"/>
        <n v="50000"/>
        <n v="25000"/>
        <n v="21668"/>
        <n v="4639"/>
        <n v="1000"/>
        <n v="1500"/>
        <n v="300"/>
        <n v="2000"/>
      </sharedItems>
    </cacheField>
    <cacheField name="Contribution to IFRC or ICRC &gt;/= $50K?" numFmtId="0">
      <sharedItems containsString="0" containsBlank="1" containsNumber="1" containsInteger="1" minValue="0" maxValue="1" count="3">
        <m/>
        <n v="1"/>
        <n v="0"/>
      </sharedItems>
    </cacheField>
    <cacheField name="Cash to IFRC" numFmtId="0">
      <sharedItems containsString="0" containsNumber="1"/>
    </cacheField>
    <cacheField name="Cash to ICRC" numFmtId="0">
      <sharedItems containsBlank="1" containsMixedTypes="1" containsNumber="1" minValue="50000" maxValue="4377346.43" count="15">
        <m/>
        <n v="104805"/>
        <n v="100000"/>
        <n v="242000"/>
        <n v="1000000"/>
        <n v="250000"/>
        <n v="1058600"/>
        <n v="50000"/>
        <n v="2000000"/>
        <n v="200000"/>
        <n v="714000"/>
        <s v=" "/>
        <n v="360625"/>
        <n v="500000"/>
        <n v="4377346.43"/>
      </sharedItems>
    </cacheField>
    <cacheField name="Cash to NS" numFmtId="0">
      <sharedItems containsString="0" containsNumber="1"/>
    </cacheField>
    <cacheField name="Total Cash" numFmtId="0">
      <sharedItems containsString="0" containsNumber="1"/>
    </cacheField>
    <cacheField name="ARC People Deployed" numFmtId="0">
      <sharedItems containsString="0" containsBlank="1" containsNumber="1" containsInteger="1" minValue="0" maxValue="82" count="19">
        <m/>
        <n v="0"/>
        <n v="1"/>
        <n v="20"/>
        <n v="2"/>
        <n v="3"/>
        <n v="4"/>
        <n v="10"/>
        <n v="23"/>
        <n v="9"/>
        <n v="5"/>
        <n v="12"/>
        <n v="19"/>
        <n v="8"/>
        <n v="30"/>
        <n v="7"/>
        <n v="6"/>
        <n v="17"/>
        <n v="82"/>
      </sharedItems>
    </cacheField>
    <cacheField name="ERUs" numFmtId="0">
      <sharedItems containsBlank="1" count="4">
        <m/>
        <s v="Relief ERU"/>
        <s v="IT/Telecoms"/>
        <s v=" IT/Telecoms; Relief ERU"/>
      </sharedItems>
    </cacheField>
    <cacheField name="Individual Deploy-ments" numFmtId="0">
      <sharedItems containsString="0" containsBlank="1" containsNumber="1" containsInteger="1" minValue="1" maxValue="85" count="7">
        <m/>
        <n v="1"/>
        <n v="2"/>
        <n v="5"/>
        <n v="3"/>
        <n v="85"/>
        <n v="6"/>
      </sharedItems>
    </cacheField>
    <cacheField name="Total ARC Items Supplied" numFmtId="0">
      <sharedItems containsString="0" containsNumber="1"/>
    </cacheField>
    <cacheField name="Pre-positioned?" numFmtId="0">
      <sharedItems containsBlank="1" count="4">
        <m/>
        <s v="mixed"/>
        <s v="Y"/>
        <s v="N"/>
      </sharedItems>
    </cacheField>
    <cacheField name="Hygiene Kits" numFmtId="0">
      <sharedItems containsString="0" containsBlank="1" containsNumber="1" containsInteger="1" minValue="214" maxValue="45000" count="17">
        <m/>
        <n v="11200"/>
        <n v="2200"/>
        <n v="500"/>
        <n v="10000"/>
        <n v="45000"/>
        <n v="1000"/>
        <n v="750"/>
        <n v="18000"/>
        <n v="2372"/>
        <n v="4500"/>
        <n v="3500"/>
        <n v="4000"/>
        <n v="7500"/>
        <n v="1840"/>
        <n v="1160"/>
        <n v="214"/>
      </sharedItems>
    </cacheField>
    <cacheField name="Blankets" numFmtId="0">
      <sharedItems containsString="0" containsBlank="1" containsNumber="1" containsInteger="1" minValue="1000" maxValue="222900" count="20">
        <m/>
        <n v="55000"/>
        <n v="4625"/>
        <n v="5100"/>
        <n v="6000"/>
        <n v="34200"/>
        <n v="27000"/>
        <n v="1000"/>
        <n v="5000"/>
        <n v="222900"/>
        <n v="7050"/>
        <n v="2000"/>
        <n v="25000"/>
        <n v="37500"/>
        <n v="4000"/>
        <n v="20981"/>
        <n v="198970"/>
        <n v="7500"/>
        <n v="35000"/>
        <n v="1500"/>
      </sharedItems>
    </cacheField>
    <cacheField name="Jerry Cans" numFmtId="0">
      <sharedItems containsString="0" containsBlank="1" containsNumber="1" containsInteger="1" minValue="321" maxValue="30000" count="14">
        <m/>
        <n v="10500"/>
        <n v="2550"/>
        <n v="30000"/>
        <n v="2350"/>
        <n v="481"/>
        <n v="802"/>
        <n v="321"/>
        <n v="8000"/>
        <n v="7500"/>
        <n v="10000"/>
        <n v="5000"/>
        <n v="900"/>
        <n v="15000"/>
      </sharedItems>
    </cacheField>
    <cacheField name="Buckets" numFmtId="0">
      <sharedItems containsString="0" containsBlank="1" containsNumber="1" containsInteger="1" minValue="3650" maxValue="28000" count="5">
        <m/>
        <n v="28000"/>
        <n v="4800"/>
        <n v="7500"/>
        <n v="3650"/>
      </sharedItems>
    </cacheField>
    <cacheField name="Tents" numFmtId="0">
      <sharedItems containsString="0" containsBlank="1" containsNumber="1" containsInteger="1" minValue="5" maxValue="5200" count="12">
        <m/>
        <n v="36"/>
        <n v="761"/>
        <n v="757"/>
        <n v="490"/>
        <n v="11"/>
        <n v="150"/>
        <n v="5"/>
        <n v="25"/>
        <n v="5200"/>
        <n v="45"/>
        <n v="500"/>
      </sharedItems>
    </cacheField>
    <cacheField name="Kitchen Sets" numFmtId="0">
      <sharedItems containsString="0" containsBlank="1" containsNumber="1" containsInteger="1" minValue="500" maxValue="18000" count="10">
        <m/>
        <n v="18000"/>
        <n v="2000"/>
        <n v="1000"/>
        <n v="5000"/>
        <n v="3000"/>
        <n v="7500"/>
        <n v="1500"/>
        <n v="500"/>
        <n v="10000"/>
      </sharedItems>
    </cacheField>
    <cacheField name="Bedsheets" numFmtId="0">
      <sharedItems containsString="0" containsBlank="1" containsNumber="1" containsInteger="1" minValue="500" maxValue="30518" count="8">
        <m/>
        <n v="6120"/>
        <n v="6000"/>
        <n v="1100"/>
        <n v="5000"/>
        <n v="12360"/>
        <n v="500"/>
        <n v="30518"/>
      </sharedItems>
    </cacheField>
    <cacheField name="Mosquito Nets" numFmtId="0">
      <sharedItems containsString="0" containsBlank="1" containsNumber="1" containsInteger="1" minValue="1000" maxValue="20000" count="7">
        <m/>
        <n v="10000"/>
        <n v="20000"/>
        <n v="1000"/>
        <n v="6000"/>
        <n v="6800"/>
        <n v="13200"/>
      </sharedItems>
    </cacheField>
    <cacheField name="Food Parcels" numFmtId="0">
      <sharedItems containsString="0" containsBlank="1" containsNumber="1" containsInteger="1" minValue="2600" maxValue="40000" count="6">
        <m/>
        <n v="40000"/>
        <n v="5000"/>
        <n v="2600"/>
        <n v="14500"/>
        <n v="9000"/>
      </sharedItems>
    </cacheField>
    <cacheField name="Tarps" numFmtId="0">
      <sharedItems containsString="0" containsBlank="1" containsNumber="1" containsInteger="1" minValue="20" maxValue="11000" count="15">
        <m/>
        <n v="250"/>
        <n v="1000"/>
        <n v="20"/>
        <n v="1105"/>
        <n v="110"/>
        <n v="3000"/>
        <n v="3900"/>
        <n v="11000"/>
        <n v="350"/>
        <n v="2000"/>
        <n v="10000"/>
        <n v="9995"/>
        <n v="1300"/>
        <n v="1500"/>
      </sharedItems>
    </cacheField>
    <cacheField name="Vehicles" numFmtId="0">
      <sharedItems containsString="0" containsBlank="1" containsNumber="1" containsInteger="1" minValue="1" maxValue="7" count="5">
        <m/>
        <n v="7"/>
        <n v="5"/>
        <n v="1"/>
        <n v="2"/>
      </sharedItems>
    </cacheField>
    <cacheField name="Other Items" numFmtId="0">
      <sharedItems containsString="0" containsBlank="1" containsNumber="1" containsInteger="1" minValue="3000" maxValue="6250" count="3">
        <m/>
        <n v="3000"/>
        <n v="6250"/>
      </sharedItems>
    </cacheField>
    <cacheField name="Rice Bags" numFmtId="0">
      <sharedItems containsString="0" containsBlank="1" count="1">
        <m/>
      </sharedItems>
    </cacheField>
    <cacheField name="Value of Supplies" numFmtId="0">
      <sharedItems containsString="0" containsNumber="1"/>
    </cacheField>
    <cacheField name="Operational (People) Cost for Response Phase" numFmtId="0">
      <sharedItems containsString="0" containsNumber="1"/>
    </cacheField>
    <cacheField name="Total $ Response Phase" numFmtId="0">
      <sharedItems containsString="0" containsNumber="1"/>
    </cacheField>
    <cacheField name="Early Recovery $" numFmtId="0">
      <sharedItems containsString="0" containsBlank="1" containsNumber="1" minValue="764192.86" maxValue="337000000" count="8">
        <m/>
        <n v="9767769"/>
        <n v="1200000"/>
        <n v="764192.86"/>
        <n v="337000000"/>
        <n v="5304000"/>
        <n v="1000000"/>
        <n v="2525023"/>
      </sharedItems>
    </cacheField>
    <cacheField name="Future Contrib Anticipated $" numFmtId="0">
      <sharedItems containsString="0" containsBlank="1" count="1">
        <m/>
      </sharedItems>
    </cacheField>
    <cacheField name="Beneficiaries Served (Final Report)" numFmtId="0">
      <sharedItems containsString="0" containsNumber="1"/>
    </cacheField>
    <cacheField name="Total Contributions" numFmtId="0">
      <sharedItems containsBlank="1" containsMixedTypes="1" containsNumber="1" minValue="0" maxValue="477328823.80666667" count="190">
        <n v="19700000"/>
        <n v="14000000"/>
        <n v="18000000"/>
        <n v="50000000"/>
        <n v="39000000"/>
        <n v="100000"/>
        <n v="10000"/>
        <n v="0"/>
        <n v="25000"/>
        <n v="80000"/>
        <n v="132193"/>
        <n v="1200000"/>
        <n v="200"/>
        <n v="150000"/>
        <n v="205000"/>
        <n v="610134"/>
        <n v="50000"/>
        <n v="5153184.1400000006"/>
        <n v="15000"/>
        <n v="9000"/>
        <n v="1056000"/>
        <n v="23333.333333333332"/>
        <n v="23333.343333333331"/>
        <n v="389265"/>
        <n v="352704"/>
        <n v="20000"/>
        <n v="118500"/>
        <n v="40000"/>
        <n v="172000"/>
        <n v="90000"/>
        <n v="7500"/>
        <n v="2577.8000000000002"/>
        <n v="30500"/>
        <n v="227500"/>
        <n v="690000"/>
        <n v="250000"/>
        <n v="174000"/>
        <n v="1000"/>
        <n v="20700"/>
        <n v="18000"/>
        <n v="699130"/>
        <n v="12000000"/>
        <n v="3515479.37"/>
        <n v="97982"/>
        <n v="4400"/>
        <n v="60000"/>
        <n v="5000"/>
        <n v="500"/>
        <n v="71832"/>
        <n v="45000"/>
        <n v="21612.23"/>
        <n v="350424.24"/>
        <n v="11700"/>
        <n v="104805"/>
        <n v="225000"/>
        <n v="2000"/>
        <n v="75000"/>
        <n v="232252.87"/>
        <n v="115139.84"/>
        <n v="35000"/>
        <n v="130000"/>
        <n v="46670"/>
        <n v="237898.78"/>
        <n v="1345"/>
        <n v="7242.1372799999999"/>
        <n v="350000"/>
        <n v="421694"/>
        <n v="32812"/>
        <n v="17812"/>
        <n v="331380"/>
        <n v="32500"/>
        <n v="370642"/>
        <n v="21400"/>
        <n v="16700"/>
        <n v="65870"/>
        <n v="35027"/>
        <n v="10500"/>
        <n v="1175801.98"/>
        <n v="19975"/>
        <n v="6178"/>
        <n v="220134.81245"/>
        <n v="44557.856"/>
        <n v="61220"/>
        <n v="110266.26"/>
        <n v="97442.48"/>
        <n v="3000"/>
        <n v="18675"/>
        <n v="247400"/>
        <n v="35975"/>
        <n v="59896.536212325685"/>
        <n v="302452.19"/>
        <n v="131046.88"/>
        <n v="112853.79"/>
        <n v="401375"/>
        <n v="2655"/>
        <n v="103848909.52666667"/>
        <n v="477328823.80666667"/>
        <n v="1822266.6666666667"/>
        <n v="13100"/>
        <n v="32475"/>
        <n v="108693"/>
        <n v="36200"/>
        <n v="12558310"/>
        <n v="47581"/>
        <n v="342378"/>
        <n v="7034"/>
        <n v="20597"/>
        <n v="497744"/>
        <n v="21068"/>
        <n v="17402"/>
        <n v="400000"/>
        <n v="188443"/>
        <n v="55000"/>
        <n v="94461"/>
        <n v="1485750"/>
        <n v="1889600"/>
        <n v="85000"/>
        <n v="46900"/>
        <n v="793500"/>
        <n v="63000"/>
        <n v="200000"/>
        <n v="245000"/>
        <n v="2000000"/>
        <n v="102000"/>
        <n v="295000"/>
        <n v="124500"/>
        <n v="153400"/>
        <n v="20188"/>
        <n v="3400000"/>
        <n v="34565"/>
        <n v="298680"/>
        <n v="2500"/>
        <n v="22500"/>
        <n v="47500"/>
        <n v="17400"/>
        <n v="19970"/>
        <n v="104055"/>
        <n v="58073"/>
        <n v="37440"/>
        <n v="1900000"/>
        <n v="115000"/>
        <n v="1356654"/>
        <n v="23750"/>
        <n v="300000"/>
        <n v="867000"/>
        <n v="12400"/>
        <n v="714000"/>
        <n v="269000"/>
        <n v="48500"/>
        <n v="55000000"/>
        <n v="185000"/>
        <n v="44250"/>
        <n v="1532876"/>
        <n v="121044"/>
        <s v="-"/>
        <n v="1129943"/>
        <n v="246683"/>
        <n v="921250"/>
        <n v="74200"/>
        <n v="1520000"/>
        <n v="500000"/>
        <n v="30000"/>
        <n v="981315"/>
        <n v="330000"/>
        <n v="11500"/>
        <n v="259500"/>
        <n v="1168000"/>
        <n v="2150000"/>
        <n v="1664192.86"/>
        <n v="190000"/>
        <n v="274845"/>
        <n v="139611532"/>
        <n v="6400000"/>
        <n v="1000000"/>
        <n v="145000"/>
        <n v="180000"/>
        <n v="8200000"/>
        <n v="16068357"/>
        <n v="322330"/>
        <n v="240000"/>
        <n v="9812"/>
        <n v="772000"/>
        <n v="56000"/>
        <n v="163800000"/>
        <n v="182000"/>
        <m/>
        <n v="5153184.1399999997" u="1"/>
        <n v="133500000" u="1"/>
        <n v="4500000" u="1"/>
        <n v="5674977" u="1"/>
      </sharedItems>
    </cacheField>
    <cacheField name="AP Code" numFmtId="0">
      <sharedItems containsString="0" containsNumber="1" containsInteger="1"/>
    </cacheField>
    <cacheField name="Description " numFmtId="0">
      <sharedItems containsDate="1" containsString="0"/>
    </cacheField>
    <cacheField name="Comments on Contributions" numFmtId="0">
      <sharedItems containsString="0"/>
    </cacheField>
    <cacheField name="Funding Source &amp; Info" numFmtId="0">
      <sharedItems containsBlank="1" count="13">
        <m/>
        <s v="ARCT"/>
        <s v="OFDA grant for $500,000; ARCT funds used - $100,000"/>
        <s v="ARCT funds used - $100,000"/>
        <s v="ARCT Funds used - $200,000"/>
        <s v="ARCT Funds used"/>
        <s v="OFDA grant for $500,000 for NFIs"/>
        <s v="OFDA grant for $500,000 for cash transfer programming"/>
        <s v="UPS donated $50,000; ARCT Funds applied for as of 11/18/09"/>
        <s v="various - notably online and text donations from individuals; telethons. "/>
        <s v="ARCT funds - $200,000"/>
        <s v="OFDA"/>
        <s v="Potential ARCT funding for relief supplies"/>
      </sharedItems>
    </cacheField>
    <cacheField name="Stewardship report?" numFmtId="0">
      <sharedItems containsBlank="1" count="4">
        <m/>
        <s v="y"/>
        <s v="ARCT"/>
        <s v="definitely!"/>
      </sharedItems>
    </cacheField>
  </cacheFields>
  <extLst>
    <ext xmlns:x14="http://schemas.microsoft.com/office/spreadsheetml/2009/9/main" uri="{725AE2AE-9491-48be-B2B4-4EB974FC3084}">
      <x14:pivotCacheDefinition/>
    </ext>
  </extLst>
</pivotCacheDefinition>
</file>

<file path=xl/pivotCache/pivotCacheDefinition16.xml><?xml version="1.0" encoding="utf-8"?>
<pivotCacheDefinition xmlns="http://schemas.openxmlformats.org/spreadsheetml/2006/main" xmlns:r="http://schemas.openxmlformats.org/officeDocument/2006/relationships" r:id="rId1" refreshedBy="Amanda West" refreshedDate="40814.534616550925" createdVersion="1" refreshedVersion="2" recordCount="385" upgradeOnRefresh="1">
  <cacheSource type="worksheet">
    <worksheetSource name="DisasterData"/>
  </cacheSource>
  <cacheFields count="61">
    <cacheField name="Glide #" numFmtId="0">
      <sharedItems containsBlank="1"/>
    </cacheField>
    <cacheField name="ARC Disaster #" numFmtId="0">
      <sharedItems containsBlank="1" containsMixedTypes="1" containsNumber="1" containsInteger="1" minValue="1" maxValue="269"/>
    </cacheField>
    <cacheField name="Disaster Name" numFmtId="0">
      <sharedItems containsBlank="1" count="255">
        <s v="Mexico Earthquake"/>
        <s v="Armenia Earthquake"/>
        <s v="Rwanda Crisis"/>
        <s v="Hurricane Mitch"/>
        <s v="Balkans Crisis"/>
        <s v="Ethiopia Drought"/>
        <s v="Mexico Floods"/>
        <s v="Costa Rica Floods"/>
        <s v="China Floods"/>
        <s v="Turkey Earthquake"/>
        <s v="Nicaragua Volcano"/>
        <s v="Cambodia Floods"/>
        <s v="Greece Earthquake"/>
        <s v="Bahamas Storm"/>
        <s v="Taiwan Earthquake"/>
        <s v="Japan Industrial"/>
        <s v="Mexico Floods "/>
        <s v="Russian Fed. Conflict"/>
        <s v="Timor-Leste Conflict"/>
        <s v="Bangladesh Floods"/>
        <s v="India Storm"/>
        <s v="Vietnam Floods"/>
        <s v="Dominica Storm"/>
        <s v="St. Kitts &amp; Nevis Storm"/>
        <s v="Antigua Storm"/>
        <s v="Grenada Storm"/>
        <s v="St. Maartens Storm"/>
        <s v="Venezuela Floods"/>
        <s v="South Africa Floods"/>
        <s v="Botswana Floods"/>
        <s v="Zimbabwe Floods"/>
        <s v="Madagascar Floods"/>
        <s v="Indonesia Earthquake"/>
        <s v="India Floods"/>
        <s v="Belize Storm"/>
        <s v="Israel Conflict"/>
        <s v="Jordan Conflict"/>
        <s v="Palestine Conflict"/>
        <s v="Taiwan Transport"/>
        <s v="Austria Miscellaneous"/>
        <s v="Azerbaijan Earthquake"/>
        <s v="Sri Lanka Storm"/>
        <s v="South Africa Epidemic"/>
        <s v="El Salvador Earthquake"/>
        <s v="China Storm"/>
        <s v="India Earthquake"/>
        <s v="Mozambique Floods"/>
        <s v="Malawi Floods"/>
        <s v="Bolivia Floods"/>
        <s v="Peru Floods"/>
        <s v="Canada Transport"/>
        <s v="Russian Fed. Floods"/>
        <s v="Macedonia Conflict"/>
        <s v="Bosnia Floods"/>
        <s v="Peru Earthquake"/>
        <s v="El Salvador Drought"/>
        <s v="Honduras Drought"/>
        <s v="Nicaragua Drought"/>
        <s v="Guatemala Drought"/>
        <s v="Ecuador Volcano"/>
        <s v="Afghanistan Conflict"/>
        <s v="Pakistan Conflict"/>
        <s v="Uzbekistan Conflict"/>
        <s v="Iran Conflict"/>
        <s v="Turkmenistan Conflict"/>
        <s v="US Terrorism"/>
        <s v="Mexico Transport"/>
        <s v="Mexico Storm"/>
        <s v="Belize Meteorological"/>
        <s v="Belize Transport"/>
        <s v="Honduras Storm"/>
        <s v="Nicaragua Storm"/>
        <s v="Cuba Storm"/>
        <s v="Jamaica Storm"/>
        <s v="US Transport"/>
        <s v="Cambodia Miscellaneous"/>
        <s v="Albania Storm"/>
        <s v="DR Congo Volcano"/>
        <s v="Nigeria Industrial"/>
        <s v="Afghanistan Earthquake"/>
        <s v="Panama Floods"/>
        <s v="Kenya Floods"/>
        <s v="Malawi Food Insecurity"/>
        <s v="Nicaragua  Floods"/>
        <s v="Syria Miscellaneous"/>
        <s v="FS Micronesia Storm"/>
        <s v="Peru Storm"/>
        <s v="Bolivia Storm"/>
        <s v="Romania Floods"/>
        <s v="Germany Floods"/>
        <s v="Czech Republic Floods"/>
        <s v="Slovakia Floods"/>
        <s v="Hungary Floods"/>
        <s v="Austria Floods"/>
        <s v="Paraguay Drought"/>
        <s v="South Korea Storm"/>
        <s v="Italy Earthquake"/>
        <s v="Indonesia Terrorism"/>
        <s v="Australia Terrorism"/>
        <s v="Vietnam Miscellaneous"/>
        <s v="Lesotho Food Insecurity"/>
        <s v="Kenya Epidemic"/>
        <s v="Solomon Islands Storm"/>
        <s v="South Korea Transport"/>
        <s v="China Earthquake"/>
        <s v="Iraq Conflict"/>
        <s v="Syria Conflict"/>
        <s v="Turkey Conflict"/>
        <s v="Argentina Floods"/>
        <s v="China Epidemic"/>
        <s v="Hong Kong Epidemic"/>
        <s v="Sri Lanka Floods"/>
        <s v="Canada Wildfire"/>
        <s v="Dominican Republic Earthquake"/>
        <s v="Algeria Earthquake"/>
        <s v="Liberia Conflict"/>
        <s v="Dominican Republic Floods"/>
        <s v="Iran Earthquake"/>
        <s v="Panama Earthquake"/>
        <s v="North Korea Transport"/>
        <s v="Haiti Floods"/>
        <s v="Malawi Epidemic"/>
        <s v="Jamaica Conflict"/>
        <s v="Paraguay Miscellaneous"/>
        <s v="Chad Conflict"/>
        <s v="Sudan Conflict"/>
        <s v="Taiwan Storm"/>
        <s v="Cayman Islands Storm"/>
        <s v="Sri Lanka Tsunami"/>
        <s v="Indonesia Tsunami"/>
        <s v="Maldives Tsunami"/>
        <s v="Guyana Floods"/>
        <s v="Canada Floods"/>
        <s v="Hurricane Dennis - Jamaica "/>
        <s v="Hurricane Dennis - Grenada"/>
        <s v="Hurricane Dennis - Haiti"/>
        <s v="Sahel Food Crisis"/>
        <s v="Hurricane Katrina"/>
        <s v="Pakistan Earthquake"/>
        <s v="Hurricane Stan - Guatemala"/>
        <s v="Hurricane Stan - Mexico"/>
        <s v="El Salvador Hurricane Stan &amp; Volcano Eruption"/>
        <s v="Hurricane Wilma - Bahamas"/>
        <s v="Hurricane Wilma - Mexico"/>
        <s v="Vietnam Typhoon Damrey"/>
        <s v="Colombia Volcano"/>
        <s v="Southern Africa Food Security Crisis - Lesotho"/>
        <s v="Southern Africa Food Security Crisis - Malawi"/>
        <s v="Southern Africa Food Security Crisis - Zimbabwe"/>
        <s v="Southern Africa Food Security Crisis - Zambia"/>
        <s v="Eastern Africa Drought"/>
        <s v="Iraq Humanitarian Emergency"/>
        <s v="Timor-Leste Floods"/>
        <s v="Philippines Mudslides"/>
        <s v="Angola Cholera Epidemic"/>
        <s v="Somalia Drought"/>
        <s v="Spain Terrorism"/>
        <s v="Colombia Floods"/>
        <s v="Indonesia Yogyakarta Earthquake"/>
        <s v="Middle East Humanitarian Crisis"/>
        <s v="Ecuador Volanic Eruption"/>
        <s v="Ethiopia Floods"/>
        <s v="Sudan Floods"/>
        <s v="Philippines Typhoons"/>
        <s v="Vietnam Typhoons"/>
        <s v="Somalia Conflict"/>
        <s v="Somalia Floods"/>
        <s v="Sri Lanka Conflict"/>
        <s v="Madagascar Cyclones"/>
        <s v="Solomon Islands Tsunami/ Earthquake"/>
        <s v="Colombia Tolima Floods"/>
        <s v="Mexico Coahuila Tornado"/>
        <s v="Pakistan Cyclone Yemyin"/>
        <s v="United Kingdom Floods"/>
        <s v="Nepal Floods"/>
        <s v="Hurricane Dean"/>
        <s v="Greece Wildfire"/>
        <s v="Hurricane Felix"/>
        <s v="Indonesia Bengkulu Earthquake"/>
        <s v="Uganda Floods"/>
        <s v="Togo Floods"/>
        <s v="Tropical Storm Noel"/>
        <s v="Vietnam Typhoon Lekima"/>
        <s v="Bangladesh Cyclone Sidr"/>
        <s v="Papua New Guinea Storm"/>
        <s v="Kenya Election Civil Unrest"/>
        <s v="China Snow Disaster"/>
        <s v="Guyana Civil Unrest"/>
        <s v="Ecuador Floods"/>
        <s v="Madagascar Cyclone Ivan"/>
        <s v="Southern Africa Floods - Cyclone Jokwe"/>
        <s v="Myanmar Cyclone Nargis"/>
        <s v="China Sichuan Earthquake"/>
        <s v="Ethiopia Food Insecurity"/>
        <s v="South Africa Civil Unrest"/>
        <s v="Chile Floods"/>
        <s v="Philippines – Typhoon Fengshen"/>
        <s v="Yemen Conflict"/>
        <s v="Suriname Floods"/>
        <s v="Moldova and Ukraine Floods"/>
        <s v="Georgia Conflict"/>
        <s v="Haiti Hurricane Season 2008"/>
        <s v="Carribean Hurricane Season 2008 - Bahamas"/>
        <s v="Carribean Hurricane Season 2008 -  Jamaica"/>
        <s v="Cuba Hurricane Season 2008"/>
        <s v="Central America Floods"/>
        <s v="Pakistan Baluchistan Earthquake"/>
        <s v="Panama &amp; Costa Rica Floods"/>
        <s v="Horn of Africa Food Insecurity Crisis"/>
        <s v="Uganda, Rwanda, Burundi Population Movement"/>
        <s v="Zimbabwe Cholera Epidemic"/>
        <s v="Gaza Conflict - Israel"/>
        <s v="Gaza Conflict - Palestine"/>
        <s v="Costa Rica Earthquake"/>
        <s v="Australia Wildfires"/>
        <s v="Namibia Floods"/>
        <s v="Africa Polio Outbreak"/>
        <s v="Pakistan Internally Displaced Persons Crisis"/>
        <s v="Bangladesh Cyclone Aila"/>
        <s v="Tajikistan Mudslides and Floods"/>
        <s v="Syria Drought"/>
        <s v="West &amp; Central Africa Floods - Burkina Faso"/>
        <s v="West &amp; Central Africa Floods - Senegal"/>
        <s v="Mexico Hurricane Jimena"/>
        <s v="Java Indonesia Earthquake"/>
        <s v="Southeast Asia Typhoons - Philippines"/>
        <s v="Southeast Asia Typhoons - Vietnam"/>
        <s v="West Sumatra Indonesia Earthquake"/>
        <s v="Samoa Islands Tsunami"/>
        <s v="Kenya Drought"/>
        <s v="El Salvador Floods"/>
        <s v="Haiti Earthquake"/>
        <s v="Tanzania Floods"/>
        <s v="Chile Earthquake"/>
        <s v="Mongolia Severe Winter"/>
        <s v="Nepal Diarrhea Outbreak"/>
        <s v="Tropical Storm Agatha"/>
        <s v="Kyrgyzstan-Uzbekistan Population Movement"/>
        <s v="Pakistan Monsoon Floods"/>
        <s v="Haiti &amp; Dominican Republic Cholera Outbreak"/>
        <s v="Philippines Typhoon Megi"/>
        <s v="Indonesia Tsunami &amp; Volcanic Eruption"/>
        <s v="Caribbean Hurricane Tomas"/>
        <s v="Belize Hurricane Richard"/>
        <s v="Colombian Floods"/>
        <s v="North Africa &amp; Middle East Civil Unrest"/>
        <s v="New Zealand Earthquake"/>
        <s v="Paraguay Dengue Epidemic"/>
        <s v="Japan Earthquake &amp; Tsunami"/>
        <s v="West African Population Movement"/>
        <s v="Horn of Africa Drought"/>
        <s v="DPR Korea (North Korea) Floods"/>
        <s v="Pakistan Floods"/>
        <m/>
        <s v="Haiti Cholera Outbreak" u="1"/>
      </sharedItems>
    </cacheField>
    <cacheField name="Date of Response" numFmtId="0">
      <sharedItems containsDate="1" containsString="0" containsBlank="1" minDate="1985-09-01T00:00:00" maxDate="2011-09-13T00:00:00"/>
    </cacheField>
    <cacheField name="Fiscal Year" numFmtId="0">
      <sharedItems containsString="0" containsBlank="1" containsNumber="1" containsInteger="1" minValue="1986" maxValue="2012" count="18">
        <n v="1986"/>
        <n v="1989"/>
        <n v="1994"/>
        <n v="1999"/>
        <n v="2000"/>
        <n v="2001"/>
        <n v="2002"/>
        <n v="2003"/>
        <n v="2004"/>
        <n v="2005"/>
        <n v="2006"/>
        <n v="2007"/>
        <n v="2008"/>
        <n v="2009"/>
        <n v="2010"/>
        <n v="2011"/>
        <n v="2012"/>
        <m/>
      </sharedItems>
    </cacheField>
    <cacheField name="FY #" numFmtId="0">
      <sharedItems containsString="0" containsBlank="1" containsNumber="1" containsInteger="1" minValue="1" maxValue="33"/>
    </cacheField>
    <cacheField name="Quarter" numFmtId="0">
      <sharedItems containsBlank="1" count="5">
        <m/>
        <s v="Q3"/>
        <s v="Q4"/>
        <s v="Q1"/>
        <s v="Q2"/>
      </sharedItems>
    </cacheField>
    <cacheField name="Calendar Year" numFmtId="0">
      <sharedItems containsString="0" containsBlank="1" containsNumber="1" containsInteger="1" minValue="1985" maxValue="2011" count="18">
        <n v="1985"/>
        <n v="1988"/>
        <n v="1994"/>
        <n v="1998"/>
        <n v="1999"/>
        <n v="2000"/>
        <n v="2001"/>
        <n v="2002"/>
        <n v="2003"/>
        <n v="2004"/>
        <n v="2005"/>
        <n v="2006"/>
        <n v="2007"/>
        <n v="2008"/>
        <n v="2009"/>
        <n v="2010"/>
        <n v="2011"/>
        <m/>
      </sharedItems>
    </cacheField>
    <cacheField name="CY #" numFmtId="0">
      <sharedItems containsString="0" containsBlank="1" containsNumber="1" containsInteger="1" minValue="1" maxValue="33"/>
    </cacheField>
    <cacheField name="Region" numFmtId="0">
      <sharedItems containsBlank="1" count="5">
        <m/>
        <s v="Africa"/>
        <s v="LAC"/>
        <s v="Europe/Asia"/>
        <s v="North America"/>
      </sharedItems>
    </cacheField>
    <cacheField name="Country" numFmtId="0">
      <sharedItems containsBlank="1"/>
    </cacheField>
    <cacheField name="Major Disaster Category" numFmtId="0">
      <sharedItems containsBlank="1" count="5">
        <m/>
        <s v="Hydrometerological"/>
        <s v="Human Related"/>
        <s v="Geophysical"/>
        <s v="Biological"/>
      </sharedItems>
    </cacheField>
    <cacheField name="Disaster Type" numFmtId="0">
      <sharedItems containsBlank="1" count="25">
        <m/>
        <s v="Drought"/>
        <s v="Floods"/>
        <s v="Earthquake"/>
        <s v="Volcano"/>
        <s v="Storm"/>
        <s v="Industrial"/>
        <s v="Floods "/>
        <s v="Conflict"/>
        <s v="Transport"/>
        <s v="Miscellaneous"/>
        <s v="Epidemic"/>
        <s v="Terrorism"/>
        <s v="Meteorological"/>
        <s v="Food Insecurity"/>
        <s v="Wildfire"/>
        <s v="Tsunami"/>
        <s v="Tropical Storm"/>
        <s v="Mass Movement Wet"/>
        <s v="Civil Unrest"/>
        <s v="Cyclone"/>
        <s v="Winter storm"/>
        <s v="Tsunami &amp; Volcanic Eruption"/>
        <s v="Earthquake/Tsunami"/>
        <s v="Population Movement"/>
      </sharedItems>
    </cacheField>
    <cacheField name="Nature of Disaster (Disaster Sub-Type)" numFmtId="0">
      <sharedItems containsBlank="1" count="29">
        <m/>
        <s v="Drought"/>
        <s v="General Floods"/>
        <s v="Earthquake"/>
        <s v="Volcanic Eruption"/>
        <s v="Tropical Cyclone"/>
        <s v="Radiation"/>
        <s v="Conflict"/>
        <s v="Storm Surge"/>
        <s v="Air"/>
        <s v="Fire"/>
        <s v="Bacterial"/>
        <s v="Winter Storm"/>
        <s v="Road"/>
        <s v="Terrorism"/>
        <s v="Water"/>
        <s v="Winter Emergency"/>
        <s v="Explosion"/>
        <s v="Food Insecurity"/>
        <s v="Collapse"/>
        <s v="Parasitic"/>
        <s v="Rail"/>
        <s v="Viral"/>
        <s v="Forest Fire"/>
        <s v="Tsunami"/>
        <s v="Landslide"/>
        <s v="Local Storm"/>
        <s v="Civil Unrest"/>
        <s v="Disease"/>
      </sharedItems>
    </cacheField>
    <cacheField name="Disaster Sub-Sub Type" numFmtId="0">
      <sharedItems containsBlank="1" count="30">
        <m/>
        <s v="Drought"/>
        <s v="General Floods"/>
        <s v="Earthquake"/>
        <s v="Volcanic Eruption"/>
        <s v="Hurricane"/>
        <s v="Radiation"/>
        <s v="Conflict"/>
        <s v="Cyclone"/>
        <s v="Storm Surge"/>
        <s v="Air"/>
        <s v="Fire"/>
        <s v="Bacterial"/>
        <s v="Snowstorm"/>
        <s v="Road"/>
        <s v="Terrorism"/>
        <s v="Water"/>
        <s v="Tropical Storm"/>
        <s v="Urban Fire"/>
        <s v="Explosion"/>
        <s v="Food Insecurity"/>
        <s v="Collapse"/>
        <s v="Typhoon"/>
        <s v="Parasitic"/>
        <s v="Viral"/>
        <s v="Tsunami"/>
        <s v="Mudslide"/>
        <s v="Tornado"/>
        <s v="Civil Unrest"/>
        <s v="Cholera"/>
      </sharedItems>
    </cacheField>
    <cacheField name="Total Affected" numFmtId="0">
      <sharedItems containsBlank="1" containsMixedTypes="1" containsNumber="1" containsInteger="1" minValue="2500" maxValue="25000000"/>
    </cacheField>
    <cacheField name="Appeal?_x000a_Y/N" numFmtId="0">
      <sharedItems containsBlank="1" count="3">
        <m/>
        <s v="Y"/>
        <s v="N"/>
      </sharedItems>
    </cacheField>
    <cacheField name="Whose Appeal?" numFmtId="0">
      <sharedItems containsBlank="1" count="11">
        <m/>
        <s v="IFRC"/>
        <s v="IFRC/ ICRC"/>
        <s v="ICRC"/>
        <s v="IFRC/ICRC"/>
        <s v="NS"/>
        <s v="?"/>
        <s v="ICRC &amp; IFRC"/>
        <s v="ICRC/Ntl Socs"/>
        <s v="ICRC /IFRC"/>
        <s v="IFRC &amp; ICRC"/>
      </sharedItems>
    </cacheField>
    <cacheField name="Appeal Amount" numFmtId="0">
      <sharedItems containsBlank="1" containsMixedTypes="1" containsNumber="1" containsInteger="1" minValue="364732" maxValue="200000000"/>
    </cacheField>
    <cacheField name="Appeal #" numFmtId="0">
      <sharedItems containsBlank="1"/>
    </cacheField>
    <cacheField name="% of Appeal Covered by ARC" numFmtId="0">
      <sharedItems containsString="0" containsBlank="1" containsNumber="1" minValue="0" maxValue="0.44"/>
    </cacheField>
    <cacheField name="Overall Appeal Coverage" numFmtId="0">
      <sharedItems containsBlank="1" containsMixedTypes="1" containsNumber="1" minValue="0.06" maxValue="1.04"/>
    </cacheField>
    <cacheField name="IFRC DREF?" numFmtId="0">
      <sharedItems containsBlank="1" count="3">
        <m/>
        <s v="Y"/>
        <s v="N"/>
      </sharedItems>
    </cacheField>
    <cacheField name="DREF Amount" numFmtId="0">
      <sharedItems containsString="0" containsBlank="1" containsNumber="1" containsInteger="1" minValue="49273" maxValue="613944"/>
    </cacheField>
    <cacheField name="Multilateral Beneficiaries" numFmtId="0">
      <sharedItems containsBlank="1" containsMixedTypes="1" containsNumber="1" containsInteger="1" minValue="0" maxValue="25000000"/>
    </cacheField>
    <cacheField name="Direct Beneficiaries" numFmtId="0">
      <sharedItems containsBlank="1" containsMixedTypes="1" containsNumber="1" containsInteger="1" minValue="0" maxValue="50000" count="25">
        <m/>
        <n v="2500"/>
        <n v="3600"/>
        <n v="3000"/>
        <n v="5000"/>
        <n v="24000"/>
        <n v="10000"/>
        <s v="n/a"/>
        <n v="0"/>
        <n v="6445"/>
        <n v="15000"/>
        <n v="1250"/>
        <s v="-"/>
        <n v="10380"/>
        <n v="640"/>
        <n v="20000"/>
        <n v="165"/>
        <n v="50000"/>
        <n v="25000"/>
        <n v="21668"/>
        <n v="4639"/>
        <n v="1000"/>
        <n v="1500"/>
        <n v="300"/>
        <n v="2000"/>
      </sharedItems>
    </cacheField>
    <cacheField name="Contribution to IFRC/ICRC &gt;/= $50K?" numFmtId="0">
      <sharedItems containsString="0" containsBlank="1" containsNumber="1" containsInteger="1" minValue="0" maxValue="1" count="3">
        <m/>
        <n v="1"/>
        <n v="0"/>
      </sharedItems>
    </cacheField>
    <cacheField name="Cash to IFRC" numFmtId="0">
      <sharedItems containsString="0" containsBlank="1" containsNumber="1" minValue="0" maxValue="30000000"/>
    </cacheField>
    <cacheField name="Cash to ICRC" numFmtId="0">
      <sharedItems containsBlank="1" containsMixedTypes="1" containsNumber="1" minValue="50000" maxValue="4377346.43" count="16">
        <m/>
        <n v="104805"/>
        <n v="100000"/>
        <n v="242000"/>
        <n v="1000000"/>
        <n v="250000"/>
        <n v="1058600"/>
        <n v="50000"/>
        <n v="2000000"/>
        <n v="200000"/>
        <n v="714000"/>
        <s v=" "/>
        <n v="360625"/>
        <n v="500000"/>
        <n v="4377346.43"/>
        <n v="1182000"/>
      </sharedItems>
    </cacheField>
    <cacheField name="Cash to NS" numFmtId="0">
      <sharedItems containsString="0" containsBlank="1" containsNumber="1" minValue="1000" maxValue="241000000"/>
    </cacheField>
    <cacheField name="Total Cash" numFmtId="0">
      <sharedItems containsBlank="1" containsMixedTypes="1" containsNumber="1" minValue="0" maxValue="244800000"/>
    </cacheField>
    <cacheField name="ARC People Deployed" numFmtId="0">
      <sharedItems containsString="0" containsBlank="1" containsNumber="1" containsInteger="1" minValue="0" maxValue="82" count="19">
        <m/>
        <n v="0"/>
        <n v="1"/>
        <n v="20"/>
        <n v="2"/>
        <n v="3"/>
        <n v="4"/>
        <n v="10"/>
        <n v="23"/>
        <n v="9"/>
        <n v="5"/>
        <n v="12"/>
        <n v="19"/>
        <n v="8"/>
        <n v="30"/>
        <n v="7"/>
        <n v="6"/>
        <n v="17"/>
        <n v="82"/>
      </sharedItems>
    </cacheField>
    <cacheField name="ERUs" numFmtId="0">
      <sharedItems containsBlank="1" count="4">
        <m/>
        <s v="Relief ERU"/>
        <s v="IT/Telecoms"/>
        <s v=" IT/Telecoms; Relief ERU"/>
      </sharedItems>
    </cacheField>
    <cacheField name="Individual Deployments" numFmtId="0">
      <sharedItems containsString="0" containsBlank="1" containsNumber="1" containsInteger="1" minValue="1" maxValue="85" count="7">
        <m/>
        <n v="1"/>
        <n v="2"/>
        <n v="5"/>
        <n v="3"/>
        <n v="85"/>
        <n v="6"/>
      </sharedItems>
    </cacheField>
    <cacheField name="Total ARC Items Supplied" numFmtId="0">
      <sharedItems containsBlank="1" containsMixedTypes="1" containsNumber="1" minValue="11" maxValue="5143307"/>
    </cacheField>
    <cacheField name="Pre-positioned?" numFmtId="0">
      <sharedItems containsBlank="1" count="4">
        <m/>
        <s v="mixed"/>
        <s v="Y"/>
        <s v="N"/>
      </sharedItems>
    </cacheField>
    <cacheField name="Hygiene Kits" numFmtId="0">
      <sharedItems containsString="0" containsBlank="1" containsNumber="1" containsInteger="1" minValue="214" maxValue="45000" count="17">
        <m/>
        <n v="11200"/>
        <n v="2200"/>
        <n v="500"/>
        <n v="10000"/>
        <n v="45000"/>
        <n v="1000"/>
        <n v="750"/>
        <n v="18000"/>
        <n v="2372"/>
        <n v="4500"/>
        <n v="3500"/>
        <n v="4000"/>
        <n v="7500"/>
        <n v="1840"/>
        <n v="1160"/>
        <n v="214"/>
      </sharedItems>
    </cacheField>
    <cacheField name="Blankets" numFmtId="0">
      <sharedItems containsString="0" containsBlank="1" containsNumber="1" containsInteger="1" minValue="1000" maxValue="222900" count="20">
        <m/>
        <n v="55000"/>
        <n v="4625"/>
        <n v="5100"/>
        <n v="6000"/>
        <n v="34200"/>
        <n v="27000"/>
        <n v="1000"/>
        <n v="5000"/>
        <n v="222900"/>
        <n v="7050"/>
        <n v="2000"/>
        <n v="25000"/>
        <n v="37500"/>
        <n v="4000"/>
        <n v="20981"/>
        <n v="198970"/>
        <n v="7500"/>
        <n v="35000"/>
        <n v="1500"/>
      </sharedItems>
    </cacheField>
    <cacheField name="Jerry Cans" numFmtId="0">
      <sharedItems containsString="0" containsBlank="1" containsNumber="1" containsInteger="1" minValue="321" maxValue="30000" count="14">
        <m/>
        <n v="10500"/>
        <n v="2550"/>
        <n v="30000"/>
        <n v="2350"/>
        <n v="481"/>
        <n v="802"/>
        <n v="321"/>
        <n v="8000"/>
        <n v="7500"/>
        <n v="10000"/>
        <n v="5000"/>
        <n v="900"/>
        <n v="15000"/>
      </sharedItems>
    </cacheField>
    <cacheField name="Buckets" numFmtId="0">
      <sharedItems containsString="0" containsBlank="1" containsNumber="1" containsInteger="1" minValue="3650" maxValue="28000" count="5">
        <m/>
        <n v="28000"/>
        <n v="4800"/>
        <n v="7500"/>
        <n v="3650"/>
      </sharedItems>
    </cacheField>
    <cacheField name="Tents" numFmtId="0">
      <sharedItems containsString="0" containsBlank="1" containsNumber="1" containsInteger="1" minValue="5" maxValue="5200" count="12">
        <m/>
        <n v="36"/>
        <n v="761"/>
        <n v="757"/>
        <n v="490"/>
        <n v="11"/>
        <n v="150"/>
        <n v="5"/>
        <n v="25"/>
        <n v="5200"/>
        <n v="45"/>
        <n v="500"/>
      </sharedItems>
    </cacheField>
    <cacheField name="Kitchen Sets" numFmtId="0">
      <sharedItems containsString="0" containsBlank="1" containsNumber="1" containsInteger="1" minValue="500" maxValue="18000" count="10">
        <m/>
        <n v="18000"/>
        <n v="2000"/>
        <n v="1000"/>
        <n v="5000"/>
        <n v="3000"/>
        <n v="7500"/>
        <n v="1500"/>
        <n v="500"/>
        <n v="10000"/>
      </sharedItems>
    </cacheField>
    <cacheField name="Sleeping Mats / Bedsheets" numFmtId="0">
      <sharedItems containsString="0" containsBlank="1" containsNumber="1" containsInteger="1" minValue="500" maxValue="30518" count="8">
        <m/>
        <n v="6120"/>
        <n v="6000"/>
        <n v="1100"/>
        <n v="5000"/>
        <n v="12360"/>
        <n v="500"/>
        <n v="30518"/>
      </sharedItems>
    </cacheField>
    <cacheField name="Mosquito Nets" numFmtId="0">
      <sharedItems containsString="0" containsBlank="1" containsNumber="1" containsInteger="1" minValue="1000" maxValue="20000" count="7">
        <m/>
        <n v="10000"/>
        <n v="20000"/>
        <n v="1000"/>
        <n v="6000"/>
        <n v="6800"/>
        <n v="13200"/>
      </sharedItems>
    </cacheField>
    <cacheField name="Food Parcels" numFmtId="0">
      <sharedItems containsString="0" containsBlank="1" containsNumber="1" containsInteger="1" minValue="2600" maxValue="40000" count="6">
        <m/>
        <n v="40000"/>
        <n v="5000"/>
        <n v="2600"/>
        <n v="14500"/>
        <n v="9000"/>
      </sharedItems>
    </cacheField>
    <cacheField name="Tarps" numFmtId="0">
      <sharedItems containsString="0" containsBlank="1" containsNumber="1" containsInteger="1" minValue="20" maxValue="11000" count="15">
        <m/>
        <n v="250"/>
        <n v="1000"/>
        <n v="20"/>
        <n v="1105"/>
        <n v="110"/>
        <n v="3000"/>
        <n v="3900"/>
        <n v="11000"/>
        <n v="350"/>
        <n v="2000"/>
        <n v="10000"/>
        <n v="9995"/>
        <n v="1300"/>
        <n v="1500"/>
      </sharedItems>
    </cacheField>
    <cacheField name="Vehicles" numFmtId="0">
      <sharedItems containsString="0" containsBlank="1" containsNumber="1" containsInteger="1" minValue="1" maxValue="7" count="5">
        <m/>
        <n v="7"/>
        <n v="5"/>
        <n v="1"/>
        <n v="2"/>
      </sharedItems>
    </cacheField>
    <cacheField name="Other Items" numFmtId="0">
      <sharedItems containsString="0" containsBlank="1" containsNumber="1" containsInteger="1" minValue="3000" maxValue="6250" count="3">
        <m/>
        <n v="3000"/>
        <n v="6250"/>
      </sharedItems>
    </cacheField>
    <cacheField name="Rice Bags" numFmtId="0">
      <sharedItems containsString="0" containsBlank="1" count="1">
        <m/>
      </sharedItems>
    </cacheField>
    <cacheField name="Value of Supplies" numFmtId="0">
      <sharedItems containsBlank="1" containsMixedTypes="1" containsNumber="1" minValue="0" maxValue="15266353"/>
    </cacheField>
    <cacheField name="Operational (People) Cost for Response Phase" numFmtId="0">
      <sharedItems containsBlank="1" containsMixedTypes="1" containsNumber="1" minValue="0" maxValue="100000000"/>
    </cacheField>
    <cacheField name="Total $ Response Phase" numFmtId="0">
      <sharedItems containsBlank="1" containsMixedTypes="1" containsNumber="1" minValue="0" maxValue="244800000"/>
    </cacheField>
    <cacheField name="Early Recovery $" numFmtId="0">
      <sharedItems containsString="0" containsBlank="1" containsNumber="1" minValue="764192.86" maxValue="337000000" count="7">
        <m/>
        <n v="9767769"/>
        <n v="1200000"/>
        <n v="764192.86"/>
        <n v="337000000"/>
        <n v="5304000"/>
        <n v="2525023"/>
      </sharedItems>
    </cacheField>
    <cacheField name="Future Contrib Anticipated $" numFmtId="0">
      <sharedItems containsString="0" containsBlank="1" containsNumber="1" containsInteger="1" minValue="500000" maxValue="3800000" count="3">
        <m/>
        <n v="500000"/>
        <n v="3800000"/>
      </sharedItems>
    </cacheField>
    <cacheField name="Beneficiaries Served (Final Report)" numFmtId="0">
      <sharedItems containsString="0" containsBlank="1" containsNumber="1" minValue="0" maxValue="455000"/>
    </cacheField>
    <cacheField name="Total Contributions" numFmtId="0">
      <sharedItems containsBlank="1" containsMixedTypes="1" containsNumber="1" minValue="0" maxValue="477328823.80666667"/>
    </cacheField>
    <cacheField name="AP Code" numFmtId="0">
      <sharedItems containsBlank="1" containsMixedTypes="1" containsNumber="1" containsInteger="1" minValue="2002" maxValue="9306" count="121">
        <m/>
        <n v="2898"/>
        <n v="2060"/>
        <n v="2814"/>
        <n v="2824"/>
        <n v="2020"/>
        <n v="2045"/>
        <n v="2870"/>
        <n v="2912"/>
        <n v="4901"/>
        <s v="OFDA"/>
        <n v="4903"/>
        <n v="2953"/>
        <n v="2954"/>
        <n v="2675"/>
        <n v="2676"/>
        <n v="2837"/>
        <n v="2677"/>
        <n v="4949"/>
        <n v="2679"/>
        <n v="2678"/>
        <n v="2680"/>
        <n v="2681"/>
        <n v="2682"/>
        <n v="2876"/>
        <n v="2683"/>
        <n v="2821"/>
        <n v="2099"/>
        <n v="2664"/>
        <n v="2685"/>
        <n v="2608"/>
        <n v="2687"/>
        <n v="2688"/>
        <n v="2686"/>
        <n v="2613"/>
        <n v="2881"/>
        <n v="2690"/>
        <n v="2642"/>
        <s v="0000"/>
        <n v="2689"/>
        <n v="2691"/>
        <n v="2692"/>
        <n v="2694"/>
        <n v="2693"/>
        <n v="2631"/>
        <n v="2647"/>
        <n v="2618"/>
        <n v="2019"/>
        <n v="2616"/>
        <n v="2793"/>
        <s v="2861 / 2790"/>
        <n v="2614"/>
        <n v="2788"/>
        <n v="2816"/>
        <n v="9306"/>
        <n v="2802"/>
        <n v="2017"/>
        <n v="2024"/>
        <n v="2695"/>
        <n v="2774"/>
        <s v="N/A"/>
        <n v="2949"/>
        <s v="2897/2771/2769"/>
        <n v="2759"/>
        <n v="2757"/>
        <n v="2799"/>
        <n v="2032"/>
        <n v="2903"/>
        <s v="2930 / 2799"/>
        <s v="2099 /2649"/>
        <s v="2099 / 2648"/>
        <s v="2925 / 2099"/>
        <s v="2099 /2936"/>
        <s v="2099 / 2666"/>
        <s v="2695 /2692"/>
        <s v="2936 / 2799"/>
        <n v="2817"/>
        <n v="2661"/>
        <s v="2099/2897"/>
        <s v="2017 / 2099"/>
        <s v="2802 /2099"/>
        <n v="2605"/>
        <s v="2868 / 2099"/>
        <n v="2696"/>
        <s v="2690/OFDA/2799 "/>
        <s v="2099/ 2869"/>
        <s v="2017/OFDA"/>
        <s v="2002 / 2099"/>
        <s v="2597 / 2099"/>
        <s v="2099/2689"/>
        <s v="2099/($200k)/2869 ($100k)"/>
        <n v="2002"/>
        <s v="2594 / 2875"/>
        <s v="2032/2799/2869"/>
        <n v="2048"/>
        <s v="2869/2885/ 2591"/>
        <n v="2882"/>
        <s v="2799 /2882 /2869"/>
        <s v="2799/2099/2010"/>
        <s v="TRP"/>
        <s v="2799/2697"/>
        <n v="2869"/>
        <s v="2799  + OFDA"/>
        <n v="2698"/>
        <n v="2930"/>
        <s v="2003/2695"/>
        <n v="2885"/>
        <n v="2888"/>
        <n v="2896"/>
        <n v="2571"/>
        <s v="2955/2799"/>
        <s v="2799/ 2699"/>
        <s v="2760 OFDA "/>
        <s v="2799 /2025"/>
        <s v="ARCT/ 2869; AP 2010, Middle East R&amp;D – revenue;  2099, IRF – 100k to ICRC (replenished by 2010); 2799, RRF – FACT deployment expenses + PMN for Syria_x000a_"/>
        <n v="2025"/>
        <s v="2687/2841"/>
        <s v="2869/ARCT &amp; and 2025"/>
        <s v="2831/2836/ 2099"/>
        <n v="2790" u="1"/>
        <n v="2861" u="1"/>
      </sharedItems>
    </cacheField>
    <cacheField name="Description " numFmtId="0">
      <sharedItems containsDate="1" containsBlank="1" containsMixedTypes="1" minDate="2008-09-11T00:00:00" maxDate="1900-01-04T11:09:05"/>
    </cacheField>
    <cacheField name="Comments on Contributions" numFmtId="0">
      <sharedItems containsBlank="1" count="293">
        <m/>
        <s v="Region response"/>
        <s v="Total expenses combined with (#19, below)"/>
        <s v="Gisla Dewey and Carol Schimke sent to assist and observe"/>
        <s v="Hygiene kits, plastic sheeting, flashlights,batteries, bedsheets, and tents"/>
        <s v="Money sent to Federation"/>
        <s v="Manuals related to Nuclear disasters sent to JRCS"/>
        <s v="Chechnya:  Response handled by Regional desk, winter clothing for 3,000 people, 55,000 blankets, 10,500 Jerry cans, 11,200 hygiene parcels."/>
        <s v="Kevin Kelley sent."/>
        <s v="Federation handled funds"/>
        <s v="Reference Regional Desk information."/>
        <s v="Total expenditures based off expenses from August-Jan for both earthquakes affecting Turkey."/>
        <s v="Transferred directly to DRCS for household items, supplementary food to 100 families, tents &amp; hygiene kits. "/>
        <s v="Transferred directly to SKNRC for hygiene kits, food packages and bedding "/>
        <s v="$15,000 for mattresses, first aid supplies, and roofing .     "/>
        <s v="2,550 collapsible water containers. Purchased and shipped 7 Ford trucks, ($182,000),  13 MT calcium hypochloride ($30,000)"/>
        <s v="Federation handled funds ($70,000 total)"/>
        <s v="625 family kits"/>
        <s v="5,000 relief/food parcels and 5 trucks"/>
        <s v="via Japanese Red Cross for relief supplies"/>
        <s v="Three grants from OFDA (two @ $25,000 each and 1 @ $302,704) for emergency household kits"/>
        <s v="1,000 Relief kits. (blankets, mosquito nets and cooking sets)"/>
        <s v="2,600 LDS food parcels + $30,000 for local procurement"/>
        <s v="CASH"/>
        <s v="1 ambulance, 1 generator, various med supp/equip"/>
        <s v="2 ambulances, 1 New Emergency Health Kit"/>
        <s v="liaison on AIR Team"/>
        <s v="plane tickets for family members via AFES"/>
        <s v="10 generators, tents &amp; cooking sets. Delegate from Armenia deployed"/>
        <s v="Bedsheets and kitchen sets"/>
        <s v="Federation Appeal 32/00"/>
        <s v="Cash sent to ARC Delegation in region. Supplies from Regional Warehouses.   Total expenditures as of February 2001, post 2.01 expenditures were rolled into the second El Salvador earthquake."/>
        <s v="fund to purchase food (wheat), winter clothes and cotton quilts"/>
        <s v="ARC also served an additional 190,185 beneficiaries by  distributing inputs from other NS.  Total expenditures as of May 2001."/>
        <s v="To Purchase Warm cloths, footwear, blankets sheets and left over for food. Total expenditures for both earthquakes in El Salvador through May 2001."/>
        <s v="Fed Appeal 10/2001;  Includes regional supply purchase; one delegate.  Total expenditure also includes Malawi expense."/>
        <s v="Fed Appeal 9/2001;  49,000 from CCC seeds, tools and water supply.  See Mozambique Total Expenditure (they are combined.)"/>
        <s v="Fed Appeal 5/2001"/>
        <s v="American children survivors"/>
        <s v="Siberia: Procurement of warm cloths, footwear, blankets sheets &amp; food. "/>
        <s v="10,000 family  packets (Currently only 2,300) a family is 4 persons"/>
        <s v="Bulgaria stocks"/>
        <s v="plastic sheeting ($81,250), blankets ($12,240), tents ($78,637). Total $271,627 (incl. transport).    tents ($147,706): Total $150,706 (incl. transport).  Replenishment of supplies $50,000"/>
        <s v="$25,000 allocated to each national society to be implemented thr ARC delegations through $12,500 donation to the field delegation and $12,500 matched by the field.  Total expenditures through December 2001."/>
        <s v="$10,000 from IDRU in addition to $10,000 from the Americas Region to the Ecuador Red Cross for the Tungurahua Volcano Ash Fall "/>
        <s v="AFAC is a partnership with the White House.  Final report issued in August 2006."/>
        <s v="The $3,084,914.31 distributed was to international families of victims of the terrorist attacks.   Beneficiaries: 6 members per each family assisted."/>
        <s v="Financial contribution made to memorial; beneficiaries: 5 members per each family assisted."/>
        <s v="Financial contribution designated for relief supplies.  Beneficiaries: 5 members per each family assisted."/>
        <s v="$20,000 for hygiene kits; $19,000 given to Guatemala ARC delegation for hygiene kits and $50,000 in relief supplies to BRC."/>
        <s v="Beneficiaries calculated at 5 family members per each 27 families assisted."/>
        <s v="$10,000 from Nicaragua delegation for procurement of relief supplies.  $50,000 from OFDA for Honduras. (The 1,000 families assisted were in Honduras through the Emergency Food Rations) "/>
        <s v="Crash of AA 587 to D.R.  Beneficiaries calculated at 5 family members per each 260 families assisted."/>
        <s v="Beneficiaries calculated at 5 family members per the 4,000 families assisted."/>
        <s v="3 NEHK (approx. value $20,000 incl. transport) = 30,000 people for 3 months."/>
        <s v="$20,000 Citicorp donation; $1,612.23 PMN sent to Federation 22 August 03"/>
        <s v="NEHK for Mazar e Sharif "/>
        <s v="Second Installment for ICU sent in Nov 2002"/>
        <s v="supervised dist. of $50,000 of supplies given to NRC by USAID"/>
        <s v="Federation appeal15/2002 - Zeyzoun Dam Collapse"/>
        <s v="Federation appeal 16/2002; $75,000 from Region"/>
        <s v="$100,000 from Phillip Morris (AP 2099) in October 2002"/>
        <s v="Dagestan:  IRT Ramsey Rayyis; Federation Appeal 20/2002; grant from US Embassy in Moscow"/>
        <s v="Replenished Supplies sent from ARC/Saipan"/>
        <s v="DREF Replenishment"/>
        <s v="Funds provided by US Embassy; program implemented by Delegates/IRT members based in Caracas"/>
        <s v="2,900 Family Kits @ $35.88 each; 2 WHO NEHK; 2 WHO Cholera Kits; Flood Mitigation in Assam and Bihar thru Appeal."/>
        <s v="ex Sofia"/>
        <s v="Pass throughs from  Alcoa, AmEx, Citigroup, Levi Strauss"/>
        <s v="Pass throughs from  AmEx (2099), Levi Strauss (2099) and JP Morgan (2608)"/>
        <s v="Pass through from JP Morgan / Chase"/>
        <s v="Pass through from  Citigroup (2099) &amp; JP Morgan (2608)"/>
        <s v="AMEX re-directed funds from their ADGP"/>
        <s v="$50,000 from OFDA; 4,000 hygiene parcels"/>
        <s v="$50,000 from OFDA money given directly to the Paraguay RC for relief food distributions"/>
        <s v="$10,000 from Alcoa for winter clothing in donor-specified province; $110,000 from CISCO &amp; Lucent for DPP training."/>
        <s v="Verizon Pass through"/>
        <s v="Exxon/Mobil provided  $30,000 for Indonesia (to be programmed by AusCross); Citigroup provided $10,000 (2099), G.E provided $5,000 (2898) and Assoc. of Chartered Accountants provided $1,670"/>
        <s v="includes $151,228.89 from AP 2613 (estab. Oct 2002). Exxon/Mobil provided  $70,000; Anne Bike sent to Australia."/>
        <s v="SDP developed for Starr Foundation contribution for $100,000"/>
        <s v="Toward the Federation Appeal"/>
        <s v="Toward the Federation Appeal for Southern Africa"/>
        <s v="Cash donation to National Society"/>
        <s v="675 jerry cans from pre-positioned stocks"/>
        <s v="Africa Region also donated $5,000 to KRC for a total of $10,000"/>
        <s v="FJD 14,369.32 for re-stocking Solomon Islands RC"/>
        <s v="$100,000 donation from Wells Fargo was programmed by ARC in partnership with Mexican Red Cross (MRC). Steve McAndrew responded and 2 IRT members (Jerry Lisenby and M-C Brien) were subsequently deployed to manage the operation. Toyota donated $250,000 to t"/>
        <s v="$100,000 from OFDA was programmed by ARC in partnership with Mexican Red Cross (MRC)."/>
        <s v="Alcoa passthrough"/>
        <s v="Altria passthrough"/>
        <s v="PMN for SARC"/>
        <s v="PMN for JRCS; Jensen &amp; Dmitryuk in Amman"/>
        <s v="McAndrew in Ankara"/>
        <s v="Rob McKenney from PADRU"/>
        <s v="Food Parcels paid for by Region; IRT Kelly Hurd sent to support TRCS distribution; IRT R. Chapman deployed to support TRCS"/>
        <s v="AMEX: $25,000 + $7,500"/>
        <s v="Pfizer: $200,000; JP Morgan/Chase: $128,000; Microsoft: $42,642"/>
        <s v="$25,000 from AMEX and $35,000 from JP Morgan Chase (both) programmed against total invoice of $97,923.15 for 1.2 million alcohol swabs and 435,000 surgical masks"/>
        <s v="Funds provided through Citigroup's ADGP; Federation Appeal for $934,598 / 125,000 beneficiaries / 3 months"/>
        <s v="hygiene kits (value $1,770) and bedsheets (500 packets of 12 at a total value of $15,000) from PADRU as part of a joint ARC/Federation/Panamanian Red Cross operation. Steve McAndrew was deployed from PADRU to oversee the distributions"/>
        <s v="$10,000 donation from Citigroup for forest fires in British Columbia (Citigroup $ kept in 2099 per a prior agreement)"/>
        <s v="$25,000 from Verizon (AP is shared with November 2003 floods in Cibao / Montecristi)"/>
        <s v="hygiene kits ($3.72 each) ex Bulgaria; $8,470 for transport, $1,200 demurrage, $19,000 to remove washing powder in Greece"/>
        <s v="Funds from Region's budget previously sent to Geneva re-allocated  - signed PMN returned to IDRU in October 2003"/>
        <s v="Hurricane Kenna funds ($11,636.16 minus 11.15%); Christine Strater and Nate Cooper deployed 5 October 2003"/>
        <s v="Alcoa funds for re-stocking KNRC warehouse"/>
        <s v="$50,000 from OFDA; Greenhalgh, McAndrew and Chapman deployed in November 2003 on Relief ERU Pilot"/>
        <s v="(AP is shared with October 2003 Earthquake in Puerto Plata)"/>
        <s v="Relief ERU deployed: McAndrew (TL), Stephenson, Stops, Parry, Strater &amp; Swadzka.  $200,000 PMN sent to Federation; Commodities provide: 10,000 towels and 20,000 nail clippers"/>
        <s v="Grant from Reuters / AlertNet"/>
        <s v="Grant from Semnani Foundation."/>
        <s v="Supplies to Panama RC"/>
        <s v="CASH: $10,000  from 2861 funds from Asia Region ; $100,000 from OFDA / 2790;"/>
        <s v="Nate Cooper deployed to DR with PADRU; stocks deployed ($74,526.50) from PADRU includes 2,430 school kits; $89,000 worth of generators"/>
        <s v="PMN 0407052 ($18,000 + PSR) dated 7 July 2004; rental of two vehicles to be used in Haiti for 3 months each"/>
        <s v="ex London"/>
        <s v="Ricardo Caivano - Gates Foundation funds ($233,780 - 11.15% = $207,713.53 available - - 60% for DR)"/>
        <s v="Ricardo Caivano - Gates Foundation funds ($233,780 - 11.15% = $207,713.53 available - - 40% for Haiti)"/>
        <s v="PADRU stocks"/>
        <s v="World Bank Employees; money arrived Oct 2004"/>
        <s v="PMN Contribution to support Fed Appeal - Chad: Sudanese Refugees (from LDS)"/>
        <s v="1. 2004 - L. Greenhalgh seconded to Fed, expenses $5400 2. 2006 - Pledge to ICRC Sudan Appeal, $242,000"/>
        <s v="PMN: $15,975 from Citigroup and $20,000 from AMEX"/>
        <s v="Pass through from Intel ($50,000), Synopsys Community Foundation ($10,000 - 11.15%) and San Gabriel Valley Chapter ($1,000 - 11.15%)"/>
        <s v="PMN - March 05; N. Cooper deployed to Grenada and Bahamas w/ PADRU; T. Reines deployed to Grenada.  5 Tents @ $299 each; Jerry Cans @ $1.99 each"/>
        <s v="PMN - March 05; M. Parry deployed with FACT; Jerry Cans @ $1.99 each, blankets @ $3.03 each, 407 flashlights @ $1.20 each,  tarpaulins @ $12.50 each"/>
        <s v="PMN - March 05; tents @ $299 each; Jerrry Cans @$1.99 each; 1,000 flashlights @ $1.20 each; Hygiene Kits @ $3.54 loaned to British Red Cross"/>
        <s v="PMN - Jan 05; C. Garrison, S. Schaefer deployed 1 month; N. Cooper deployed several times"/>
        <s v="Brigitte Gallis deployed; tarpaulins @ $12.50 each; PMN 400K out of AP 2024 Jan 05"/>
        <s v="from PADRU @ $3.54 each"/>
        <s v="CANCELLED: 100 cases of laundry soap (5,000 bars = $7,200) and 5,000 bars of bath soap ($1,475)"/>
        <s v="Parry, Ragan, Courville, Matthews, Caivano, Blake, Garrison, Szwadzka, Hurd, Chinn, Gaver, Brien, Reines, Thornton, Cummings, deployed with Relief ERU. Stephenson and Cooper deployed with British RC; Hagos deployed for 2 weeks in Feb 2005; L. Wilkinson (D"/>
        <s v="O'Donnell, Michaud and Card deployed as w/ Relief ERU in Northern Sumatra; Greenhalgh on FACT.   $5 million PMN sent to Federation for Appeal; Caivano transferred from Sri Lanka to Indo; Karnes deployed as IRT (logs/ops) "/>
        <s v="Hagos on FACT; $5 million PMN sent to Federation for Appeal; Gould wat/san IRT"/>
        <s v="Jim Gould and Jeffery Weiss deployed and purchased and shipped to the GRC $10,000 worth of individual and family First Aid Kits."/>
        <s v="Contribution from AmEx for the Alberta Floods (GID direct to CRC)."/>
        <s v="Ex PADRU"/>
        <s v="$200,000 PMN sent: $100,000 to be divided between Jamaica and Grenada at Federation's discretion."/>
        <s v="4,995 pcs laundry soap &amp; 5,000 pcs bath soap sent from PADRU; $200,000 PMN sent with $100,000 for Haiti"/>
        <s v="Paying for secondments of Langdon Greenhalgh, Brigitte Gaillis and Tim Cummings to IFRC"/>
        <s v="Nate Cooper, Mark Smith and Lance Leverenz deployed to Mississippi, Lousiana and Alabama."/>
        <s v="CASH: Non-designated PMN to the Fed $1,850,000; PMN to the Fed designated for one month cost of helicopter relief operations for $400,000; PMN to the Fed designated for corrugated iron sheeting (~73,000 pc) for $1,500,000. SUPPLIES:  Shawls at $50,000. (C"/>
        <s v="PMN contribution to support Federation's appeal relief operations."/>
        <s v="CASH: Initial PMN contribution for $25,000 from IRF 2099 for Federation's Hurricane Stan Appeal.Additional PMN contribution for $83,568 from AP2760 for Federation's Hurricane Stan Appeal relief operations. Additional $124,453 PMN contribution from AP 2020"/>
        <s v="Nate Cooper deployed on PADRU team and PMN contribution to support Federation's appeal  relief operation in response of floods and volcanic eruption in El Salvador."/>
        <s v="$3.54 each + 6,200 (transport) = $14,596.88  plus shipping and handling"/>
        <s v="CASH: $250,000 -Initital direct contribution from AP 2757 to the MexRC to support their relief operation in Cozumel, gift from Carnival Cruise Lines. 2) $75,000 additional direct contribution from AP 2020 to the MexRC to support their relief operations, g"/>
        <s v="PMN to the Federtion to support Vietnam: Typhoon Damrey Emergency Appeal. The funds were from Boejing and the PMN was handled by the region."/>
        <s v="tents to the CRC - cost of shipping charged to 2099."/>
        <s v="PMN contribution to support Federation's appeal relief operations in Lesotho."/>
        <s v="PMN contribution to support Federation's appeal earmarked for Community Base Health Care Program to leverage NLRC funding."/>
        <s v="PMN contribution to support Federation's appeal relief operations in Zimbabwe."/>
        <s v="$400K &amp; $100K PMN contribution to support Federation's appeal relief operations in Zambia."/>
        <s v="19,170 PMN to IFRC Iraq: Floods Appeal No. MDRIQ001 for 25,000 beneficiaries; 69,272.96 PMN to IFRC Iraq: Humanitarian Emergency Appeal No. 05 EA026 for 350,000 beneficiaries; 100,000 Cash Contribution to ICRC's emergency appeal for Iraq activities relate"/>
        <s v="PMN contribution to support the Federation's operation in response to the Timor-Leste: Storms and Floods Emergency Appeal No. MDRTP001."/>
        <s v="PMN contribution to support the Federation's operation in the Philippines: Landslides and Floods Emergency Appeal No. MDRPH001 in the amount of 50,000 USD; Amex donation to Philippines National Red Cross for their emergency operations in the amount of 5,0"/>
        <s v="J. Koepsell as FACT Health"/>
        <s v="PMN contribution to support Ethiopa: Drought Appeal"/>
        <s v="Pledge Letter to ICRC for Somalia Emergency Appeal"/>
        <s v="Suspense acct contribution following April 2004 bombing. Grant to Spain RC for DPP"/>
        <s v="OFDA award in support of ARC's proposal &quot;Colombia Floods 2006&quot; to support CRC emergency relief response."/>
        <s v="CASH: 1. PMN to Fed 119,000 from AP2930  2. PMN to Fed 179,250 from AP2930 earmarked for 80K sleeping mats 3. PMN from AP2930 to Fed 1 million earmarked for tarps (600K), PSP (100K), DM (300K); PMN contribution to support Fed appeal relief operations - jo"/>
        <s v="PMN contribution to support Federation's Emergency Appeal - AmEx contribution - from suspense acct"/>
        <s v="CASH: Contributions to ICRC - 1. $500,000 2. $150,000 3. $211,136 to MDA specifically from AP2099; Contributions to ICRC - 1. $150,000 2. 47,500 (Dow Chemical Com from AP2649 pany), Contribution to Fed $475,000 (Coca Cola) from AP2649; $200,000 grant to P"/>
        <s v="PMN contribution earmarked for procurement of rice to support Fed's China: Floods Appeal"/>
        <s v="OFDA award in support of ARC's proposal &quot;Tungurahua Volcano eruption&quot; to support the ERC emergency relief response."/>
        <s v="CASH: PMN from 2099 contribution to Fed Appeal earmarked for tarps, blankets, sleeping mats PEOPLE: Deployed J. Manley, Prog Coordinator, 2 mo. AND K.White, Prog Delegate, 2 mo. From AP 2648."/>
        <s v="Nets @ $3.69 each + $10,000 (transport) = $46,900"/>
        <s v="PEOPLE: Deployed B. Gaillis, Ops Coordinator, 5 wks; Deployed C. Blake, FACT Relief, 3 wks. CASH: 2. PMN Fed Philippines: Typhoons $237,000 from AP2032; PMN Fed Philippines: Typhoon Xangsane Appeal $200,000 from AP2099;  3. PMN Fed Philippines: Typhoons $"/>
        <s v="PMN Fed Vietnam from AP2799: Typhoon Xangsane Appeal $25,000; PMN Fed Vietnam from AP2870: Typhoon Xangsane $38,000"/>
        <s v="Contribution to ICRC 2006 Somalia Emergency Appeal - spec IDPs"/>
        <s v="CASH: From AP2925: 30K - IDR/IP grant directly to Kenya Red Cross; PMN to Fed - 50k from LDS; SUPPLIES: 20,000 (mosquito nets) @ $4.44 each + PSR, etc + $20,000 (transport) = $120,000 from AP2099"/>
        <s v="Contribution to ICRC 2006 Somalia Emergency Appeal - spec those affected by floods"/>
        <s v="SUPPLIES: 7050 blankets @ $3.75, 3900 tarps @ $14.20, 16,000 sleeping mats @ $1.70; PEOPLE: Relief ERU deployment - T. Reines, G. Guinta, 1 month, 2nd team rotation from  AP2936"/>
        <s v="$50,000 PMN to Fed - unearmarked from 2099; $100,000  from 2666 - OFDA grant to Fed via PMN. Earmarked for 1500 food parcels, 1500 tool kits and remaining goes to transport costs."/>
        <s v="Contribution to ICRC 2007 Sri Lanka Emergency Appeal - to build the capacity of the SLRCS in disaster relief, IHL and overall cooperation. $320K earmarked to support ICRC HQ ops"/>
        <s v="SUPPLIES: 1000 Mosquito Nets - $74,000 from 2799; PEOPLE: Deployed B. Gaillis, FACT, 3 wks; Deployed Relief ERU - C. Chaperon, G. Matthews 4 wks; Deployed 2nd rotation of Relief ERU - J. Manley, S. Hagerich, 4 wks - $18,000 cost from 2936"/>
        <s v="PMN to Fed - unearmarked"/>
        <s v="Grant to NS for NFIs, health team visits, general admin costs"/>
        <s v="Grant to NS for NFIs - kitchen, hygiene, baby kits; laterns w/ radios"/>
        <s v="Contribution to ICRC 2007 Somalia Emergency Appeal: Budget Extension - support for capacity bldg."/>
        <s v="Contribution to ICRC 2007 Sudan Emergency Appeal: Budget Extension - support for capacity bldg."/>
        <s v="CASH: PMN to Fed - unearmarked; PEOPLE: T. Betz deployed on FACT as Relief/Logs Ap2897"/>
        <s v="CASH: $24,500 PMN to Fed - unearmarked from 2017; $100,000 PMN to Fed - unearmarked from 2099;"/>
        <s v="CASH: $100,000 PMN to Fed earmarked for improved emergency shelters (Appeal obj 1) and tree saplings (obj 4) for 500 families from AP 2099; PEOPLE: N.Cooper deployed on FACT as Relief/Shelter"/>
        <s v="Grant letter to British Red Cross; 10,000 GBP donation from Cargill + individual donations"/>
        <s v="CASH: 100K PMN Unearmarked, 200K PMN earmarked for hygiene kits, jerry cans and shelter kits + ops costs; SUPPLIES: hygiene kits @ $13.55; tarps @ $11.30; kitchen sets @ $14.55 + PSR; PEOPLE: C Michaud deployed on Relief ERU (2 days) replaced by L Aceves "/>
        <s v="CASH:  ARC grant ($76k) to MRC for hygiene kits, kitchen sets, and roofing materials for 670 families; ARC/OFDA subgrant to MRC ($222k) for 1,830 families; PEOPLE: Shelley Cheatham (Monitoring)"/>
        <s v="CASH: Grant to Haitian Red Cross - restock relief supplies; PEOPLE: Brigitte Gaillis (Contingency Planning)"/>
        <s v="UPS 25k, Gen Mills 15k - Grant letter"/>
        <s v="PMN to Fed - earmarked $50,000 for Nicaragua and $22,500 for Honduras (includes $25,000 from Exxon for Honduras); "/>
        <s v="CASH: PMN to Fed - unearmarked"/>
        <s v="Per diem for PMI response team"/>
        <s v="C Chaperon (relief) and B Nandiga (wat/san) deployed on FACT.  M Million deployed on joint Danish-American IT/Telecom ERU."/>
        <s v="PMN (CHF 10,300) to cover delegate costs for Youssouff Langui on FACT to Togo.  PMN (CHF 13,102) to cover costs for 3 RDRTs for one month."/>
        <s v="PSR"/>
        <s v="PEOPLE: O Abou-Samra, J Ferguson (cash/livelihoods); CASH: PMN to Fed ($10k for cash distribution project, $20k operational costs)"/>
        <s v="CASH: Grants to MxRC ($50k from 2799 + $300k from 2690), PMN to Fed $167k (earmarked for 4,000 hygiene kits, 4,000 jerry cans, 4,000 buckets);  OFDA Grant; PEOPLE: W Romeril (info)"/>
        <s v="CASH: PMN  from AP 2099 to Fed unearmarked; PMN from AP 2869 to Fed earmarked purchase/dist household kits;  $100,000 from ARCT for shelter to Federation"/>
        <s v="CASH:  1st PMN ($100k unearmarked from AP 2099), 2nd PMN ($100k earmarked to tsunami affected areas from AP 2546), 3rd PMN ($300k earmarked for shelter and wat/san from OFDA), 4th PMN ($583k earmarked for shelter and wat/san from OFDA); SUPPLIES: + PSR; P"/>
        <s v="CASH: PMN to Fed unearmarked"/>
        <s v="CASH: 50k to KRCS  from 2799 and 50k to ICRC from 2002; CASH from 2099: 200k to ICRC"/>
        <s v="CASH: Bilateral to RCSC"/>
        <s v="PEOPLE: G. Dodge, V. Vibhakar to Guyana for PSP ($10k) CASH: cash to NS $2,400 - total both $12,400"/>
        <s v="CASH: 714k to ICRC from Coca Cola"/>
        <s v="CASH from 2597: OFDA grant for procurement of NFIs - nets, clean-up kits, kitchen sets;  CASH from 2099: To ERC for purchase of food parcels "/>
        <s v="CASH from 2099: $250k Earmarked for OD and M&amp;E; CASH from 2689: $19k Earmarked for OD and M&amp;E;"/>
        <s v="CASH: 285k earmarked shelter/relief activities, 15k earmarked for RDRT costs x3; 2099 = $200k/ 2869 = $100k. Note ARCT funds used - $100,000 to Federation for shelter, see ARCT 2008 report."/>
        <s v="CASH: Grant letter to TRCS, relief/shelter"/>
        <s v="SUPPLIES from 2594: OFDA  jerry cans, plus roughly 60k transport and associated costs; SUPPLIES from 2875: $1,150,000 plus transport"/>
        <s v="CASH: Unearmarked PMN; PEOPLE: R. Rayyis 1 wk info gathering, T. Betz 3 wk relief/logs/monitoring del; S. Thornton 6 mo relief del"/>
        <s v="CASH: PMN earmarked for procurement, transport, distribution of food"/>
        <s v="PEOPLE: C. Bell bilateral - dev systems/tracking"/>
        <s v="PEOPLE: S. DiPretoro, w/RIT, cash voucher/market assessment"/>
        <s v="CASH: 1st PMN (135K)earmarked for typhoon-resistant shelter construction, and DP programs, 2nd (50k) earmarked for shelters after IFRC reported severe underfunding; 1st PMN: AP 2869 - $80,938.17, AP 2799 - $45,211.83. AP 2032 - $8,850.00 / 2nd PMN: AP 279"/>
        <s v="CASH: $50,000 Pledge Letter to ICRC"/>
        <s v="PEOPLE: M. Million, R. Palmer IT capacity bldg"/>
        <s v="CASH: $44,280 PMN unearmarked, Boeing donation"/>
        <s v="CASH: $100,000 Pledge Letter to ICRC"/>
        <s v="CASH: PMN $50,000 unearmarked to Fed"/>
        <s v="CASH: $100K PMN from AP 2885 earmarked for shelter kits from ARCT; PEOPLE: B. Gaillis (FACT TL), Relief ERU - C. Chaperon (TL), M. Marek, 2nd round - M. Marek (TL), J. Manley, G. Matthews, value at 50k to Fed;  OFDA grant for $500,000. SUPPLIES plus trans"/>
        <s v="CASH: PMN $100,000 earmarked for Bahamas and Jamaica; PEOPLE: C. Hammond (RIT)"/>
        <s v="CASH: PMN earmarked for Bahamas and Jamaica"/>
        <s v="CASH: PMN unearmarked - OFAC license received"/>
        <s v="CASH: PMN 25k earmarked to Honduras from 2882"/>
        <s v="CASH: PMN 100k from 2799 unearmarked; PMN 91k - ( $88,500 from 2869 ARCT and $2,500 from 2799); $25,000 from 2882 earmarked for Honduras"/>
        <s v="CASH: $100,000 to purchase relief supplies."/>
        <s v="CASH: PMN 50k unearmarked "/>
        <s v="CASH: PMN $100,000 for Fed Appeal"/>
        <s v="PEOPLE: T. Reines, relief del on Fed assessment team x3 wks (entire Horn of Africa); CASH: Intially $500,000 was approved but issues related to the programming and the appeal kept these funds from being disbursed to IFRC appeal. Eventually appeal was canc"/>
        <s v="CASH: $50,000 PMN to Appeal earmarked to Uganda. PEOPLE: B. Banks, seconded to NBO as backfill DM coordinator deployed to Uganda on Fed assessment"/>
        <s v="CASH: PMN $100k to IFRC from 2799 - 75% operational needs, 25% support costs."/>
        <s v="CASH: 5 Jan 09 - $250,000 from 2799 RRF to ICRC;  9 Jan 09 $250,000 from 2799 RRF, to PRCS;  30 Jan 09 $200,000 from 2099 IRF to MDA;  5 Feb 09: $110,625 from 2010 Middle East, to PRCS appeal, and $110,625, 2010 Middle East to ICRC appeal."/>
        <s v="CASH: Bilateral to CRRC; PEOPLE: S. DiPretoro, A. Vargas"/>
        <s v="CASH: ARC coordinated US corporate donations to joint domestic AusRC &amp; Ntl Govt appeal -  totaled $1,250,000 - sent August 2009"/>
        <s v="CASH: $500,000 to ICRC for baby kits to IDPs in camps. PEOPLE: Gina Guinta ICRC volunteer to work in IDP camps doing relief distribution, 30 days."/>
        <s v="SUPPLIES: 8,000 ARC Jerry Cans from stock at PADRU shipped to IFRC in Colombia."/>
        <s v="CASH: $50,000 to Italian Red Cross from RRF 2799 - later repaid by 2697 when raised; Receiving donor funds to AP 2697 from public and chapters. Additional $522,180 from donor funds sent 5/29/09. Final amount in Aug. 2009"/>
        <s v="CASH: $50k to IFRC from 2799 earmarked for relief supplies"/>
        <s v="CASH: $200k to IFRC earmarked for Sudan vaccination campaign from ARCT - funds went out as of August 2009."/>
        <s v="SUPPLIES: $80,000 bilateral for beds and mattresses to be transported to PRCS for IDP camps. CASH: $250,000 earmarked for NFIs. on June 26 to support Federation Appeal. "/>
        <s v="PEOPLE: Relief Operations Support Delegate: Travis Betz deployed 4 weeks as a Relief Operations Support Delegate to provide support to the Bangladesh Delegation and affected National Society in response to Cyclone Aila. "/>
        <s v="CASH: $11,500 (plus cost recovery) to IFRC Appeal from 2799"/>
        <s v="CASH: $50,000 from ARCT for Overlooked Disasters Fund (plus cost recovery to be covered from RRF 2799)"/>
        <s v="PEOPLE: John Manley deployed to Burkina Faso as FACT team member for 1 month. "/>
        <s v="PEOPLE: 3 ERU team members deployed jointly with DanishRC for 1 month: Steve McAndrew – ERU Team leader, Shinko Mondori- ERU team member, Luis Matnog- ERU team member . ERUs are part of Appeal Mob table so we can claim multilateral beneficiaries."/>
        <s v="SUPPLIES: Bilateral to Mexican RC: 1,840 hygiene kits from stock at PADRU, 3,000 kitchen sets from stock at PADRU, 3,000 reconstruction kits to be procured locally. Funding: For 1,840  hygiene kits ($60,000) from 2799; 3,000 kitchen sets ($75,000) from OF"/>
        <s v="PEOPLE: Cristina Hammond deployed to fill the role of IFRC Shelter Cluster Information Manager for Java Earthquake response - 4 weeks."/>
        <s v="Philippines: SUPPLIES: approx $118,000 in relief supplies from KL warehouse. CASH: $550,000 = $250,000 PMN to Philippines Appeal for early recovery (plus cost recovery) +$300,000 PMN to Philippines appeal for shelter, relief and watsan (plus cost recovery"/>
        <s v="Vietnam: CASH: Cash: $450,000 total:  $50,000 PMN Oct. 2 + $300,000 PMN Oct. 5 to Federation Vietnam Appeal - earmarked for shelter, NFIs and Wat/San + $100,000 PMN to Vietnam Appeal for DRR (plus cost recovery). OFDA grant for $500,000 for cash programmi"/>
        <s v="CASH: OFDA grant for $500,000 to fund NFIs; SUPPLIES: 44,180 supplies (cost: $400,000) from KL warehouse; PEOPLE: Alex Mahoney onsite 3 weeks to coordinate OFDA NFIs distribution."/>
        <s v="CASH: $100,000 PMN to Federation Appeal from Rapid Response Fund"/>
        <s v="SUPPLIES: In response to Indian RC national appeal, ARC locally procured approx 2,700 kitchen sets to deliver to Indian RC, using APs 2003 (India R &amp; D) and 2695 (TRP funds for Andra Pradesh DM) - this effectively closes out these APs ($190,000 spent tota"/>
        <s v="CASH: $100,000 PMN to Federation Appeal from Rapid Response Fund earmarked for seeds."/>
        <s v="PEOPLE: John Manley deployed to Haiti NRC as a RIT for DREF operation."/>
        <s v="CASH: $193,603 to Federation Appeal earmarked for transitional shelter; SUPPLIES: $24,500 in kitchen sets and hygiene kits. "/>
        <s v="As of June 30 2010: CASH &amp; SUPPLIES: See detailed donor report, mob table, etc. for specific amounts to Federation, amount spent, etc. Raised: $468 million. PEOPLE: 65+ deployed to Haiti, DR and PADRU: Relief and IT/Telecoms ERU deployed, and various dele"/>
        <s v="CASH: Anne Ray Charitable Trust funds applied $200,000 towards water and sanitation equipment."/>
        <s v="CASH: $50,000 made available from IRF as initial response. $450,000 made available in subsequent week. SUPPLIES: 5,000 jerry cans; 1,160 hygiene kits. PEOPLE: Alvaro Garita  - Relief delegate, Gonzalo Aquino - Water and Sanitation  delegate."/>
        <s v="National Society has issued it own appeal. ARC decided to contribute $500,000 after June 30 2010.  An additional $500,000 will go to future community disaster preparedness."/>
        <s v="CASH: $145,000 contribution made to Federation appeal from Anne Ray Charitable Trust (ARCT) funds"/>
        <s v="CASH: $50,000 towards Federation appeal."/>
        <s v="CASH: $100,000 to Federation appeal. SUPPLIES: $80,000 in relief supplies from PADRU."/>
        <s v="CASH: $50,000 to ICRC Kyrgyzstan appeal; $50,000 to IFRC Kyrgyzstan appeal; $100,000 to IFRC Uzbekistan appeal (this amount from GM donation). "/>
        <s v="see above"/>
        <s v="CASH: $100,000 PMN to Federation Appeal from AP2799/RRF - not to be replenished; $3,000,000 ($3M) PMN to Federation Appeal from AP2699 earmarked for relief &amp; emergency shelter;  $300,000 PMN to Federation Appeal from AP 2699 earmarked for relief &amp; emergen"/>
        <s v="CASH: $200,000 bilateral contribution/grant letter to Mexican Red Cross for relief - paid by ARCT funds."/>
        <s v="CASH: $30,000 PMN to Federation Appeal from 2799 (RRF) earmarked for relief."/>
        <s v="Spent figure directly from HAP as of May 2011. ARC committed to spend $14 million on Cholera. See HAP for additional details._x000a_CASH: $566,133 PMN to Federation Appeal: $537,500 earmarked for Haiti AP2888; $28,634 earmarked for Dominican Republic from AP288"/>
        <s v="CASH: $30,000 PMN to Federation Appeal from 2032 earmarked for relief distribution."/>
        <s v="CASH: $50,000 PMN to Federation Appeal from 2799 earmarked for relief."/>
        <s v="CASH: $75,000 PMN to Federation Appeal from 2799 earmarked for relief. $70,000 PMN to Federation appeal earmarked for relief supplies for St. Lucia (see RAP). PEOPLE: Six bilateral staff from ARC Haiti office deployed on Federation Emergency Response Team"/>
        <s v="CASH: $80,000 bilateral contribution by grant letter to Belize Red Cross earmarked for emergency shelter. _x000a_PEOPLE: Laura Havesi deployed for emergency shelter support and cash voucher program."/>
        <s v="CASH: OFDA grant for $322,330 for distribution of relief supplies; small cash transfer program; disaster risk reduction workshops  "/>
        <s v="SUPPLIES: IFRC mob table contribution: 6,000 mosquito nets @ $40,000; CASH: $80,000 cash pledge to Federation appeal - MDRCO008 earmarked for NFIs for relief distribution; Bilateral $120,000 bilateral contribution for health and DRR programming. "/>
        <s v="SUPPPLIES: 1,500 blankets and 214 hygiene kits at $9,812 from PADRU."/>
        <s v="CASH: $100,000 to ICRC earmarked for Tunisia from AP2010; PMN for $162,270 earmarked for locally procured supplies by AP2869/ARCT; $50,000 PMN from AP 2799 earmarked for Syria for local procurement of food and NFIs. SUPPLIES:1500 tarps from Dubai warehous"/>
        <s v="CASH: Two grant letters to be made - $772,000 on April 12, 2011; second one for $54,450 June 23, 2011"/>
        <s v="CASH: $50,000 Bilateral contribution via grant letter to Paraguay Red Cross for Dengue outbreak activities."/>
        <s v="CASH: Bilateral contribution via grant letter to Japanese Red Cross  for response activities: 1) $10M March 14, 2) $50M - April 1; 3) $40M - April 11; 4) $30M - April 29; 5) $30M - May 12; 6) $46 M - June 10; 7) $35M - July 11;  Additional cash grants to "/>
        <s v="CASH: 1) PMN for $91,000 from ARCT IERRF funds for appeal. 2) Second PMN for $91,000 from 2025 - South America R &amp; D"/>
        <s v="CASH: Contribution to Federation appeal MDR61007 for $150,000 for Liberia earmarked for relief and operations. "/>
        <s v="CASH: Contribution to Namibia floods Federation appeal MDRNA006 for $50,000 earmarked for emergency shelter and watsan. "/>
        <s v="CASH: $582,000 +$600,000 contribution to ICRC emergency appeal EA2011 for Somalia - $182,000 from ARCT/2831, $200,000 + $600,000 from 2836, and $200,000 from IRF/2099 per Sr VP. $1,000,000 contribution to Kenya appeal; $600,000 contribution to Ethiopia ap"/>
        <s v="CASH: $50,000 contribution to appeal earmarked for food procurement, from 2799/RRF."/>
        <s v="CASH: $50,000 contribution to appeal earmarked for relilef distribution from 2799/RRF."/>
        <s v="CASH: $100,000 to ICRC earmarked for Tunisia; PMN for $162,270 earmarked for locally procured supplies. SUPPLIES: Made Dubai warehouse 1500  tarps as of March 2011; PEOPLE: Deployed for FACT team members: Langdon Greenhalgh, FACT team leader; Marian Spive" u="1"/>
        <s v="funds from Asia Region " u="1"/>
        <s v="PEOPLE: T. Reines, relief del on Fed assessment team x3 wks" u="1"/>
        <s v="CASH: Two grant letters to be made - $772,000 on April 12, 2011; second one for final $100,000 - amount to be confirmed" u="1"/>
        <s v="OFDA Grant - pass through" u="1"/>
        <s v="CASH: Bilateral contribution via grant letter to Japanese Red Cross  for response activities: 1) $10M March 14, 2) $50M - April 1; 3) $40M - April 11; 4) $30M - April 29; 5) $30M - May 12; 6) $46 M - June 10; Additional cash grants to JRCS will occur. To " u="1"/>
        <s v="Intially $500,000 was approved but issues related to the programming and the appeal kept these funds from being disbursed to IFRC appeal. Eventually appeal was cancelled. Africa still working with British RC on joint project managed by BritRC to potential" u="1"/>
      </sharedItems>
    </cacheField>
    <cacheField name="Funding Source &amp; Info" numFmtId="0">
      <sharedItems containsBlank="1" count="14">
        <m/>
        <s v="ARCT"/>
        <s v="OFDA grant for $500,000; ARCT funds used - $100,000"/>
        <s v="ARCT funds used - $100,000"/>
        <s v="ARCT Funds used - $200,000"/>
        <s v="ARCT Funds used"/>
        <s v="OFDA grant for $500,000 for NFIs"/>
        <s v="OFDA grant for $500,000 for cash transfer programming"/>
        <s v="UPS donated $50,000; ARCT Funds applied for as of 11/18/09"/>
        <s v="various - notably online and text donations from individuals; telethons. "/>
        <s v="ARCT funds - $200,000"/>
        <s v="OFDA"/>
        <s v="ARCT funding"/>
        <s v="ARCT "/>
      </sharedItems>
    </cacheField>
    <cacheField name="Stewardship report?" numFmtId="0">
      <sharedItems containsBlank="1" count="4">
        <m/>
        <s v="y"/>
        <s v="ARCT"/>
        <s v="definitely!"/>
      </sharedItems>
    </cacheField>
  </cacheFields>
  <extLst>
    <ext xmlns:x14="http://schemas.microsoft.com/office/spreadsheetml/2009/9/main" uri="{725AE2AE-9491-48be-B2B4-4EB974FC3084}">
      <x14:pivotCacheDefinition/>
    </ext>
  </extLst>
</pivotCacheDefinition>
</file>

<file path=xl/pivotCache/pivotCacheDefinition17.xml><?xml version="1.0" encoding="utf-8"?>
<pivotCacheDefinition xmlns="http://schemas.openxmlformats.org/spreadsheetml/2006/main" xmlns:r="http://schemas.openxmlformats.org/officeDocument/2006/relationships" r:id="rId1" refreshedBy="AmandaWest" refreshedDate="40883.660569097221" createdVersion="1" refreshedVersion="3" recordCount="159" upgradeOnRefresh="1">
  <cacheSource type="worksheet">
    <worksheetSource name="Deployments_History_Data"/>
  </cacheSource>
  <cacheFields count="16">
    <cacheField name="Deployed Count" numFmtId="0">
      <sharedItems containsString="0" containsBlank="1" containsNumber="1" containsInteger="1" minValue="1" maxValue="1"/>
    </cacheField>
    <cacheField name="Country Affected" numFmtId="0">
      <sharedItems containsBlank="1"/>
    </cacheField>
    <cacheField name="Disaster" numFmtId="0">
      <sharedItems containsBlank="1"/>
    </cacheField>
    <cacheField name="Person" numFmtId="0">
      <sharedItems containsBlank="1"/>
    </cacheField>
    <cacheField name="Role" numFmtId="0">
      <sharedItems containsBlank="1"/>
    </cacheField>
    <cacheField name="Fed Team Role?" numFmtId="0">
      <sharedItems containsBlank="1"/>
    </cacheField>
    <cacheField name="Work Location" numFmtId="0">
      <sharedItems containsBlank="1"/>
    </cacheField>
    <cacheField name="Start" numFmtId="0">
      <sharedItems containsNonDate="0" containsDate="1" containsString="0" containsBlank="1" minDate="2008-07-07T00:00:00" maxDate="2011-04-27T00:00:00"/>
    </cacheField>
    <cacheField name="End" numFmtId="0">
      <sharedItems containsDate="1" containsBlank="1" containsMixedTypes="1" minDate="2008-01-04T00:00:00" maxDate="2011-05-25T00:00:00"/>
    </cacheField>
    <cacheField name="Disaster response or Non?" numFmtId="0">
      <sharedItems containsBlank="1"/>
    </cacheField>
    <cacheField name="Quarter" numFmtId="0">
      <sharedItems containsBlank="1"/>
    </cacheField>
    <cacheField name="Fiscal Year" numFmtId="0">
      <sharedItems containsBlank="1" count="5">
        <s v="FY08"/>
        <s v="FY09"/>
        <s v="FY10"/>
        <m/>
        <s v="FY11"/>
      </sharedItems>
    </cacheField>
    <cacheField name="Roster or Staff?" numFmtId="0">
      <sharedItems containsBlank="1"/>
    </cacheField>
    <cacheField name="Location Region or Federation or NHQ" numFmtId="0">
      <sharedItems containsBlank="1" count="6">
        <m/>
        <s v="Africa"/>
        <s v="Asia/ME/Europe"/>
        <s v="IFRC"/>
        <s v="LAC"/>
        <s v="NHQ"/>
      </sharedItems>
    </cacheField>
    <cacheField name="NHQ point of contact" numFmtId="0">
      <sharedItems containsBlank="1"/>
    </cacheField>
    <cacheField name="Paid By AP" numFmtId="0">
      <sharedItems containsBlank="1" containsMixedTypes="1" containsNumber="1" containsInteger="1" minValue="2698" maxValue="2930"/>
    </cacheField>
  </cacheFields>
  <extLst>
    <ext xmlns:x14="http://schemas.microsoft.com/office/spreadsheetml/2009/9/main" uri="{725AE2AE-9491-48be-B2B4-4EB974FC3084}">
      <x14:pivotCacheDefinition/>
    </ext>
  </extLst>
</pivotCacheDefinition>
</file>

<file path=xl/pivotCache/pivotCacheDefinition18.xml><?xml version="1.0" encoding="utf-8"?>
<pivotCacheDefinition xmlns="http://schemas.openxmlformats.org/spreadsheetml/2006/main" xmlns:r="http://schemas.openxmlformats.org/officeDocument/2006/relationships" r:id="rId1" refreshedBy="AmandaWest" refreshedDate="40883.660569444444" createdVersion="1" refreshedVersion="3" recordCount="150" upgradeOnRefresh="1">
  <cacheSource type="worksheet">
    <worksheetSource ref="A3:P153" sheet="Deployments History"/>
  </cacheSource>
  <cacheFields count="16">
    <cacheField name="Deployed Count" numFmtId="0">
      <sharedItems containsString="0" containsBlank="1" containsNumber="1" containsInteger="1" minValue="1" maxValue="1"/>
    </cacheField>
    <cacheField name="Country Affected" numFmtId="0">
      <sharedItems containsBlank="1" count="29">
        <s v="Myanmar"/>
        <s v="East Africa  in Nairobi for  Uganda, Rwanda Burundi Nairobi Pop Mvt"/>
        <s v="East Africa"/>
        <s v="Indonesia"/>
        <s v="SriLanka"/>
        <s v="Bangladesh "/>
        <s v="Kuala Lumpur"/>
        <s v="Panama"/>
        <s v="Panama "/>
        <s v="Malaysia,KL"/>
        <s v="Suriname"/>
        <s v="Haiti"/>
        <s v="Bahamas"/>
        <s v="Costa Rica"/>
        <s v="US"/>
        <s v="Belize"/>
        <s v="Burkina Faso"/>
        <s v="Senegal"/>
        <s v="Philippines"/>
        <s v="Vietnam"/>
        <s v="Mexico"/>
        <s v="China"/>
        <s v="Nepal"/>
        <m/>
        <s v="Chile"/>
        <s v="Pakistan"/>
        <s v="Bangladesh"/>
        <s v="North Africa &amp; Middle East Civil Unrest"/>
        <s v="Japan"/>
      </sharedItems>
    </cacheField>
    <cacheField name="Disaster" numFmtId="0">
      <sharedItems containsBlank="1" count="22">
        <s v="Cyclone"/>
        <s v="Food Insecurity"/>
        <s v="Capacity Building"/>
        <s v="Conflict"/>
        <s v="Cyclone Aila"/>
        <s v="Floods"/>
        <s v="Hurricanes"/>
        <s v="Hurricane"/>
        <s v="Earthquake"/>
        <s v="Hurricane Ike"/>
        <s v="H1N1 Flu Outbreak"/>
        <s v="West African Floods"/>
        <s v="West Java Earthquake"/>
        <s v="Typhoons"/>
        <s v="Mexico Hurricane Jimena"/>
        <m/>
        <s v="Epidemic"/>
        <s v="Hurricane Richard"/>
        <s v="Complex Emergency"/>
        <s v="Earthquake and Tsunami"/>
        <s v="-" u="1"/>
        <s v="- " u="1"/>
      </sharedItems>
    </cacheField>
    <cacheField name="Person" numFmtId="0">
      <sharedItems containsBlank="1"/>
    </cacheField>
    <cacheField name="Role" numFmtId="0">
      <sharedItems containsBlank="1"/>
    </cacheField>
    <cacheField name="Fed Team Role?" numFmtId="0">
      <sharedItems containsBlank="1"/>
    </cacheField>
    <cacheField name="Work Location" numFmtId="0">
      <sharedItems containsBlank="1"/>
    </cacheField>
    <cacheField name="Start" numFmtId="0">
      <sharedItems containsNonDate="0" containsDate="1" containsString="0" containsBlank="1" minDate="2008-07-07T00:00:00" maxDate="2011-04-27T00:00:00"/>
    </cacheField>
    <cacheField name="End" numFmtId="0">
      <sharedItems containsDate="1" containsBlank="1" containsMixedTypes="1" minDate="2008-01-04T00:00:00" maxDate="2011-05-25T00:00:00"/>
    </cacheField>
    <cacheField name="Disaster response or Non?" numFmtId="0">
      <sharedItems containsBlank="1"/>
    </cacheField>
    <cacheField name="Quarter" numFmtId="0">
      <sharedItems containsBlank="1"/>
    </cacheField>
    <cacheField name="Fiscal Year" numFmtId="0">
      <sharedItems containsBlank="1" count="5">
        <s v="FY08"/>
        <s v="FY09"/>
        <s v="FY10"/>
        <m/>
        <s v="FY11"/>
      </sharedItems>
    </cacheField>
    <cacheField name="Roster or Staff?" numFmtId="0">
      <sharedItems containsBlank="1"/>
    </cacheField>
    <cacheField name="Location Region or Federation or NHQ" numFmtId="0">
      <sharedItems containsBlank="1" count="6">
        <m/>
        <s v="Africa"/>
        <s v="Asia/ME/Europe"/>
        <s v="IFRC"/>
        <s v="LAC"/>
        <s v="NHQ"/>
      </sharedItems>
    </cacheField>
    <cacheField name="NHQ point of contact" numFmtId="0">
      <sharedItems containsBlank="1"/>
    </cacheField>
    <cacheField name="Paid By AP" numFmtId="0">
      <sharedItems containsBlank="1" containsMixedTypes="1" containsNumber="1" containsInteger="1" minValue="2698" maxValue="2930"/>
    </cacheField>
  </cacheFields>
  <extLst>
    <ext xmlns:x14="http://schemas.microsoft.com/office/spreadsheetml/2009/9/main" uri="{725AE2AE-9491-48be-B2B4-4EB974FC3084}">
      <x14:pivotCacheDefinition/>
    </ext>
  </extLst>
</pivotCacheDefinition>
</file>

<file path=xl/pivotCache/pivotCacheDefinition19.xml><?xml version="1.0" encoding="utf-8"?>
<pivotCacheDefinition xmlns="http://schemas.openxmlformats.org/spreadsheetml/2006/main" xmlns:r="http://schemas.openxmlformats.org/officeDocument/2006/relationships" r:id="rId1" refreshedBy="AmandaWest" refreshedDate="40883.66061446759" createdVersion="1" refreshedVersion="3" recordCount="159" upgradeOnRefresh="1">
  <cacheSource type="worksheet">
    <worksheetSource name="Deployments_History_Data"/>
  </cacheSource>
  <cacheFields count="16">
    <cacheField name="Deployed Count" numFmtId="0">
      <sharedItems containsString="0" containsBlank="1" containsNumber="1" containsInteger="1" minValue="1" maxValue="1"/>
    </cacheField>
    <cacheField name="Country Affected" numFmtId="0">
      <sharedItems containsBlank="1" count="29">
        <s v="Myanmar"/>
        <s v="East Africa  in Nairobi for  Uganda, Rwanda Burundi Nairobi Pop Mvt"/>
        <s v="East Africa"/>
        <s v="Indonesia"/>
        <s v="SriLanka"/>
        <s v="Bangladesh "/>
        <s v="Kuala Lumpur"/>
        <s v="Panama"/>
        <s v="Panama "/>
        <s v="Malaysia,KL"/>
        <s v="Suriname"/>
        <s v="Haiti"/>
        <s v="Bahamas"/>
        <s v="Costa Rica"/>
        <s v="US"/>
        <s v="Belize"/>
        <s v="Burkina Faso"/>
        <s v="Senegal"/>
        <s v="Philippines"/>
        <s v="Vietnam"/>
        <s v="Mexico"/>
        <s v="China"/>
        <s v="Nepal"/>
        <m/>
        <s v="Chile"/>
        <s v="Pakistan"/>
        <s v="Bangladesh"/>
        <s v="North Africa &amp; Middle East Civil Unrest"/>
        <s v="Japan"/>
      </sharedItems>
    </cacheField>
    <cacheField name="Disaster" numFmtId="0">
      <sharedItems containsBlank="1" count="22">
        <s v="Cyclone"/>
        <s v="Food Insecurity"/>
        <s v="Capacity Building"/>
        <s v="Conflict"/>
        <s v="Cyclone Aila"/>
        <s v="Floods"/>
        <s v="Hurricanes"/>
        <s v="Hurricane"/>
        <s v="Earthquake"/>
        <s v="Hurricane Ike"/>
        <s v="H1N1 Flu Outbreak"/>
        <s v="West African Floods"/>
        <s v="West Java Earthquake"/>
        <s v="Typhoons"/>
        <s v="Mexico Hurricane Jimena"/>
        <m/>
        <s v="Epidemic"/>
        <s v="Hurricane Richard"/>
        <s v="Complex Emergency"/>
        <s v="Earthquake and Tsunami"/>
        <s v="-" u="1"/>
        <s v="- " u="1"/>
      </sharedItems>
    </cacheField>
    <cacheField name="Person" numFmtId="0">
      <sharedItems containsBlank="1"/>
    </cacheField>
    <cacheField name="Role" numFmtId="0">
      <sharedItems containsBlank="1" count="93">
        <s v="Monitoring"/>
        <s v="DM Delegate "/>
        <s v="Relief on Fed Assessment Team"/>
        <s v="IT Telecoms Delegates"/>
        <s v="ICRC Relief Delegate: Gina recently served with the International Committee of the Red Cross (ICRC) in northern Sri Lanka. She worked in the Internally Displaced Persons camps distributing relief items.  Gina works for the American Red Cross with the Tsun"/>
        <s v="Relief Operations Support Delegate: Travis Betz deployed as a Relief Operations Support Delegate to support BDRCS in assessments, planning and coordination in response to Cyclone Aila. _x000a_"/>
        <s v="Logistics Intern at KL RLU"/>
        <s v="Regional Intervention Team Member: deployed to monitor ongoing operations and provide surge capacity to disaster management team."/>
        <s v="Business Continuity Planning: Charles deployed to Panama to support the Americas Zone in developing a Crisis Management Plan (CMP) for the IFRC Americas Zone with the Disaster Response Unit PADRU and Regional Representation Offices (RRO) to ensure that es"/>
        <s v="Interim DM Delegate"/>
        <s v="Staff on Loan to APDMU: Stacy deployed to provide HR support for monsoon and typhoon season and to assist with response and response preparedness activities. This was a generalist role supporting DM activities and operations coordination and support._x000a_"/>
        <s v="Staff on Loan to APDMU: Alex deployed to provide HR support for monsoon and typhoon season and to assist with response and response preparedness activities. This was a generalist role supporting DM activities and operations coordination and support._x000a_"/>
        <s v="Contingency planning w/ APDMU: Anne deployed to support the project design and test of a complimentary tool for the Fed’s Disaster Response and Contingency Guide. The project will review existing disaster contingency plans in Asia Pacific and past practic"/>
        <s v="IT &amp; Telecoms"/>
        <s v="FACT Team Lead (9/3/08 - 10/30/08) Head of Ops (11/12/08 - 5/12/09)"/>
        <s v="RIT"/>
        <s v="Relief ERU Member + Team Lead"/>
        <s v="Cash Voucher Delegate"/>
        <s v="Liaison to Mexican RC"/>
        <s v="DM Delegate for Disaster Planning"/>
        <s v="Relief ERU Member"/>
        <s v="Relief ERU Team Lead"/>
        <s v="Relief ERU Member "/>
        <s v="Logistics"/>
        <s v="Support N1H1 Pandemic preparedness/monitoring: Cristina provided technical surge capacity and supported information management during the H1N1 Flu Outbreak under the direction of ISD’s Senior Pandemic Advisor. _x000a_"/>
        <s v="Relief FACT Team member "/>
        <s v="Relief ERU Team Leader (AmCross lead joint ERU with Danish RC)"/>
        <s v="Relief ERU Team Member (AmCross lead joint ERU with Danish RC)"/>
        <s v="Shelter Cluster Information Manager Delegate deployed to Indonesia to fill the role of IFRC Shelter Cluster Information Manager for Java Earthquake response"/>
        <s v="Coordinate OFDA grant funded NFI distributions with PNRC"/>
        <s v="Shelter Cluster Coordinator Delegate deployed to Philippines"/>
        <s v="Coordinate OFDA grant Cash Transfer Programming in Vietnam"/>
        <s v="Delegate working with Mexican Red Cross on M &amp; E for relief distribution"/>
        <s v="Coordinate OFDA grant funded NFI distributions with PMI"/>
        <s v="Deployed to Haiti NRC as a RIT for DREF operation."/>
        <s v="Staff on loan working with Federation Zone on PMER in China and Mongolia"/>
        <s v="Delegate working with Nepal Red Cross on disaster management planning"/>
        <m/>
        <s v="Relief ERU Team Leader"/>
        <s v="Relief  FACT team"/>
        <s v="Relief ERU Team Member"/>
        <s v="IFRC Logistics Delegate"/>
        <s v="IT/Telecoms ERU joint with Danish RC"/>
        <s v="IFRC Operations Liaison"/>
        <s v="FACT Team Admin &amp; Reporting"/>
        <s v="Cash Transfer Programming Delegate (Alt Relief Team)"/>
        <s v="IFRC &amp; Bilateral (ARC) Finance Delegate"/>
        <s v="IFRC Security Delegate"/>
        <s v="IFRC Program Coordinator"/>
        <s v="Recovery Assessment Team Leader"/>
        <s v="Recovery Assessment Team Member"/>
        <s v="Emergency Markets Analysis Assessment (EMMA) team member"/>
        <s v="FACT Admin &amp; Reporting"/>
        <s v="IFRC Logistics Delegate - at Red Cross logistics hub in Dominican Republic"/>
        <s v="IFRC Logistics Delegate - at PADRU"/>
        <s v="IFRC Reporting Delegate - at PADRU"/>
        <s v="Personnel support for IROC"/>
        <s v="Bilateral Communications Delegate supporting ARC delegation"/>
        <s v="Bilateral Communications Delegate supporting ARC delegation office"/>
        <s v="Bilateral Admin/Compliance Delegate supporting ARC delegation office"/>
        <s v="Bilateral Finance/Admin Delegate supporting ARC delegation office"/>
        <s v="Bilateral Deputy Head of Operations supporting ARC delegation office"/>
        <s v="Bilateral Psychosocial Support for ARC delegation office"/>
        <s v="Bilateral Shelter Technical Delegate Bilateral Program"/>
        <s v="Bilateral Program Manager ARC "/>
        <s v="Equipment Support for IROC"/>
        <s v="Billateral Communications Delegate "/>
        <s v="Communications Support"/>
        <s v="Bilateral Wat/San"/>
        <s v="Disaster Mental Health Support for IROC"/>
        <s v="Communications Delegate to IFRC"/>
        <s v="Cash Transfer Programming Delegate "/>
        <s v="Bilateral Operations Support"/>
        <s v="Bilateral Human Resources Support"/>
        <s v="Bilateral Shelter Advisor"/>
        <s v="Bilateral Operations Delegate"/>
        <s v="Bilateral Information Delegate"/>
        <s v="Relief Delegate"/>
        <s v="Water and Sanitation Delegate"/>
        <s v="Delegation Surge Support Federation in Islamabad"/>
        <s v="Team Lead - Emergency Response Team Mbr"/>
        <s v="Information &amp; Reporting - Emergency Response Team Mbr"/>
        <s v="Logistics - Emergency Response Team Mbr"/>
        <s v="Health - Emergency Response Team Mbr"/>
        <s v="WatSan - Emergency Response Team Mbr"/>
        <s v="Information and Reporting - Seconded to Federation base camp operation"/>
        <s v="Relief Delegate - Cash transfer/voucher program"/>
        <s v="Telecoms assessment/Cyclone Preparedness Program"/>
        <s v="FACT Team Leader"/>
        <s v="FACT Information &amp; Reporting"/>
        <s v="FACT Relief Coordinator"/>
        <s v="Federation reporting delegate &amp; ARC representative"/>
        <s v="ARC representative on high level Federation liaison team to Japanese RC"/>
      </sharedItems>
    </cacheField>
    <cacheField name="Fed Team Role?" numFmtId="0">
      <sharedItems containsBlank="1" count="24">
        <s v="DM Delegate"/>
        <s v="Assessment Team"/>
        <s v="Seconded Delegate"/>
        <s v="Logistics Delegate"/>
        <s v="RIT"/>
        <s v="Staff on Loan"/>
        <s v="IT/Telecom ERU"/>
        <s v="FACT"/>
        <s v="Relief ERU"/>
        <s v="Operations Support Delegate"/>
        <s v="Shelter Cluster"/>
        <m/>
        <s v="Cash Transfer Delegate"/>
        <s v="Recovery Delegate"/>
        <s v="NHQ Operations Support"/>
        <s v="Bilateral Operations Support"/>
        <s v="Communications Delegate"/>
        <s v="Relief Delegate"/>
        <s v="FACT Team Leader"/>
        <s v="FACT Information &amp; Reporting"/>
        <s v="FACT Relief Coordinator"/>
        <s v="Information &amp; Reporting Delegate"/>
        <s v="Advisor/Liaison"/>
        <s v="Assesment Team" u="1"/>
      </sharedItems>
    </cacheField>
    <cacheField name="Work Location" numFmtId="0">
      <sharedItems containsBlank="1"/>
    </cacheField>
    <cacheField name="Start" numFmtId="0">
      <sharedItems containsNonDate="0" containsDate="1" containsString="0" containsBlank="1" minDate="2008-07-07T00:00:00" maxDate="2011-04-27T00:00:00"/>
    </cacheField>
    <cacheField name="End" numFmtId="0">
      <sharedItems containsDate="1" containsBlank="1" containsMixedTypes="1" minDate="2008-01-04T00:00:00" maxDate="2011-05-25T00:00:00"/>
    </cacheField>
    <cacheField name="Disaster response or Non?" numFmtId="0">
      <sharedItems containsBlank="1"/>
    </cacheField>
    <cacheField name="Quarter" numFmtId="0">
      <sharedItems containsBlank="1"/>
    </cacheField>
    <cacheField name="Fiscal Year" numFmtId="0">
      <sharedItems containsBlank="1" count="5">
        <s v="FY08"/>
        <s v="FY09"/>
        <s v="FY10"/>
        <m/>
        <s v="FY11"/>
      </sharedItems>
    </cacheField>
    <cacheField name="Roster or Staff?" numFmtId="0">
      <sharedItems containsBlank="1"/>
    </cacheField>
    <cacheField name="Location Region or Federation or NHQ" numFmtId="0">
      <sharedItems containsBlank="1"/>
    </cacheField>
    <cacheField name="NHQ point of contact" numFmtId="0">
      <sharedItems containsBlank="1"/>
    </cacheField>
    <cacheField name="Paid By AP" numFmtId="0">
      <sharedItems containsBlank="1" containsMixedTypes="1" containsNumber="1" containsInteger="1" minValue="2698" maxValue="2930"/>
    </cacheField>
  </cacheFields>
  <extLst>
    <ext xmlns:x14="http://schemas.microsoft.com/office/spreadsheetml/2009/9/main" uri="{725AE2AE-9491-48be-B2B4-4EB974FC3084}">
      <x14:pivotCacheDefinition/>
    </ext>
  </extLst>
</pivotCacheDefinition>
</file>

<file path=xl/pivotCache/pivotCacheDefinition20.xml><?xml version="1.0" encoding="utf-8"?>
<pivotCacheDefinition xmlns="http://schemas.openxmlformats.org/spreadsheetml/2006/main" xmlns:r="http://schemas.openxmlformats.org/officeDocument/2006/relationships" r:id="rId1" refreshedBy="AmandaWest" refreshedDate="40883.660617013891" createdVersion="1" refreshedVersion="3" recordCount="159" upgradeOnRefresh="1">
  <cacheSource type="worksheet">
    <worksheetSource name="Deployments_History_Data"/>
  </cacheSource>
  <cacheFields count="16">
    <cacheField name="Deployed Count" numFmtId="0">
      <sharedItems containsString="0" containsBlank="1" containsNumber="1" containsInteger="1" minValue="1" maxValue="1"/>
    </cacheField>
    <cacheField name="Country Affected" numFmtId="0">
      <sharedItems containsBlank="1"/>
    </cacheField>
    <cacheField name="Disaster" numFmtId="0">
      <sharedItems containsBlank="1"/>
    </cacheField>
    <cacheField name="Person" numFmtId="0">
      <sharedItems containsBlank="1"/>
    </cacheField>
    <cacheField name="Role" numFmtId="0">
      <sharedItems containsBlank="1"/>
    </cacheField>
    <cacheField name="Fed Team Role?" numFmtId="0">
      <sharedItems containsBlank="1"/>
    </cacheField>
    <cacheField name="Work Location" numFmtId="0">
      <sharedItems containsBlank="1"/>
    </cacheField>
    <cacheField name="Start" numFmtId="0">
      <sharedItems containsNonDate="0" containsDate="1" containsString="0" containsBlank="1" minDate="2008-07-07T00:00:00" maxDate="2011-04-27T00:00:00"/>
    </cacheField>
    <cacheField name="End" numFmtId="0">
      <sharedItems containsDate="1" containsBlank="1" containsMixedTypes="1" minDate="2008-01-04T00:00:00" maxDate="2011-05-25T00:00:00"/>
    </cacheField>
    <cacheField name="Disaster response or Non?" numFmtId="0">
      <sharedItems containsBlank="1"/>
    </cacheField>
    <cacheField name="Quarter" numFmtId="0">
      <sharedItems containsBlank="1" count="5">
        <s v="Q4"/>
        <s v="Q2"/>
        <s v="Q3"/>
        <s v="Q1"/>
        <m/>
      </sharedItems>
    </cacheField>
    <cacheField name="Fiscal Year" numFmtId="0">
      <sharedItems containsBlank="1" count="5">
        <s v="FY08"/>
        <s v="FY09"/>
        <s v="FY10"/>
        <m/>
        <s v="FY11"/>
      </sharedItems>
    </cacheField>
    <cacheField name="Roster or Staff?" numFmtId="0">
      <sharedItems containsBlank="1"/>
    </cacheField>
    <cacheField name="Location Region or Federation or NHQ" numFmtId="0">
      <sharedItems containsBlank="1"/>
    </cacheField>
    <cacheField name="NHQ point of contact" numFmtId="0">
      <sharedItems containsBlank="1"/>
    </cacheField>
    <cacheField name="Paid By AP" numFmtId="0">
      <sharedItems containsBlank="1" containsMixedTypes="1" containsNumber="1" containsInteger="1" minValue="2698" maxValue="2930"/>
    </cacheField>
  </cacheFields>
  <extLst>
    <ext xmlns:x14="http://schemas.microsoft.com/office/spreadsheetml/2009/9/main" uri="{725AE2AE-9491-48be-B2B4-4EB974FC3084}">
      <x14:pivotCacheDefinition/>
    </ext>
  </extLst>
</pivotCacheDefinition>
</file>

<file path=xl/pivotCache/pivotCacheDefinition21.xml><?xml version="1.0" encoding="utf-8"?>
<pivotCacheDefinition xmlns="http://schemas.openxmlformats.org/spreadsheetml/2006/main" xmlns:r="http://schemas.openxmlformats.org/officeDocument/2006/relationships" r:id="rId1" refreshedBy="AmandaWest" refreshedDate="40883.660620486109" createdVersion="1" refreshedVersion="3" recordCount="142" upgradeOnRefresh="1">
  <cacheSource type="worksheet">
    <worksheetSource ref="A3:P145" sheet="Deployments History"/>
  </cacheSource>
  <cacheFields count="16">
    <cacheField name="Deployed Count" numFmtId="0">
      <sharedItems containsString="0" containsBlank="1" containsNumber="1" containsInteger="1" minValue="1" maxValue="1"/>
    </cacheField>
    <cacheField name="Country Affected" numFmtId="0">
      <sharedItems containsBlank="1" count="27">
        <s v="Myanmar"/>
        <s v="East Africa  in Nairobi for  Uganda, Rwanda Burundi Nairobi Pop Mvt"/>
        <s v="East Africa"/>
        <s v="Indonesia"/>
        <s v="SriLanka"/>
        <s v="Bangladesh "/>
        <s v="Kuala Lumpur"/>
        <s v="Panama"/>
        <s v="Panama "/>
        <s v="Malaysia,KL"/>
        <s v="Suriname"/>
        <s v="Haiti"/>
        <s v="Bahamas"/>
        <s v="Costa Rica"/>
        <s v="US"/>
        <s v="Belize"/>
        <s v="Burkina Faso"/>
        <s v="Senegal"/>
        <s v="Philippines"/>
        <s v="Vietnam"/>
        <s v="Mexico"/>
        <s v="China"/>
        <s v="Nepal"/>
        <m/>
        <s v="Chile"/>
        <s v="Pakistan"/>
        <s v="Bangladesh"/>
      </sharedItems>
    </cacheField>
    <cacheField name="Disaster" numFmtId="0">
      <sharedItems containsBlank="1"/>
    </cacheField>
    <cacheField name="Person" numFmtId="0">
      <sharedItems containsBlank="1" count="96">
        <s v="Colin Chaperon"/>
        <s v="Brennan Banks"/>
        <s v="Tracy Reines"/>
        <s v="Roger Palmer"/>
        <s v="Glen Bradley"/>
        <s v="Gina Guinta"/>
        <s v="Travis Betz"/>
        <s v="Deb Castellano"/>
        <s v="Chris Bell"/>
        <s v="Charles Blake"/>
        <s v="Stacy Ragan"/>
        <s v="Alex Mahoney"/>
        <s v="Anne Reynolds"/>
        <s v="Mark Million"/>
        <s v="Brigitte Gaillis"/>
        <s v="Christina Hammond"/>
        <s v="John Manley"/>
        <s v="Scott DiPretoro"/>
        <s v="Dario Diaz"/>
        <s v="Matt Marek"/>
        <s v="Greg Matthews"/>
        <s v="A. Vargas (Panama staff deployed for ARC)"/>
        <s v="Cristina Hammond"/>
        <s v="Steve McAndrew"/>
        <s v="Shinko Mondori"/>
        <s v="Luis Matnog"/>
        <s v="Mariza Rogers"/>
        <s v="Michael Zeleke"/>
        <s v="Jono Anzalone"/>
        <s v="Amanda West"/>
        <m/>
        <s v="Eric Baranick"/>
        <s v="Gavin White"/>
        <s v="Rosemary Parnell"/>
        <s v="Joe Becker"/>
        <s v="Nate Cooper"/>
        <s v="Mark Smith"/>
        <s v="Lindsay Lincoln"/>
        <s v="Christophe Lobry-Boulanger"/>
        <s v="Chris Darlington"/>
        <s v="Ori Shaham (MDA)"/>
        <s v="Haim Budin (MDA)"/>
        <s v="Kelly Hurd"/>
        <s v="Omar Abou-Samra"/>
        <s v="Sharon Truelove"/>
        <s v="Heidi Gilert"/>
        <s v="Rod Snider"/>
        <s v="Roby Jacob"/>
        <s v="Laky Pissalidis"/>
        <s v="Deborah Castellano"/>
        <s v="Roger Shelton"/>
        <s v="Sohrab Rezvan"/>
        <s v="Meghan DiCarlo"/>
        <s v="Joscelyn Silsby"/>
        <s v="Julie Archer"/>
        <s v="Lee Malaney"/>
        <s v="Robin Younger"/>
        <s v="Winnie Romeril"/>
        <s v="Bonnie Gillespie"/>
        <s v="Svafa Asgeirdottir"/>
        <s v="Nancy Campbell"/>
        <s v="Tony Stitt"/>
        <s v="Judy Nicholson"/>
        <s v="Howard Smith"/>
        <s v="Lee Malany"/>
        <s v="Rebecca Scheurer"/>
        <s v="Mat Morgan"/>
        <s v="Shavkut Ismailov "/>
        <s v="Michael Segal"/>
        <s v="Ofer Snir (MDA)"/>
        <s v="Raj Zafar"/>
        <s v="Tom Worthington"/>
        <s v="Lynette Nyman"/>
        <s v="Tom McAloon"/>
        <s v="Lyle O'Neel"/>
        <s v="Laura Hevesi"/>
        <s v="Kate Schilling"/>
        <s v="James Stephenson"/>
        <s v="Anne Palmer"/>
        <s v="Jana Sweeney"/>
        <s v="Cathy Scruggs"/>
        <s v="Emily Hall"/>
        <s v="Andrew Bhattacharya"/>
        <s v="Eileen Kurtz"/>
        <s v="Alex Robinson"/>
        <s v="Lauren Twohig"/>
        <s v="Wendy Brightman"/>
        <s v="George Sykes"/>
        <s v="Alvaro Garita"/>
        <s v="Gonzalo Aquino"/>
        <s v="Alex Latour"/>
        <s v="Bijou Phiness"/>
        <s v="Lisa McGuire"/>
        <s v="Franklin Vilsaint"/>
        <s v="Madushi Lansakara"/>
        <s v="Laura Havesi"/>
      </sharedItems>
    </cacheField>
    <cacheField name="Role" numFmtId="0">
      <sharedItems containsBlank="1"/>
    </cacheField>
    <cacheField name="Fed Team Role?" numFmtId="0">
      <sharedItems containsBlank="1"/>
    </cacheField>
    <cacheField name="Work Location" numFmtId="0">
      <sharedItems containsBlank="1"/>
    </cacheField>
    <cacheField name="Start" numFmtId="0">
      <sharedItems containsNonDate="0" containsDate="1" containsString="0" containsBlank="1" minDate="2008-07-07T00:00:00" maxDate="2010-12-02T00:00:00"/>
    </cacheField>
    <cacheField name="End" numFmtId="0">
      <sharedItems containsDate="1" containsBlank="1" containsMixedTypes="1" minDate="2008-01-04T00:00:00" maxDate="2010-12-21T00:00:00"/>
    </cacheField>
    <cacheField name="Disaster response or Non?" numFmtId="0">
      <sharedItems containsBlank="1" count="3">
        <s v="Disaster"/>
        <s v="Non"/>
        <m/>
      </sharedItems>
    </cacheField>
    <cacheField name="Quarter" numFmtId="0">
      <sharedItems containsBlank="1"/>
    </cacheField>
    <cacheField name="Fiscal Year" numFmtId="0">
      <sharedItems containsBlank="1" count="5">
        <s v="FY08"/>
        <s v="FY09"/>
        <s v="FY10"/>
        <m/>
        <s v="FY11"/>
      </sharedItems>
    </cacheField>
    <cacheField name="Roster or Staff?" numFmtId="0">
      <sharedItems containsBlank="1"/>
    </cacheField>
    <cacheField name="Location Region or Federation or NHQ" numFmtId="0">
      <sharedItems containsBlank="1"/>
    </cacheField>
    <cacheField name="NHQ point of contact" numFmtId="0">
      <sharedItems containsBlank="1"/>
    </cacheField>
    <cacheField name="Paid By AP" numFmtId="0">
      <sharedItems containsBlank="1" containsMixedTypes="1" containsNumber="1" containsInteger="1" minValue="2698" maxValue="2930"/>
    </cacheField>
  </cacheFields>
  <extLst>
    <ext xmlns:x14="http://schemas.microsoft.com/office/spreadsheetml/2009/9/main" uri="{725AE2AE-9491-48be-B2B4-4EB974FC3084}">
      <x14:pivotCacheDefinition/>
    </ext>
  </extLst>
</pivotCacheDefinition>
</file>

<file path=xl/pivotCache/pivotCacheDefinition22.xml><?xml version="1.0" encoding="utf-8"?>
<pivotCacheDefinition xmlns="http://schemas.openxmlformats.org/spreadsheetml/2006/main" xmlns:r="http://schemas.openxmlformats.org/officeDocument/2006/relationships" r:id="rId1" refreshedBy="AmandaWest" refreshedDate="40884.580080671294" createdVersion="3" refreshedVersion="3" recordCount="341">
  <cacheSource type="worksheet">
    <worksheetSource ref="A1:BY349" sheet="Disaster Data"/>
  </cacheSource>
  <cacheFields count="77">
    <cacheField name="Glide #" numFmtId="0">
      <sharedItems containsBlank="1"/>
    </cacheField>
    <cacheField name="ARC Disaster #" numFmtId="0">
      <sharedItems containsMixedTypes="1" containsNumber="1" containsInteger="1" minValue="1" maxValue="267"/>
    </cacheField>
    <cacheField name="Disaster Name" numFmtId="0">
      <sharedItems containsBlank="1" count="254">
        <s v="Mexico Earthquake"/>
        <s v="Armenia Earthquake"/>
        <s v="Rwanda Crisis"/>
        <s v="Hurricane Mitch"/>
        <s v="Balkans Crisis"/>
        <s v="Ethiopia Drought"/>
        <s v="Mexico Floods"/>
        <s v="Costa Rica Floods"/>
        <s v="China Floods"/>
        <s v="Turkey Earthquake"/>
        <s v="Nicaragua Volcano"/>
        <s v="Cambodia Floods"/>
        <s v="Greece Earthquake"/>
        <s v="Bahamas Storm"/>
        <s v="Taiwan Earthquake"/>
        <s v="Japan Industrial"/>
        <s v="Mexico Floods "/>
        <s v="Russian Fed. Conflict"/>
        <s v="Timor-Leste Conflict"/>
        <s v="Bangladesh Floods"/>
        <s v="India Storm"/>
        <s v="Vietnam Floods"/>
        <s v="Dominica Storm"/>
        <s v="St. Kitts &amp; Nevis Storm"/>
        <s v="Antigua Storm"/>
        <s v="Grenada Storm"/>
        <s v="St. Maartens Storm"/>
        <s v="Venezuela Floods"/>
        <s v="South Africa Floods"/>
        <s v="Botswana Floods"/>
        <s v="Zimbabwe Floods"/>
        <s v="Madagascar Floods"/>
        <s v="Indonesia Earthquake"/>
        <s v="India Floods"/>
        <s v="Belize Storm"/>
        <s v="Israel Conflict"/>
        <s v="Jordan Conflict"/>
        <s v="Palestine Conflict"/>
        <s v="Taiwan Transport"/>
        <s v="Austria Miscellaneous"/>
        <s v="Azerbaijan Earthquake"/>
        <s v="Sri Lanka Storm"/>
        <s v="South Africa Epidemic"/>
        <s v="El Salvador Earthquake"/>
        <s v="China Storm"/>
        <s v="India Earthquake"/>
        <s v="Mozambique Floods"/>
        <s v="Malawi Floods"/>
        <s v="Bolivia Floods"/>
        <s v="Peru Floods"/>
        <s v="Canada Transport"/>
        <s v="Russian Fed. Floods"/>
        <s v="Macedonia Conflict"/>
        <s v="Bosnia Floods"/>
        <s v="Peru Earthquake"/>
        <s v="El Salvador Drought"/>
        <s v="Honduras Drought"/>
        <s v="Nicaragua Drought"/>
        <s v="Guatemala Drought"/>
        <s v="Ecuador Volcano"/>
        <s v="Afghanistan Conflict"/>
        <s v="Pakistan Conflict"/>
        <s v="Uzbekistan Conflict"/>
        <s v="Iran Conflict"/>
        <s v="Turkmenistan Conflict"/>
        <s v="US Terrorism"/>
        <s v="Mexico Transport"/>
        <s v="Mexico Storm"/>
        <s v="Belize Meteorological"/>
        <s v="Belize Transport"/>
        <s v="Honduras Storm"/>
        <s v="Nicaragua Storm"/>
        <s v="Cuba Storm"/>
        <s v="Jamaica Storm"/>
        <s v="US Transport"/>
        <s v="Cambodia Miscellaneous"/>
        <s v="Albania Storm"/>
        <s v="DR Congo Volcano"/>
        <s v="Nigeria Industrial"/>
        <s v="Afghanistan Earthquake"/>
        <s v="Panama Floods"/>
        <s v="Kenya Floods"/>
        <s v="Malawi Food Insecurity"/>
        <s v="Nicaragua  Floods"/>
        <s v="Syria Miscellaneous"/>
        <s v="FS Micronesia Storm"/>
        <s v="Peru Storm"/>
        <s v="Bolivia Storm"/>
        <s v="Romania Floods"/>
        <s v="Germany Floods"/>
        <s v="Czech Republic Floods"/>
        <s v="Slovakia Floods"/>
        <s v="Hungary Floods"/>
        <s v="Austria Floods"/>
        <s v="Paraguay Drought"/>
        <s v="South Korea Storm"/>
        <s v="Italy Earthquake"/>
        <s v="Indonesia Terrorism"/>
        <s v="Australia Terrorism"/>
        <s v="Vietnam Miscellaneous"/>
        <s v="Lesotho Food Insecurity"/>
        <s v="Kenya Epidemic"/>
        <s v="Solomon Islands Storm"/>
        <s v="South Korea Transport"/>
        <s v="China Earthquake"/>
        <s v="Iraq Conflict"/>
        <s v="Syria Conflict"/>
        <s v="Turkey Conflict"/>
        <s v="Argentina Floods"/>
        <s v="China Epidemic"/>
        <s v="Hong Kong Epidemic"/>
        <s v="Sri Lanka Floods"/>
        <s v="Canada Wildfire"/>
        <s v="Dominican Republic Earthquake"/>
        <s v="Algeria Earthquake"/>
        <s v="Liberia Conflict"/>
        <s v="Dominican Republic Floods"/>
        <s v="Iran Earthquake"/>
        <s v="Panama Earthquake"/>
        <s v="North Korea Transport"/>
        <s v="Haiti Floods"/>
        <s v="Malawi Epidemic"/>
        <s v="Jamaica Conflict"/>
        <s v="Paraguay Miscellaneous"/>
        <s v="Chad Conflict"/>
        <s v="Sudan Conflict"/>
        <s v="Taiwan Storm"/>
        <s v="Cayman Islands Storm"/>
        <s v="Sri Lanka Tsunami"/>
        <s v="Indonesia Tsunami"/>
        <s v="Maldives Tsunami"/>
        <s v="Guyana Floods"/>
        <s v="Canada Floods"/>
        <s v="Hurricane Dennis - Jamaica "/>
        <s v="Hurricane Dennis - Grenada"/>
        <s v="Hurricane Dennis - Haiti"/>
        <s v="Sahel Food Crisis"/>
        <s v="Hurricane Katrina"/>
        <s v="Pakistan Earthquake"/>
        <s v="Hurricane Stan - Guatemala"/>
        <s v="Hurricane Stan - Mexico"/>
        <s v="El Salvador Hurricane Stan &amp; Volcano Eruption"/>
        <s v="Hurricane Wilma - Bahamas"/>
        <s v="Hurricane Wilma - Mexico"/>
        <s v="Vietnam Typhoon Damrey"/>
        <s v="Colombia Volcano"/>
        <s v="Southern Africa Food Security Crisis - Lesotho"/>
        <s v="Southern Africa Food Security Crisis - Malawi"/>
        <s v="Southern Africa Food Security Crisis - Zimbabwe"/>
        <s v="Southern Africa Food Security Crisis - Zambia"/>
        <s v="Eastern Africa Drought"/>
        <s v="Iraq Humanitarian Emergency"/>
        <s v="Timor-Leste Floods"/>
        <s v="Philippines Mudslides"/>
        <s v="Angola Cholera Epidemic"/>
        <s v="Somalia Drought"/>
        <s v="Spain Terrorism"/>
        <s v="Colombia Floods"/>
        <s v="Indonesia Yogyakarta Earthquake"/>
        <s v="Middle East Humanitarian Crisis"/>
        <s v="Ecuador Volanic Eruption"/>
        <s v="Ethiopia Floods"/>
        <s v="Sudan Floods"/>
        <s v="Philippines Typhoons"/>
        <s v="Vietnam Typhoons"/>
        <s v="Somalia Conflict"/>
        <s v="Somalia Floods"/>
        <s v="Sri Lanka Conflict"/>
        <s v="Madagascar Cyclones"/>
        <s v="Solomon Islands Tsunami/ Earthquake"/>
        <s v="Colombia Tolima Floods"/>
        <s v="Mexico Coahuila Tornado"/>
        <s v="Pakistan Cyclone Yemyin"/>
        <s v="United Kingdom Floods"/>
        <s v="Nepal Floods"/>
        <s v="Hurricane Dean"/>
        <s v="Greece Wildfire"/>
        <s v="Hurricane Felix"/>
        <s v="Indonesia Bengkulu Earthquake"/>
        <s v="Uganda Floods"/>
        <s v="Togo Floods"/>
        <s v="Tropical Storm Noel"/>
        <s v="Vietnam Typhoon Lekima"/>
        <s v="Bangladesh Cyclone Sidr"/>
        <s v="Papua New Guinea Storm"/>
        <s v="Kenya Election Civil Unrest"/>
        <s v="China Snow Disaster"/>
        <s v="Guyana Civil Unrest"/>
        <s v="Ecuador Floods"/>
        <s v="Madagascar Cyclone Ivan"/>
        <s v="Southern Africa Floods - Cyclone Jokwe"/>
        <s v="Myanmar Cyclone Nargis"/>
        <s v="China Sichuan Earthquake"/>
        <s v="Ethiopia Food Insecurity"/>
        <s v="South Africa Civil Unrest"/>
        <s v="Chile Floods"/>
        <s v="Philippines – Typhoon Fengshen"/>
        <s v="Yemen Conflict"/>
        <s v="Suriname Floods"/>
        <s v="Moldova and Ukraine Floods"/>
        <s v="Georgia Conflict"/>
        <s v="Haiti Hurricane Season 2008"/>
        <s v="Carribean Hurricane Season 2008 - Bahamas"/>
        <s v="Carribean Hurricane Season 2008 -  Jamaica"/>
        <s v="Cuba Hurricane Season 2008"/>
        <s v="Central America Floods"/>
        <s v="Pakistan Baluchistan Earthquake"/>
        <s v="Panama &amp; Costa Rica Floods"/>
        <s v="Horn of Africa Food Insecurity Crisis"/>
        <s v="Uganda, Rwanda, Burundi Population Movement"/>
        <s v="Zimbabwe Cholera Epidemic"/>
        <s v="Gaza Conflict - Israel"/>
        <s v="Gaza Conflict - Palestine"/>
        <s v="Costa Rica Earthquake"/>
        <s v="Australia Wildfires"/>
        <s v="Namibia Floods"/>
        <s v="Africa Polio Outbreak"/>
        <s v="Pakistan Internally Displaced Persons Crisis"/>
        <s v="Bangladesh Cyclone Aila"/>
        <s v="Tajikistan Mudslides and Floods"/>
        <s v="Syria Drought"/>
        <s v="West &amp; Central Africa Floods - Burkina Faso"/>
        <s v="West &amp; Central Africa Floods - Senegal"/>
        <s v="Mexico Hurricane Jimena"/>
        <s v="Java Indonesia Earthquake"/>
        <s v="Southeast Asia Typhoons - Philippines"/>
        <s v="Southeast Asia Typhoons - Vietnam"/>
        <s v="West Sumatra Indonesia Earthquake"/>
        <s v="Samoa Islands Tsunami"/>
        <s v="Kenya Drought"/>
        <s v="El Salvador Floods"/>
        <s v="Haiti Earthquake"/>
        <s v="Tanzania Floods"/>
        <s v="Chile Earthquake"/>
        <s v="Mongolia Severe Winter"/>
        <s v="Nepal Diarrhea Outbreak"/>
        <s v="Tropical Storm Agatha"/>
        <s v="Kyrgyzstan-Uzbekistan Population Movement"/>
        <s v="Pakistan Monsoon Floods"/>
        <s v="Haiti &amp; Dominican Republic Cholera Outbreak"/>
        <s v="Philippines Typhoon Megi"/>
        <s v="Indonesia Tsunami &amp; Volcanic Eruption"/>
        <s v="Caribbean Hurricane Tomas"/>
        <s v="Belize Hurricane Richard"/>
        <s v="Colombian Floods"/>
        <s v="North Africa &amp; Middle East Civil Unrest"/>
        <s v="New Zealand Earthquake"/>
        <s v="Paraguay Dengue Epidemic"/>
        <s v="Japan Earthquake &amp; Tsunami"/>
        <s v="West African Population Movement"/>
        <s v="Horn of Africa Drought"/>
        <s v="DPR Korea (North Korea) Floods"/>
        <m u="1"/>
        <s v="Haiti Cholera Outbreak" u="1"/>
      </sharedItems>
    </cacheField>
    <cacheField name="Date of Response" numFmtId="167">
      <sharedItems containsSemiMixedTypes="0" containsNonDate="0" containsDate="1" containsString="0" minDate="1985-09-01T00:00:00" maxDate="2011-08-25T00:00:00"/>
    </cacheField>
    <cacheField name="Fiscal Year" numFmtId="0">
      <sharedItems containsSemiMixedTypes="0" containsString="0" containsNumber="1" containsInteger="1" minValue="1986" maxValue="2012" count="17">
        <n v="1986"/>
        <n v="1989"/>
        <n v="1994"/>
        <n v="1999"/>
        <n v="2000"/>
        <n v="2001"/>
        <n v="2002"/>
        <n v="2003"/>
        <n v="2004"/>
        <n v="2005"/>
        <n v="2006"/>
        <n v="2007"/>
        <n v="2008"/>
        <n v="2009"/>
        <n v="2010"/>
        <n v="2011"/>
        <n v="2012"/>
      </sharedItems>
    </cacheField>
    <cacheField name="FY #" numFmtId="0">
      <sharedItems containsString="0" containsBlank="1" containsNumber="1" containsInteger="1" minValue="1" maxValue="33"/>
    </cacheField>
    <cacheField name="Quarter" numFmtId="0">
      <sharedItems containsBlank="1"/>
    </cacheField>
    <cacheField name="Calendar Year" numFmtId="0">
      <sharedItems containsSemiMixedTypes="0" containsString="0" containsNumber="1" containsInteger="1" minValue="1985" maxValue="2011"/>
    </cacheField>
    <cacheField name="CY #" numFmtId="0">
      <sharedItems containsString="0" containsBlank="1" containsNumber="1" containsInteger="1" minValue="1" maxValue="33"/>
    </cacheField>
    <cacheField name="Region" numFmtId="0">
      <sharedItems containsBlank="1"/>
    </cacheField>
    <cacheField name="Country" numFmtId="0">
      <sharedItems containsBlank="1"/>
    </cacheField>
    <cacheField name="Major Disaster Category" numFmtId="0">
      <sharedItems containsBlank="1"/>
    </cacheField>
    <cacheField name="Disaster Type" numFmtId="0">
      <sharedItems containsBlank="1"/>
    </cacheField>
    <cacheField name="Nature of Disaster (Disaster Sub-Type)" numFmtId="0">
      <sharedItems containsBlank="1"/>
    </cacheField>
    <cacheField name="Disaster Sub-Sub Type" numFmtId="0">
      <sharedItems containsBlank="1"/>
    </cacheField>
    <cacheField name="Total Affected" numFmtId="0">
      <sharedItems containsBlank="1" containsMixedTypes="1" containsNumber="1" containsInteger="1" minValue="2500" maxValue="25000000"/>
    </cacheField>
    <cacheField name="Appeal?_x000a_Y/N" numFmtId="0">
      <sharedItems containsBlank="1"/>
    </cacheField>
    <cacheField name="Whose Appeal?" numFmtId="0">
      <sharedItems containsBlank="1"/>
    </cacheField>
    <cacheField name="Appeal Amount" numFmtId="0">
      <sharedItems containsBlank="1" containsMixedTypes="1" containsNumber="1" containsInteger="1" minValue="364732" maxValue="254000000"/>
    </cacheField>
    <cacheField name="Appeal #" numFmtId="0">
      <sharedItems containsBlank="1"/>
    </cacheField>
    <cacheField name="% of Appeal Covered by ARC" numFmtId="169">
      <sharedItems containsString="0" containsBlank="1" containsNumber="1" minValue="0" maxValue="0.44"/>
    </cacheField>
    <cacheField name="Overall Appeal Coverage" numFmtId="0">
      <sharedItems containsBlank="1" containsMixedTypes="1" containsNumber="1" minValue="0.06" maxValue="1.04"/>
    </cacheField>
    <cacheField name="IFRC DREF?" numFmtId="0">
      <sharedItems containsBlank="1"/>
    </cacheField>
    <cacheField name="DREF Amount" numFmtId="0">
      <sharedItems containsString="0" containsBlank="1" containsNumber="1" containsInteger="1" minValue="49273" maxValue="613944"/>
    </cacheField>
    <cacheField name="Multilateral Beneficiaries" numFmtId="0">
      <sharedItems containsBlank="1" containsMixedTypes="1" containsNumber="1" containsInteger="1" minValue="0" maxValue="25000000"/>
    </cacheField>
    <cacheField name="Bilateral Request?" numFmtId="0">
      <sharedItems containsBlank="1"/>
    </cacheField>
    <cacheField name="Direct Beneficiaries" numFmtId="0">
      <sharedItems containsBlank="1" containsMixedTypes="1" containsNumber="1" containsInteger="1" minValue="0" maxValue="50000"/>
    </cacheField>
    <cacheField name="Contribution to IFRC/ICRC &gt;/= $50K?" numFmtId="0">
      <sharedItems containsString="0" containsBlank="1" containsNumber="1" containsInteger="1" minValue="0" maxValue="4"/>
    </cacheField>
    <cacheField name="Cash to IFRC" numFmtId="166">
      <sharedItems containsString="0" containsBlank="1" containsNumber="1" minValue="0" maxValue="30000000"/>
    </cacheField>
    <cacheField name="Cash to ICRC" numFmtId="166">
      <sharedItems containsBlank="1" containsMixedTypes="1" containsNumber="1" minValue="50000" maxValue="4377346.43"/>
    </cacheField>
    <cacheField name="Cash to NS" numFmtId="166">
      <sharedItems containsString="0" containsBlank="1" containsNumber="1" minValue="1000" maxValue="256000000"/>
    </cacheField>
    <cacheField name="Cash to Other Orgs" numFmtId="166">
      <sharedItems containsString="0" containsBlank="1" containsNumber="1" containsInteger="1" minValue="1500000" maxValue="1500000"/>
    </cacheField>
    <cacheField name="Total Cash" numFmtId="166">
      <sharedItems containsBlank="1" containsMixedTypes="1" containsNumber="1" minValue="0" maxValue="259800000"/>
    </cacheField>
    <cacheField name="ARC People Deployed" numFmtId="0">
      <sharedItems containsString="0" containsBlank="1" containsNumber="1" containsInteger="1" minValue="0" maxValue="82"/>
    </cacheField>
    <cacheField name="ERUs" numFmtId="0">
      <sharedItems containsBlank="1"/>
    </cacheField>
    <cacheField name="Individual Deployments" numFmtId="0">
      <sharedItems containsString="0" containsBlank="1" containsNumber="1" containsInteger="1" minValue="1" maxValue="85"/>
    </cacheField>
    <cacheField name="Total ARC Items Supplied" numFmtId="3">
      <sharedItems containsBlank="1" containsMixedTypes="1" containsNumber="1" minValue="11" maxValue="5143307"/>
    </cacheField>
    <cacheField name="Pre-positioned?" numFmtId="3">
      <sharedItems containsBlank="1"/>
    </cacheField>
    <cacheField name="Hygiene Kits" numFmtId="3">
      <sharedItems containsString="0" containsBlank="1" containsNumber="1" containsInteger="1" minValue="214" maxValue="45000"/>
    </cacheField>
    <cacheField name="Blankets" numFmtId="3">
      <sharedItems containsString="0" containsBlank="1" containsNumber="1" containsInteger="1" minValue="1000" maxValue="222900"/>
    </cacheField>
    <cacheField name="Jerry Cans" numFmtId="0">
      <sharedItems containsString="0" containsBlank="1" containsNumber="1" containsInteger="1" minValue="321" maxValue="30000"/>
    </cacheField>
    <cacheField name="Buckets" numFmtId="3">
      <sharedItems containsString="0" containsBlank="1" containsNumber="1" containsInteger="1" minValue="3650" maxValue="28000"/>
    </cacheField>
    <cacheField name="Tents" numFmtId="3">
      <sharedItems containsString="0" containsBlank="1" containsNumber="1" containsInteger="1" minValue="5" maxValue="5200"/>
    </cacheField>
    <cacheField name="Kitchen Sets" numFmtId="3">
      <sharedItems containsString="0" containsBlank="1" containsNumber="1" containsInteger="1" minValue="500" maxValue="18000"/>
    </cacheField>
    <cacheField name="Sleeping Mats / Bedsheets" numFmtId="3">
      <sharedItems containsString="0" containsBlank="1" containsNumber="1" containsInteger="1" minValue="500" maxValue="30518"/>
    </cacheField>
    <cacheField name="Mosquito Nets" numFmtId="3">
      <sharedItems containsString="0" containsBlank="1" containsNumber="1" containsInteger="1" minValue="1000" maxValue="20000"/>
    </cacheField>
    <cacheField name="Food Parcels" numFmtId="3">
      <sharedItems containsString="0" containsBlank="1" containsNumber="1" containsInteger="1" minValue="2600" maxValue="40000"/>
    </cacheField>
    <cacheField name="Tarps" numFmtId="3">
      <sharedItems containsString="0" containsBlank="1" containsNumber="1" containsInteger="1" minValue="20" maxValue="11000"/>
    </cacheField>
    <cacheField name="Vehicles" numFmtId="3">
      <sharedItems containsString="0" containsBlank="1" containsNumber="1" containsInteger="1" minValue="1" maxValue="7"/>
    </cacheField>
    <cacheField name="Other Items" numFmtId="3">
      <sharedItems containsString="0" containsBlank="1" containsNumber="1" containsInteger="1" minValue="3000" maxValue="6250"/>
    </cacheField>
    <cacheField name="Rice Bags" numFmtId="3">
      <sharedItems containsNonDate="0" containsString="0" containsBlank="1"/>
    </cacheField>
    <cacheField name="Value of Supplies" numFmtId="166">
      <sharedItems containsBlank="1" containsMixedTypes="1" containsNumber="1" minValue="0" maxValue="15266353"/>
    </cacheField>
    <cacheField name="Operational (People) Cost for Response Phase" numFmtId="166">
      <sharedItems containsBlank="1" containsMixedTypes="1" containsNumber="1" minValue="0" maxValue="100000000"/>
    </cacheField>
    <cacheField name="Total $ Response Phase" numFmtId="166">
      <sharedItems containsBlank="1" containsMixedTypes="1" containsNumber="1" minValue="0" maxValue="259800000"/>
    </cacheField>
    <cacheField name="Early Recovery $" numFmtId="0">
      <sharedItems containsString="0" containsBlank="1" containsNumber="1" minValue="764192.86" maxValue="337000000"/>
    </cacheField>
    <cacheField name="Future Contrib Anticipated $" numFmtId="0">
      <sharedItems containsString="0" containsBlank="1" containsNumber="1" containsInteger="1" minValue="500000" maxValue="500000"/>
    </cacheField>
    <cacheField name="Beneficiaries Served (Final Rpt)" numFmtId="0">
      <sharedItems containsString="0" containsBlank="1" containsNumber="1" minValue="0" maxValue="455000"/>
    </cacheField>
    <cacheField name="Total Contributions" numFmtId="166">
      <sharedItems containsMixedTypes="1" containsNumber="1" minValue="0" maxValue="477328823.80666667"/>
    </cacheField>
    <cacheField name="Designated Fundraising?" numFmtId="166">
      <sharedItems containsBlank="1"/>
    </cacheField>
    <cacheField name="Limited corporate or full public?" numFmtId="166">
      <sharedItems containsBlank="1"/>
    </cacheField>
    <cacheField name="Total Funds Raised" numFmtId="166">
      <sharedItems containsString="0" containsBlank="1" containsNumber="1" containsInteger="1" minValue="200000" maxValue="307256521"/>
    </cacheField>
    <cacheField name="As of Date" numFmtId="14">
      <sharedItems containsNonDate="0" containsDate="1" containsString="0" containsBlank="1" minDate="2011-05-10T00:00:00" maxDate="2011-12-02T00:00:00"/>
    </cacheField>
    <cacheField name="Date Fundraising Closed" numFmtId="14">
      <sharedItems containsDate="1" containsBlank="1" containsMixedTypes="1" minDate="2011-05-10T00:00:00" maxDate="2011-05-11T00:00:00"/>
    </cacheField>
    <cacheField name="AP Code 1" numFmtId="0">
      <sharedItems containsBlank="1" containsMixedTypes="1" containsNumber="1" containsInteger="1" minValue="2002" maxValue="9306"/>
    </cacheField>
    <cacheField name="AP1 Amount" numFmtId="166">
      <sharedItems containsString="0" containsBlank="1" containsNumber="1" containsInteger="1" minValue="100000" maxValue="200000"/>
    </cacheField>
    <cacheField name="AP Code 2" numFmtId="0">
      <sharedItems containsString="0" containsBlank="1" containsNumber="1" containsInteger="1" minValue="2010" maxValue="2841"/>
    </cacheField>
    <cacheField name="AP2 Amount" numFmtId="166">
      <sharedItems containsString="0" containsBlank="1" containsNumber="1" containsInteger="1" minValue="100000" maxValue="2553000"/>
    </cacheField>
    <cacheField name="AP Code 3" numFmtId="1">
      <sharedItems containsString="0" containsBlank="1" containsNumber="1" containsInteger="1" minValue="2099" maxValue="2099"/>
    </cacheField>
    <cacheField name="AP3 Amount" numFmtId="166">
      <sharedItems containsString="0" containsBlank="1" containsNumber="1" containsInteger="1" minValue="200000" maxValue="200000"/>
    </cacheField>
    <cacheField name="ARCT?" numFmtId="0">
      <sharedItems containsBlank="1"/>
    </cacheField>
    <cacheField name="OFDA?" numFmtId="0">
      <sharedItems containsBlank="1"/>
    </cacheField>
    <cacheField name="RRF?" numFmtId="0">
      <sharedItems containsBlank="1"/>
    </cacheField>
    <cacheField name="IRF?" numFmtId="0">
      <sharedItems containsBlank="1"/>
    </cacheField>
    <cacheField name="Funding Source &amp; Info" numFmtId="0">
      <sharedItems containsBlank="1"/>
    </cacheField>
    <cacheField name="Stewardship report?" numFmtId="0">
      <sharedItems containsBlank="1"/>
    </cacheField>
    <cacheField name="Description " numFmtId="0">
      <sharedItems containsDate="1" containsBlank="1" containsMixedTypes="1" minDate="2008-09-11T00:00:00" maxDate="1900-01-04T11:09:05"/>
    </cacheField>
    <cacheField name="Comments on Contributions" numFmtId="0">
      <sharedItems containsBlank="1" longText="1"/>
    </cacheField>
  </cacheFields>
  <extLst>
    <ext xmlns:x14="http://schemas.microsoft.com/office/spreadsheetml/2009/9/main" uri="{725AE2AE-9491-48be-B2B4-4EB974FC3084}">
      <x14:pivotCacheDefinition/>
    </ext>
  </extLst>
</pivotCacheDefinition>
</file>

<file path=xl/pivotCache/pivotCacheDefinition23.xml><?xml version="1.0" encoding="utf-8"?>
<pivotCacheDefinition xmlns="http://schemas.openxmlformats.org/spreadsheetml/2006/main" xmlns:r="http://schemas.openxmlformats.org/officeDocument/2006/relationships" r:id="rId1" refreshedBy="AmandaWest" refreshedDate="40884.581741319445" createdVersion="3" refreshedVersion="3" recordCount="332">
  <cacheSource type="worksheet">
    <worksheetSource ref="A1:BY334" sheet="Disaster Data"/>
  </cacheSource>
  <cacheFields count="77">
    <cacheField name="Glide #" numFmtId="0">
      <sharedItems containsBlank="1"/>
    </cacheField>
    <cacheField name="ARC Disaster #" numFmtId="0">
      <sharedItems containsMixedTypes="1" containsNumber="1" containsInteger="1" minValue="1" maxValue="258"/>
    </cacheField>
    <cacheField name="Disaster Name" numFmtId="0">
      <sharedItems containsBlank="1" count="253">
        <s v="Mexico Earthquake"/>
        <s v="Armenia Earthquake"/>
        <s v="Rwanda Crisis"/>
        <s v="Hurricane Mitch"/>
        <s v="Balkans Crisis"/>
        <s v="Ethiopia Drought"/>
        <s v="Mexico Floods"/>
        <s v="Costa Rica Floods"/>
        <s v="China Floods"/>
        <s v="Turkey Earthquake"/>
        <s v="Nicaragua Volcano"/>
        <s v="Cambodia Floods"/>
        <s v="Greece Earthquake"/>
        <s v="Bahamas Storm"/>
        <s v="Taiwan Earthquake"/>
        <s v="Japan Industrial"/>
        <s v="Mexico Floods "/>
        <s v="Russian Fed. Conflict"/>
        <s v="Timor-Leste Conflict"/>
        <s v="Bangladesh Floods"/>
        <s v="India Storm"/>
        <s v="Vietnam Floods"/>
        <s v="Dominica Storm"/>
        <s v="St. Kitts &amp; Nevis Storm"/>
        <s v="Antigua Storm"/>
        <s v="Grenada Storm"/>
        <s v="St. Maartens Storm"/>
        <s v="Venezuela Floods"/>
        <s v="South Africa Floods"/>
        <s v="Botswana Floods"/>
        <s v="Zimbabwe Floods"/>
        <s v="Madagascar Floods"/>
        <s v="Indonesia Earthquake"/>
        <s v="India Floods"/>
        <s v="Belize Storm"/>
        <s v="Israel Conflict"/>
        <s v="Jordan Conflict"/>
        <s v="Palestine Conflict"/>
        <s v="Taiwan Transport"/>
        <s v="Austria Miscellaneous"/>
        <s v="Azerbaijan Earthquake"/>
        <s v="Sri Lanka Storm"/>
        <s v="South Africa Epidemic"/>
        <s v="El Salvador Earthquake"/>
        <s v="China Storm"/>
        <s v="India Earthquake"/>
        <s v="Mozambique Floods"/>
        <s v="Malawi Floods"/>
        <s v="Bolivia Floods"/>
        <s v="Peru Floods"/>
        <s v="Canada Transport"/>
        <s v="Russian Fed. Floods"/>
        <s v="Macedonia Conflict"/>
        <s v="Bosnia Floods"/>
        <s v="Peru Earthquake"/>
        <s v="El Salvador Drought"/>
        <s v="Honduras Drought"/>
        <s v="Nicaragua Drought"/>
        <s v="Guatemala Drought"/>
        <s v="Ecuador Volcano"/>
        <s v="Afghanistan Conflict"/>
        <s v="Pakistan Conflict"/>
        <s v="Uzbekistan Conflict"/>
        <s v="Iran Conflict"/>
        <s v="Turkmenistan Conflict"/>
        <s v="US Terrorism"/>
        <s v="Mexico Transport"/>
        <s v="Mexico Storm"/>
        <s v="Belize Meteorological"/>
        <s v="Belize Transport"/>
        <s v="Honduras Storm"/>
        <s v="Nicaragua Storm"/>
        <s v="Cuba Storm"/>
        <s v="Jamaica Storm"/>
        <s v="US Transport"/>
        <s v="Cambodia Miscellaneous"/>
        <s v="Albania Storm"/>
        <s v="DR Congo Volcano"/>
        <s v="Nigeria Industrial"/>
        <s v="Afghanistan Earthquake"/>
        <s v="Panama Floods"/>
        <s v="Kenya Floods"/>
        <s v="Malawi Food Insecurity"/>
        <s v="Nicaragua  Floods"/>
        <s v="Syria Miscellaneous"/>
        <s v="FS Micronesia Storm"/>
        <s v="Peru Storm"/>
        <s v="Bolivia Storm"/>
        <s v="Romania Floods"/>
        <s v="Germany Floods"/>
        <s v="Czech Republic Floods"/>
        <s v="Slovakia Floods"/>
        <s v="Hungary Floods"/>
        <s v="Austria Floods"/>
        <s v="Paraguay Drought"/>
        <s v="South Korea Storm"/>
        <s v="Italy Earthquake"/>
        <s v="Indonesia Terrorism"/>
        <s v="Australia Terrorism"/>
        <s v="Vietnam Miscellaneous"/>
        <s v="Lesotho Food Insecurity"/>
        <s v="Kenya Epidemic"/>
        <s v="Solomon Islands Storm"/>
        <s v="South Korea Transport"/>
        <s v="China Earthquake"/>
        <s v="Iraq Conflict"/>
        <s v="Syria Conflict"/>
        <s v="Turkey Conflict"/>
        <s v="Argentina Floods"/>
        <s v="China Epidemic"/>
        <s v="Hong Kong Epidemic"/>
        <s v="Sri Lanka Floods"/>
        <s v="Canada Wildfire"/>
        <s v="Dominican Republic Earthquake"/>
        <s v="Algeria Earthquake"/>
        <s v="Liberia Conflict"/>
        <s v="Dominican Republic Floods"/>
        <s v="Iran Earthquake"/>
        <s v="Panama Earthquake"/>
        <s v="North Korea Transport"/>
        <s v="Haiti Floods"/>
        <s v="Malawi Epidemic"/>
        <s v="Jamaica Conflict"/>
        <s v="Paraguay Miscellaneous"/>
        <s v="Chad Conflict"/>
        <s v="Sudan Conflict"/>
        <s v="Taiwan Storm"/>
        <s v="Cayman Islands Storm"/>
        <s v="Sri Lanka Tsunami"/>
        <s v="Indonesia Tsunami"/>
        <s v="Maldives Tsunami"/>
        <s v="Guyana Floods"/>
        <s v="Canada Floods"/>
        <s v="Hurricane Dennis - Jamaica "/>
        <s v="Hurricane Dennis - Grenada"/>
        <s v="Hurricane Dennis - Haiti"/>
        <s v="Sahel Food Crisis"/>
        <s v="Hurricane Katrina"/>
        <s v="Pakistan Earthquake"/>
        <s v="Hurricane Stan - Guatemala"/>
        <s v="Hurricane Stan - Mexico"/>
        <s v="El Salvador Hurricane Stan &amp; Volcano Eruption"/>
        <s v="Hurricane Wilma - Bahamas"/>
        <s v="Hurricane Wilma - Mexico"/>
        <s v="Vietnam Typhoon Damrey"/>
        <s v="Colombia Volcano"/>
        <s v="Southern Africa Food Security Crisis - Lesotho"/>
        <s v="Southern Africa Food Security Crisis - Malawi"/>
        <s v="Southern Africa Food Security Crisis - Zimbabwe"/>
        <s v="Southern Africa Food Security Crisis - Zambia"/>
        <s v="Eastern Africa Drought"/>
        <s v="Iraq Humanitarian Emergency"/>
        <s v="Timor-Leste Floods"/>
        <s v="Philippines Mudslides"/>
        <s v="Angola Cholera Epidemic"/>
        <s v="Somalia Drought"/>
        <s v="Spain Terrorism"/>
        <s v="Colombia Floods"/>
        <s v="Indonesia Yogyakarta Earthquake"/>
        <s v="Middle East Humanitarian Crisis"/>
        <s v="Ecuador Volanic Eruption"/>
        <s v="Ethiopia Floods"/>
        <s v="Sudan Floods"/>
        <s v="Philippines Typhoons"/>
        <s v="Vietnam Typhoons"/>
        <s v="Somalia Conflict"/>
        <s v="Somalia Floods"/>
        <s v="Sri Lanka Conflict"/>
        <s v="Madagascar Cyclones"/>
        <s v="Solomon Islands Tsunami/ Earthquake"/>
        <s v="Colombia Tolima Floods"/>
        <s v="Mexico Coahuila Tornado"/>
        <s v="Pakistan Cyclone Yemyin"/>
        <s v="United Kingdom Floods"/>
        <s v="Nepal Floods"/>
        <s v="Hurricane Dean"/>
        <s v="Greece Wildfire"/>
        <s v="Hurricane Felix"/>
        <s v="Indonesia Bengkulu Earthquake"/>
        <s v="Uganda Floods"/>
        <s v="Togo Floods"/>
        <s v="Tropical Storm Noel"/>
        <s v="Vietnam Typhoon Lekima"/>
        <s v="Bangladesh Cyclone Sidr"/>
        <s v="Papua New Guinea Storm"/>
        <s v="Kenya Election Civil Unrest"/>
        <s v="China Snow Disaster"/>
        <s v="Guyana Civil Unrest"/>
        <s v="Ecuador Floods"/>
        <s v="Madagascar Cyclone Ivan"/>
        <s v="Southern Africa Floods - Cyclone Jokwe"/>
        <s v="Myanmar Cyclone Nargis"/>
        <s v="China Sichuan Earthquake"/>
        <s v="Ethiopia Food Insecurity"/>
        <s v="South Africa Civil Unrest"/>
        <s v="Chile Floods"/>
        <s v="Philippines – Typhoon Fengshen"/>
        <s v="Yemen Conflict"/>
        <s v="Suriname Floods"/>
        <s v="Moldova and Ukraine Floods"/>
        <s v="Georgia Conflict"/>
        <s v="Haiti Hurricane Season 2008"/>
        <s v="Carribean Hurricane Season 2008 - Bahamas"/>
        <s v="Carribean Hurricane Season 2008 -  Jamaica"/>
        <s v="Cuba Hurricane Season 2008"/>
        <s v="Central America Floods"/>
        <s v="Pakistan Baluchistan Earthquake"/>
        <s v="Panama &amp; Costa Rica Floods"/>
        <s v="Horn of Africa Food Insecurity Crisis"/>
        <s v="Uganda, Rwanda, Burundi Population Movement"/>
        <s v="Zimbabwe Cholera Epidemic"/>
        <s v="Gaza Conflict - Israel"/>
        <s v="Gaza Conflict - Palestine"/>
        <s v="Costa Rica Earthquake"/>
        <s v="Australia Wildfires"/>
        <s v="Namibia Floods"/>
        <s v="Africa Polio Outbreak"/>
        <s v="Pakistan Internally Displaced Persons Crisis"/>
        <s v="Bangladesh Cyclone Aila"/>
        <s v="Tajikistan Mudslides and Floods"/>
        <s v="Syria Drought"/>
        <s v="West &amp; Central Africa Floods - Burkina Faso"/>
        <s v="West &amp; Central Africa Floods - Senegal"/>
        <s v="Mexico Hurricane Jimena"/>
        <s v="Java Indonesia Earthquake"/>
        <s v="Southeast Asia Typhoons - Philippines"/>
        <s v="Southeast Asia Typhoons - Vietnam"/>
        <s v="West Sumatra Indonesia Earthquake"/>
        <s v="Samoa Islands Tsunami"/>
        <s v="Kenya Drought"/>
        <s v="El Salvador Floods"/>
        <s v="Haiti Earthquake"/>
        <s v="Tanzania Floods"/>
        <s v="Chile Earthquake"/>
        <s v="Mongolia Severe Winter"/>
        <s v="Nepal Diarrhea Outbreak"/>
        <s v="Tropical Storm Agatha"/>
        <s v="Kyrgyzstan-Uzbekistan Population Movement"/>
        <s v="Pakistan Monsoon Floods"/>
        <s v="Haiti &amp; Dominican Republic Cholera Outbreak"/>
        <s v="Philippines Typhoon Megi"/>
        <s v="Indonesia Tsunami &amp; Volcanic Eruption"/>
        <s v="Caribbean Hurricane Tomas"/>
        <s v="Belize Hurricane Richard"/>
        <s v="Colombian Floods"/>
        <m u="1"/>
        <s v="Haiti Storm" u="1"/>
        <s v="Malawi Drought" u="1"/>
        <s v="Lebanon Conflict" u="1"/>
        <s v="Zimbabwe Drought" u="1"/>
        <s v="Zambia Drought" u="1"/>
        <s v="Lesotho Drought" u="1"/>
        <s v="Haiti Cholera Outbreak" u="1"/>
      </sharedItems>
    </cacheField>
    <cacheField name="Date of Response" numFmtId="167">
      <sharedItems containsSemiMixedTypes="0" containsNonDate="0" containsDate="1" containsString="0" minDate="1985-09-01T00:00:00" maxDate="2010-12-17T00:00:00" count="139">
        <d v="1985-09-01T00:00:00"/>
        <d v="1988-12-01T00:00:00"/>
        <d v="1994-06-01T00:00:00"/>
        <d v="1998-10-01T00:00:00"/>
        <d v="1999-03-01T00:00:00"/>
        <d v="1999-06-01T00:00:00"/>
        <d v="1999-08-01T00:00:00"/>
        <d v="1999-09-01T00:00:00"/>
        <d v="1999-10-01T00:00:00"/>
        <d v="1999-11-01T00:00:00"/>
        <d v="1999-12-01T00:00:00"/>
        <d v="2000-02-01T00:00:00"/>
        <d v="2000-03-01T00:00:00"/>
        <d v="2000-04-01T00:00:00"/>
        <d v="2000-06-01T00:00:00"/>
        <d v="2000-08-01T00:00:00"/>
        <d v="2000-09-01T00:00:00"/>
        <d v="2000-10-01T00:00:00"/>
        <d v="2000-11-01T00:00:00"/>
        <d v="2000-12-01T00:00:00"/>
        <d v="2001-01-01T00:00:00"/>
        <d v="2001-02-01T00:00:00"/>
        <d v="2001-03-01T00:00:00"/>
        <d v="2001-04-01T00:00:00"/>
        <d v="2001-05-01T00:00:00"/>
        <d v="2001-06-01T00:00:00"/>
        <d v="2001-07-01T00:00:00"/>
        <d v="2001-08-01T00:00:00"/>
        <d v="2001-09-01T00:00:00"/>
        <d v="2001-10-01T00:00:00"/>
        <d v="2001-11-01T00:00:00"/>
        <d v="2002-01-01T00:00:00"/>
        <d v="2002-02-01T00:00:00"/>
        <d v="2002-03-01T00:00:00"/>
        <d v="2002-04-01T00:00:00"/>
        <d v="2002-05-01T00:00:00"/>
        <d v="2002-06-01T00:00:00"/>
        <d v="2002-07-01T00:00:00"/>
        <d v="2002-08-01T00:00:00"/>
        <d v="2002-09-01T00:00:00"/>
        <d v="2002-10-01T00:00:00"/>
        <d v="2002-12-01T00:00:00"/>
        <d v="2003-01-01T00:00:00"/>
        <d v="2003-02-01T00:00:00"/>
        <d v="2003-03-01T00:00:00"/>
        <d v="2003-05-01T00:00:00"/>
        <d v="2003-07-01T00:00:00"/>
        <d v="2003-09-01T00:00:00"/>
        <d v="2003-10-01T00:00:00"/>
        <d v="2003-08-01T00:00:00"/>
        <d v="2003-11-01T00:00:00"/>
        <d v="2003-12-01T00:00:00"/>
        <d v="2004-04-01T00:00:00"/>
        <d v="2004-05-01T00:00:00"/>
        <d v="2004-07-01T00:00:00"/>
        <d v="2004-08-01T00:00:00"/>
        <d v="2004-09-01T00:00:00"/>
        <d v="2004-11-01T00:00:00"/>
        <d v="2004-12-01T00:00:00"/>
        <d v="2005-01-01T00:00:00"/>
        <d v="2005-06-01T00:00:00"/>
        <d v="2005-07-01T00:00:00"/>
        <d v="2005-08-01T00:00:00"/>
        <d v="2005-10-01T00:00:00"/>
        <d v="2005-11-01T00:00:00"/>
        <d v="2006-01-01T00:00:00"/>
        <d v="2006-03-01T00:00:00"/>
        <d v="2006-02-01T00:00:00"/>
        <d v="2006-05-01T00:00:00"/>
        <d v="2006-04-01T00:00:00"/>
        <d v="2006-07-01T00:00:00"/>
        <d v="2006-08-01T00:00:00"/>
        <d v="2006-09-01T00:00:00"/>
        <d v="2006-10-01T00:00:00"/>
        <d v="2006-11-01T00:00:00"/>
        <d v="2007-02-01T00:00:00"/>
        <d v="2007-03-01T00:00:00"/>
        <d v="2007-04-01T00:00:00"/>
        <d v="2007-05-01T00:00:00"/>
        <d v="2007-06-01T00:00:00"/>
        <d v="2007-07-01T00:00:00"/>
        <d v="2007-08-01T00:00:00"/>
        <d v="2007-09-01T00:00:00"/>
        <d v="2007-10-01T00:00:00"/>
        <d v="2007-11-01T00:00:00"/>
        <d v="2008-01-01T00:00:00"/>
        <d v="2008-02-01T00:00:00"/>
        <d v="2008-03-08T00:00:00"/>
        <d v="2008-05-08T00:00:00"/>
        <d v="2008-06-08T00:00:00"/>
        <d v="2008-07-08T00:00:00"/>
        <d v="2008-07-01T00:00:00"/>
        <d v="2008-08-01T00:00:00"/>
        <d v="2008-09-08T00:00:00"/>
        <d v="2008-10-01T00:00:00"/>
        <d v="2008-11-08T00:00:00"/>
        <d v="2008-12-09T00:00:00"/>
        <d v="2008-12-08T00:00:00"/>
        <d v="2008-12-11T00:00:00"/>
        <d v="2008-12-12T00:00:00"/>
        <d v="2008-12-13T00:00:00"/>
        <d v="2008-12-10T00:00:00"/>
        <d v="2008-12-14T00:00:00"/>
        <d v="2008-12-17T00:00:00"/>
        <d v="2009-01-08T00:00:00"/>
        <d v="2009-02-07T00:00:00"/>
        <d v="2009-03-05T00:00:00"/>
        <d v="2009-03-19T00:00:00"/>
        <d v="2009-04-07T00:00:00"/>
        <d v="2009-05-15T00:00:00"/>
        <d v="2009-06-26T00:00:00"/>
        <d v="2009-08-12T00:00:00"/>
        <d v="2009-09-01T00:00:00"/>
        <d v="2009-09-10T00:00:00"/>
        <d v="2009-09-03T00:00:00"/>
        <d v="2009-09-02T00:00:00"/>
        <d v="2009-10-01T00:00:00"/>
        <d v="2009-10-27T00:00:00"/>
        <d v="2009-11-05T00:00:00"/>
        <d v="2009-11-12T00:00:00"/>
        <d v="2009-11-16T00:00:00"/>
        <d v="2010-01-12T00:00:00"/>
        <d v="2010-01-25T00:00:00"/>
        <d v="2010-02-27T00:00:00"/>
        <d v="2010-04-10T00:00:00"/>
        <d v="2010-05-10T00:00:00"/>
        <d v="2010-05-20T00:00:00"/>
        <d v="2010-06-01T00:00:00"/>
        <d v="2010-08-02T00:00:00"/>
        <d v="2010-10-01T00:00:00"/>
        <d v="2010-10-18T00:00:00"/>
        <d v="2010-10-24T00:00:00"/>
        <d v="2010-10-26T00:00:00"/>
        <d v="2010-11-08T00:00:00"/>
        <d v="2010-11-03T00:00:00"/>
        <d v="2010-11-09T00:00:00"/>
        <d v="2010-11-10T00:00:00"/>
        <d v="2010-12-16T00:00:00"/>
        <d v="2010-11-30T00:00:00"/>
      </sharedItems>
    </cacheField>
    <cacheField name="Fiscal Year" numFmtId="0">
      <sharedItems containsSemiMixedTypes="0" containsString="0" containsNumber="1" containsInteger="1" minValue="1986" maxValue="2011" count="16">
        <n v="1986"/>
        <n v="1989"/>
        <n v="1994"/>
        <n v="1999"/>
        <n v="2000"/>
        <n v="2001"/>
        <n v="2002"/>
        <n v="2003"/>
        <n v="2004"/>
        <n v="2005"/>
        <n v="2006"/>
        <n v="2007"/>
        <n v="2008"/>
        <n v="2009"/>
        <n v="2010"/>
        <n v="2011"/>
      </sharedItems>
    </cacheField>
    <cacheField name="FY #" numFmtId="0">
      <sharedItems containsString="0" containsBlank="1" containsNumber="1" containsInteger="1" minValue="1" maxValue="33" count="34">
        <m/>
        <n v="1"/>
        <n v="2"/>
        <n v="3"/>
        <n v="4"/>
        <n v="5"/>
        <n v="6"/>
        <n v="7"/>
        <n v="8"/>
        <n v="9"/>
        <n v="10"/>
        <n v="11"/>
        <n v="12"/>
        <n v="13"/>
        <n v="14"/>
        <n v="15"/>
        <n v="16"/>
        <n v="17"/>
        <n v="18"/>
        <n v="19"/>
        <n v="21"/>
        <n v="22"/>
        <n v="23"/>
        <n v="20"/>
        <n v="24"/>
        <n v="25"/>
        <n v="26"/>
        <n v="27"/>
        <n v="28"/>
        <n v="29"/>
        <n v="32"/>
        <n v="30"/>
        <n v="31"/>
        <n v="33"/>
      </sharedItems>
    </cacheField>
    <cacheField name="Quarter" numFmtId="0">
      <sharedItems containsBlank="1"/>
    </cacheField>
    <cacheField name="Calendar Year" numFmtId="0">
      <sharedItems containsSemiMixedTypes="0" containsString="0" containsNumber="1" containsInteger="1" minValue="1985" maxValue="2010"/>
    </cacheField>
    <cacheField name="CY #" numFmtId="0">
      <sharedItems containsString="0" containsBlank="1" containsNumber="1" containsInteger="1" minValue="1" maxValue="33"/>
    </cacheField>
    <cacheField name="Region" numFmtId="0">
      <sharedItems containsBlank="1" count="5">
        <m/>
        <s v="Africa"/>
        <s v="LAC"/>
        <s v="Europe/Asia"/>
        <s v="North America"/>
      </sharedItems>
    </cacheField>
    <cacheField name="Country" numFmtId="0">
      <sharedItems containsBlank="1" count="118">
        <m/>
        <s v="Ethiopia"/>
        <s v="Mexico"/>
        <s v="Costa Rica"/>
        <s v="China"/>
        <s v="Turkey"/>
        <s v="Nicaragua"/>
        <s v="Cambodia"/>
        <s v="Greece"/>
        <s v="Bahamas"/>
        <s v="Taiwan"/>
        <s v="Japan"/>
        <s v="Russian Fed."/>
        <s v="Timor-Leste"/>
        <s v="Bangladesh"/>
        <s v="India"/>
        <s v="Vietnam"/>
        <s v="Dominica"/>
        <s v="St. Kitts &amp; Nevis"/>
        <s v="Antigua"/>
        <s v="Grenada"/>
        <s v="St. Maartens"/>
        <s v="Venezuela"/>
        <s v="South Africa"/>
        <s v="Botswana"/>
        <s v="Zimbabwe"/>
        <s v="Madagascar"/>
        <s v="Indonesia"/>
        <s v="Belize"/>
        <s v="Israel"/>
        <s v="Jordan"/>
        <s v="Palestine"/>
        <s v="Austria"/>
        <s v="Azerbaijan"/>
        <s v="Sri Lanka"/>
        <s v="El Salvador"/>
        <s v="Mozambique"/>
        <s v="Malawi"/>
        <s v="Bolivia"/>
        <s v="Peru"/>
        <s v="Canada"/>
        <s v="Macedonia"/>
        <s v="Bosnia"/>
        <s v="Honduras"/>
        <s v="Guatemala"/>
        <s v="Ecuador"/>
        <s v="Afghanistan"/>
        <s v="Pakistan"/>
        <s v="Uzbekistan"/>
        <s v="Iran"/>
        <s v="Turkmenistan"/>
        <s v="US"/>
        <s v="Cuba"/>
        <s v="Jamaica"/>
        <s v="Albania"/>
        <s v="DR Congo"/>
        <s v="Nigeria"/>
        <s v="Panama"/>
        <s v="Kenya"/>
        <s v="Syria"/>
        <s v="FS Micronesia"/>
        <s v="Romania"/>
        <s v="Germany"/>
        <s v="Czech Republic"/>
        <s v="Slovakia"/>
        <s v="Hungary"/>
        <s v="Paraguay"/>
        <s v="South Korea"/>
        <s v="Italy"/>
        <s v="Australia"/>
        <s v="Lesotho"/>
        <s v="Solomon Islands"/>
        <s v="Iraq"/>
        <s v="Argentina"/>
        <s v="Hong Kong"/>
        <s v="Dominican Republic"/>
        <s v="Algeria"/>
        <s v="Liberia"/>
        <s v="DPRK/North Korea"/>
        <s v="Haiti"/>
        <s v="Chad"/>
        <s v="Sudan"/>
        <s v="Cayman Islands"/>
        <s v="Bahamas "/>
        <s v="Maldives"/>
        <s v="Guyana"/>
        <s v="Niger"/>
        <s v="Colombia"/>
        <s v="Zambia"/>
        <s v="Philippines"/>
        <s v="Angola"/>
        <s v="Somalia"/>
        <s v="Spain"/>
        <s v="Lebanon"/>
        <s v="United Kingdom"/>
        <s v="Nepal"/>
        <s v="Uganda"/>
        <s v="Togo"/>
        <s v="Papua New Guinea"/>
        <s v="Tanzania"/>
        <s v="Myanmar"/>
        <s v="Chile"/>
        <s v="Yemen"/>
        <s v="Suriname"/>
        <s v="Ukraine"/>
        <s v="Georgia"/>
        <s v="[rollup]"/>
        <s v="Djibouti"/>
        <s v="Namibia"/>
        <s v="Tajikistan"/>
        <s v="Burkina Faso"/>
        <s v="Senegal"/>
        <s v="Samoa"/>
        <s v="Mongolia"/>
        <s v="Kyrgyzstan"/>
        <s v="Haiti/ Dominican  Republic"/>
        <s v="Saint Lucia/ Saint Vincent and the Grenadines/ Barbados "/>
        <s v="North Korea" u="1"/>
      </sharedItems>
    </cacheField>
    <cacheField name="Major Disaster Category" numFmtId="0">
      <sharedItems containsBlank="1"/>
    </cacheField>
    <cacheField name="Disaster Type" numFmtId="0">
      <sharedItems containsBlank="1"/>
    </cacheField>
    <cacheField name="Nature of Disaster (Disaster Sub-Type)" numFmtId="0">
      <sharedItems containsBlank="1"/>
    </cacheField>
    <cacheField name="Disaster Sub-Sub Type" numFmtId="0">
      <sharedItems containsBlank="1"/>
    </cacheField>
    <cacheField name="Total Affected" numFmtId="0">
      <sharedItems containsBlank="1" containsMixedTypes="1" containsNumber="1" containsInteger="1" minValue="2500" maxValue="25000000"/>
    </cacheField>
    <cacheField name="Appeal?_x000a_Y/N" numFmtId="0">
      <sharedItems containsBlank="1"/>
    </cacheField>
    <cacheField name="Whose Appeal?" numFmtId="0">
      <sharedItems containsBlank="1"/>
    </cacheField>
    <cacheField name="Appeal Amount" numFmtId="0">
      <sharedItems containsBlank="1" containsMixedTypes="1" containsNumber="1" containsInteger="1" minValue="364732" maxValue="200000000"/>
    </cacheField>
    <cacheField name="Appeal #" numFmtId="0">
      <sharedItems containsBlank="1"/>
    </cacheField>
    <cacheField name="% of Appeal Covered by ARC" numFmtId="169">
      <sharedItems containsString="0" containsBlank="1" containsNumber="1" minValue="0" maxValue="0.44"/>
    </cacheField>
    <cacheField name="Overall Appeal Coverage" numFmtId="0">
      <sharedItems containsBlank="1" containsMixedTypes="1" containsNumber="1" minValue="0.06" maxValue="1.04"/>
    </cacheField>
    <cacheField name="IFRC DREF?" numFmtId="0">
      <sharedItems containsBlank="1"/>
    </cacheField>
    <cacheField name="DREF Amount" numFmtId="0">
      <sharedItems containsString="0" containsBlank="1" containsNumber="1" containsInteger="1" minValue="49273" maxValue="613944"/>
    </cacheField>
    <cacheField name="Multilateral Beneficiaries" numFmtId="0">
      <sharedItems containsBlank="1" containsMixedTypes="1" containsNumber="1" containsInteger="1" minValue="0" maxValue="25000000"/>
    </cacheField>
    <cacheField name="Bilateral Request?" numFmtId="0">
      <sharedItems containsBlank="1"/>
    </cacheField>
    <cacheField name="Direct Beneficiaries" numFmtId="0">
      <sharedItems containsBlank="1" containsMixedTypes="1" containsNumber="1" containsInteger="1" minValue="0" maxValue="50000"/>
    </cacheField>
    <cacheField name="Contribution to IFRC/ICRC &gt;/= $50K?" numFmtId="0">
      <sharedItems containsString="0" containsBlank="1" containsNumber="1" containsInteger="1" minValue="0" maxValue="1"/>
    </cacheField>
    <cacheField name="Cash to IFRC" numFmtId="166">
      <sharedItems containsString="0" containsBlank="1" containsNumber="1" minValue="0" maxValue="30000000"/>
    </cacheField>
    <cacheField name="Cash to ICRC" numFmtId="166">
      <sharedItems containsBlank="1" containsMixedTypes="1" containsNumber="1" minValue="50000" maxValue="4377346.43"/>
    </cacheField>
    <cacheField name="Cash to NS" numFmtId="166">
      <sharedItems containsString="0" containsBlank="1" containsNumber="1" minValue="1000" maxValue="3257775.37"/>
    </cacheField>
    <cacheField name="Cash to Other Orgs" numFmtId="166">
      <sharedItems containsNonDate="0" containsString="0" containsBlank="1"/>
    </cacheField>
    <cacheField name="Total Cash" numFmtId="166">
      <sharedItems containsBlank="1" containsMixedTypes="1" containsNumber="1" minValue="0" maxValue="10000000"/>
    </cacheField>
    <cacheField name="ARC People Deployed" numFmtId="0">
      <sharedItems containsString="0" containsBlank="1" containsNumber="1" containsInteger="1" minValue="0" maxValue="82"/>
    </cacheField>
    <cacheField name="ERUs" numFmtId="0">
      <sharedItems containsBlank="1"/>
    </cacheField>
    <cacheField name="Individual Deployments" numFmtId="0">
      <sharedItems containsString="0" containsBlank="1" containsNumber="1" containsInteger="1" minValue="1" maxValue="85"/>
    </cacheField>
    <cacheField name="Total ARC Items Supplied" numFmtId="3">
      <sharedItems containsBlank="1" containsMixedTypes="1" containsNumber="1" minValue="11" maxValue="5143307"/>
    </cacheField>
    <cacheField name="Pre-positioned?" numFmtId="3">
      <sharedItems containsBlank="1"/>
    </cacheField>
    <cacheField name="Hygiene Kits" numFmtId="3">
      <sharedItems containsString="0" containsBlank="1" containsNumber="1" containsInteger="1" minValue="214" maxValue="45000"/>
    </cacheField>
    <cacheField name="Blankets" numFmtId="3">
      <sharedItems containsString="0" containsBlank="1" containsNumber="1" containsInteger="1" minValue="1000" maxValue="222900"/>
    </cacheField>
    <cacheField name="Jerry Cans" numFmtId="0">
      <sharedItems containsString="0" containsBlank="1" containsNumber="1" containsInteger="1" minValue="321" maxValue="30000"/>
    </cacheField>
    <cacheField name="Buckets" numFmtId="3">
      <sharedItems containsString="0" containsBlank="1" containsNumber="1" containsInteger="1" minValue="3650" maxValue="28000"/>
    </cacheField>
    <cacheField name="Tents" numFmtId="3">
      <sharedItems containsString="0" containsBlank="1" containsNumber="1" containsInteger="1" minValue="5" maxValue="5200"/>
    </cacheField>
    <cacheField name="Kitchen Sets" numFmtId="3">
      <sharedItems containsString="0" containsBlank="1" containsNumber="1" containsInteger="1" minValue="500" maxValue="18000"/>
    </cacheField>
    <cacheField name="Sleeping Mats / Bedsheets" numFmtId="3">
      <sharedItems containsString="0" containsBlank="1" containsNumber="1" containsInteger="1" minValue="500" maxValue="30518"/>
    </cacheField>
    <cacheField name="Mosquito Nets" numFmtId="3">
      <sharedItems containsString="0" containsBlank="1" containsNumber="1" containsInteger="1" minValue="1000" maxValue="20000"/>
    </cacheField>
    <cacheField name="Food Parcels" numFmtId="3">
      <sharedItems containsString="0" containsBlank="1" containsNumber="1" containsInteger="1" minValue="2600" maxValue="40000"/>
    </cacheField>
    <cacheField name="Tarps" numFmtId="3">
      <sharedItems containsString="0" containsBlank="1" containsNumber="1" containsInteger="1" minValue="20" maxValue="11000"/>
    </cacheField>
    <cacheField name="Vehicles" numFmtId="3">
      <sharedItems containsString="0" containsBlank="1" containsNumber="1" containsInteger="1" minValue="1" maxValue="7"/>
    </cacheField>
    <cacheField name="Other Items" numFmtId="3">
      <sharedItems containsString="0" containsBlank="1" containsNumber="1" containsInteger="1" minValue="3000" maxValue="6250"/>
    </cacheField>
    <cacheField name="Rice Bags" numFmtId="3">
      <sharedItems containsNonDate="0" containsString="0" containsBlank="1"/>
    </cacheField>
    <cacheField name="Value of Supplies" numFmtId="166">
      <sharedItems containsBlank="1" containsMixedTypes="1" containsNumber="1" minValue="0" maxValue="15266353"/>
    </cacheField>
    <cacheField name="Operational (People) Cost for Response Phase" numFmtId="166">
      <sharedItems containsBlank="1" containsMixedTypes="1" containsNumber="1" minValue="0" maxValue="100000000"/>
    </cacheField>
    <cacheField name="Total $ Response Phase" numFmtId="166">
      <sharedItems containsBlank="1" containsMixedTypes="1" containsNumber="1" minValue="0" maxValue="139611532"/>
    </cacheField>
    <cacheField name="Early Recovery $" numFmtId="0">
      <sharedItems containsString="0" containsBlank="1" containsNumber="1" minValue="764192.86" maxValue="337000000"/>
    </cacheField>
    <cacheField name="Future Contrib Anticipated $" numFmtId="0">
      <sharedItems containsString="0" containsBlank="1" containsNumber="1" containsInteger="1" minValue="500000" maxValue="500000"/>
    </cacheField>
    <cacheField name="Beneficiaries Served (Final Rpt)" numFmtId="0">
      <sharedItems containsString="0" containsBlank="1" containsNumber="1" minValue="0" maxValue="455000"/>
    </cacheField>
    <cacheField name="Total Contributions" numFmtId="166">
      <sharedItems containsMixedTypes="1" containsNumber="1" minValue="0" maxValue="477328823.80666667" count="186">
        <n v="19700000"/>
        <n v="14000000"/>
        <n v="18000000"/>
        <n v="50000000"/>
        <n v="39000000"/>
        <n v="100000"/>
        <n v="10000"/>
        <n v="0"/>
        <n v="25000"/>
        <n v="80000"/>
        <n v="132193"/>
        <n v="1200000"/>
        <n v="200"/>
        <n v="150000"/>
        <n v="205000"/>
        <n v="610134"/>
        <n v="50000"/>
        <n v="5153184.1400000006"/>
        <n v="15000"/>
        <n v="9000"/>
        <n v="1056000"/>
        <n v="23333.333333333332"/>
        <n v="23333.343333333331"/>
        <n v="389265"/>
        <n v="352704"/>
        <n v="20000"/>
        <n v="118500"/>
        <n v="40000"/>
        <n v="172000"/>
        <n v="90000"/>
        <n v="7500"/>
        <n v="2577.8000000000002"/>
        <n v="30500"/>
        <n v="227500"/>
        <n v="690000"/>
        <n v="250000"/>
        <n v="174000"/>
        <n v="1000"/>
        <n v="20700"/>
        <n v="18000"/>
        <n v="699130"/>
        <n v="12000000"/>
        <n v="3515479.37"/>
        <n v="97982"/>
        <n v="4400"/>
        <n v="60000"/>
        <n v="5000"/>
        <n v="500"/>
        <n v="71832"/>
        <n v="45000"/>
        <n v="21612.23"/>
        <n v="350424.24"/>
        <n v="11700"/>
        <n v="104805"/>
        <n v="225000"/>
        <n v="2000"/>
        <n v="75000"/>
        <n v="232252.87"/>
        <n v="115139.84"/>
        <n v="35000"/>
        <n v="130000"/>
        <n v="46670"/>
        <n v="237898.78"/>
        <n v="1345"/>
        <n v="7242.1372799999999"/>
        <n v="350000"/>
        <n v="421694"/>
        <n v="32812"/>
        <n v="17812"/>
        <n v="331380"/>
        <n v="32500"/>
        <n v="370642"/>
        <n v="21400"/>
        <n v="16700"/>
        <n v="65870"/>
        <n v="35027"/>
        <n v="10500"/>
        <n v="1175801.98"/>
        <n v="19975"/>
        <n v="6178"/>
        <n v="110000"/>
        <n v="220134.81245"/>
        <n v="44557.856"/>
        <n v="61220"/>
        <n v="110266.26"/>
        <n v="97442.48"/>
        <n v="3000"/>
        <n v="18675"/>
        <n v="247400"/>
        <n v="35975"/>
        <n v="59896.536212325685"/>
        <n v="302452.19"/>
        <n v="131046.88"/>
        <n v="112853.79000000001"/>
        <n v="401375"/>
        <n v="2655"/>
        <n v="103848909.52666667"/>
        <n v="477328823.80666667"/>
        <n v="1822266.6666666667"/>
        <n v="13100"/>
        <n v="32475"/>
        <n v="108693"/>
        <n v="36200"/>
        <n v="12558310"/>
        <n v="47581"/>
        <n v="342378"/>
        <n v="7034"/>
        <n v="20597"/>
        <n v="497744"/>
        <n v="21068"/>
        <n v="17402"/>
        <n v="400000"/>
        <n v="188443"/>
        <n v="55000"/>
        <n v="94461"/>
        <n v="1485750"/>
        <n v="1889600"/>
        <n v="85000"/>
        <n v="46900"/>
        <n v="793500"/>
        <n v="63000"/>
        <n v="200000"/>
        <n v="245000"/>
        <n v="2000000"/>
        <n v="102000"/>
        <n v="295000"/>
        <n v="124500"/>
        <n v="153400"/>
        <n v="20188"/>
        <n v="3400000"/>
        <n v="34565"/>
        <n v="298680"/>
        <n v="2500"/>
        <n v="22500"/>
        <n v="47500"/>
        <n v="17400"/>
        <n v="19970"/>
        <n v="104055"/>
        <n v="58073"/>
        <n v="37440"/>
        <n v="1900000"/>
        <n v="115000"/>
        <n v="1356654"/>
        <n v="23750"/>
        <n v="300000"/>
        <n v="867000"/>
        <n v="12400"/>
        <n v="714000"/>
        <n v="269000"/>
        <n v="48500"/>
        <n v="55000000"/>
        <n v="185000"/>
        <n v="44250"/>
        <n v="1532876"/>
        <n v="121044"/>
        <s v="-"/>
        <n v="1129943"/>
        <n v="246683"/>
        <n v="921250"/>
        <n v="74200"/>
        <n v="1520000"/>
        <n v="500000"/>
        <n v="30000"/>
        <n v="981315"/>
        <n v="330000"/>
        <n v="11500"/>
        <n v="259500"/>
        <n v="1168000"/>
        <n v="2150000"/>
        <n v="1664192.8599999999"/>
        <n v="190000"/>
        <n v="274845"/>
        <n v="139611532"/>
        <n v="6400000"/>
        <n v="1000000"/>
        <n v="145000"/>
        <n v="180000"/>
        <n v="8200000"/>
        <n v="16068357"/>
        <n v="322330"/>
        <n v="240000"/>
        <n v="9812"/>
        <n v="5674977" u="1"/>
        <n v="4500000" u="1"/>
        <n v="1664192.86" u="1"/>
        <n v="112853.79" u="1"/>
      </sharedItems>
    </cacheField>
    <cacheField name="Designated Fundraising?" numFmtId="166">
      <sharedItems containsBlank="1"/>
    </cacheField>
    <cacheField name="Limited corporate or full public?" numFmtId="166">
      <sharedItems containsNonDate="0" containsString="0" containsBlank="1"/>
    </cacheField>
    <cacheField name="Total Funds Raised" numFmtId="166">
      <sharedItems containsNonDate="0" containsString="0" containsBlank="1"/>
    </cacheField>
    <cacheField name="As of Date" numFmtId="14">
      <sharedItems containsNonDate="0" containsString="0" containsBlank="1"/>
    </cacheField>
    <cacheField name="Date Fundraising Closed" numFmtId="14">
      <sharedItems containsNonDate="0" containsString="0" containsBlank="1"/>
    </cacheField>
    <cacheField name="AP Code 1" numFmtId="0">
      <sharedItems containsBlank="1" containsMixedTypes="1" containsNumber="1" containsInteger="1" minValue="2002" maxValue="9306"/>
    </cacheField>
    <cacheField name="AP1 Amount" numFmtId="166">
      <sharedItems containsNonDate="0" containsString="0" containsBlank="1"/>
    </cacheField>
    <cacheField name="AP Code 2" numFmtId="0">
      <sharedItems containsNonDate="0" containsString="0" containsBlank="1"/>
    </cacheField>
    <cacheField name="AP2 Amount" numFmtId="166">
      <sharedItems containsNonDate="0" containsString="0" containsBlank="1"/>
    </cacheField>
    <cacheField name="AP Code 3" numFmtId="1">
      <sharedItems containsNonDate="0" containsString="0" containsBlank="1"/>
    </cacheField>
    <cacheField name="AP3 Amount" numFmtId="166">
      <sharedItems containsNonDate="0" containsString="0" containsBlank="1"/>
    </cacheField>
    <cacheField name="ARCT?" numFmtId="0">
      <sharedItems containsBlank="1"/>
    </cacheField>
    <cacheField name="OFDA?" numFmtId="0">
      <sharedItems containsBlank="1"/>
    </cacheField>
    <cacheField name="RRF?" numFmtId="0">
      <sharedItems containsBlank="1"/>
    </cacheField>
    <cacheField name="IRF?" numFmtId="0">
      <sharedItems containsNonDate="0" containsString="0" containsBlank="1"/>
    </cacheField>
    <cacheField name="Funding Source &amp; Info" numFmtId="0">
      <sharedItems containsBlank="1"/>
    </cacheField>
    <cacheField name="Stewardship report?" numFmtId="0">
      <sharedItems containsBlank="1"/>
    </cacheField>
    <cacheField name="Description " numFmtId="0">
      <sharedItems containsDate="1" containsBlank="1" containsMixedTypes="1" minDate="2008-09-11T00:00:00" maxDate="1900-01-04T11:09:05"/>
    </cacheField>
    <cacheField name="Comments on Contributions" numFmtId="0">
      <sharedItems containsBlank="1" longText="1"/>
    </cacheField>
  </cacheFields>
  <extLst>
    <ext xmlns:x14="http://schemas.microsoft.com/office/spreadsheetml/2009/9/main" uri="{725AE2AE-9491-48be-B2B4-4EB974FC3084}">
      <x14:pivotCacheDefinition/>
    </ext>
  </extLst>
</pivotCacheDefinition>
</file>

<file path=xl/pivotCache/pivotCacheDefinition24.xml><?xml version="1.0" encoding="utf-8"?>
<pivotCacheDefinition xmlns="http://schemas.openxmlformats.org/spreadsheetml/2006/main" xmlns:r="http://schemas.openxmlformats.org/officeDocument/2006/relationships" r:id="rId1" refreshedBy="AmandaWest" refreshedDate="40885.704125694443" createdVersion="3" refreshedVersion="3" recordCount="351">
  <cacheSource type="worksheet">
    <worksheetSource ref="A1:BY361" sheet="Disaster Data"/>
  </cacheSource>
  <cacheFields count="77">
    <cacheField name="Glide #" numFmtId="0">
      <sharedItems containsBlank="1"/>
    </cacheField>
    <cacheField name="ARC Disaster #" numFmtId="0">
      <sharedItems containsBlank="1" containsMixedTypes="1" containsNumber="1" containsInteger="1" minValue="1" maxValue="276"/>
    </cacheField>
    <cacheField name="Disaster Name" numFmtId="0">
      <sharedItems containsBlank="1" count="256">
        <s v="Mexico Earthquake"/>
        <s v="Armenia Earthquake"/>
        <s v="Rwanda Crisis"/>
        <s v="Hurricane Mitch"/>
        <s v="Balkans Crisis"/>
        <s v="Ethiopia Drought"/>
        <s v="Mexico Floods"/>
        <s v="Costa Rica Floods"/>
        <s v="China Floods"/>
        <s v="Turkey Earthquake"/>
        <s v="Nicaragua Volcano"/>
        <s v="Cambodia Floods"/>
        <s v="Greece Earthquake"/>
        <s v="Bahamas Storm"/>
        <s v="Taiwan Earthquake"/>
        <s v="Japan Industrial"/>
        <s v="Mexico Floods "/>
        <s v="Russian Fed. Conflict"/>
        <s v="Timor-Leste Conflict"/>
        <s v="Bangladesh Floods"/>
        <s v="India Storm"/>
        <s v="Vietnam Floods"/>
        <s v="Dominica Storm"/>
        <s v="St. Kitts &amp; Nevis Storm"/>
        <s v="Antigua Storm"/>
        <s v="Grenada Storm"/>
        <s v="St. Maartens Storm"/>
        <s v="Venezuela Floods"/>
        <s v="South Africa Floods"/>
        <s v="Botswana Floods"/>
        <s v="Zimbabwe Floods"/>
        <s v="Madagascar Floods"/>
        <s v="Indonesia Earthquake"/>
        <s v="India Floods"/>
        <s v="Belize Storm"/>
        <s v="Israel Conflict"/>
        <s v="Jordan Conflict"/>
        <s v="Palestine Conflict"/>
        <s v="Taiwan Transport"/>
        <s v="Austria Miscellaneous"/>
        <s v="Azerbaijan Earthquake"/>
        <s v="Sri Lanka Storm"/>
        <s v="South Africa Epidemic"/>
        <s v="El Salvador Earthquake"/>
        <s v="China Storm"/>
        <s v="India Earthquake"/>
        <s v="Mozambique Floods"/>
        <s v="Malawi Floods"/>
        <s v="Bolivia Floods"/>
        <s v="Peru Floods"/>
        <s v="Canada Transport"/>
        <s v="Russian Fed. Floods"/>
        <s v="Macedonia Conflict"/>
        <s v="Bosnia Floods"/>
        <s v="Peru Earthquake"/>
        <s v="El Salvador Drought"/>
        <s v="Honduras Drought"/>
        <s v="Nicaragua Drought"/>
        <s v="Guatemala Drought"/>
        <s v="Ecuador Volcano"/>
        <s v="Afghanistan Conflict"/>
        <s v="Pakistan Conflict"/>
        <s v="Uzbekistan Conflict"/>
        <s v="Iran Conflict"/>
        <s v="Turkmenistan Conflict"/>
        <s v="US Terrorism"/>
        <s v="Mexico Transport"/>
        <s v="Mexico Storm"/>
        <s v="Belize Meteorological"/>
        <s v="Belize Transport"/>
        <s v="Honduras Storm"/>
        <s v="Nicaragua Storm"/>
        <s v="Cuba Storm"/>
        <s v="Jamaica Storm"/>
        <s v="US Transport"/>
        <s v="Cambodia Miscellaneous"/>
        <s v="Albania Storm"/>
        <s v="DR Congo Volcano"/>
        <s v="Nigeria Industrial"/>
        <s v="Afghanistan Earthquake"/>
        <s v="Panama Floods"/>
        <s v="Kenya Floods"/>
        <s v="Malawi Food Insecurity"/>
        <s v="Nicaragua  Floods"/>
        <s v="Syria Miscellaneous"/>
        <s v="FS Micronesia Storm"/>
        <s v="Peru Storm"/>
        <s v="Bolivia Storm"/>
        <s v="Romania Floods"/>
        <s v="Germany Floods"/>
        <s v="Czech Republic Floods"/>
        <s v="Slovakia Floods"/>
        <s v="Hungary Floods"/>
        <s v="Austria Floods"/>
        <s v="Paraguay Drought"/>
        <s v="South Korea Storm"/>
        <s v="Italy Earthquake"/>
        <s v="Indonesia Terrorism"/>
        <s v="Australia Terrorism"/>
        <s v="Vietnam Miscellaneous"/>
        <s v="Lesotho Food Insecurity"/>
        <s v="Kenya Epidemic"/>
        <s v="Solomon Islands Storm"/>
        <s v="South Korea Transport"/>
        <s v="China Earthquake"/>
        <s v="Iraq Conflict"/>
        <s v="Syria Conflict"/>
        <s v="Turkey Conflict"/>
        <s v="Argentina Floods"/>
        <s v="China Epidemic"/>
        <s v="Hong Kong Epidemic"/>
        <s v="Sri Lanka Floods"/>
        <s v="Canada Wildfire"/>
        <s v="Dominican Republic Earthquake"/>
        <s v="Algeria Earthquake"/>
        <s v="Liberia Conflict"/>
        <s v="Dominican Republic Floods"/>
        <s v="Iran Earthquake"/>
        <s v="Panama Earthquake"/>
        <s v="North Korea Transport"/>
        <s v="Haiti Floods"/>
        <s v="Malawi Epidemic"/>
        <s v="Jamaica Conflict"/>
        <s v="Paraguay Miscellaneous"/>
        <s v="Chad Conflict"/>
        <s v="Sudan Conflict"/>
        <s v="Taiwan Storm"/>
        <s v="Cayman Islands Storm"/>
        <s v="Sri Lanka Tsunami"/>
        <s v="Indonesia Tsunami"/>
        <s v="Maldives Tsunami"/>
        <s v="Guyana Floods"/>
        <s v="Canada Floods"/>
        <s v="Hurricane Dennis - Jamaica "/>
        <s v="Hurricane Dennis - Grenada"/>
        <s v="Hurricane Dennis - Haiti"/>
        <s v="Sahel Food Crisis"/>
        <s v="Hurricane Katrina"/>
        <s v="Pakistan Earthquake"/>
        <s v="Hurricane Stan - Guatemala"/>
        <s v="Hurricane Stan - Mexico"/>
        <s v="El Salvador Hurricane Stan &amp; Volcano Eruption"/>
        <s v="Hurricane Wilma - Bahamas"/>
        <s v="Hurricane Wilma - Mexico"/>
        <s v="Vietnam Typhoon Damrey"/>
        <s v="Colombia Volcano"/>
        <s v="Southern Africa Food Security Crisis - Lesotho"/>
        <s v="Southern Africa Food Security Crisis - Malawi"/>
        <s v="Southern Africa Food Security Crisis - Zimbabwe"/>
        <s v="Southern Africa Food Security Crisis - Zambia"/>
        <s v="Eastern Africa Drought"/>
        <s v="Iraq Humanitarian Emergency"/>
        <s v="Timor-Leste Floods"/>
        <s v="Philippines Mudslides"/>
        <s v="Angola Cholera Epidemic"/>
        <s v="Somalia Drought"/>
        <s v="Spain Terrorism"/>
        <s v="Colombia Floods"/>
        <s v="Indonesia Yogyakarta Earthquake"/>
        <s v="Middle East Humanitarian Crisis"/>
        <s v="Ecuador Volanic Eruption"/>
        <s v="Ethiopia Floods"/>
        <s v="Sudan Floods"/>
        <s v="Philippines Typhoons"/>
        <s v="Vietnam Typhoons"/>
        <s v="Somalia Conflict"/>
        <s v="Somalia Floods"/>
        <s v="Sri Lanka Conflict"/>
        <s v="Madagascar Cyclones"/>
        <s v="Solomon Islands Tsunami/ Earthquake"/>
        <s v="Colombia Tolima Floods"/>
        <s v="Mexico Coahuila Tornado"/>
        <s v="Pakistan Cyclone Yemyin"/>
        <s v="United Kingdom Floods"/>
        <s v="Nepal Floods"/>
        <s v="Hurricane Dean"/>
        <s v="Greece Wildfire"/>
        <s v="Hurricane Felix"/>
        <s v="Indonesia Bengkulu Earthquake"/>
        <s v="Uganda Floods"/>
        <s v="Togo Floods"/>
        <s v="Tropical Storm Noel"/>
        <s v="Vietnam Typhoon Lekima"/>
        <s v="Bangladesh Cyclone Sidr"/>
        <s v="Papua New Guinea Storm"/>
        <s v="Kenya Election Civil Unrest"/>
        <s v="China Snow Disaster"/>
        <s v="Guyana Civil Unrest"/>
        <s v="Ecuador Floods"/>
        <s v="Madagascar Cyclone Ivan"/>
        <s v="Southern Africa Floods - Cyclone Jokwe"/>
        <s v="Myanmar Cyclone Nargis"/>
        <s v="China Sichuan Earthquake"/>
        <s v="Ethiopia Food Insecurity"/>
        <s v="South Africa Civil Unrest"/>
        <s v="Chile Floods"/>
        <s v="Philippines – Typhoon Fengshen"/>
        <s v="Yemen Conflict"/>
        <s v="Suriname Floods"/>
        <s v="Moldova and Ukraine Floods"/>
        <s v="Georgia Conflict"/>
        <s v="Haiti Hurricane Season 2008"/>
        <s v="Carribean Hurricane Season 2008 - Bahamas"/>
        <s v="Carribean Hurricane Season 2008 -  Jamaica"/>
        <s v="Cuba Hurricane Season 2008"/>
        <s v="Central America Floods"/>
        <s v="Pakistan Baluchistan Earthquake"/>
        <s v="Panama &amp; Costa Rica Floods"/>
        <s v="Horn of Africa Food Insecurity Crisis"/>
        <s v="Uganda, Rwanda, Burundi Population Movement"/>
        <s v="Zimbabwe Cholera Epidemic"/>
        <s v="Gaza Conflict - Israel"/>
        <s v="Gaza Conflict - Palestine"/>
        <s v="Costa Rica Earthquake"/>
        <s v="Australia Wildfires"/>
        <s v="Namibia Floods"/>
        <s v="Africa Polio Outbreak"/>
        <s v="Pakistan Internally Displaced Persons Crisis"/>
        <s v="Bangladesh Cyclone Aila"/>
        <s v="Tajikistan Mudslides and Floods"/>
        <s v="Syria Drought"/>
        <s v="West &amp; Central Africa Floods - Burkina Faso"/>
        <s v="West &amp; Central Africa Floods - Senegal"/>
        <s v="Mexico Hurricane Jimena"/>
        <s v="Java Indonesia Earthquake"/>
        <s v="Southeast Asia Typhoons - Philippines"/>
        <s v="Southeast Asia Typhoons - Vietnam"/>
        <s v="West Sumatra Indonesia Earthquake"/>
        <s v="Samoa Islands Tsunami"/>
        <s v="Kenya Drought"/>
        <s v="El Salvador Floods"/>
        <s v="Haiti Earthquake"/>
        <s v="Tanzania Floods"/>
        <s v="Chile Earthquake"/>
        <s v="Mongolia Severe Winter"/>
        <s v="Nepal Diarrhea Outbreak"/>
        <s v="Tropical Storm Agatha"/>
        <s v="Kyrgyzstan-Uzbekistan Population Movement"/>
        <s v="Pakistan Monsoon Floods"/>
        <s v="Haiti &amp; Dominican Republic Cholera Outbreak"/>
        <s v="Philippines Typhoon Megi"/>
        <s v="Indonesia Tsunami &amp; Volcanic Eruption"/>
        <s v="Caribbean Hurricane Tomas"/>
        <s v="Belize Hurricane Richard"/>
        <s v="Colombian Floods"/>
        <s v="North Africa &amp; Middle East Civil Unrest"/>
        <s v="New Zealand Earthquake"/>
        <s v="Paraguay Dengue Epidemic"/>
        <s v="Japan Earthquake &amp; Tsunami"/>
        <s v="West African Population Movement"/>
        <s v="Horn of Africa Drought"/>
        <s v="DPR Korea (North Korea) Floods"/>
        <s v="Pakistan Floods"/>
        <s v="Turkey  Earthquake"/>
        <s v="Thailand Floods"/>
        <m/>
      </sharedItems>
    </cacheField>
    <cacheField name="Date of Response" numFmtId="167">
      <sharedItems containsNonDate="0" containsDate="1" containsString="0" containsBlank="1" minDate="1985-09-01T00:00:00" maxDate="2011-12-03T00:00:00"/>
    </cacheField>
    <cacheField name="Fiscal Year" numFmtId="0">
      <sharedItems containsString="0" containsBlank="1" containsNumber="1" containsInteger="1" minValue="1986" maxValue="2012" count="18">
        <n v="1986"/>
        <n v="1989"/>
        <n v="1994"/>
        <n v="1999"/>
        <n v="2000"/>
        <n v="2001"/>
        <n v="2002"/>
        <n v="2003"/>
        <n v="2004"/>
        <n v="2005"/>
        <n v="2006"/>
        <n v="2007"/>
        <n v="2008"/>
        <n v="2009"/>
        <n v="2010"/>
        <n v="2011"/>
        <n v="2012"/>
        <m/>
      </sharedItems>
    </cacheField>
    <cacheField name="FY #" numFmtId="0">
      <sharedItems containsString="0" containsBlank="1" containsNumber="1" containsInteger="1" minValue="1" maxValue="33"/>
    </cacheField>
    <cacheField name="Quarter" numFmtId="0">
      <sharedItems containsBlank="1"/>
    </cacheField>
    <cacheField name="Calendar Year" numFmtId="0">
      <sharedItems containsString="0" containsBlank="1" containsNumber="1" containsInteger="1" minValue="1985" maxValue="2011" count="18">
        <n v="1985"/>
        <n v="1988"/>
        <n v="1994"/>
        <n v="1998"/>
        <n v="1999"/>
        <n v="2000"/>
        <n v="2001"/>
        <n v="2002"/>
        <n v="2003"/>
        <n v="2004"/>
        <n v="2005"/>
        <n v="2006"/>
        <n v="2007"/>
        <n v="2008"/>
        <n v="2009"/>
        <n v="2010"/>
        <n v="2011"/>
        <m/>
      </sharedItems>
    </cacheField>
    <cacheField name="CY #" numFmtId="0">
      <sharedItems containsString="0" containsBlank="1" containsNumber="1" containsInteger="1" minValue="1" maxValue="33"/>
    </cacheField>
    <cacheField name="Region" numFmtId="0">
      <sharedItems containsBlank="1" count="5">
        <m/>
        <s v="Africa"/>
        <s v="LAC"/>
        <s v="Europe/Asia"/>
        <s v="North America"/>
      </sharedItems>
    </cacheField>
    <cacheField name="Country" numFmtId="0">
      <sharedItems containsBlank="1"/>
    </cacheField>
    <cacheField name="Major Disaster Category" numFmtId="0">
      <sharedItems containsBlank="1"/>
    </cacheField>
    <cacheField name="Disaster Type" numFmtId="0">
      <sharedItems containsBlank="1" count="25">
        <m/>
        <s v="Drought"/>
        <s v="Floods"/>
        <s v="Earthquake"/>
        <s v="Volcano"/>
        <s v="Storm"/>
        <s v="Industrial"/>
        <s v="Floods "/>
        <s v="Conflict"/>
        <s v="Transport"/>
        <s v="Miscellaneous"/>
        <s v="Epidemic"/>
        <s v="Terrorism"/>
        <s v="Meteorological"/>
        <s v="Food Insecurity"/>
        <s v="Wildfire"/>
        <s v="Tsunami"/>
        <s v="Tropical Storm"/>
        <s v="Mass Movement Wet"/>
        <s v="Civil Unrest"/>
        <s v="Cyclone"/>
        <s v="Winter storm"/>
        <s v="Tsunami &amp; Volcanic Eruption"/>
        <s v="Earthquake/ Tsunami"/>
        <s v="Population Movement"/>
      </sharedItems>
    </cacheField>
    <cacheField name="Nature of Disaster (Disaster Sub-Type)" numFmtId="0">
      <sharedItems containsBlank="1"/>
    </cacheField>
    <cacheField name="Disaster Sub-Sub Type" numFmtId="0">
      <sharedItems containsBlank="1"/>
    </cacheField>
    <cacheField name="Total Affected" numFmtId="0">
      <sharedItems containsBlank="1" containsMixedTypes="1" containsNumber="1" containsInteger="1" minValue="2500" maxValue="25000000" count="87">
        <m/>
        <n v="2998214"/>
        <n v="15850000"/>
        <n v="6000000"/>
        <n v="3500000"/>
        <n v="300000"/>
        <n v="1500000"/>
        <n v="2300000"/>
        <n v="2000000"/>
        <n v="365000"/>
        <n v="1000000"/>
        <n v="645000"/>
        <n v="655000"/>
        <n v="210000"/>
        <n v="175000"/>
        <n v="450000"/>
        <n v="185000"/>
        <n v="200000"/>
        <n v="600000"/>
        <n v="8500000"/>
        <n v="162000"/>
        <n v="500000"/>
        <n v="7800000"/>
        <n v="315000"/>
        <n v="4000000"/>
        <n v="322000"/>
        <n v="400000"/>
        <n v="2700"/>
        <n v="2400000"/>
        <n v="10000000"/>
        <n v="4500000"/>
        <n v="50000"/>
        <n v="4800000"/>
        <n v="77000"/>
        <n v="49090"/>
        <n v="30000"/>
        <n v="72000"/>
        <n v="70000"/>
        <n v="800000"/>
        <n v="9750"/>
        <n v="4000"/>
        <n v="2900000"/>
        <s v="-"/>
        <n v="328000"/>
        <n v="366000"/>
        <n v="40158"/>
        <n v="16800000"/>
        <n v="280000"/>
        <n v="90000"/>
        <n v="2943"/>
        <n v="22000"/>
        <n v="250000"/>
        <n v="31250"/>
        <n v="48000"/>
        <n v="700000"/>
        <n v="25000000"/>
        <n v="3928238"/>
        <n v="12000"/>
        <n v="1300000"/>
        <n v="156000"/>
        <n v="100000"/>
        <n v="3000000"/>
        <n v="10000"/>
        <n v="4100000"/>
        <n v="3800000"/>
        <n v="2500"/>
        <n v="75000"/>
        <n v="507000"/>
        <n v="67000"/>
        <n v="173518"/>
        <n v="375000"/>
        <n v="20000000"/>
        <n v="660000"/>
        <n v="215000"/>
        <n v="9500"/>
        <n v="13500"/>
        <n v="6200"/>
        <n v="228500"/>
        <n v="13300000"/>
        <n v="45000"/>
        <n v="5000000"/>
        <n v="3200000"/>
        <n v="638000"/>
        <n v="318846"/>
        <n v="590000"/>
        <n v="3400000"/>
        <n v="410420"/>
      </sharedItems>
    </cacheField>
    <cacheField name="Appeal?_x000a_Y/N" numFmtId="0">
      <sharedItems containsBlank="1" count="3">
        <m/>
        <s v="Y"/>
        <s v="N"/>
      </sharedItems>
    </cacheField>
    <cacheField name="Whose Appeal?" numFmtId="0">
      <sharedItems containsBlank="1"/>
    </cacheField>
    <cacheField name="Appeal Amount" numFmtId="0">
      <sharedItems containsBlank="1" containsMixedTypes="1" containsNumber="1" containsInteger="1" minValue="364732" maxValue="254000000"/>
    </cacheField>
    <cacheField name="Appeal #" numFmtId="0">
      <sharedItems containsBlank="1"/>
    </cacheField>
    <cacheField name="% of Appeal Covered by ARC" numFmtId="169">
      <sharedItems containsString="0" containsBlank="1" containsNumber="1" minValue="0" maxValue="0.44"/>
    </cacheField>
    <cacheField name="Overall Appeal Coverage" numFmtId="0">
      <sharedItems containsBlank="1" containsMixedTypes="1" containsNumber="1" minValue="0.06" maxValue="1.04"/>
    </cacheField>
    <cacheField name="IFRC DREF?" numFmtId="0">
      <sharedItems containsBlank="1"/>
    </cacheField>
    <cacheField name="DREF Amount" numFmtId="0">
      <sharedItems containsString="0" containsBlank="1" containsNumber="1" containsInteger="1" minValue="49273" maxValue="613944"/>
    </cacheField>
    <cacheField name="Multilateral Beneficiaries" numFmtId="0">
      <sharedItems containsBlank="1" containsMixedTypes="1" containsNumber="1" containsInteger="1" minValue="0" maxValue="25000000"/>
    </cacheField>
    <cacheField name="Bilateral Request?" numFmtId="0">
      <sharedItems containsBlank="1" count="2">
        <m/>
        <s v="Y"/>
      </sharedItems>
    </cacheField>
    <cacheField name="Direct Beneficiaries" numFmtId="0">
      <sharedItems containsBlank="1" containsMixedTypes="1" containsNumber="1" containsInteger="1" minValue="0" maxValue="50000"/>
    </cacheField>
    <cacheField name="Contribution to IFRC/ICRC &gt;/= $50K?" numFmtId="0">
      <sharedItems containsString="0" containsBlank="1" containsNumber="1" containsInteger="1" minValue="0" maxValue="4"/>
    </cacheField>
    <cacheField name="Cash to IFRC" numFmtId="166">
      <sharedItems containsString="0" containsBlank="1" containsNumber="1" minValue="0" maxValue="30000000"/>
    </cacheField>
    <cacheField name="Cash to ICRC" numFmtId="166">
      <sharedItems containsBlank="1" containsMixedTypes="1" containsNumber="1" minValue="50000" maxValue="4377346.43"/>
    </cacheField>
    <cacheField name="Cash to NS" numFmtId="166">
      <sharedItems containsString="0" containsBlank="1" containsNumber="1" minValue="1000" maxValue="256000000"/>
    </cacheField>
    <cacheField name="Cash to Other Orgs" numFmtId="166">
      <sharedItems containsString="0" containsBlank="1" containsNumber="1" containsInteger="1" minValue="1500000" maxValue="1500000"/>
    </cacheField>
    <cacheField name="Total Cash" numFmtId="166">
      <sharedItems containsBlank="1" containsMixedTypes="1" containsNumber="1" minValue="0" maxValue="259800000"/>
    </cacheField>
    <cacheField name="ARC People Deployed" numFmtId="0">
      <sharedItems containsString="0" containsBlank="1" containsNumber="1" containsInteger="1" minValue="0" maxValue="82"/>
    </cacheField>
    <cacheField name="ERUs" numFmtId="0">
      <sharedItems containsBlank="1"/>
    </cacheField>
    <cacheField name="Individual Deployments" numFmtId="0">
      <sharedItems containsString="0" containsBlank="1" containsNumber="1" containsInteger="1" minValue="1" maxValue="85"/>
    </cacheField>
    <cacheField name="Total ARC Items Supplied" numFmtId="3">
      <sharedItems containsBlank="1" containsMixedTypes="1" containsNumber="1" minValue="11" maxValue="5143307"/>
    </cacheField>
    <cacheField name="Pre-positioned?" numFmtId="3">
      <sharedItems containsBlank="1"/>
    </cacheField>
    <cacheField name="Hygiene Kits" numFmtId="3">
      <sharedItems containsString="0" containsBlank="1" containsNumber="1" containsInteger="1" minValue="214" maxValue="45000"/>
    </cacheField>
    <cacheField name="Blankets" numFmtId="3">
      <sharedItems containsString="0" containsBlank="1" containsNumber="1" containsInteger="1" minValue="1000" maxValue="222900"/>
    </cacheField>
    <cacheField name="Jerry Cans" numFmtId="0">
      <sharedItems containsString="0" containsBlank="1" containsNumber="1" containsInteger="1" minValue="321" maxValue="30000"/>
    </cacheField>
    <cacheField name="Buckets" numFmtId="3">
      <sharedItems containsString="0" containsBlank="1" containsNumber="1" containsInteger="1" minValue="3650" maxValue="28000"/>
    </cacheField>
    <cacheField name="Tents" numFmtId="3">
      <sharedItems containsString="0" containsBlank="1" containsNumber="1" containsInteger="1" minValue="5" maxValue="5200"/>
    </cacheField>
    <cacheField name="Kitchen Sets" numFmtId="3">
      <sharedItems containsString="0" containsBlank="1" containsNumber="1" containsInteger="1" minValue="500" maxValue="18000"/>
    </cacheField>
    <cacheField name="Sleeping Mats / Bedsheets" numFmtId="3">
      <sharedItems containsString="0" containsBlank="1" containsNumber="1" containsInteger="1" minValue="500" maxValue="30518"/>
    </cacheField>
    <cacheField name="Mosquito Nets" numFmtId="3">
      <sharedItems containsString="0" containsBlank="1" containsNumber="1" containsInteger="1" minValue="1000" maxValue="20000"/>
    </cacheField>
    <cacheField name="Food Parcels" numFmtId="3">
      <sharedItems containsString="0" containsBlank="1" containsNumber="1" containsInteger="1" minValue="2600" maxValue="40000"/>
    </cacheField>
    <cacheField name="Tarps" numFmtId="3">
      <sharedItems containsString="0" containsBlank="1" containsNumber="1" containsInteger="1" minValue="20" maxValue="11000"/>
    </cacheField>
    <cacheField name="Vehicles" numFmtId="3">
      <sharedItems containsString="0" containsBlank="1" containsNumber="1" containsInteger="1" minValue="1" maxValue="7"/>
    </cacheField>
    <cacheField name="Other Items" numFmtId="3">
      <sharedItems containsString="0" containsBlank="1" containsNumber="1" containsInteger="1" minValue="3000" maxValue="6250"/>
    </cacheField>
    <cacheField name="Rice Bags" numFmtId="3">
      <sharedItems containsNonDate="0" containsString="0" containsBlank="1"/>
    </cacheField>
    <cacheField name="Value of Supplies" numFmtId="166">
      <sharedItems containsBlank="1" containsMixedTypes="1" containsNumber="1" minValue="0" maxValue="15266353"/>
    </cacheField>
    <cacheField name="Operational (People) Cost for Response Phase" numFmtId="166">
      <sharedItems containsBlank="1" containsMixedTypes="1" containsNumber="1" minValue="0" maxValue="100000000"/>
    </cacheField>
    <cacheField name="Total $ Response Phase" numFmtId="166">
      <sharedItems containsBlank="1" containsMixedTypes="1" containsNumber="1" minValue="0" maxValue="259800000"/>
    </cacheField>
    <cacheField name="Early Recovery $" numFmtId="0">
      <sharedItems containsString="0" containsBlank="1" containsNumber="1" minValue="764192.86" maxValue="337000000"/>
    </cacheField>
    <cacheField name="Future Contrib Anticipated $" numFmtId="0">
      <sharedItems containsString="0" containsBlank="1" containsNumber="1" containsInteger="1" minValue="500000" maxValue="500000"/>
    </cacheField>
    <cacheField name="Beneficiaries Served (Final Rpt)" numFmtId="0">
      <sharedItems containsString="0" containsBlank="1" containsNumber="1" minValue="0" maxValue="455000"/>
    </cacheField>
    <cacheField name="Total Contributions" numFmtId="166">
      <sharedItems containsBlank="1" containsMixedTypes="1" containsNumber="1" minValue="0" maxValue="477328823.80666667" count="193">
        <n v="19700000"/>
        <n v="14000000"/>
        <n v="18000000"/>
        <n v="50000000"/>
        <n v="39000000"/>
        <n v="100000"/>
        <n v="10000"/>
        <n v="0"/>
        <n v="25000"/>
        <n v="80000"/>
        <n v="132193"/>
        <n v="1200000"/>
        <n v="200"/>
        <n v="150000"/>
        <n v="205000"/>
        <n v="610134"/>
        <n v="50000"/>
        <n v="5153184.1400000006"/>
        <n v="15000"/>
        <n v="9000"/>
        <n v="1056000"/>
        <n v="23333.333333333332"/>
        <n v="23333.343333333331"/>
        <n v="389265"/>
        <n v="352704"/>
        <n v="20000"/>
        <n v="118500"/>
        <n v="40000"/>
        <n v="172000"/>
        <n v="90000"/>
        <n v="7500"/>
        <n v="2577.8000000000002"/>
        <n v="30500"/>
        <n v="227500"/>
        <n v="690000"/>
        <n v="250000"/>
        <n v="174000"/>
        <n v="1000"/>
        <n v="20700"/>
        <n v="18000"/>
        <n v="699130"/>
        <n v="12000000"/>
        <n v="3515479.37"/>
        <n v="97982"/>
        <n v="4400"/>
        <n v="60000"/>
        <n v="5000"/>
        <n v="500"/>
        <n v="71832"/>
        <n v="45000"/>
        <n v="21612.23"/>
        <n v="350424.24"/>
        <n v="11700"/>
        <n v="104805"/>
        <n v="225000"/>
        <n v="2000"/>
        <n v="75000"/>
        <n v="232252.87"/>
        <n v="115139.84"/>
        <n v="35000"/>
        <n v="130000"/>
        <n v="46670"/>
        <n v="237898.78"/>
        <n v="1345"/>
        <n v="7242.1372799999999"/>
        <n v="350000"/>
        <n v="421694"/>
        <n v="32812"/>
        <n v="17812"/>
        <n v="331380"/>
        <n v="32500"/>
        <n v="370642"/>
        <n v="21400"/>
        <n v="16700"/>
        <n v="65870"/>
        <n v="35027"/>
        <n v="10500"/>
        <n v="1175801.98"/>
        <n v="19975"/>
        <n v="6178"/>
        <n v="110000"/>
        <n v="220134.81245"/>
        <n v="44557.856"/>
        <n v="61220"/>
        <n v="110266.26"/>
        <n v="97442.48"/>
        <n v="3000"/>
        <n v="18675"/>
        <n v="247400"/>
        <n v="35975"/>
        <n v="59896.536212325685"/>
        <n v="302452.19"/>
        <n v="131046.88"/>
        <n v="112853.79000000001"/>
        <n v="401375"/>
        <n v="2655"/>
        <n v="103848909.52666667"/>
        <n v="477328823.80666667"/>
        <n v="1822266.6666666667"/>
        <n v="13100"/>
        <n v="32475"/>
        <n v="108693"/>
        <n v="36200"/>
        <n v="12558310"/>
        <n v="47581"/>
        <n v="342378"/>
        <n v="7034"/>
        <n v="20597"/>
        <n v="497744"/>
        <n v="21068"/>
        <n v="17402"/>
        <n v="400000"/>
        <n v="188443"/>
        <n v="55000"/>
        <n v="94461"/>
        <n v="1485750"/>
        <n v="1889600"/>
        <n v="85000"/>
        <n v="46900"/>
        <n v="793500"/>
        <n v="63000"/>
        <n v="200000"/>
        <n v="245000"/>
        <n v="2000000"/>
        <n v="102000"/>
        <n v="295000"/>
        <n v="124500"/>
        <n v="153400"/>
        <n v="20188"/>
        <n v="3400000"/>
        <n v="34565"/>
        <n v="298680"/>
        <n v="2500"/>
        <n v="22500"/>
        <n v="47500"/>
        <n v="17400"/>
        <n v="19970"/>
        <n v="104055"/>
        <n v="58073"/>
        <n v="37440"/>
        <n v="1900000"/>
        <n v="115000"/>
        <n v="1356654"/>
        <n v="23750"/>
        <n v="300000"/>
        <n v="867000"/>
        <n v="12400"/>
        <n v="714000"/>
        <n v="269000"/>
        <n v="48500"/>
        <n v="55000000"/>
        <n v="185000"/>
        <m/>
        <n v="44250"/>
        <n v="1532876"/>
        <n v="121044"/>
        <s v="-"/>
        <n v="1129943"/>
        <n v="246683"/>
        <n v="921250"/>
        <n v="74200"/>
        <n v="1520000"/>
        <n v="500000"/>
        <n v="30000"/>
        <n v="981315"/>
        <n v="330000"/>
        <n v="11500"/>
        <n v="259500"/>
        <n v="1168000"/>
        <n v="2150000"/>
        <n v="1664192.8599999999"/>
        <n v="190000"/>
        <n v="274845"/>
        <n v="139611532"/>
        <n v="6400000"/>
        <n v="1000000"/>
        <n v="145000"/>
        <n v="180000"/>
        <n v="8200000"/>
        <n v="16068357"/>
        <n v="322330"/>
        <n v="240000"/>
        <n v="9812"/>
        <n v="440270"/>
        <n v="826450"/>
        <n v="56000"/>
        <n v="259800000"/>
        <n v="182000"/>
        <n v="2935000"/>
        <n v="303940"/>
        <n v="809000"/>
        <n v="270000"/>
        <n v="167000"/>
      </sharedItems>
    </cacheField>
    <cacheField name="Designated Fundraising?" numFmtId="166">
      <sharedItems containsBlank="1" count="3">
        <m/>
        <s v="Y"/>
        <s v="N"/>
      </sharedItems>
    </cacheField>
    <cacheField name="Limited corporate or full public?" numFmtId="166">
      <sharedItems containsBlank="1"/>
    </cacheField>
    <cacheField name="Total Funds Raised" numFmtId="166">
      <sharedItems containsString="0" containsBlank="1" containsNumber="1" containsInteger="1" minValue="56000" maxValue="307256521"/>
    </cacheField>
    <cacheField name="As of Date" numFmtId="14">
      <sharedItems containsNonDate="0" containsDate="1" containsString="0" containsBlank="1" minDate="2011-02-28T00:00:00" maxDate="2011-12-02T00:00:00"/>
    </cacheField>
    <cacheField name="Date Fundraising Closed" numFmtId="14">
      <sharedItems containsDate="1" containsBlank="1" containsMixedTypes="1" minDate="2011-02-28T00:00:00" maxDate="2011-11-18T00:00:00"/>
    </cacheField>
    <cacheField name="AP Code 1" numFmtId="0">
      <sharedItems containsBlank="1" containsMixedTypes="1" containsNumber="1" containsInteger="1" minValue="2002" maxValue="9306"/>
    </cacheField>
    <cacheField name="AP1 Amount" numFmtId="166">
      <sharedItems containsString="0" containsBlank="1" containsNumber="1" containsInteger="1" minValue="30000" maxValue="200000"/>
    </cacheField>
    <cacheField name="AP Code 2" numFmtId="0">
      <sharedItems containsString="0" containsBlank="1" containsNumber="1" containsInteger="1" minValue="2010" maxValue="2882"/>
    </cacheField>
    <cacheField name="AP2 Amount" numFmtId="166">
      <sharedItems containsString="0" containsBlank="1" containsNumber="1" containsInteger="1" minValue="100000" maxValue="2553000"/>
    </cacheField>
    <cacheField name="AP Code 3" numFmtId="1">
      <sharedItems containsString="0" containsBlank="1" containsNumber="1" containsInteger="1" minValue="2099" maxValue="2799"/>
    </cacheField>
    <cacheField name="AP3 Amount" numFmtId="166">
      <sharedItems containsBlank="1" containsMixedTypes="1" containsNumber="1" containsInteger="1" minValue="200000" maxValue="200000"/>
    </cacheField>
    <cacheField name="ARCT?" numFmtId="0">
      <sharedItems containsBlank="1"/>
    </cacheField>
    <cacheField name="OFDA?" numFmtId="0">
      <sharedItems containsBlank="1"/>
    </cacheField>
    <cacheField name="RRF?" numFmtId="0">
      <sharedItems containsBlank="1"/>
    </cacheField>
    <cacheField name="IRF?" numFmtId="0">
      <sharedItems containsBlank="1"/>
    </cacheField>
    <cacheField name="Funding Source &amp; Info" numFmtId="0">
      <sharedItems containsBlank="1" longText="1"/>
    </cacheField>
    <cacheField name="Stewardship report?" numFmtId="0">
      <sharedItems containsBlank="1"/>
    </cacheField>
    <cacheField name="Description " numFmtId="0">
      <sharedItems containsDate="1" containsBlank="1" containsMixedTypes="1" minDate="2008-09-11T00:00:00" maxDate="1900-01-04T11:09:05"/>
    </cacheField>
    <cacheField name="Comments on Contributions" numFmtId="0">
      <sharedItems containsBlank="1" longText="1"/>
    </cacheField>
  </cacheFields>
  <extLst>
    <ext xmlns:x14="http://schemas.microsoft.com/office/spreadsheetml/2009/9/main" uri="{725AE2AE-9491-48be-B2B4-4EB974FC3084}">
      <x14:pivotCacheDefinition/>
    </ext>
  </extLst>
</pivotCacheDefinition>
</file>

<file path=xl/pivotCache/pivotCacheDefinition25.xml><?xml version="1.0" encoding="utf-8"?>
<pivotCacheDefinition xmlns="http://schemas.openxmlformats.org/spreadsheetml/2006/main" xmlns:r="http://schemas.openxmlformats.org/officeDocument/2006/relationships" r:id="rId1" refreshedBy="paulel" refreshedDate="40886.659863773151" createdVersion="3" refreshedVersion="3" minRefreshableVersion="3" recordCount="350">
  <cacheSource type="worksheet">
    <worksheetSource ref="A1:BY353" sheet="Disaster Data"/>
  </cacheSource>
  <cacheFields count="77">
    <cacheField name="Glide #" numFmtId="0">
      <sharedItems containsBlank="1" count="104">
        <m/>
        <s v="TC-2005-000173-SLV"/>
        <s v="TC-2005-000178-BHS"/>
        <s v="TC-2005-000178-MEX"/>
        <s v="-2006-000022-TMP"/>
        <s v="MS-2006-000179-PHL"/>
        <s v="EQ-2006-000064-IDN"/>
        <s v="VO-2006-"/>
        <s v="FL-2006-000122-ETH"/>
        <s v="FL-2006-000123-SDN"/>
        <s v="TC-2006-000175-PHL"/>
        <s v="TC-2006-000144-VNM; TC-2006-000175-VNM"/>
        <s v="FL-2006-000159-KEN"/>
        <s v="FL-2006-000198-MOZ"/>
        <s v="FL-2007-000012-BOL"/>
        <s v="TS-2007-000042-SLB"/>
        <s v="FF-2007-000082-PAK; and TC-2007-000084-PAK"/>
        <s v="FF-2007-000080-BGD"/>
        <s v="FL-2007-00093-SDN"/>
        <s v="FL-2007-000111-GBR"/>
        <s v="FF-2007-000117-NPL"/>
        <s v="EQ-2007-000133-PER"/>
        <s v="TC-2007-000135"/>
        <s v="WF-2007-000148-GRC"/>
        <s v="TC-2007-000157"/>
        <s v="EQ-2007-000157-IDN"/>
        <s v="FL-2007-000138-UGA"/>
        <s v="FL-2007-000158-TGO; FL-2007-000132-BFA;FL-2007-000153-GHA"/>
        <s v="TC-000198-DOM/HTI;"/>
        <s v="FL-2007-000200-MEX"/>
        <s v="TC-2007-00178-VNM"/>
        <s v="FL-2007-000209-PNG"/>
        <s v="CW-2008-000013-CHN"/>
        <s v="FL-2008-000018-ECU"/>
        <s v="TC-2008-000023-MDG"/>
        <s v="TC-2008-000033-MOZ"/>
        <s v="TC-2008-000057-MMR"/>
        <s v="EQ-2008-000062-CHN"/>
        <s v="DR-2008-000043-ETH"/>
        <s v="FL-2008-000069-CHL"/>
        <s v="TC-2008-000093-PHL"/>
        <s v="FL-2008-000095-SUR"/>
        <s v="FL-2008-000122-UKR/MDA"/>
        <s v="FL-2008-000104-NPL"/>
        <s v="TC-2008-000147-HTI"/>
        <s v="TC-2008-000143"/>
        <s v="FL-2008-000198"/>
        <s v="EQ-2008-000206-PAK"/>
        <s v="FF-2008-000211-VNM"/>
        <s v="FL-2008-000232-CRI"/>
        <s v="FL-2008-000158-PAN"/>
        <s v="OT-2008-000196-DJI/ERI/ETH/KEN/SOM"/>
        <s v="EP-2008-000218-ZWE"/>
        <s v="EQ-2009-000009-CRI"/>
        <s v="WF-2009-000035-AUS"/>
        <s v="FL-2009-000052-COL"/>
        <s v="EQ-2009-000072-ITA"/>
        <s v="Fl-2009-000062-NAM"/>
        <s v="TC-2009-000105-BGD"/>
        <s v="FL-2009-000095-TJK"/>
        <s v="DR-2009-00149-SYR"/>
        <s v="FL-2009-000172-BFA "/>
        <s v="FL-2009-000164-SEN"/>
        <s v="TC-2009-000167-MEX"/>
        <s v="EQ-2009-000173-IDN"/>
        <s v="TC-2009-000205-PHL"/>
        <s v="FL-2009-000207-VNM"/>
        <s v="TS-2009-000211-IDN"/>
        <s v="2009-000209 - ASM; 2009-000210-WSM"/>
        <s v="FL-2009-000217-IND"/>
        <s v="DR-2009-000197-KEN"/>
        <s v="FL-2009-000206-HTI"/>
        <s v="FL-2009-000238-SLV"/>
        <s v="EQ-2010-000009-HTI"/>
        <s v="FL-2009-000264-TZA"/>
        <s v="EQ-2010-000034-CHL "/>
        <s v="EQ-2010-000073-CHN"/>
        <s v="CW-2010-000010-MNG"/>
        <s v="TC-2010-000105-GTM"/>
        <s v="OT-2010-000113-KGZ"/>
        <s v="FL-2010-00141-PAK"/>
        <s v="FL-2010-00194-VNM"/>
        <s v="EP-2010-000210-HTI"/>
        <s v="TC-2010-000205-PHL"/>
        <s v="EQ-2010-000213-IDN &amp; VO-2010-000214-IDN"/>
        <s v="TC-2010-000216-BRB/LCA/VCT"/>
        <s v="EQ-2010-000251-CRI"/>
        <s v="FL-2010-000076-COL"/>
        <s v="FL-2010-000225-PAN"/>
        <s v="OT-2011-000025-TUN/LBY/EGY"/>
        <s v="EQ-2011-000024-NZL"/>
        <s v="EQ-2011-000028-JPN"/>
        <s v="FL-2011-000020-BOL"/>
        <s v="OT-2010-000255-CIV"/>
        <s v="FL-2011-000007-NAM"/>
        <s v="DR-2011-000029-KEN"/>
        <s v="FL-2011-000096-PRK"/>
        <s v="FL-2011-000093-BGD"/>
        <s v="FL-2011-000130-PAK"/>
        <s v="TC-2011-000147-PhL"/>
        <s v="TC-2011-000157-GTM"/>
        <s v="EQ-2011-000162-TUR"/>
        <s v="FL-2011-000137-VNM"/>
        <s v="FL-2011-000135-THA"/>
      </sharedItems>
    </cacheField>
    <cacheField name="ARC Disaster #" numFmtId="0">
      <sharedItems containsMixedTypes="1" containsNumber="1" containsInteger="1" minValue="1" maxValue="276"/>
    </cacheField>
    <cacheField name="Disaster Name" numFmtId="0">
      <sharedItems count="255">
        <s v="Mexico Earthquake"/>
        <s v="Armenia Earthquake"/>
        <s v="Rwanda Crisis"/>
        <s v="Hurricane Mitch"/>
        <s v="Balkans Crisis"/>
        <s v="Ethiopia Drought"/>
        <s v="Mexico Floods"/>
        <s v="Costa Rica Floods"/>
        <s v="China Floods"/>
        <s v="Turkey Earthquake"/>
        <s v="Nicaragua Volcano"/>
        <s v="Cambodia Floods"/>
        <s v="Greece Earthquake"/>
        <s v="Bahamas Storm"/>
        <s v="Taiwan Earthquake"/>
        <s v="Japan Industrial"/>
        <s v="Mexico Floods "/>
        <s v="Russian Fed. Conflict"/>
        <s v="Timor-Leste Conflict"/>
        <s v="Bangladesh Floods"/>
        <s v="India Storm"/>
        <s v="Vietnam Floods"/>
        <s v="Dominica Storm"/>
        <s v="St. Kitts &amp; Nevis Storm"/>
        <s v="Antigua Storm"/>
        <s v="Grenada Storm"/>
        <s v="St. Maartens Storm"/>
        <s v="Venezuela Floods"/>
        <s v="South Africa Floods"/>
        <s v="Botswana Floods"/>
        <s v="Zimbabwe Floods"/>
        <s v="Madagascar Floods"/>
        <s v="Indonesia Earthquake"/>
        <s v="India Floods"/>
        <s v="Belize Storm"/>
        <s v="Israel Conflict"/>
        <s v="Jordan Conflict"/>
        <s v="Palestine Conflict"/>
        <s v="Taiwan Transport"/>
        <s v="Austria Miscellaneous"/>
        <s v="Azerbaijan Earthquake"/>
        <s v="Sri Lanka Storm"/>
        <s v="South Africa Epidemic"/>
        <s v="El Salvador Earthquake"/>
        <s v="China Storm"/>
        <s v="India Earthquake"/>
        <s v="Mozambique Floods"/>
        <s v="Malawi Floods"/>
        <s v="Bolivia Floods"/>
        <s v="Peru Floods"/>
        <s v="Canada Transport"/>
        <s v="Russian Fed. Floods"/>
        <s v="Macedonia Conflict"/>
        <s v="Bosnia Floods"/>
        <s v="Peru Earthquake"/>
        <s v="El Salvador Drought"/>
        <s v="Honduras Drought"/>
        <s v="Nicaragua Drought"/>
        <s v="Guatemala Drought"/>
        <s v="Ecuador Volcano"/>
        <s v="Afghanistan Conflict"/>
        <s v="Pakistan Conflict"/>
        <s v="Uzbekistan Conflict"/>
        <s v="Iran Conflict"/>
        <s v="Turkmenistan Conflict"/>
        <s v="US Terrorism"/>
        <s v="Mexico Transport"/>
        <s v="Mexico Storm"/>
        <s v="Belize Meteorological"/>
        <s v="Belize Transport"/>
        <s v="Honduras Storm"/>
        <s v="Nicaragua Storm"/>
        <s v="Cuba Storm"/>
        <s v="Jamaica Storm"/>
        <s v="US Transport"/>
        <s v="Cambodia Miscellaneous"/>
        <s v="Albania Storm"/>
        <s v="DR Congo Volcano"/>
        <s v="Nigeria Industrial"/>
        <s v="Afghanistan Earthquake"/>
        <s v="Panama Floods"/>
        <s v="Kenya Floods"/>
        <s v="Malawi Food Insecurity"/>
        <s v="Nicaragua  Floods"/>
        <s v="Syria Miscellaneous"/>
        <s v="FS Micronesia Storm"/>
        <s v="Peru Storm"/>
        <s v="Bolivia Storm"/>
        <s v="Romania Floods"/>
        <s v="Germany Floods"/>
        <s v="Czech Republic Floods"/>
        <s v="Slovakia Floods"/>
        <s v="Hungary Floods"/>
        <s v="Austria Floods"/>
        <s v="Paraguay Drought"/>
        <s v="South Korea Storm"/>
        <s v="Italy Earthquake"/>
        <s v="Indonesia Terrorism"/>
        <s v="Australia Terrorism"/>
        <s v="Vietnam Miscellaneous"/>
        <s v="Lesotho Food Insecurity"/>
        <s v="Kenya Epidemic"/>
        <s v="Solomon Islands Storm"/>
        <s v="South Korea Transport"/>
        <s v="China Earthquake"/>
        <s v="Iraq Conflict"/>
        <s v="Syria Conflict"/>
        <s v="Turkey Conflict"/>
        <s v="Argentina Floods"/>
        <s v="China Epidemic"/>
        <s v="Hong Kong Epidemic"/>
        <s v="Sri Lanka Floods"/>
        <s v="Canada Wildfire"/>
        <s v="Dominican Republic Earthquake"/>
        <s v="Algeria Earthquake"/>
        <s v="Liberia Conflict"/>
        <s v="Dominican Republic Floods"/>
        <s v="Iran Earthquake"/>
        <s v="Panama Earthquake"/>
        <s v="North Korea Transport"/>
        <s v="Haiti Floods"/>
        <s v="Malawi Epidemic"/>
        <s v="Jamaica Conflict"/>
        <s v="Paraguay Miscellaneous"/>
        <s v="Chad Conflict"/>
        <s v="Sudan Conflict"/>
        <s v="Taiwan Storm"/>
        <s v="Cayman Islands Storm"/>
        <s v="Sri Lanka Tsunami"/>
        <s v="Indonesia Tsunami"/>
        <s v="Maldives Tsunami"/>
        <s v="Guyana Floods"/>
        <s v="Canada Floods"/>
        <s v="Hurricane Dennis - Jamaica "/>
        <s v="Hurricane Dennis - Grenada"/>
        <s v="Hurricane Dennis - Haiti"/>
        <s v="Sahel Food Crisis"/>
        <s v="Hurricane Katrina"/>
        <s v="Pakistan Earthquake"/>
        <s v="Hurricane Stan - Guatemala"/>
        <s v="Hurricane Stan - Mexico"/>
        <s v="El Salvador Hurricane Stan &amp; Volcano Eruption"/>
        <s v="Hurricane Wilma - Bahamas"/>
        <s v="Hurricane Wilma - Mexico"/>
        <s v="Vietnam Typhoon Damrey"/>
        <s v="Colombia Volcano"/>
        <s v="Southern Africa Food Security Crisis - Lesotho"/>
        <s v="Southern Africa Food Security Crisis - Malawi"/>
        <s v="Southern Africa Food Security Crisis - Zimbabwe"/>
        <s v="Southern Africa Food Security Crisis - Zambia"/>
        <s v="Eastern Africa Drought"/>
        <s v="Iraq Humanitarian Emergency"/>
        <s v="Timor-Leste Floods"/>
        <s v="Philippines Mudslides"/>
        <s v="Angola Cholera Epidemic"/>
        <s v="Somalia Drought"/>
        <s v="Spain Terrorism"/>
        <s v="Colombia Floods"/>
        <s v="Indonesia Yogyakarta Earthquake"/>
        <s v="Middle East Humanitarian Crisis"/>
        <s v="Ecuador Volanic Eruption"/>
        <s v="Ethiopia Floods"/>
        <s v="Sudan Floods"/>
        <s v="Philippines Typhoons"/>
        <s v="Vietnam Typhoons"/>
        <s v="Somalia Conflict"/>
        <s v="Somalia Floods"/>
        <s v="Sri Lanka Conflict"/>
        <s v="Madagascar Cyclones"/>
        <s v="Solomon Islands Tsunami/ Earthquake"/>
        <s v="Colombia Tolima Floods"/>
        <s v="Mexico Coahuila Tornado"/>
        <s v="Pakistan Cyclone Yemyin"/>
        <s v="United Kingdom Floods"/>
        <s v="Nepal Floods"/>
        <s v="Hurricane Dean"/>
        <s v="Greece Wildfire"/>
        <s v="Hurricane Felix"/>
        <s v="Indonesia Bengkulu Earthquake"/>
        <s v="Uganda Floods"/>
        <s v="Togo Floods"/>
        <s v="Tropical Storm Noel"/>
        <s v="Vietnam Typhoon Lekima"/>
        <s v="Bangladesh Cyclone Sidr"/>
        <s v="Papua New Guinea Storm"/>
        <s v="Kenya Election Civil Unrest"/>
        <s v="China Snow Disaster"/>
        <s v="Guyana Civil Unrest"/>
        <s v="Ecuador Floods"/>
        <s v="Madagascar Cyclone Ivan"/>
        <s v="Southern Africa Floods - Cyclone Jokwe"/>
        <s v="Myanmar Cyclone Nargis"/>
        <s v="China Sichuan Earthquake"/>
        <s v="Ethiopia Food Insecurity"/>
        <s v="South Africa Civil Unrest"/>
        <s v="Chile Floods"/>
        <s v="Philippines – Typhoon Fengshen"/>
        <s v="Yemen Conflict"/>
        <s v="Suriname Floods"/>
        <s v="Moldova and Ukraine Floods"/>
        <s v="Georgia Conflict"/>
        <s v="Haiti Hurricane Season 2008"/>
        <s v="Carribean Hurricane Season 2008 - Bahamas"/>
        <s v="Carribean Hurricane Season 2008 -  Jamaica"/>
        <s v="Cuba Hurricane Season 2008"/>
        <s v="Central America Floods"/>
        <s v="Pakistan Baluchistan Earthquake"/>
        <s v="Panama &amp; Costa Rica Floods"/>
        <s v="Horn of Africa Food Insecurity Crisis"/>
        <s v="Uganda, Rwanda, Burundi Population Movement"/>
        <s v="Zimbabwe Cholera Epidemic"/>
        <s v="Gaza Conflict - Israel"/>
        <s v="Gaza Conflict - Palestine"/>
        <s v="Costa Rica Earthquake"/>
        <s v="Australia Wildfires"/>
        <s v="Namibia Floods"/>
        <s v="Africa Polio Outbreak"/>
        <s v="Pakistan Internally Displaced Persons Crisis"/>
        <s v="Bangladesh Cyclone Aila"/>
        <s v="Tajikistan Mudslides and Floods"/>
        <s v="Syria Drought"/>
        <s v="West &amp; Central Africa Floods - Burkina Faso"/>
        <s v="West &amp; Central Africa Floods - Senegal"/>
        <s v="Mexico Hurricane Jimena"/>
        <s v="Java Indonesia Earthquake"/>
        <s v="Southeast Asia Typhoons - Philippines"/>
        <s v="Southeast Asia Typhoons - Vietnam"/>
        <s v="West Sumatra Indonesia Earthquake"/>
        <s v="Samoa Islands Tsunami"/>
        <s v="Kenya Drought"/>
        <s v="El Salvador Floods"/>
        <s v="Haiti Earthquake"/>
        <s v="Tanzania Floods"/>
        <s v="Chile Earthquake"/>
        <s v="Mongolia Severe Winter"/>
        <s v="Nepal Diarrhea Outbreak"/>
        <s v="Tropical Storm Agatha"/>
        <s v="Kyrgyzstan-Uzbekistan Population Movement"/>
        <s v="Pakistan Monsoon Floods"/>
        <s v="Haiti &amp; Dominican Republic Cholera Outbreak"/>
        <s v="Philippines Typhoon Megi"/>
        <s v="Indonesia Tsunami &amp; Volcanic Eruption"/>
        <s v="Caribbean Hurricane Tomas"/>
        <s v="Belize Hurricane Richard"/>
        <s v="Colombian Floods"/>
        <s v="North Africa &amp; Middle East Civil Unrest"/>
        <s v="New Zealand Earthquake"/>
        <s v="Paraguay Dengue Epidemic"/>
        <s v="Japan Earthquake &amp; Tsunami"/>
        <s v="West African Population Movement"/>
        <s v="Horn of Africa Drought"/>
        <s v="DPR Korea (North Korea) Floods"/>
        <s v="Pakistan Floods"/>
        <s v="Turkey  Earthquake"/>
        <s v="Thailand Floods"/>
      </sharedItems>
    </cacheField>
    <cacheField name="Date of Response" numFmtId="0">
      <sharedItems containsSemiMixedTypes="0" containsNonDate="0" containsDate="1" containsString="0" minDate="1985-09-01T00:00:00" maxDate="2011-12-03T00:00:00"/>
    </cacheField>
    <cacheField name="Fiscal Year" numFmtId="0">
      <sharedItems containsSemiMixedTypes="0" containsString="0" containsNumber="1" containsInteger="1" minValue="1986" maxValue="2012" count="17">
        <n v="1986"/>
        <n v="1989"/>
        <n v="1994"/>
        <n v="1999"/>
        <n v="2000"/>
        <n v="2001"/>
        <n v="2002"/>
        <n v="2003"/>
        <n v="2004"/>
        <n v="2005"/>
        <n v="2006"/>
        <n v="2007"/>
        <n v="2008"/>
        <n v="2009"/>
        <n v="2010"/>
        <n v="2011"/>
        <n v="2012"/>
      </sharedItems>
    </cacheField>
    <cacheField name="FY #" numFmtId="0">
      <sharedItems containsString="0" containsBlank="1" containsNumber="1" containsInteger="1" minValue="1" maxValue="33"/>
    </cacheField>
    <cacheField name="Quarter" numFmtId="0">
      <sharedItems containsBlank="1"/>
    </cacheField>
    <cacheField name="Calendar Year" numFmtId="0">
      <sharedItems containsSemiMixedTypes="0" containsString="0" containsNumber="1" containsInteger="1" minValue="1985" maxValue="2011" count="17">
        <n v="1985"/>
        <n v="1988"/>
        <n v="1994"/>
        <n v="1998"/>
        <n v="1999"/>
        <n v="2000"/>
        <n v="2001"/>
        <n v="2002"/>
        <n v="2003"/>
        <n v="2004"/>
        <n v="2005"/>
        <n v="2006"/>
        <n v="2007"/>
        <n v="2008"/>
        <n v="2009"/>
        <n v="2010"/>
        <n v="2011"/>
      </sharedItems>
    </cacheField>
    <cacheField name="CY #" numFmtId="0">
      <sharedItems containsString="0" containsBlank="1" containsNumber="1" containsInteger="1" minValue="1" maxValue="33"/>
    </cacheField>
    <cacheField name="Region" numFmtId="0">
      <sharedItems containsBlank="1" count="5">
        <m/>
        <s v="Africa"/>
        <s v="LAC"/>
        <s v="Europe/Asia"/>
        <s v="North America"/>
      </sharedItems>
    </cacheField>
    <cacheField name="Country" numFmtId="0">
      <sharedItems containsBlank="1"/>
    </cacheField>
    <cacheField name="Major Disaster Category" numFmtId="0">
      <sharedItems containsBlank="1"/>
    </cacheField>
    <cacheField name="Disaster Type" numFmtId="0">
      <sharedItems containsBlank="1" count="25">
        <m/>
        <s v="Drought"/>
        <s v="Floods"/>
        <s v="Earthquake"/>
        <s v="Volcano"/>
        <s v="Storm"/>
        <s v="Industrial"/>
        <s v="Floods "/>
        <s v="Conflict"/>
        <s v="Transport"/>
        <s v="Miscellaneous"/>
        <s v="Epidemic"/>
        <s v="Terrorism"/>
        <s v="Meteorological"/>
        <s v="Food Insecurity"/>
        <s v="Wildfire"/>
        <s v="Tsunami"/>
        <s v="Tropical Storm"/>
        <s v="Mass Movement Wet"/>
        <s v="Civil Unrest"/>
        <s v="Cyclone"/>
        <s v="Winter storm"/>
        <s v="Tsunami &amp; Volcanic Eruption"/>
        <s v="Earthquake/ Tsunami"/>
        <s v="Population Movement"/>
      </sharedItems>
    </cacheField>
    <cacheField name="Nature of Disaster (Disaster Sub-Type)" numFmtId="0">
      <sharedItems containsBlank="1"/>
    </cacheField>
    <cacheField name="Disaster Sub-Sub Type" numFmtId="0">
      <sharedItems containsBlank="1"/>
    </cacheField>
    <cacheField name="Total Affected" numFmtId="0">
      <sharedItems containsBlank="1" containsMixedTypes="1" containsNumber="1" containsInteger="1" minValue="2500" maxValue="25000000"/>
    </cacheField>
    <cacheField name="Appeal?_x000a_Y/N" numFmtId="0">
      <sharedItems containsBlank="1" count="3">
        <m/>
        <s v="Y"/>
        <s v="N"/>
      </sharedItems>
    </cacheField>
    <cacheField name="Whose Appeal?" numFmtId="0">
      <sharedItems containsBlank="1"/>
    </cacheField>
    <cacheField name="Appeal Amount" numFmtId="0">
      <sharedItems containsBlank="1" containsMixedTypes="1" containsNumber="1" containsInteger="1" minValue="364732" maxValue="254000000" count="115">
        <m/>
        <n v="587000"/>
        <n v="14211607"/>
        <n v="117000000"/>
        <n v="1098045"/>
        <n v="1634707"/>
        <n v="1918000"/>
        <n v="628813"/>
        <s v="`"/>
        <n v="10500000"/>
        <n v="485000"/>
        <n v="2000000"/>
        <n v="1129750"/>
        <n v="31000000"/>
        <n v="1900000"/>
        <n v="83131000"/>
        <n v="4825791"/>
        <n v="514753"/>
        <n v="4225070"/>
        <n v="492625"/>
        <n v="8637057"/>
        <n v="1340000"/>
        <n v="21832647"/>
        <n v="33508000"/>
        <n v="5971938"/>
        <n v="484360"/>
        <n v="32018000"/>
        <n v="1649430"/>
        <n v="1405645"/>
        <n v="38292000"/>
        <n v="86239000"/>
        <n v="17000000"/>
        <n v="4850000"/>
        <n v="15000000"/>
        <n v="6800000"/>
        <n v="2340000"/>
        <n v="9600000"/>
        <n v="2927000"/>
        <n v="1300000"/>
        <n v="9511366"/>
        <n v="3200000"/>
        <n v="1544000"/>
        <n v="1800000"/>
        <n v="2700000"/>
        <n v="22000000"/>
        <n v="672000"/>
        <n v="14200000"/>
        <s v="n/a"/>
        <n v="94000000"/>
        <n v="700000"/>
        <n v="18900000"/>
        <n v="1000000"/>
        <n v="8400000"/>
        <n v="72537164"/>
        <n v="92700000"/>
        <n v="7920006"/>
        <n v="8000000"/>
        <n v="13707000"/>
        <n v="861000"/>
        <n v="1193000"/>
        <n v="7395000"/>
        <n v="2647699"/>
        <n v="7600000"/>
        <n v="1638300"/>
        <s v="-"/>
        <n v="8811345"/>
        <n v="1388924"/>
        <n v="9880000"/>
        <n v="4000000"/>
        <n v="571953"/>
        <n v="66586679"/>
        <n v="1437632"/>
        <n v="9200000"/>
        <n v="957924"/>
        <n v="1878181"/>
        <n v="2200000"/>
        <n v="7300000"/>
        <n v="806936"/>
        <n v="3076415"/>
        <n v="2600000"/>
        <n v="6650000"/>
        <n v="5470000"/>
        <n v="18600000"/>
        <n v="2450000"/>
        <n v="3100000"/>
        <n v="8427856"/>
        <n v="1681039"/>
        <n v="200000000"/>
        <n v="1625152"/>
        <n v="6400000"/>
        <n v="991697"/>
        <n v="664175"/>
        <n v="1112170"/>
        <s v="8800000 +1166159"/>
        <n v="911836"/>
        <n v="148500000"/>
        <n v="1080000"/>
        <n v="6000000"/>
        <n v="4310000"/>
        <n v="2865860"/>
        <n v="622109"/>
        <n v="1109939"/>
        <n v="364732"/>
        <n v="45216000"/>
        <n v="571602"/>
        <n v="4340568"/>
        <n v="2032221"/>
        <n v="254000000"/>
        <n v="4400000"/>
        <n v="1500000"/>
        <n v="11900000"/>
        <n v="3800000"/>
        <s v="Guatemala -$898,600; _x000a_El Salvador-$1,300,000"/>
        <n v="11800000"/>
        <n v="1229430"/>
      </sharedItems>
    </cacheField>
    <cacheField name="Appeal #" numFmtId="0">
      <sharedItems containsBlank="1"/>
    </cacheField>
    <cacheField name="% of Appeal Covered by ARC" numFmtId="0">
      <sharedItems containsString="0" containsBlank="1" containsNumber="1" minValue="0" maxValue="0.44" count="75">
        <m/>
        <n v="3.3504396378573595E-2"/>
        <n v="1.4285714285714285E-2"/>
        <n v="0.10309278350515463"/>
        <n v="2.5000000000000001E-2"/>
        <n v="8.3612303606992691E-2"/>
        <n v="2.631578947368421E-3"/>
        <n v="1.036099574142353E-2"/>
        <n v="0"/>
        <n v="2.0118009879126264E-2"/>
        <n v="2.0299416391778735E-2"/>
        <n v="9.1119000372464828E-2"/>
        <n v="4.7014925373134328E-2"/>
        <n v="2.290148326952751E-3"/>
        <n v="2.5670103092783506E-2"/>
        <n v="1.6666666666666666E-2"/>
        <n v="2.1367521367521368E-2"/>
        <n v="3.125E-2"/>
        <n v="3.8461538461538464E-2"/>
        <n v="6.2406249999999996E-3"/>
        <n v="2.266839378238342E-2"/>
        <n v="9.2820555555555559E-2"/>
        <n v="4.2592592592592592E-2"/>
        <n v="4.926618181818182E-2"/>
        <n v="3.5342261904761904E-2"/>
        <n v="1.7605633802816902E-2"/>
        <n v="7.5957446808510637E-3"/>
        <n v="1.4232804232804232E-2"/>
        <n v="3.5714285714285712E-2"/>
        <n v="3.446509157705697E-3"/>
        <n v="0.10787486515641856"/>
        <n v="1.2626253060919398E-2"/>
        <n v="2.3125E-2"/>
        <n v="3.6477712117895965E-3"/>
        <n v="3.7091366303436714E-2"/>
        <n v="1.8884321820569483E-2"/>
        <n v="3.7326578947368419E-2"/>
        <n v="7.3883904046877863E-2"/>
        <n v="0.12823728953979216"/>
        <n v="0.17760727008821217"/>
        <n v="1.2500000000000001E-2"/>
        <n v="0.17483954101123694"/>
        <n v="3.4779415038062589E-2"/>
        <n v="1.0869565217391304E-2"/>
        <n v="2.6621502400460871E-2"/>
        <n v="9.0909090909090912E-2"/>
        <n v="3.4246575342465752E-2"/>
        <n v="1.4251440015069349E-2"/>
        <n v="1.6252683724399992E-2"/>
        <n v="8.2706766917293228E-2"/>
        <n v="8.226691042047532E-2"/>
        <n v="4.8387096774193547E-2"/>
        <n v="4.0816326530612242E-2"/>
        <n v="1.1865413932084269E-2"/>
        <n v="0.14491335418155082"/>
        <n v="0.44"/>
        <n v="8.5000000000000006E-2"/>
        <n v="0.32"/>
        <n v="8.9914311660987081E-2"/>
        <n v="0.10966884395878206"/>
        <n v="2.7609427609427608E-2"/>
        <n v="2.7777777777777776E-2"/>
        <n v="0.36102216666666664"/>
        <n v="6.9605568445475635E-3"/>
        <n v="1.7446769905019786E-2"/>
        <n v="0.23307812618046034"/>
        <n v="7.207603300721932E-2"/>
        <n v="0.31840336457885032"/>
        <n v="3.4557689224083116E-2"/>
        <n v="2.4603623326400034E-2"/>
        <n v="0.01"/>
        <n v="0.03"/>
        <n v="4.0000000000000001E-3"/>
        <n v="6.8559322033898307E-2"/>
        <n v="0.04"/>
      </sharedItems>
    </cacheField>
    <cacheField name="Overall Appeal Coverage" numFmtId="0">
      <sharedItems containsBlank="1" containsMixedTypes="1" containsNumber="1" minValue="0.06" maxValue="1.04"/>
    </cacheField>
    <cacheField name="IFRC DREF?" numFmtId="0">
      <sharedItems containsBlank="1"/>
    </cacheField>
    <cacheField name="DREF Amount" numFmtId="0">
      <sharedItems containsString="0" containsBlank="1" containsNumber="1" containsInteger="1" minValue="49273" maxValue="613944"/>
    </cacheField>
    <cacheField name="Multilateral Beneficiaries" numFmtId="0">
      <sharedItems containsBlank="1" containsMixedTypes="1" containsNumber="1" containsInteger="1" minValue="0" maxValue="25000000"/>
    </cacheField>
    <cacheField name="Bilateral Request?" numFmtId="0">
      <sharedItems containsBlank="1"/>
    </cacheField>
    <cacheField name="Direct Beneficiaries" numFmtId="0">
      <sharedItems containsBlank="1" containsMixedTypes="1" containsNumber="1" containsInteger="1" minValue="0" maxValue="50000"/>
    </cacheField>
    <cacheField name="Contribution to IFRC/ICRC &gt;/= $50K?" numFmtId="0">
      <sharedItems containsString="0" containsBlank="1" containsNumber="1" containsInteger="1" minValue="0" maxValue="4"/>
    </cacheField>
    <cacheField name="Cash to IFRC" numFmtId="0">
      <sharedItems containsString="0" containsBlank="1" containsNumber="1" minValue="0" maxValue="30000000"/>
    </cacheField>
    <cacheField name="Cash to ICRC" numFmtId="0">
      <sharedItems containsBlank="1" containsMixedTypes="1" containsNumber="1" minValue="50000" maxValue="4377346.43"/>
    </cacheField>
    <cacheField name="Cash to NS" numFmtId="0">
      <sharedItems containsString="0" containsBlank="1" containsNumber="1" minValue="1000" maxValue="256000000"/>
    </cacheField>
    <cacheField name="Cash to Other Orgs" numFmtId="0">
      <sharedItems containsString="0" containsBlank="1" containsNumber="1" containsInteger="1" minValue="1500000" maxValue="1500000"/>
    </cacheField>
    <cacheField name="Total Cash" numFmtId="0">
      <sharedItems containsBlank="1" containsMixedTypes="1" containsNumber="1" minValue="0" maxValue="259800000"/>
    </cacheField>
    <cacheField name="ARC People Deployed" numFmtId="0">
      <sharedItems containsString="0" containsBlank="1" containsNumber="1" containsInteger="1" minValue="0" maxValue="82"/>
    </cacheField>
    <cacheField name="ERUs" numFmtId="0">
      <sharedItems containsBlank="1"/>
    </cacheField>
    <cacheField name="Individual Deployments" numFmtId="0">
      <sharedItems containsString="0" containsBlank="1" containsNumber="1" containsInteger="1" minValue="1" maxValue="85"/>
    </cacheField>
    <cacheField name="Total ARC Items Supplied" numFmtId="3">
      <sharedItems containsBlank="1" containsMixedTypes="1" containsNumber="1" minValue="11" maxValue="5143307"/>
    </cacheField>
    <cacheField name="Pre-positioned?" numFmtId="3">
      <sharedItems containsBlank="1"/>
    </cacheField>
    <cacheField name="Hygiene Kits" numFmtId="3">
      <sharedItems containsString="0" containsBlank="1" containsNumber="1" containsInteger="1" minValue="214" maxValue="45000"/>
    </cacheField>
    <cacheField name="Blankets" numFmtId="3">
      <sharedItems containsString="0" containsBlank="1" containsNumber="1" containsInteger="1" minValue="1000" maxValue="222900"/>
    </cacheField>
    <cacheField name="Jerry Cans" numFmtId="0">
      <sharedItems containsString="0" containsBlank="1" containsNumber="1" containsInteger="1" minValue="321" maxValue="30000"/>
    </cacheField>
    <cacheField name="Buckets" numFmtId="3">
      <sharedItems containsString="0" containsBlank="1" containsNumber="1" containsInteger="1" minValue="3650" maxValue="28000"/>
    </cacheField>
    <cacheField name="Tents" numFmtId="3">
      <sharedItems containsString="0" containsBlank="1" containsNumber="1" containsInteger="1" minValue="5" maxValue="5200"/>
    </cacheField>
    <cacheField name="Kitchen Sets" numFmtId="3">
      <sharedItems containsString="0" containsBlank="1" containsNumber="1" containsInteger="1" minValue="500" maxValue="18000"/>
    </cacheField>
    <cacheField name="Sleeping Mats / Bedsheets" numFmtId="3">
      <sharedItems containsString="0" containsBlank="1" containsNumber="1" containsInteger="1" minValue="500" maxValue="30518"/>
    </cacheField>
    <cacheField name="Mosquito Nets" numFmtId="3">
      <sharedItems containsString="0" containsBlank="1" containsNumber="1" containsInteger="1" minValue="1000" maxValue="20000"/>
    </cacheField>
    <cacheField name="Food Parcels" numFmtId="3">
      <sharedItems containsString="0" containsBlank="1" containsNumber="1" containsInteger="1" minValue="2600" maxValue="40000"/>
    </cacheField>
    <cacheField name="Tarps" numFmtId="3">
      <sharedItems containsString="0" containsBlank="1" containsNumber="1" containsInteger="1" minValue="20" maxValue="11000"/>
    </cacheField>
    <cacheField name="Vehicles" numFmtId="3">
      <sharedItems containsString="0" containsBlank="1" containsNumber="1" containsInteger="1" minValue="1" maxValue="7"/>
    </cacheField>
    <cacheField name="Other Items" numFmtId="3">
      <sharedItems containsString="0" containsBlank="1" containsNumber="1" containsInteger="1" minValue="3000" maxValue="6250"/>
    </cacheField>
    <cacheField name="Rice Bags" numFmtId="3">
      <sharedItems containsNonDate="0" containsString="0" containsBlank="1"/>
    </cacheField>
    <cacheField name="Value of Supplies" numFmtId="0">
      <sharedItems containsBlank="1" containsMixedTypes="1" containsNumber="1" minValue="0" maxValue="15266353"/>
    </cacheField>
    <cacheField name="Operational (People) Cost for Response Phase" numFmtId="0">
      <sharedItems containsBlank="1" containsMixedTypes="1" containsNumber="1" minValue="0" maxValue="100000000"/>
    </cacheField>
    <cacheField name="Total $ Response Phase" numFmtId="0">
      <sharedItems containsBlank="1" containsMixedTypes="1" containsNumber="1" minValue="0" maxValue="259800000"/>
    </cacheField>
    <cacheField name="Early Recovery $" numFmtId="0">
      <sharedItems containsString="0" containsBlank="1" containsNumber="1" minValue="764192.86" maxValue="337000000"/>
    </cacheField>
    <cacheField name="Future Contrib Anticipated $" numFmtId="0">
      <sharedItems containsString="0" containsBlank="1" containsNumber="1" containsInteger="1" minValue="500000" maxValue="500000"/>
    </cacheField>
    <cacheField name="Beneficiaries Served (Final Rpt)" numFmtId="0">
      <sharedItems containsString="0" containsBlank="1" containsNumber="1" minValue="0" maxValue="455000"/>
    </cacheField>
    <cacheField name="Total Contributions" numFmtId="0">
      <sharedItems containsBlank="1" containsMixedTypes="1" containsNumber="1" minValue="0" maxValue="477328823.80666667" count="193">
        <n v="19700000"/>
        <n v="14000000"/>
        <n v="18000000"/>
        <n v="50000000"/>
        <n v="39000000"/>
        <n v="100000"/>
        <n v="10000"/>
        <n v="0"/>
        <n v="25000"/>
        <n v="80000"/>
        <n v="132193"/>
        <n v="1200000"/>
        <n v="200"/>
        <n v="150000"/>
        <n v="205000"/>
        <n v="610134"/>
        <n v="50000"/>
        <n v="5153184.1400000006"/>
        <n v="15000"/>
        <n v="9000"/>
        <n v="1056000"/>
        <n v="23333.333333333332"/>
        <n v="23333.343333333331"/>
        <n v="389265"/>
        <n v="352704"/>
        <n v="20000"/>
        <n v="118500"/>
        <n v="40000"/>
        <n v="172000"/>
        <n v="90000"/>
        <n v="7500"/>
        <n v="2577.8000000000002"/>
        <n v="30500"/>
        <n v="227500"/>
        <n v="690000"/>
        <n v="250000"/>
        <n v="174000"/>
        <n v="1000"/>
        <n v="20700"/>
        <n v="18000"/>
        <n v="699130"/>
        <n v="12000000"/>
        <n v="3515479.37"/>
        <n v="97982"/>
        <n v="4400"/>
        <n v="60000"/>
        <n v="5000"/>
        <n v="500"/>
        <n v="71832"/>
        <n v="45000"/>
        <n v="21612.23"/>
        <n v="350424.24"/>
        <n v="11700"/>
        <n v="104805"/>
        <n v="225000"/>
        <n v="2000"/>
        <n v="75000"/>
        <n v="232252.87"/>
        <n v="115139.84"/>
        <n v="35000"/>
        <n v="130000"/>
        <n v="46670"/>
        <n v="237898.78"/>
        <n v="1345"/>
        <n v="7242.1372799999999"/>
        <n v="350000"/>
        <n v="421694"/>
        <n v="32812"/>
        <n v="17812"/>
        <n v="331380"/>
        <n v="32500"/>
        <n v="370642"/>
        <n v="21400"/>
        <n v="16700"/>
        <n v="65870"/>
        <n v="35027"/>
        <n v="10500"/>
        <n v="1175801.98"/>
        <n v="19975"/>
        <n v="6178"/>
        <n v="110000"/>
        <n v="220134.81245"/>
        <n v="44557.856"/>
        <n v="61220"/>
        <n v="110266.26"/>
        <n v="97442.48"/>
        <n v="3000"/>
        <n v="18675"/>
        <n v="247400"/>
        <n v="35975"/>
        <n v="59896.536212325685"/>
        <n v="302452.19"/>
        <n v="131046.88"/>
        <n v="112853.79000000001"/>
        <n v="401375"/>
        <n v="2655"/>
        <n v="103848909.52666667"/>
        <n v="477328823.80666667"/>
        <n v="1822266.6666666667"/>
        <n v="13100"/>
        <n v="32475"/>
        <n v="108693"/>
        <n v="36200"/>
        <n v="12558310"/>
        <n v="47581"/>
        <n v="342378"/>
        <n v="7034"/>
        <n v="20597"/>
        <n v="497744"/>
        <n v="21068"/>
        <n v="17402"/>
        <n v="400000"/>
        <n v="188443"/>
        <n v="55000"/>
        <n v="94461"/>
        <n v="1485750"/>
        <n v="1889600"/>
        <n v="85000"/>
        <n v="46900"/>
        <n v="793500"/>
        <n v="63000"/>
        <n v="200000"/>
        <n v="245000"/>
        <n v="2000000"/>
        <n v="102000"/>
        <n v="295000"/>
        <n v="124500"/>
        <n v="153400"/>
        <n v="20188"/>
        <n v="3400000"/>
        <n v="34565"/>
        <n v="298680"/>
        <n v="2500"/>
        <n v="22500"/>
        <n v="47500"/>
        <n v="17400"/>
        <n v="19970"/>
        <n v="104055"/>
        <n v="58073"/>
        <n v="37440"/>
        <n v="1900000"/>
        <n v="115000"/>
        <n v="1356654"/>
        <n v="23750"/>
        <n v="300000"/>
        <n v="867000"/>
        <n v="12400"/>
        <n v="714000"/>
        <n v="269000"/>
        <n v="48500"/>
        <n v="55000000"/>
        <n v="185000"/>
        <m/>
        <n v="44250"/>
        <n v="1532876"/>
        <n v="121044"/>
        <s v="-"/>
        <n v="1129943"/>
        <n v="246683"/>
        <n v="921250"/>
        <n v="74200"/>
        <n v="1520000"/>
        <n v="500000"/>
        <n v="30000"/>
        <n v="981315"/>
        <n v="330000"/>
        <n v="11500"/>
        <n v="259500"/>
        <n v="1168000"/>
        <n v="2150000"/>
        <n v="1664192.8599999999"/>
        <n v="190000"/>
        <n v="274845"/>
        <n v="139611532"/>
        <n v="6400000"/>
        <n v="1000000"/>
        <n v="145000"/>
        <n v="180000"/>
        <n v="8200000"/>
        <n v="16068357"/>
        <n v="322330"/>
        <n v="240000"/>
        <n v="9812"/>
        <n v="440270"/>
        <n v="826450"/>
        <n v="56000"/>
        <n v="259800000"/>
        <n v="182000"/>
        <n v="2935000"/>
        <n v="303940"/>
        <n v="809000"/>
        <n v="270000"/>
        <n v="167000"/>
      </sharedItems>
    </cacheField>
    <cacheField name="Designated Fundraising?" numFmtId="0">
      <sharedItems containsBlank="1" count="3">
        <m/>
        <s v="Y"/>
        <s v="N"/>
      </sharedItems>
    </cacheField>
    <cacheField name="Limited corporate or full public?" numFmtId="0">
      <sharedItems containsBlank="1"/>
    </cacheField>
    <cacheField name="Total Funds Raised" numFmtId="0">
      <sharedItems containsString="0" containsBlank="1" containsNumber="1" containsInteger="1" minValue="56000" maxValue="307256521"/>
    </cacheField>
    <cacheField name="As of Date" numFmtId="14">
      <sharedItems containsNonDate="0" containsDate="1" containsString="0" containsBlank="1" minDate="2011-02-28T00:00:00" maxDate="2011-12-02T00:00:00"/>
    </cacheField>
    <cacheField name="Date Fundraising Closed" numFmtId="14">
      <sharedItems containsDate="1" containsBlank="1" containsMixedTypes="1" minDate="2011-02-28T00:00:00" maxDate="2011-11-18T00:00:00"/>
    </cacheField>
    <cacheField name="AP Code 1" numFmtId="0">
      <sharedItems containsBlank="1" containsMixedTypes="1" containsNumber="1" containsInteger="1" minValue="2002" maxValue="9306"/>
    </cacheField>
    <cacheField name="AP1 Amount" numFmtId="0">
      <sharedItems containsString="0" containsBlank="1" containsNumber="1" containsInteger="1" minValue="30000" maxValue="200000"/>
    </cacheField>
    <cacheField name="AP Code 2" numFmtId="0">
      <sharedItems containsString="0" containsBlank="1" containsNumber="1" containsInteger="1" minValue="2010" maxValue="2882"/>
    </cacheField>
    <cacheField name="AP2 Amount" numFmtId="0">
      <sharedItems containsString="0" containsBlank="1" containsNumber="1" containsInteger="1" minValue="100000" maxValue="2553000"/>
    </cacheField>
    <cacheField name="AP Code 3" numFmtId="1">
      <sharedItems containsString="0" containsBlank="1" containsNumber="1" containsInteger="1" minValue="2099" maxValue="2799"/>
    </cacheField>
    <cacheField name="AP3 Amount" numFmtId="0">
      <sharedItems containsBlank="1" containsMixedTypes="1" containsNumber="1" containsInteger="1" minValue="200000" maxValue="200000"/>
    </cacheField>
    <cacheField name="ARCT?" numFmtId="0">
      <sharedItems containsBlank="1"/>
    </cacheField>
    <cacheField name="OFDA?" numFmtId="0">
      <sharedItems containsBlank="1"/>
    </cacheField>
    <cacheField name="RRF?" numFmtId="0">
      <sharedItems containsBlank="1"/>
    </cacheField>
    <cacheField name="IRF?" numFmtId="0">
      <sharedItems containsBlank="1"/>
    </cacheField>
    <cacheField name="Funding Source &amp; Info" numFmtId="0">
      <sharedItems containsBlank="1" longText="1"/>
    </cacheField>
    <cacheField name="Stewardship report?" numFmtId="0">
      <sharedItems containsBlank="1"/>
    </cacheField>
    <cacheField name="Description " numFmtId="0">
      <sharedItems containsDate="1" containsBlank="1" containsMixedTypes="1" minDate="2008-09-11T00:00:00" maxDate="1900-01-04T11:09:05"/>
    </cacheField>
    <cacheField name="Comments on Contributions" numFmtId="0">
      <sharedItems containsBlank="1" longText="1"/>
    </cacheField>
  </cacheFields>
  <extLst>
    <ext xmlns:x14="http://schemas.microsoft.com/office/spreadsheetml/2009/9/main" uri="{725AE2AE-9491-48be-B2B4-4EB974FC3084}">
      <x14:pivotCacheDefinition/>
    </ext>
  </extLst>
</pivotCacheDefinition>
</file>

<file path=xl/pivotCache/pivotCacheDefinition26.xml><?xml version="1.0" encoding="utf-8"?>
<pivotCacheDefinition xmlns="http://schemas.openxmlformats.org/spreadsheetml/2006/main" xmlns:r="http://schemas.openxmlformats.org/officeDocument/2006/relationships" r:id="rId1" refreshedBy="Eliza Paul" refreshedDate="40892.568650000001" createdVersion="3" refreshedVersion="3" minRefreshableVersion="3" recordCount="359">
  <cacheSource type="worksheet">
    <worksheetSource ref="A1:BY361" sheet="Disaster Data"/>
  </cacheSource>
  <cacheFields count="77">
    <cacheField name="Glide #" numFmtId="0">
      <sharedItems containsBlank="1"/>
    </cacheField>
    <cacheField name="ARC Disaster #" numFmtId="0">
      <sharedItems containsMixedTypes="1" containsNumber="1" containsInteger="1" minValue="1" maxValue="276"/>
    </cacheField>
    <cacheField name="Disaster Name" numFmtId="0">
      <sharedItems count="255">
        <s v="Mexico Earthquake"/>
        <s v="Armenia Earthquake"/>
        <s v="Rwanda Crisis"/>
        <s v="Hurricane Mitch"/>
        <s v="Balkans Crisis"/>
        <s v="Ethiopia Drought"/>
        <s v="Mexico Floods"/>
        <s v="Costa Rica Floods"/>
        <s v="China Floods"/>
        <s v="Turkey Earthquake"/>
        <s v="Nicaragua Volcano"/>
        <s v="Cambodia Floods"/>
        <s v="Greece Earthquake"/>
        <s v="Bahamas Storm"/>
        <s v="Taiwan Earthquake"/>
        <s v="Japan Industrial"/>
        <s v="Mexico Floods "/>
        <s v="Russian Fed. Conflict"/>
        <s v="Timor-Leste Conflict"/>
        <s v="Bangladesh Floods"/>
        <s v="India Storm"/>
        <s v="Vietnam Floods"/>
        <s v="Dominica Storm"/>
        <s v="St. Kitts &amp; Nevis Storm"/>
        <s v="Antigua Storm"/>
        <s v="Grenada Storm"/>
        <s v="St. Maartens Storm"/>
        <s v="Venezuela Floods"/>
        <s v="South Africa Floods"/>
        <s v="Botswana Floods"/>
        <s v="Zimbabwe Floods"/>
        <s v="Madagascar Floods"/>
        <s v="Indonesia Earthquake"/>
        <s v="India Floods"/>
        <s v="Belize Storm"/>
        <s v="Israel Conflict"/>
        <s v="Jordan Conflict"/>
        <s v="Palestine Conflict"/>
        <s v="Taiwan Transport"/>
        <s v="Austria Miscellaneous"/>
        <s v="Azerbaijan Earthquake"/>
        <s v="Sri Lanka Storm"/>
        <s v="South Africa Epidemic"/>
        <s v="El Salvador Earthquake"/>
        <s v="China Storm"/>
        <s v="India Earthquake"/>
        <s v="Mozambique Floods"/>
        <s v="Malawi Floods"/>
        <s v="Bolivia Floods"/>
        <s v="Peru Floods"/>
        <s v="Canada Transport"/>
        <s v="Russian Fed. Floods"/>
        <s v="Macedonia Conflict"/>
        <s v="Bosnia Floods"/>
        <s v="Peru Earthquake"/>
        <s v="El Salvador Drought"/>
        <s v="Honduras Drought"/>
        <s v="Nicaragua Drought"/>
        <s v="Guatemala Drought"/>
        <s v="Ecuador Volcano"/>
        <s v="Afghanistan Conflict"/>
        <s v="Pakistan Conflict"/>
        <s v="Uzbekistan Conflict"/>
        <s v="Iran Conflict"/>
        <s v="Turkmenistan Conflict"/>
        <s v="US Terrorism"/>
        <s v="Mexico Transport"/>
        <s v="Mexico Storm"/>
        <s v="Belize Meteorological"/>
        <s v="Belize Transport"/>
        <s v="Honduras Storm"/>
        <s v="Nicaragua Storm"/>
        <s v="Cuba Storm"/>
        <s v="Jamaica Storm"/>
        <s v="US Transport"/>
        <s v="Cambodia Miscellaneous"/>
        <s v="Albania Storm"/>
        <s v="DR Congo Volcano"/>
        <s v="Nigeria Industrial"/>
        <s v="Afghanistan Earthquake"/>
        <s v="Panama Floods"/>
        <s v="Kenya Floods"/>
        <s v="Malawi Food Insecurity"/>
        <s v="Nicaragua  Floods"/>
        <s v="Syria Miscellaneous"/>
        <s v="FS Micronesia Storm"/>
        <s v="Peru Storm"/>
        <s v="Bolivia Storm"/>
        <s v="Romania Floods"/>
        <s v="Germany Floods"/>
        <s v="Czech Republic Floods"/>
        <s v="Slovakia Floods"/>
        <s v="Hungary Floods"/>
        <s v="Austria Floods"/>
        <s v="Paraguay Drought"/>
        <s v="South Korea Storm"/>
        <s v="Italy Earthquake"/>
        <s v="Indonesia Terrorism"/>
        <s v="Australia Terrorism"/>
        <s v="Vietnam Miscellaneous"/>
        <s v="Lesotho Food Insecurity"/>
        <s v="Kenya Epidemic"/>
        <s v="Solomon Islands Storm"/>
        <s v="South Korea Transport"/>
        <s v="China Earthquake"/>
        <s v="Iraq Conflict"/>
        <s v="Syria Conflict"/>
        <s v="Turkey Conflict"/>
        <s v="Argentina Floods"/>
        <s v="China Epidemic"/>
        <s v="Hong Kong Epidemic"/>
        <s v="Sri Lanka Floods"/>
        <s v="Canada Wildfire"/>
        <s v="Dominican Republic Earthquake"/>
        <s v="Algeria Earthquake"/>
        <s v="Liberia Conflict"/>
        <s v="Dominican Republic Floods"/>
        <s v="Iran Earthquake"/>
        <s v="Panama Earthquake"/>
        <s v="North Korea Transport"/>
        <s v="Haiti Floods"/>
        <s v="Malawi Epidemic"/>
        <s v="Jamaica Conflict"/>
        <s v="Paraguay Miscellaneous"/>
        <s v="Chad Conflict"/>
        <s v="Sudan Conflict"/>
        <s v="Taiwan Storm"/>
        <s v="Cayman Islands Storm"/>
        <s v="Sri Lanka Tsunami"/>
        <s v="Indonesia Tsunami"/>
        <s v="Maldives Tsunami"/>
        <s v="Guyana Floods"/>
        <s v="Canada Floods"/>
        <s v="Hurricane Dennis - Jamaica "/>
        <s v="Hurricane Dennis - Grenada"/>
        <s v="Hurricane Dennis - Haiti"/>
        <s v="Sahel Food Crisis"/>
        <s v="Hurricane Katrina"/>
        <s v="Pakistan Earthquake"/>
        <s v="Hurricane Stan - Guatemala"/>
        <s v="Hurricane Stan - Mexico"/>
        <s v="El Salvador Hurricane Stan &amp; Volcano Eruption"/>
        <s v="Hurricane Wilma - Bahamas"/>
        <s v="Hurricane Wilma - Mexico"/>
        <s v="Vietnam Typhoon Damrey"/>
        <s v="Colombia Volcano"/>
        <s v="Southern Africa Food Security Crisis - Lesotho"/>
        <s v="Southern Africa Food Security Crisis - Malawi"/>
        <s v="Southern Africa Food Security Crisis - Zimbabwe"/>
        <s v="Southern Africa Food Security Crisis - Zambia"/>
        <s v="Eastern Africa Drought"/>
        <s v="Iraq Humanitarian Emergency"/>
        <s v="Timor-Leste Floods"/>
        <s v="Philippines Mudslides"/>
        <s v="Angola Cholera Epidemic"/>
        <s v="Somalia Drought"/>
        <s v="Spain Terrorism"/>
        <s v="Colombia Floods"/>
        <s v="Indonesia Yogyakarta Earthquake"/>
        <s v="Middle East Humanitarian Crisis"/>
        <s v="Ecuador Volanic Eruption"/>
        <s v="Ethiopia Floods"/>
        <s v="Sudan Floods"/>
        <s v="Philippines Typhoons"/>
        <s v="Vietnam Typhoons"/>
        <s v="Somalia Conflict"/>
        <s v="Somalia Floods"/>
        <s v="Sri Lanka Conflict"/>
        <s v="Madagascar Cyclones"/>
        <s v="Solomon Islands Tsunami/ Earthquake"/>
        <s v="Colombia Tolima Floods"/>
        <s v="Mexico Coahuila Tornado"/>
        <s v="Pakistan Cyclone Yemyin"/>
        <s v="United Kingdom Floods"/>
        <s v="Nepal Floods"/>
        <s v="Hurricane Dean"/>
        <s v="Greece Wildfire"/>
        <s v="Hurricane Felix"/>
        <s v="Indonesia Bengkulu Earthquake"/>
        <s v="Uganda Floods"/>
        <s v="Togo Floods"/>
        <s v="Tropical Storm Noel"/>
        <s v="Vietnam Typhoon Lekima"/>
        <s v="Bangladesh Cyclone Sidr"/>
        <s v="Papua New Guinea Storm"/>
        <s v="Kenya Election Civil Unrest"/>
        <s v="China Snow Disaster"/>
        <s v="Guyana Civil Unrest"/>
        <s v="Ecuador Floods"/>
        <s v="Madagascar Cyclone Ivan"/>
        <s v="Southern Africa Floods - Cyclone Jokwe"/>
        <s v="Myanmar Cyclone Nargis"/>
        <s v="China Sichuan Earthquake"/>
        <s v="Ethiopia Food Insecurity"/>
        <s v="South Africa Civil Unrest"/>
        <s v="Chile Floods"/>
        <s v="Philippines – Typhoon Fengshen"/>
        <s v="Yemen Conflict"/>
        <s v="Suriname Floods"/>
        <s v="Moldova and Ukraine Floods"/>
        <s v="Georgia Conflict"/>
        <s v="Haiti Hurricane Season 2008"/>
        <s v="Carribean Hurricane Season 2008 - Bahamas"/>
        <s v="Carribean Hurricane Season 2008 -  Jamaica"/>
        <s v="Cuba Hurricane Season 2008"/>
        <s v="Central America Floods"/>
        <s v="Pakistan Baluchistan Earthquake"/>
        <s v="Panama &amp; Costa Rica Floods"/>
        <s v="Horn of Africa Food Insecurity Crisis"/>
        <s v="Uganda, Rwanda, Burundi Population Movement"/>
        <s v="Zimbabwe Cholera Epidemic"/>
        <s v="Gaza Conflict - Israel"/>
        <s v="Gaza Conflict - Palestine"/>
        <s v="Costa Rica Earthquake"/>
        <s v="Australia Wildfires"/>
        <s v="Namibia Floods"/>
        <s v="Africa Polio Outbreak"/>
        <s v="Pakistan Internally Displaced Persons Crisis"/>
        <s v="Bangladesh Cyclone Aila"/>
        <s v="Tajikistan Mudslides and Floods"/>
        <s v="Syria Drought"/>
        <s v="West &amp; Central Africa Floods - Burkina Faso"/>
        <s v="West &amp; Central Africa Floods - Senegal"/>
        <s v="Mexico Hurricane Jimena"/>
        <s v="Java Indonesia Earthquake"/>
        <s v="Southeast Asia Typhoons - Philippines"/>
        <s v="Southeast Asia Typhoons - Vietnam"/>
        <s v="West Sumatra Indonesia Earthquake"/>
        <s v="Samoa Islands Tsunami"/>
        <s v="Kenya Drought"/>
        <s v="El Salvador Floods"/>
        <s v="Haiti Earthquake"/>
        <s v="Tanzania Floods"/>
        <s v="Chile Earthquake"/>
        <s v="Mongolia Severe Winter"/>
        <s v="Nepal Diarrhea Outbreak"/>
        <s v="Tropical Storm Agatha"/>
        <s v="Kyrgyzstan-Uzbekistan Population Movement"/>
        <s v="Pakistan Monsoon Floods"/>
        <s v="Haiti &amp; Dominican Republic Cholera Outbreak"/>
        <s v="Philippines Typhoon Megi"/>
        <s v="Indonesia Tsunami &amp; Volcanic Eruption"/>
        <s v="Caribbean Hurricane Tomas"/>
        <s v="Belize Hurricane Richard"/>
        <s v="Colombian Floods"/>
        <s v="North Africa &amp; Middle East Civil Unrest"/>
        <s v="New Zealand Earthquake"/>
        <s v="Paraguay Dengue Epidemic"/>
        <s v="Japan Earthquake &amp; Tsunami"/>
        <s v="West African Population Movement"/>
        <s v="Horn of Africa Drought"/>
        <s v="DPR Korea (North Korea) Floods"/>
        <s v="Pakistan Floods"/>
        <s v="Turkey  Earthquake"/>
        <s v="Thailand Floods"/>
      </sharedItems>
    </cacheField>
    <cacheField name="Date of Response" numFmtId="167">
      <sharedItems containsSemiMixedTypes="0" containsNonDate="0" containsDate="1" containsString="0" minDate="1985-09-01T00:00:00" maxDate="2011-12-03T00:00:00"/>
    </cacheField>
    <cacheField name="Fiscal Year" numFmtId="0">
      <sharedItems containsSemiMixedTypes="0" containsString="0" containsNumber="1" containsInteger="1" minValue="1986" maxValue="2012" count="17">
        <n v="1986"/>
        <n v="1989"/>
        <n v="1994"/>
        <n v="1999"/>
        <n v="2000"/>
        <n v="2001"/>
        <n v="2002"/>
        <n v="2003"/>
        <n v="2004"/>
        <n v="2005"/>
        <n v="2006"/>
        <n v="2007"/>
        <n v="2008"/>
        <n v="2009"/>
        <n v="2010"/>
        <n v="2011"/>
        <n v="2012"/>
      </sharedItems>
    </cacheField>
    <cacheField name="FY #" numFmtId="0">
      <sharedItems containsString="0" containsBlank="1" containsNumber="1" containsInteger="1" minValue="1" maxValue="33"/>
    </cacheField>
    <cacheField name="Quarter" numFmtId="0">
      <sharedItems containsBlank="1"/>
    </cacheField>
    <cacheField name="Calendar Year" numFmtId="0">
      <sharedItems containsSemiMixedTypes="0" containsString="0" containsNumber="1" containsInteger="1" minValue="1985" maxValue="2011" count="17">
        <n v="1985"/>
        <n v="1988"/>
        <n v="1994"/>
        <n v="1998"/>
        <n v="1999"/>
        <n v="2000"/>
        <n v="2001"/>
        <n v="2002"/>
        <n v="2003"/>
        <n v="2004"/>
        <n v="2005"/>
        <n v="2006"/>
        <n v="2007"/>
        <n v="2008"/>
        <n v="2009"/>
        <n v="2010"/>
        <n v="2011"/>
      </sharedItems>
    </cacheField>
    <cacheField name="CY #" numFmtId="0">
      <sharedItems containsString="0" containsBlank="1" containsNumber="1" containsInteger="1" minValue="1" maxValue="33"/>
    </cacheField>
    <cacheField name="Region" numFmtId="0">
      <sharedItems containsBlank="1" count="5">
        <m/>
        <s v="Africa"/>
        <s v="LAC"/>
        <s v="Europe/Asia"/>
        <s v="North America"/>
      </sharedItems>
    </cacheField>
    <cacheField name="Country" numFmtId="0">
      <sharedItems containsBlank="1"/>
    </cacheField>
    <cacheField name="Major Disaster Category" numFmtId="0">
      <sharedItems containsBlank="1"/>
    </cacheField>
    <cacheField name="Disaster Type" numFmtId="0">
      <sharedItems containsBlank="1" count="25">
        <m/>
        <s v="Drought"/>
        <s v="Floods"/>
        <s v="Earthquake"/>
        <s v="Volcano"/>
        <s v="Storm"/>
        <s v="Industrial"/>
        <s v="Floods "/>
        <s v="Conflict"/>
        <s v="Transport"/>
        <s v="Miscellaneous"/>
        <s v="Epidemic"/>
        <s v="Terrorism"/>
        <s v="Meteorological"/>
        <s v="Food Insecurity"/>
        <s v="Wildfire"/>
        <s v="Tsunami"/>
        <s v="Tropical Storm"/>
        <s v="Mass Movement Wet"/>
        <s v="Civil Unrest"/>
        <s v="Cyclone"/>
        <s v="Winter storm"/>
        <s v="Tsunami &amp; Volcanic Eruption"/>
        <s v="Earthquake/ Tsunami"/>
        <s v="Population Movement"/>
      </sharedItems>
    </cacheField>
    <cacheField name="Nature of Disaster (Disaster Sub-Type)" numFmtId="0">
      <sharedItems containsBlank="1"/>
    </cacheField>
    <cacheField name="Disaster Sub-Sub Type" numFmtId="0">
      <sharedItems containsBlank="1"/>
    </cacheField>
    <cacheField name="Total Affected" numFmtId="0">
      <sharedItems containsBlank="1" containsMixedTypes="1" containsNumber="1" containsInteger="1" minValue="2500" maxValue="25000000" count="87">
        <m/>
        <n v="2998214"/>
        <n v="15850000"/>
        <n v="6000000"/>
        <n v="3500000"/>
        <n v="300000"/>
        <n v="1500000"/>
        <n v="2300000"/>
        <n v="2000000"/>
        <n v="365000"/>
        <n v="1000000"/>
        <n v="645000"/>
        <n v="655000"/>
        <n v="210000"/>
        <n v="175000"/>
        <n v="450000"/>
        <n v="185000"/>
        <n v="200000"/>
        <n v="600000"/>
        <n v="8500000"/>
        <n v="162000"/>
        <n v="500000"/>
        <n v="7800000"/>
        <n v="315000"/>
        <n v="4000000"/>
        <n v="322000"/>
        <n v="400000"/>
        <n v="2700"/>
        <n v="2400000"/>
        <n v="10000000"/>
        <n v="4500000"/>
        <n v="50000"/>
        <n v="4800000"/>
        <n v="77000"/>
        <n v="49090"/>
        <n v="30000"/>
        <n v="72000"/>
        <n v="70000"/>
        <n v="800000"/>
        <n v="9750"/>
        <n v="4000"/>
        <n v="2900000"/>
        <s v="-"/>
        <n v="328000"/>
        <n v="366000"/>
        <n v="40158"/>
        <n v="16800000"/>
        <n v="280000"/>
        <n v="90000"/>
        <n v="2943"/>
        <n v="22000"/>
        <n v="250000"/>
        <n v="31250"/>
        <n v="48000"/>
        <n v="700000"/>
        <n v="25000000"/>
        <n v="3928238"/>
        <n v="12000"/>
        <n v="1300000"/>
        <n v="156000"/>
        <n v="100000"/>
        <n v="3000000"/>
        <n v="10000"/>
        <n v="4100000"/>
        <n v="3800000"/>
        <n v="2500"/>
        <n v="75000"/>
        <n v="507000"/>
        <n v="67000"/>
        <n v="173518"/>
        <n v="375000"/>
        <n v="20000000"/>
        <n v="660000"/>
        <n v="215000"/>
        <n v="9500"/>
        <n v="13500"/>
        <n v="6200"/>
        <n v="228500"/>
        <n v="13300000"/>
        <n v="45000"/>
        <n v="5000000"/>
        <n v="3200000"/>
        <n v="638000"/>
        <n v="318846"/>
        <n v="590000"/>
        <n v="3400000"/>
        <n v="410420"/>
      </sharedItems>
    </cacheField>
    <cacheField name="Appeal?_x000a_Y/N" numFmtId="0">
      <sharedItems containsBlank="1" count="3">
        <m/>
        <s v="Y"/>
        <s v="N"/>
      </sharedItems>
    </cacheField>
    <cacheField name="Whose Appeal?" numFmtId="0">
      <sharedItems containsBlank="1"/>
    </cacheField>
    <cacheField name="Appeal Amount" numFmtId="0">
      <sharedItems containsBlank="1" containsMixedTypes="1" containsNumber="1" containsInteger="1" minValue="364732" maxValue="254000000"/>
    </cacheField>
    <cacheField name="Appeal #" numFmtId="0">
      <sharedItems containsBlank="1"/>
    </cacheField>
    <cacheField name="% of Appeal Covered by ARC" numFmtId="169">
      <sharedItems containsString="0" containsBlank="1" containsNumber="1" minValue="0" maxValue="0.44"/>
    </cacheField>
    <cacheField name="Overall Appeal Coverage" numFmtId="0">
      <sharedItems containsBlank="1" containsMixedTypes="1" containsNumber="1" minValue="0.06" maxValue="1.04"/>
    </cacheField>
    <cacheField name="IFRC DREF?" numFmtId="0">
      <sharedItems containsBlank="1"/>
    </cacheField>
    <cacheField name="DREF Amount" numFmtId="0">
      <sharedItems containsString="0" containsBlank="1" containsNumber="1" containsInteger="1" minValue="49273" maxValue="613944"/>
    </cacheField>
    <cacheField name="Multilateral Beneficiaries" numFmtId="0">
      <sharedItems containsBlank="1" containsMixedTypes="1" containsNumber="1" containsInteger="1" minValue="0" maxValue="25000000"/>
    </cacheField>
    <cacheField name="Bilateral Request?" numFmtId="0">
      <sharedItems containsBlank="1" count="2">
        <m/>
        <s v="Y"/>
      </sharedItems>
    </cacheField>
    <cacheField name="Direct Beneficiaries" numFmtId="0">
      <sharedItems containsBlank="1" containsMixedTypes="1" containsNumber="1" containsInteger="1" minValue="0" maxValue="50000"/>
    </cacheField>
    <cacheField name="Contribution to IFRC/ICRC &gt;/= $50K?" numFmtId="0">
      <sharedItems containsString="0" containsBlank="1" containsNumber="1" containsInteger="1" minValue="0" maxValue="4"/>
    </cacheField>
    <cacheField name="Cash to IFRC" numFmtId="166">
      <sharedItems containsString="0" containsBlank="1" containsNumber="1" minValue="0" maxValue="30000000"/>
    </cacheField>
    <cacheField name="Cash to ICRC" numFmtId="166">
      <sharedItems containsBlank="1" containsMixedTypes="1" containsNumber="1" minValue="50000" maxValue="4377346.43"/>
    </cacheField>
    <cacheField name="Cash to NS" numFmtId="166">
      <sharedItems containsString="0" containsBlank="1" containsNumber="1" minValue="1000" maxValue="256000000"/>
    </cacheField>
    <cacheField name="Cash to Other Orgs" numFmtId="166">
      <sharedItems containsString="0" containsBlank="1" containsNumber="1" containsInteger="1" minValue="1500000" maxValue="1500000"/>
    </cacheField>
    <cacheField name="Total Cash" numFmtId="166">
      <sharedItems containsBlank="1" containsMixedTypes="1" containsNumber="1" minValue="0" maxValue="259800000"/>
    </cacheField>
    <cacheField name="ARC People Deployed" numFmtId="0">
      <sharedItems containsString="0" containsBlank="1" containsNumber="1" containsInteger="1" minValue="0" maxValue="82"/>
    </cacheField>
    <cacheField name="ERUs" numFmtId="0">
      <sharedItems containsBlank="1"/>
    </cacheField>
    <cacheField name="Individual Deployments" numFmtId="0">
      <sharedItems containsString="0" containsBlank="1" containsNumber="1" containsInteger="1" minValue="1" maxValue="85"/>
    </cacheField>
    <cacheField name="Total ARC Items Supplied" numFmtId="3">
      <sharedItems containsBlank="1" containsMixedTypes="1" containsNumber="1" minValue="11" maxValue="5143307"/>
    </cacheField>
    <cacheField name="Pre-positioned?" numFmtId="3">
      <sharedItems containsBlank="1"/>
    </cacheField>
    <cacheField name="Hygiene Kits" numFmtId="3">
      <sharedItems containsString="0" containsBlank="1" containsNumber="1" containsInteger="1" minValue="214" maxValue="45000"/>
    </cacheField>
    <cacheField name="Blankets" numFmtId="3">
      <sharedItems containsString="0" containsBlank="1" containsNumber="1" containsInteger="1" minValue="1000" maxValue="222900"/>
    </cacheField>
    <cacheField name="Jerry Cans" numFmtId="0">
      <sharedItems containsString="0" containsBlank="1" containsNumber="1" containsInteger="1" minValue="321" maxValue="30000"/>
    </cacheField>
    <cacheField name="Buckets" numFmtId="3">
      <sharedItems containsString="0" containsBlank="1" containsNumber="1" containsInteger="1" minValue="3650" maxValue="28000"/>
    </cacheField>
    <cacheField name="Tents" numFmtId="3">
      <sharedItems containsString="0" containsBlank="1" containsNumber="1" containsInteger="1" minValue="5" maxValue="5200"/>
    </cacheField>
    <cacheField name="Kitchen Sets" numFmtId="3">
      <sharedItems containsString="0" containsBlank="1" containsNumber="1" containsInteger="1" minValue="500" maxValue="18000"/>
    </cacheField>
    <cacheField name="Sleeping Mats / Bedsheets" numFmtId="3">
      <sharedItems containsString="0" containsBlank="1" containsNumber="1" containsInteger="1" minValue="500" maxValue="30518"/>
    </cacheField>
    <cacheField name="Mosquito Nets" numFmtId="3">
      <sharedItems containsString="0" containsBlank="1" containsNumber="1" containsInteger="1" minValue="1000" maxValue="20000"/>
    </cacheField>
    <cacheField name="Food Parcels" numFmtId="3">
      <sharedItems containsString="0" containsBlank="1" containsNumber="1" containsInteger="1" minValue="2600" maxValue="40000"/>
    </cacheField>
    <cacheField name="Tarps" numFmtId="3">
      <sharedItems containsString="0" containsBlank="1" containsNumber="1" containsInteger="1" minValue="20" maxValue="11000"/>
    </cacheField>
    <cacheField name="Vehicles" numFmtId="3">
      <sharedItems containsString="0" containsBlank="1" containsNumber="1" containsInteger="1" minValue="1" maxValue="7"/>
    </cacheField>
    <cacheField name="Other Items" numFmtId="3">
      <sharedItems containsString="0" containsBlank="1" containsNumber="1" containsInteger="1" minValue="3000" maxValue="6250"/>
    </cacheField>
    <cacheField name="Rice Bags" numFmtId="3">
      <sharedItems containsNonDate="0" containsString="0" containsBlank="1"/>
    </cacheField>
    <cacheField name="Value of Supplies" numFmtId="166">
      <sharedItems containsBlank="1" containsMixedTypes="1" containsNumber="1" minValue="0" maxValue="15266353"/>
    </cacheField>
    <cacheField name="Operational (People) Cost for Response Phase" numFmtId="166">
      <sharedItems containsBlank="1" containsMixedTypes="1" containsNumber="1" minValue="0" maxValue="100000000"/>
    </cacheField>
    <cacheField name="Total $ Response Phase" numFmtId="166">
      <sharedItems containsBlank="1" containsMixedTypes="1" containsNumber="1" minValue="0" maxValue="259800000"/>
    </cacheField>
    <cacheField name="Early Recovery $" numFmtId="0">
      <sharedItems containsString="0" containsBlank="1" containsNumber="1" minValue="764192.86" maxValue="337000000"/>
    </cacheField>
    <cacheField name="Future Contrib Anticipated $" numFmtId="0">
      <sharedItems containsString="0" containsBlank="1" containsNumber="1" containsInteger="1" minValue="500000" maxValue="500000"/>
    </cacheField>
    <cacheField name="Beneficiaries Served (Final Rpt)" numFmtId="0">
      <sharedItems containsString="0" containsBlank="1" containsNumber="1" minValue="0" maxValue="455000"/>
    </cacheField>
    <cacheField name="Total Contributions" numFmtId="166">
      <sharedItems containsBlank="1" containsMixedTypes="1" containsNumber="1" minValue="0" maxValue="477328823.80666667" count="193">
        <n v="19700000"/>
        <n v="14000000"/>
        <n v="18000000"/>
        <n v="50000000"/>
        <n v="39000000"/>
        <n v="100000"/>
        <n v="10000"/>
        <n v="0"/>
        <n v="25000"/>
        <n v="80000"/>
        <n v="132193"/>
        <n v="1200000"/>
        <n v="200"/>
        <n v="150000"/>
        <n v="205000"/>
        <n v="610134"/>
        <n v="50000"/>
        <n v="5153184.1400000006"/>
        <n v="15000"/>
        <n v="9000"/>
        <n v="1056000"/>
        <n v="23333.333333333332"/>
        <n v="23333.343333333331"/>
        <n v="389265"/>
        <n v="352704"/>
        <n v="20000"/>
        <n v="118500"/>
        <n v="40000"/>
        <n v="172000"/>
        <n v="90000"/>
        <n v="7500"/>
        <n v="2577.8000000000002"/>
        <n v="30500"/>
        <n v="227500"/>
        <n v="690000"/>
        <n v="250000"/>
        <n v="174000"/>
        <n v="1000"/>
        <n v="20700"/>
        <n v="18000"/>
        <n v="699130"/>
        <n v="12000000"/>
        <n v="3515479.37"/>
        <n v="97982"/>
        <n v="4400"/>
        <n v="60000"/>
        <n v="5000"/>
        <n v="500"/>
        <n v="71832"/>
        <n v="45000"/>
        <n v="21612.23"/>
        <n v="350424.24"/>
        <n v="11700"/>
        <n v="104805"/>
        <n v="225000"/>
        <n v="2000"/>
        <n v="75000"/>
        <n v="232252.87"/>
        <n v="115139.84"/>
        <n v="35000"/>
        <n v="130000"/>
        <n v="46670"/>
        <n v="237898.78"/>
        <n v="1345"/>
        <n v="7242.1372799999999"/>
        <n v="350000"/>
        <n v="421694"/>
        <n v="32812"/>
        <n v="17812"/>
        <n v="331380"/>
        <n v="32500"/>
        <n v="370642"/>
        <n v="21400"/>
        <n v="16700"/>
        <n v="65870"/>
        <n v="35027"/>
        <n v="10500"/>
        <n v="1175801.98"/>
        <n v="19975"/>
        <n v="6178"/>
        <n v="110000"/>
        <n v="220134.81245"/>
        <n v="44557.856"/>
        <n v="61220"/>
        <n v="110266.26"/>
        <n v="97442.48"/>
        <n v="3000"/>
        <n v="18675"/>
        <n v="247400"/>
        <n v="35975"/>
        <n v="59896.536212325685"/>
        <n v="302452.19"/>
        <n v="131046.88"/>
        <n v="112853.79000000001"/>
        <n v="401375"/>
        <n v="2655"/>
        <n v="103848909.52666667"/>
        <n v="477328823.80666667"/>
        <n v="1822266.6666666667"/>
        <n v="13100"/>
        <n v="32475"/>
        <n v="108693"/>
        <n v="36200"/>
        <n v="12558310"/>
        <n v="47581"/>
        <n v="342378"/>
        <n v="7034"/>
        <n v="20597"/>
        <n v="497744"/>
        <n v="21068"/>
        <n v="17402"/>
        <n v="400000"/>
        <n v="188443"/>
        <n v="55000"/>
        <n v="94461"/>
        <n v="1485750"/>
        <n v="1889600"/>
        <n v="85000"/>
        <n v="46900"/>
        <n v="793500"/>
        <n v="63000"/>
        <n v="200000"/>
        <n v="245000"/>
        <n v="2000000"/>
        <n v="102000"/>
        <n v="295000"/>
        <n v="124500"/>
        <n v="153400"/>
        <n v="20188"/>
        <n v="3400000"/>
        <n v="34565"/>
        <n v="298680"/>
        <n v="2500"/>
        <n v="22500"/>
        <n v="47500"/>
        <n v="17400"/>
        <n v="19970"/>
        <n v="104055"/>
        <n v="58073"/>
        <n v="37440"/>
        <n v="1900000"/>
        <n v="115000"/>
        <n v="1356654"/>
        <n v="23750"/>
        <n v="300000"/>
        <n v="867000"/>
        <n v="12400"/>
        <n v="714000"/>
        <n v="269000"/>
        <n v="48500"/>
        <n v="55000000"/>
        <n v="185000"/>
        <m/>
        <n v="44250"/>
        <n v="1532876"/>
        <n v="121044"/>
        <s v="-"/>
        <n v="1129943"/>
        <n v="246683"/>
        <n v="921250"/>
        <n v="74200"/>
        <n v="1520000"/>
        <n v="500000"/>
        <n v="30000"/>
        <n v="981315"/>
        <n v="330000"/>
        <n v="11500"/>
        <n v="259500"/>
        <n v="1168000"/>
        <n v="2150000"/>
        <n v="1664192.8599999999"/>
        <n v="190000"/>
        <n v="274845"/>
        <n v="139611532"/>
        <n v="6400000"/>
        <n v="1000000"/>
        <n v="145000"/>
        <n v="180000"/>
        <n v="8200000"/>
        <n v="16068357"/>
        <n v="322330"/>
        <n v="240000"/>
        <n v="9812"/>
        <n v="440270"/>
        <n v="826450"/>
        <n v="56000"/>
        <n v="259800000"/>
        <n v="182000"/>
        <n v="3235000"/>
        <n v="303940"/>
        <n v="809000"/>
        <n v="270000"/>
        <n v="167000"/>
      </sharedItems>
    </cacheField>
    <cacheField name="Designated Fundraising?" numFmtId="166">
      <sharedItems containsBlank="1" count="3">
        <m/>
        <s v="Y"/>
        <s v="N"/>
      </sharedItems>
    </cacheField>
    <cacheField name="Limited corporate or full public?" numFmtId="166">
      <sharedItems containsBlank="1"/>
    </cacheField>
    <cacheField name="Total Funds Raised" numFmtId="166">
      <sharedItems containsString="0" containsBlank="1" containsNumber="1" containsInteger="1" minValue="56000" maxValue="307256521"/>
    </cacheField>
    <cacheField name="As of Date" numFmtId="14">
      <sharedItems containsNonDate="0" containsDate="1" containsString="0" containsBlank="1" minDate="2011-02-28T00:00:00" maxDate="2011-12-02T00:00:00"/>
    </cacheField>
    <cacheField name="Date Fundraising Closed" numFmtId="14">
      <sharedItems containsDate="1" containsBlank="1" containsMixedTypes="1" minDate="2011-02-28T00:00:00" maxDate="2011-11-18T00:00:00"/>
    </cacheField>
    <cacheField name="AP Code 1" numFmtId="0">
      <sharedItems containsBlank="1" containsMixedTypes="1" containsNumber="1" containsInteger="1" minValue="2002" maxValue="9306"/>
    </cacheField>
    <cacheField name="AP1 Amount" numFmtId="166">
      <sharedItems containsString="0" containsBlank="1" containsNumber="1" containsInteger="1" minValue="30000" maxValue="200000"/>
    </cacheField>
    <cacheField name="AP Code 2" numFmtId="0">
      <sharedItems containsString="0" containsBlank="1" containsNumber="1" containsInteger="1" minValue="2010" maxValue="2882"/>
    </cacheField>
    <cacheField name="AP2 Amount" numFmtId="166">
      <sharedItems containsString="0" containsBlank="1" containsNumber="1" containsInteger="1" minValue="100000" maxValue="2553000"/>
    </cacheField>
    <cacheField name="AP Code 3" numFmtId="1">
      <sharedItems containsString="0" containsBlank="1" containsNumber="1" containsInteger="1" minValue="2099" maxValue="2799"/>
    </cacheField>
    <cacheField name="AP3 Amount" numFmtId="166">
      <sharedItems containsBlank="1" containsMixedTypes="1" containsNumber="1" containsInteger="1" minValue="200000" maxValue="200000"/>
    </cacheField>
    <cacheField name="ARCT?" numFmtId="0">
      <sharedItems containsBlank="1"/>
    </cacheField>
    <cacheField name="OFDA?" numFmtId="0">
      <sharedItems containsBlank="1"/>
    </cacheField>
    <cacheField name="RRF?" numFmtId="0">
      <sharedItems containsBlank="1"/>
    </cacheField>
    <cacheField name="IRF?" numFmtId="0">
      <sharedItems containsBlank="1"/>
    </cacheField>
    <cacheField name="Funding Source &amp; Info" numFmtId="0">
      <sharedItems containsBlank="1" longText="1"/>
    </cacheField>
    <cacheField name="Stewardship report?" numFmtId="0">
      <sharedItems containsBlank="1"/>
    </cacheField>
    <cacheField name="Description " numFmtId="0">
      <sharedItems containsDate="1" containsBlank="1" containsMixedTypes="1" minDate="2008-09-11T00:00:00" maxDate="1900-01-04T11:09:05"/>
    </cacheField>
    <cacheField name="Comments on Contributions" numFmtId="0">
      <sharedItems containsBlank="1" longText="1"/>
    </cacheField>
  </cacheFields>
  <extLst>
    <ext xmlns:x14="http://schemas.microsoft.com/office/spreadsheetml/2009/9/main" uri="{725AE2AE-9491-48be-B2B4-4EB974FC3084}">
      <x14:pivotCacheDefinition/>
    </ext>
  </extLst>
</pivotCacheDefinition>
</file>

<file path=xl/pivotCache/pivotCacheDefinition27.xml><?xml version="1.0" encoding="utf-8"?>
<pivotCacheDefinition xmlns="http://schemas.openxmlformats.org/spreadsheetml/2006/main" xmlns:r="http://schemas.openxmlformats.org/officeDocument/2006/relationships" r:id="rId1" refreshedBy="Eliza Paul" refreshedDate="40913.695412499997" createdVersion="3" refreshedVersion="3" minRefreshableVersion="3" recordCount="360">
  <cacheSource type="worksheet">
    <worksheetSource ref="A1:BY363" sheet="Disaster Data"/>
  </cacheSource>
  <cacheFields count="78">
    <cacheField name="Glide #" numFmtId="0">
      <sharedItems containsBlank="1"/>
    </cacheField>
    <cacheField name="ARC Disaster #" numFmtId="0">
      <sharedItems containsMixedTypes="1" containsNumber="1" containsInteger="1" minValue="1" maxValue="277"/>
    </cacheField>
    <cacheField name="Disaster Name" numFmtId="0">
      <sharedItems count="256">
        <s v="Mexico Earthquake"/>
        <s v="Armenia Earthquake"/>
        <s v="Rwanda Crisis"/>
        <s v="Hurricane Mitch"/>
        <s v="Balkans Crisis"/>
        <s v="Ethiopia Drought"/>
        <s v="Mexico Floods"/>
        <s v="Costa Rica Floods"/>
        <s v="China Floods"/>
        <s v="Turkey Earthquake"/>
        <s v="Nicaragua Volcano"/>
        <s v="Cambodia Floods"/>
        <s v="Greece Earthquake"/>
        <s v="Bahamas Storm"/>
        <s v="Taiwan Earthquake"/>
        <s v="Japan Industrial"/>
        <s v="Mexico Floods "/>
        <s v="Russian Fed. Conflict"/>
        <s v="Timor-Leste Conflict"/>
        <s v="Bangladesh Floods"/>
        <s v="India Storm"/>
        <s v="Vietnam Floods"/>
        <s v="Dominica Storm"/>
        <s v="St. Kitts &amp; Nevis Storm"/>
        <s v="Antigua Storm"/>
        <s v="Grenada Storm"/>
        <s v="St. Maartens Storm"/>
        <s v="Venezuela Floods"/>
        <s v="South Africa Floods"/>
        <s v="Botswana Floods"/>
        <s v="Zimbabwe Floods"/>
        <s v="Madagascar Floods"/>
        <s v="Indonesia Earthquake"/>
        <s v="India Floods"/>
        <s v="Belize Storm"/>
        <s v="Israel Conflict"/>
        <s v="Jordan Conflict"/>
        <s v="Palestine Conflict"/>
        <s v="Taiwan Transport"/>
        <s v="Austria Miscellaneous"/>
        <s v="Azerbaijan Earthquake"/>
        <s v="Sri Lanka Storm"/>
        <s v="South Africa Epidemic"/>
        <s v="El Salvador Earthquake"/>
        <s v="China Storm"/>
        <s v="India Earthquake"/>
        <s v="Mozambique Floods"/>
        <s v="Malawi Floods"/>
        <s v="Bolivia Floods"/>
        <s v="Peru Floods"/>
        <s v="Canada Transport"/>
        <s v="Russian Fed. Floods"/>
        <s v="Macedonia Conflict"/>
        <s v="Bosnia Floods"/>
        <s v="Peru Earthquake"/>
        <s v="El Salvador Drought"/>
        <s v="Honduras Drought"/>
        <s v="Nicaragua Drought"/>
        <s v="Guatemala Drought"/>
        <s v="Ecuador Volcano"/>
        <s v="Afghanistan Conflict"/>
        <s v="Pakistan Conflict"/>
        <s v="Uzbekistan Conflict"/>
        <s v="Iran Conflict"/>
        <s v="Turkmenistan Conflict"/>
        <s v="US Terrorism"/>
        <s v="Mexico Transport"/>
        <s v="Mexico Storm"/>
        <s v="Belize Meteorological"/>
        <s v="Belize Transport"/>
        <s v="Honduras Storm"/>
        <s v="Nicaragua Storm"/>
        <s v="Cuba Storm"/>
        <s v="Jamaica Storm"/>
        <s v="US Transport"/>
        <s v="Cambodia Miscellaneous"/>
        <s v="Albania Storm"/>
        <s v="DR Congo Volcano"/>
        <s v="Nigeria Industrial"/>
        <s v="Afghanistan Earthquake"/>
        <s v="Panama Floods"/>
        <s v="Kenya Floods"/>
        <s v="Malawi Food Insecurity"/>
        <s v="Nicaragua  Floods"/>
        <s v="Syria Miscellaneous"/>
        <s v="FS Micronesia Storm"/>
        <s v="Peru Storm"/>
        <s v="Bolivia Storm"/>
        <s v="Romania Floods"/>
        <s v="Germany Floods"/>
        <s v="Czech Republic Floods"/>
        <s v="Slovakia Floods"/>
        <s v="Hungary Floods"/>
        <s v="Austria Floods"/>
        <s v="Paraguay Drought"/>
        <s v="South Korea Storm"/>
        <s v="Italy Earthquake"/>
        <s v="Indonesia Terrorism"/>
        <s v="Australia Terrorism"/>
        <s v="Vietnam Miscellaneous"/>
        <s v="Lesotho Food Insecurity"/>
        <s v="Kenya Epidemic"/>
        <s v="Solomon Islands Storm"/>
        <s v="South Korea Transport"/>
        <s v="China Earthquake"/>
        <s v="Iraq Conflict"/>
        <s v="Syria Conflict"/>
        <s v="Turkey Conflict"/>
        <s v="Argentina Floods"/>
        <s v="China Epidemic"/>
        <s v="Hong Kong Epidemic"/>
        <s v="Sri Lanka Floods"/>
        <s v="Canada Wildfire"/>
        <s v="Dominican Republic Earthquake"/>
        <s v="Algeria Earthquake"/>
        <s v="Liberia Conflict"/>
        <s v="Dominican Republic Floods"/>
        <s v="Iran Earthquake"/>
        <s v="Panama Earthquake"/>
        <s v="North Korea Transport"/>
        <s v="Haiti Floods"/>
        <s v="Malawi Epidemic"/>
        <s v="Jamaica Conflict"/>
        <s v="Paraguay Miscellaneous"/>
        <s v="Chad Conflict"/>
        <s v="Sudan Conflict"/>
        <s v="Taiwan Storm"/>
        <s v="Cayman Islands Storm"/>
        <s v="Sri Lanka Tsunami"/>
        <s v="Indonesia Tsunami"/>
        <s v="Maldives Tsunami"/>
        <s v="Guyana Floods"/>
        <s v="Canada Floods"/>
        <s v="Hurricane Dennis - Jamaica "/>
        <s v="Hurricane Dennis - Grenada"/>
        <s v="Hurricane Dennis - Haiti"/>
        <s v="Sahel Food Crisis"/>
        <s v="Hurricane Katrina"/>
        <s v="Pakistan Earthquake"/>
        <s v="Hurricane Stan - Guatemala"/>
        <s v="Hurricane Stan - Mexico"/>
        <s v="El Salvador Hurricane Stan &amp; Volcano Eruption"/>
        <s v="Hurricane Wilma - Bahamas"/>
        <s v="Hurricane Wilma - Mexico"/>
        <s v="Vietnam Typhoon Damrey"/>
        <s v="Colombia Volcano"/>
        <s v="Southern Africa Food Security Crisis - Lesotho"/>
        <s v="Southern Africa Food Security Crisis - Malawi"/>
        <s v="Southern Africa Food Security Crisis - Zimbabwe"/>
        <s v="Southern Africa Food Security Crisis - Zambia"/>
        <s v="Eastern Africa Drought"/>
        <s v="Iraq Humanitarian Emergency"/>
        <s v="Timor-Leste Floods"/>
        <s v="Philippines Mudslides"/>
        <s v="Angola Cholera Epidemic"/>
        <s v="Somalia Drought"/>
        <s v="Spain Terrorism"/>
        <s v="Colombia Floods"/>
        <s v="Indonesia Yogyakarta Earthquake"/>
        <s v="Middle East Humanitarian Crisis"/>
        <s v="Ecuador Volanic Eruption"/>
        <s v="Ethiopia Floods"/>
        <s v="Sudan Floods"/>
        <s v="Philippines Typhoons"/>
        <s v="Vietnam Typhoons"/>
        <s v="Somalia Conflict"/>
        <s v="Somalia Floods"/>
        <s v="Sri Lanka Conflict"/>
        <s v="Madagascar Cyclones"/>
        <s v="Solomon Islands Tsunami/ Earthquake"/>
        <s v="Colombia Tolima Floods"/>
        <s v="Mexico Coahuila Tornado"/>
        <s v="Pakistan Cyclone Yemyin"/>
        <s v="United Kingdom Floods"/>
        <s v="Nepal Floods"/>
        <s v="Hurricane Dean"/>
        <s v="Greece Wildfire"/>
        <s v="Hurricane Felix"/>
        <s v="Indonesia Bengkulu Earthquake"/>
        <s v="Uganda Floods"/>
        <s v="Togo Floods"/>
        <s v="Tropical Storm Noel"/>
        <s v="Vietnam Typhoon Lekima"/>
        <s v="Bangladesh Cyclone Sidr"/>
        <s v="Papua New Guinea Storm"/>
        <s v="Kenya Election Civil Unrest"/>
        <s v="China Snow Disaster"/>
        <s v="Guyana Civil Unrest"/>
        <s v="Ecuador Floods"/>
        <s v="Madagascar Cyclone Ivan"/>
        <s v="Southern Africa Floods - Cyclone Jokwe"/>
        <s v="Myanmar Cyclone Nargis"/>
        <s v="China Sichuan Earthquake"/>
        <s v="Ethiopia Food Insecurity"/>
        <s v="South Africa Civil Unrest"/>
        <s v="Chile Floods"/>
        <s v="Philippines – Typhoon Fengshen"/>
        <s v="Yemen Conflict"/>
        <s v="Suriname Floods"/>
        <s v="Moldova and Ukraine Floods"/>
        <s v="Georgia Conflict"/>
        <s v="Haiti Hurricane Season 2008"/>
        <s v="Carribean Hurricane Season 2008 - Bahamas"/>
        <s v="Carribean Hurricane Season 2008 -  Jamaica"/>
        <s v="Cuba Hurricane Season 2008"/>
        <s v="Central America Floods"/>
        <s v="Pakistan Baluchistan Earthquake"/>
        <s v="Panama &amp; Costa Rica Floods"/>
        <s v="Horn of Africa Food Insecurity Crisis"/>
        <s v="Uganda, Rwanda, Burundi Population Movement"/>
        <s v="Zimbabwe Cholera Epidemic"/>
        <s v="Gaza Conflict - Israel"/>
        <s v="Gaza Conflict - Palestine"/>
        <s v="Costa Rica Earthquake"/>
        <s v="Australia Wildfires"/>
        <s v="Namibia Floods"/>
        <s v="Africa Polio Outbreak"/>
        <s v="Pakistan Internally Displaced Persons Crisis"/>
        <s v="Bangladesh Cyclone Aila"/>
        <s v="Tajikistan Mudslides and Floods"/>
        <s v="Syria Drought"/>
        <s v="West &amp; Central Africa Floods - Burkina Faso"/>
        <s v="West &amp; Central Africa Floods - Senegal"/>
        <s v="Mexico Hurricane Jimena"/>
        <s v="Java Indonesia Earthquake"/>
        <s v="Southeast Asia Typhoons - Philippines"/>
        <s v="Southeast Asia Typhoons - Vietnam"/>
        <s v="West Sumatra Indonesia Earthquake"/>
        <s v="Samoa Islands Tsunami"/>
        <s v="Kenya Drought"/>
        <s v="El Salvador Floods"/>
        <s v="Haiti Earthquake"/>
        <s v="Tanzania Floods"/>
        <s v="Chile Earthquake"/>
        <s v="Mongolia Severe Winter"/>
        <s v="Nepal Diarrhea Outbreak"/>
        <s v="Tropical Storm Agatha"/>
        <s v="Kyrgyzstan-Uzbekistan Population Movement"/>
        <s v="Pakistan Monsoon Floods"/>
        <s v="Haiti &amp; Dominican Republic Cholera Outbreak"/>
        <s v="Philippines Typhoon Megi"/>
        <s v="Indonesia Tsunami &amp; Volcanic Eruption"/>
        <s v="Caribbean Hurricane Tomas"/>
        <s v="Belize Hurricane Richard"/>
        <s v="Colombian Floods"/>
        <s v="North Africa &amp; Middle East Civil Unrest"/>
        <s v="New Zealand Earthquake"/>
        <s v="Paraguay Dengue Epidemic"/>
        <s v="Japan Earthquake &amp; Tsunami"/>
        <s v="West African Population Movement"/>
        <s v="Horn of Africa Drought"/>
        <s v="DPR Korea (North Korea) Floods"/>
        <s v="Pakistan Floods"/>
        <s v="Turkey  Earthquake"/>
        <s v="Thailand Floods"/>
        <s v="Philippines Typhoon Washi"/>
      </sharedItems>
    </cacheField>
    <cacheField name="Date of Response" numFmtId="167">
      <sharedItems containsSemiMixedTypes="0" containsNonDate="0" containsDate="1" containsString="0" minDate="1985-09-01T00:00:00" maxDate="2011-12-22T00:00:00"/>
    </cacheField>
    <cacheField name="Fiscal Year" numFmtId="0">
      <sharedItems containsSemiMixedTypes="0" containsString="0" containsNumber="1" containsInteger="1" minValue="1986" maxValue="2012" count="17">
        <n v="1986"/>
        <n v="1989"/>
        <n v="1994"/>
        <n v="1999"/>
        <n v="2000"/>
        <n v="2001"/>
        <n v="2002"/>
        <n v="2003"/>
        <n v="2004"/>
        <n v="2005"/>
        <n v="2006"/>
        <n v="2007"/>
        <n v="2008"/>
        <n v="2009"/>
        <n v="2010"/>
        <n v="2011"/>
        <n v="2012"/>
      </sharedItems>
    </cacheField>
    <cacheField name="FY #" numFmtId="0">
      <sharedItems containsString="0" containsBlank="1" containsNumber="1" containsInteger="1" minValue="1" maxValue="33"/>
    </cacheField>
    <cacheField name="Quarter" numFmtId="0">
      <sharedItems containsBlank="1"/>
    </cacheField>
    <cacheField name="Calendar Year" numFmtId="0">
      <sharedItems containsSemiMixedTypes="0" containsString="0" containsNumber="1" containsInteger="1" minValue="1985" maxValue="2011" count="17">
        <n v="1985"/>
        <n v="1988"/>
        <n v="1994"/>
        <n v="1998"/>
        <n v="1999"/>
        <n v="2000"/>
        <n v="2001"/>
        <n v="2002"/>
        <n v="2003"/>
        <n v="2004"/>
        <n v="2005"/>
        <n v="2006"/>
        <n v="2007"/>
        <n v="2008"/>
        <n v="2009"/>
        <n v="2010"/>
        <n v="2011"/>
      </sharedItems>
    </cacheField>
    <cacheField name="CY #" numFmtId="0">
      <sharedItems containsString="0" containsBlank="1" containsNumber="1" containsInteger="1" minValue="1" maxValue="33"/>
    </cacheField>
    <cacheField name="Region" numFmtId="0">
      <sharedItems containsBlank="1" count="5">
        <m/>
        <s v="Africa"/>
        <s v="LAC"/>
        <s v="Europe/Asia"/>
        <s v="North America"/>
      </sharedItems>
    </cacheField>
    <cacheField name="Country" numFmtId="0">
      <sharedItems containsBlank="1"/>
    </cacheField>
    <cacheField name="Major Disaster Category" numFmtId="0">
      <sharedItems containsBlank="1"/>
    </cacheField>
    <cacheField name="Disaster Type" numFmtId="0">
      <sharedItems containsBlank="1" count="25">
        <m/>
        <s v="Drought"/>
        <s v="Floods"/>
        <s v="Earthquake"/>
        <s v="Volcano"/>
        <s v="Storm"/>
        <s v="Industrial"/>
        <s v="Floods "/>
        <s v="Conflict"/>
        <s v="Transport"/>
        <s v="Miscellaneous"/>
        <s v="Epidemic"/>
        <s v="Terrorism"/>
        <s v="Meteorological"/>
        <s v="Food Insecurity"/>
        <s v="Wildfire"/>
        <s v="Tsunami"/>
        <s v="Tropical Storm"/>
        <s v="Mass Movement Wet"/>
        <s v="Civil Unrest"/>
        <s v="Cyclone"/>
        <s v="Winter storm"/>
        <s v="Tsunami &amp; Volcanic Eruption"/>
        <s v="Earthquake/ Tsunami"/>
        <s v="Population Movement"/>
      </sharedItems>
    </cacheField>
    <cacheField name="Nature of Disaster (Disaster Sub-Type)" numFmtId="0">
      <sharedItems containsBlank="1"/>
    </cacheField>
    <cacheField name="Disaster Sub-Sub Type" numFmtId="0">
      <sharedItems containsBlank="1"/>
    </cacheField>
    <cacheField name="Total Affected" numFmtId="0">
      <sharedItems containsBlank="1" containsMixedTypes="1" containsNumber="1" containsInteger="1" minValue="2500" maxValue="25000000" count="88">
        <m/>
        <n v="2998214"/>
        <n v="15850000"/>
        <n v="6000000"/>
        <n v="3500000"/>
        <n v="300000"/>
        <n v="1500000"/>
        <n v="2300000"/>
        <n v="2000000"/>
        <n v="365000"/>
        <n v="1000000"/>
        <n v="645000"/>
        <n v="655000"/>
        <n v="210000"/>
        <n v="175000"/>
        <n v="450000"/>
        <n v="185000"/>
        <n v="200000"/>
        <n v="600000"/>
        <n v="8500000"/>
        <n v="162000"/>
        <n v="500000"/>
        <n v="7800000"/>
        <n v="315000"/>
        <n v="4000000"/>
        <n v="322000"/>
        <n v="400000"/>
        <n v="2700"/>
        <n v="2400000"/>
        <n v="10000000"/>
        <n v="4500000"/>
        <n v="50000"/>
        <n v="4800000"/>
        <n v="77000"/>
        <n v="49090"/>
        <n v="30000"/>
        <n v="72000"/>
        <n v="70000"/>
        <n v="800000"/>
        <n v="9750"/>
        <n v="4000"/>
        <n v="2900000"/>
        <s v="-"/>
        <n v="328000"/>
        <n v="366000"/>
        <n v="40158"/>
        <n v="16800000"/>
        <n v="280000"/>
        <n v="90000"/>
        <n v="2943"/>
        <n v="22000"/>
        <n v="250000"/>
        <n v="31250"/>
        <n v="48000"/>
        <n v="700000"/>
        <n v="25000000"/>
        <n v="3928238"/>
        <n v="12000"/>
        <n v="1300000"/>
        <n v="156000"/>
        <n v="100000"/>
        <n v="3000000"/>
        <n v="10000"/>
        <n v="4100000"/>
        <n v="3800000"/>
        <n v="2500"/>
        <n v="75000"/>
        <n v="507000"/>
        <n v="67000"/>
        <n v="173518"/>
        <n v="375000"/>
        <n v="20000000"/>
        <n v="660000"/>
        <n v="215000"/>
        <n v="9500"/>
        <n v="13500"/>
        <n v="6200"/>
        <n v="228500"/>
        <n v="13300000"/>
        <n v="45000"/>
        <n v="5000000"/>
        <n v="3200000"/>
        <n v="638000"/>
        <n v="318846"/>
        <n v="590000"/>
        <n v="3400000"/>
        <n v="410420"/>
        <n v="641098"/>
      </sharedItems>
    </cacheField>
    <cacheField name="Appeal?_x000a_Y/N" numFmtId="0">
      <sharedItems containsBlank="1" count="3">
        <m/>
        <s v="Y"/>
        <s v="N"/>
      </sharedItems>
    </cacheField>
    <cacheField name="Whose Appeal?" numFmtId="0">
      <sharedItems containsBlank="1"/>
    </cacheField>
    <cacheField name="Appeal Amount" numFmtId="0">
      <sharedItems containsBlank="1" containsMixedTypes="1" containsNumber="1" containsInteger="1" minValue="364732" maxValue="254000000" count="117">
        <m/>
        <n v="587000"/>
        <n v="14211607"/>
        <n v="117000000"/>
        <n v="1098045"/>
        <n v="1634707"/>
        <n v="1918000"/>
        <n v="628813"/>
        <s v="`"/>
        <n v="10500000"/>
        <n v="485000"/>
        <n v="2000000"/>
        <n v="1129750"/>
        <n v="31000000"/>
        <n v="1900000"/>
        <n v="83131000"/>
        <n v="4825791"/>
        <n v="514753"/>
        <n v="4225070"/>
        <n v="492625"/>
        <n v="8637057"/>
        <n v="1340000"/>
        <n v="21832647"/>
        <n v="33508000"/>
        <n v="5971938"/>
        <n v="484360"/>
        <n v="32018000"/>
        <n v="1649430"/>
        <n v="1405645"/>
        <n v="38292000"/>
        <n v="86239000"/>
        <n v="17000000"/>
        <n v="4850000"/>
        <n v="15000000"/>
        <n v="6800000"/>
        <n v="2340000"/>
        <n v="9600000"/>
        <n v="2927000"/>
        <n v="1300000"/>
        <n v="9511366"/>
        <n v="3200000"/>
        <n v="1544000"/>
        <n v="1800000"/>
        <n v="2700000"/>
        <n v="22000000"/>
        <n v="672000"/>
        <n v="14200000"/>
        <s v="n/a"/>
        <n v="94000000"/>
        <n v="700000"/>
        <n v="18900000"/>
        <n v="1000000"/>
        <n v="8400000"/>
        <n v="72537164"/>
        <n v="92700000"/>
        <n v="7920006"/>
        <n v="8000000"/>
        <n v="13707000"/>
        <n v="861000"/>
        <n v="1193000"/>
        <n v="7395000"/>
        <n v="2647699"/>
        <n v="7600000"/>
        <n v="1638300"/>
        <s v="-"/>
        <n v="8811345"/>
        <n v="1388924"/>
        <n v="9880000"/>
        <n v="4000000"/>
        <n v="571953"/>
        <n v="66586679"/>
        <n v="1437632"/>
        <n v="9200000"/>
        <n v="957924"/>
        <n v="1878181"/>
        <n v="2200000"/>
        <n v="7300000"/>
        <n v="806936"/>
        <n v="3076415"/>
        <n v="2600000"/>
        <n v="6650000"/>
        <n v="5470000"/>
        <n v="18600000"/>
        <n v="2450000"/>
        <n v="3100000"/>
        <n v="8427856"/>
        <n v="1681039"/>
        <n v="200000000"/>
        <n v="1625152"/>
        <n v="6400000"/>
        <n v="991697"/>
        <n v="664175"/>
        <n v="1112170"/>
        <n v="9966159"/>
        <n v="911836"/>
        <n v="148500000"/>
        <n v="1080000"/>
        <n v="6000000"/>
        <n v="4310000"/>
        <n v="2865860"/>
        <n v="622109"/>
        <n v="1109939"/>
        <n v="364732"/>
        <n v="45216000"/>
        <n v="571602"/>
        <n v="4340568"/>
        <n v="2032221"/>
        <n v="254000000"/>
        <n v="4400000"/>
        <n v="1500000"/>
        <n v="11900000"/>
        <n v="3800000"/>
        <n v="2198600"/>
        <n v="898600"/>
        <n v="11800000"/>
        <n v="1229430"/>
        <n v="2800000"/>
      </sharedItems>
    </cacheField>
    <cacheField name="Appeal #" numFmtId="0">
      <sharedItems containsBlank="1"/>
    </cacheField>
    <cacheField name="% of Appeal Covered by ARC" numFmtId="169">
      <sharedItems containsMixedTypes="1" containsNumber="1" minValue="0" maxValue="0.36102216666666664" count="103">
        <s v=""/>
        <n v="4.2589437819420782E-2"/>
        <n v="0"/>
        <n v="6.623931623931624E-2"/>
        <n v="6.405930540187333E-3"/>
        <n v="0.23663660062565173"/>
        <n v="3.3504396378573595E-2"/>
        <n v="1.4285714285714285E-2"/>
        <n v="0.10309278350515463"/>
        <n v="2.75E-2"/>
        <n v="8.3612303606992691E-2"/>
        <n v="4.5104838709677422E-2"/>
        <n v="2.631578947368421E-3"/>
        <n v="2.2730389385427818E-2"/>
        <n v="1.036099574142353E-2"/>
        <n v="9.7133965222155089E-2"/>
        <n v="2.0118009879126264E-2"/>
        <n v="2.0299416391778735E-2"/>
        <n v="9.1119000372464828E-2"/>
        <n v="4.7014925373134328E-2"/>
        <n v="3.6642373231244017E-3"/>
        <n v="2.9843619434164977E-3"/>
        <n v="0.30968700966223472"/>
        <n v="6.2464863514273224E-2"/>
        <n v="3.5570858929530574E-2"/>
        <n v="2.6115115428810196E-3"/>
        <n v="2.3191363536219111E-3"/>
        <n v="1.6764705882352942E-2"/>
        <n v="2.5670103092783506E-2"/>
        <n v="1.6666666666666666E-2"/>
        <n v="1.4705882352941176E-2"/>
        <n v="2.1367521367521368E-2"/>
        <n v="3.125E-2"/>
        <n v="3.8461538461538464E-2"/>
        <n v="6.2406249999999996E-3"/>
        <n v="2.266839378238342E-2"/>
        <n v="0.28726499999999999"/>
        <n v="4.2592592592592592E-2"/>
        <n v="4.926618181818182E-2"/>
        <n v="3.5342261904761904E-2"/>
        <n v="2.1126760563380281E-2"/>
        <n v="7.5957446808510637E-3"/>
        <n v="0.35"/>
        <n v="1.4232804232804232E-2"/>
        <n v="3.5714285714285712E-2"/>
        <n v="3.446509157705697E-3"/>
        <n v="0.10787486515641856"/>
        <n v="1.2626253060919398E-2"/>
        <n v="2.3125E-2"/>
        <n v="3.6477712117895965E-3"/>
        <n v="3.7091366303436714E-2"/>
        <n v="1.3522650439486139E-2"/>
        <n v="1.8884321820569483E-2"/>
        <n v="3.7326578947368419E-2"/>
        <n v="7.3883904046877863E-2"/>
        <n v="0.12823728953979216"/>
        <n v="0.17760727008821217"/>
        <n v="1.0121457489878543E-2"/>
        <n v="1.2500000000000001E-2"/>
        <n v="0.17483954101123694"/>
        <n v="7.5090094221398245E-3"/>
        <n v="3.4779415038062589E-2"/>
        <n v="1.0869565217391304E-2"/>
        <n v="2.6621502400460871E-2"/>
        <n v="9.0909090909090912E-2"/>
        <n v="3.4246575342465752E-2"/>
        <n v="1.4251440015069349E-2"/>
        <n v="1.6252683724399992E-2"/>
        <n v="0.15789473684210525"/>
        <n v="0.17367458866544791"/>
        <n v="2.6881720430107527E-2"/>
        <n v="4.0816326530612242E-2"/>
        <n v="1.1865413932084269E-2"/>
        <n v="0.14491335418155082"/>
        <n v="0.17188673215"/>
        <n v="0.12306541172764147"/>
        <n v="0.15625"/>
        <n v="0.1462140149662649"/>
        <n v="7.5281364098317455E-2"/>
        <n v="8.9914311660987081E-2"/>
        <n v="1.0033955910195694E-2"/>
        <n v="0.10966884395878206"/>
        <n v="2.7609427609427608E-2"/>
        <n v="2.7777777777777776E-2"/>
        <n v="0.36102216666666664"/>
        <n v="6.9605568445475635E-3"/>
        <n v="1.7446769905019786E-2"/>
        <n v="0.23307812618046034"/>
        <n v="0.1801900825180483"/>
        <n v="8.786049186128804E-3"/>
        <n v="0.31840336457885032"/>
        <n v="3.4557689224083116E-2"/>
        <n v="2.4603623326400034E-2"/>
        <n v="1.2255905511811023E-2"/>
        <n v="1.1363636363636364E-2"/>
        <n v="3.3333333333333333E-2"/>
        <n v="4.2016806722689074E-3"/>
        <n v="1.3157894736842105E-2"/>
        <n v="2.2259619758027836E-2"/>
        <n v="1.3223076923076922E-2"/>
        <n v="6.8559322033898307E-2"/>
        <n v="4.0669253231172167E-2"/>
        <n v="2.6785714285714284E-2"/>
      </sharedItems>
    </cacheField>
    <cacheField name="Overall Appeal Coverage" numFmtId="0">
      <sharedItems containsBlank="1" containsMixedTypes="1" containsNumber="1" minValue="0.06" maxValue="1.04"/>
    </cacheField>
    <cacheField name="IFRC DREF?" numFmtId="0">
      <sharedItems containsBlank="1"/>
    </cacheField>
    <cacheField name="DREF Amount" numFmtId="0">
      <sharedItems containsString="0" containsBlank="1" containsNumber="1" containsInteger="1" minValue="49273" maxValue="613944"/>
    </cacheField>
    <cacheField name="Multilateral Beneficiaries" numFmtId="0">
      <sharedItems containsBlank="1" containsMixedTypes="1" containsNumber="1" containsInteger="1" minValue="0" maxValue="25000000"/>
    </cacheField>
    <cacheField name="Bilateral Request?" numFmtId="0">
      <sharedItems containsBlank="1"/>
    </cacheField>
    <cacheField name="Direct Beneficiaries" numFmtId="0">
      <sharedItems containsBlank="1" containsMixedTypes="1" containsNumber="1" containsInteger="1" minValue="0" maxValue="50000"/>
    </cacheField>
    <cacheField name="Contribution to IFRC/ICRC &gt;/= $50K?" numFmtId="0">
      <sharedItems containsString="0" containsBlank="1" containsNumber="1" containsInteger="1" minValue="0" maxValue="4"/>
    </cacheField>
    <cacheField name="Cash to IFRC" numFmtId="166">
      <sharedItems containsString="0" containsBlank="1" containsNumber="1" minValue="0" maxValue="30000000"/>
    </cacheField>
    <cacheField name="Cash to ICRC" numFmtId="0">
      <sharedItems containsBlank="1" containsMixedTypes="1" containsNumber="1" minValue="50000" maxValue="4377346.43"/>
    </cacheField>
    <cacheField name="Cash to NS" numFmtId="166">
      <sharedItems containsString="0" containsBlank="1" containsNumber="1" minValue="1000" maxValue="256000000"/>
    </cacheField>
    <cacheField name="Cash to Other Orgs" numFmtId="0">
      <sharedItems containsString="0" containsBlank="1" containsNumber="1" containsInteger="1" minValue="1500000" maxValue="1500000"/>
    </cacheField>
    <cacheField name="Total Cash" numFmtId="166">
      <sharedItems containsBlank="1" containsMixedTypes="1" containsNumber="1" minValue="0" maxValue="259800000"/>
    </cacheField>
    <cacheField name="ARC People Deployed" numFmtId="0">
      <sharedItems containsString="0" containsBlank="1" containsNumber="1" containsInteger="1" minValue="0" maxValue="82"/>
    </cacheField>
    <cacheField name="ERUs" numFmtId="0">
      <sharedItems containsBlank="1"/>
    </cacheField>
    <cacheField name="Individual Deployments" numFmtId="0">
      <sharedItems containsString="0" containsBlank="1" containsNumber="1" containsInteger="1" minValue="1" maxValue="85"/>
    </cacheField>
    <cacheField name="Total ARC Items Supplied" numFmtId="0">
      <sharedItems containsBlank="1" containsMixedTypes="1" containsNumber="1" minValue="11" maxValue="5143307"/>
    </cacheField>
    <cacheField name="Pre-positioned?" numFmtId="0">
      <sharedItems containsBlank="1"/>
    </cacheField>
    <cacheField name="Hygiene Kits" numFmtId="0">
      <sharedItems containsString="0" containsBlank="1" containsNumber="1" containsInteger="1" minValue="214" maxValue="45000"/>
    </cacheField>
    <cacheField name="Blankets" numFmtId="0">
      <sharedItems containsString="0" containsBlank="1" containsNumber="1" containsInteger="1" minValue="1000" maxValue="222900"/>
    </cacheField>
    <cacheField name="Jerry Cans" numFmtId="0">
      <sharedItems containsString="0" containsBlank="1" containsNumber="1" containsInteger="1" minValue="321" maxValue="30000"/>
    </cacheField>
    <cacheField name="Buckets" numFmtId="0">
      <sharedItems containsString="0" containsBlank="1" containsNumber="1" containsInteger="1" minValue="3650" maxValue="28000"/>
    </cacheField>
    <cacheField name="Tents" numFmtId="0">
      <sharedItems containsString="0" containsBlank="1" containsNumber="1" containsInteger="1" minValue="5" maxValue="5200"/>
    </cacheField>
    <cacheField name="Kitchen Sets" numFmtId="0">
      <sharedItems containsString="0" containsBlank="1" containsNumber="1" containsInteger="1" minValue="500" maxValue="18000"/>
    </cacheField>
    <cacheField name="Sleeping Mats / Bedsheets" numFmtId="0">
      <sharedItems containsString="0" containsBlank="1" containsNumber="1" containsInteger="1" minValue="500" maxValue="30518"/>
    </cacheField>
    <cacheField name="Mosquito Nets" numFmtId="0">
      <sharedItems containsString="0" containsBlank="1" containsNumber="1" containsInteger="1" minValue="1000" maxValue="20000"/>
    </cacheField>
    <cacheField name="Food Parcels" numFmtId="0">
      <sharedItems containsString="0" containsBlank="1" containsNumber="1" containsInteger="1" minValue="2600" maxValue="40000"/>
    </cacheField>
    <cacheField name="Tarps" numFmtId="0">
      <sharedItems containsString="0" containsBlank="1" containsNumber="1" containsInteger="1" minValue="20" maxValue="11000"/>
    </cacheField>
    <cacheField name="Vehicles" numFmtId="0">
      <sharedItems containsString="0" containsBlank="1" containsNumber="1" containsInteger="1" minValue="1" maxValue="7"/>
    </cacheField>
    <cacheField name="Other Items" numFmtId="0">
      <sharedItems containsString="0" containsBlank="1" containsNumber="1" containsInteger="1" minValue="3000" maxValue="6250"/>
    </cacheField>
    <cacheField name="Rice Bags" numFmtId="0">
      <sharedItems containsNonDate="0" containsString="0" containsBlank="1"/>
    </cacheField>
    <cacheField name="Value of Supplies" numFmtId="0">
      <sharedItems containsBlank="1" containsMixedTypes="1" containsNumber="1" minValue="0" maxValue="15266353"/>
    </cacheField>
    <cacheField name="Operational (People) Cost for Response Phase" numFmtId="0">
      <sharedItems containsBlank="1" containsMixedTypes="1" containsNumber="1" minValue="0" maxValue="100000000"/>
    </cacheField>
    <cacheField name="Total $ Response Phase" numFmtId="166">
      <sharedItems containsBlank="1" containsMixedTypes="1" containsNumber="1" minValue="0" maxValue="259800000"/>
    </cacheField>
    <cacheField name="Early Recovery $" numFmtId="0">
      <sharedItems containsString="0" containsBlank="1" containsNumber="1" minValue="764192.86" maxValue="337000000"/>
    </cacheField>
    <cacheField name="Future Contrib Anticipated $" numFmtId="0">
      <sharedItems containsString="0" containsBlank="1" containsNumber="1" containsInteger="1" minValue="500000" maxValue="500000"/>
    </cacheField>
    <cacheField name="Beneficiaries Served (Final Rpt)" numFmtId="0">
      <sharedItems containsString="0" containsBlank="1" containsNumber="1" minValue="0" maxValue="455000"/>
    </cacheField>
    <cacheField name="Total Contributions" numFmtId="166">
      <sharedItems containsBlank="1" containsMixedTypes="1" containsNumber="1" minValue="0" maxValue="477328823.80666667" count="193">
        <n v="19700000"/>
        <n v="14000000"/>
        <n v="18000000"/>
        <n v="50000000"/>
        <n v="39000000"/>
        <n v="100000"/>
        <n v="10000"/>
        <n v="0"/>
        <n v="25000"/>
        <n v="80000"/>
        <n v="132193"/>
        <n v="1200000"/>
        <n v="200"/>
        <n v="150000"/>
        <n v="205000"/>
        <n v="610134"/>
        <n v="50000"/>
        <n v="5153184.1400000006"/>
        <n v="15000"/>
        <n v="9000"/>
        <n v="1056000"/>
        <n v="23333.333333333332"/>
        <n v="23333.343333333331"/>
        <n v="389265"/>
        <n v="352704"/>
        <n v="20000"/>
        <n v="118500"/>
        <n v="40000"/>
        <n v="172000"/>
        <n v="90000"/>
        <n v="7500"/>
        <n v="2577.8000000000002"/>
        <n v="30500"/>
        <n v="227500"/>
        <n v="690000"/>
        <n v="250000"/>
        <n v="174000"/>
        <n v="1000"/>
        <n v="20700"/>
        <n v="18000"/>
        <n v="699130"/>
        <n v="12000000"/>
        <n v="3515479.37"/>
        <n v="97982"/>
        <n v="4400"/>
        <n v="60000"/>
        <n v="5000"/>
        <n v="500"/>
        <n v="71832"/>
        <n v="45000"/>
        <n v="21612.23"/>
        <n v="350424.24"/>
        <n v="11700"/>
        <n v="104805"/>
        <n v="225000"/>
        <n v="2000"/>
        <n v="75000"/>
        <n v="232252.87"/>
        <n v="115139.84"/>
        <n v="35000"/>
        <n v="130000"/>
        <n v="46670"/>
        <n v="237898.78"/>
        <n v="1345"/>
        <n v="7242.1372799999999"/>
        <n v="350000"/>
        <n v="421694"/>
        <n v="32812"/>
        <n v="17812"/>
        <n v="331380"/>
        <n v="32500"/>
        <n v="370642"/>
        <n v="21400"/>
        <n v="16700"/>
        <n v="65870"/>
        <n v="35027"/>
        <n v="10500"/>
        <n v="1175801.98"/>
        <n v="19975"/>
        <n v="6178"/>
        <n v="110000"/>
        <n v="220134.81245"/>
        <n v="44557.856"/>
        <n v="61220"/>
        <n v="110266.26"/>
        <n v="97442.48"/>
        <n v="3000"/>
        <n v="18675"/>
        <n v="247400"/>
        <n v="35975"/>
        <n v="59896.536212325685"/>
        <n v="302452.19"/>
        <n v="131046.88"/>
        <n v="112853.79000000001"/>
        <n v="401375"/>
        <n v="2655"/>
        <n v="103848909.52666667"/>
        <n v="477328823.80666667"/>
        <n v="1822266.6666666667"/>
        <n v="13100"/>
        <n v="32475"/>
        <n v="108693"/>
        <n v="36200"/>
        <n v="12558310"/>
        <n v="47581"/>
        <n v="342378"/>
        <n v="7034"/>
        <n v="20597"/>
        <n v="497744"/>
        <n v="21068"/>
        <n v="17402"/>
        <n v="400000"/>
        <n v="188443"/>
        <n v="55000"/>
        <n v="94461"/>
        <n v="1485750"/>
        <n v="1889600"/>
        <n v="85000"/>
        <n v="46900"/>
        <n v="793500"/>
        <n v="63000"/>
        <n v="200000"/>
        <n v="245000"/>
        <n v="2000000"/>
        <n v="102000"/>
        <n v="295000"/>
        <n v="124500"/>
        <n v="153400"/>
        <n v="20188"/>
        <n v="3400000"/>
        <n v="34565"/>
        <n v="298680"/>
        <n v="2500"/>
        <n v="22500"/>
        <n v="47500"/>
        <n v="17400"/>
        <n v="19970"/>
        <n v="104055"/>
        <n v="58073"/>
        <n v="37440"/>
        <n v="1900000"/>
        <n v="115000"/>
        <n v="1356654"/>
        <n v="23750"/>
        <n v="300000"/>
        <n v="867000"/>
        <n v="12400"/>
        <n v="714000"/>
        <n v="269000"/>
        <n v="48500"/>
        <n v="55000000"/>
        <n v="185000"/>
        <m/>
        <n v="44250"/>
        <n v="1532876"/>
        <n v="121044"/>
        <s v="-"/>
        <n v="1129943"/>
        <n v="246683"/>
        <n v="921250"/>
        <n v="74200"/>
        <n v="1520000"/>
        <n v="500000"/>
        <n v="30000"/>
        <n v="981315"/>
        <n v="330000"/>
        <n v="11500"/>
        <n v="259500"/>
        <n v="1168000"/>
        <n v="2150000"/>
        <n v="1664192.8599999999"/>
        <n v="190000"/>
        <n v="274845"/>
        <n v="139611532"/>
        <n v="6400000"/>
        <n v="1000000"/>
        <n v="145000"/>
        <n v="180000"/>
        <n v="8200000"/>
        <n v="16068357"/>
        <n v="322330"/>
        <n v="240000"/>
        <n v="9812"/>
        <n v="440270"/>
        <n v="826450"/>
        <n v="56000"/>
        <n v="259800000"/>
        <n v="182000"/>
        <n v="3235000"/>
        <n v="303940"/>
        <n v="809000"/>
        <n v="270000"/>
        <n v="167000"/>
      </sharedItems>
    </cacheField>
    <cacheField name="Designated Fundraising?" numFmtId="0">
      <sharedItems containsBlank="1" count="3">
        <m/>
        <s v="Y"/>
        <s v="N"/>
      </sharedItems>
    </cacheField>
    <cacheField name="Limited corporate or full public?" numFmtId="0">
      <sharedItems containsBlank="1"/>
    </cacheField>
    <cacheField name="Total Funds Raised" numFmtId="0">
      <sharedItems containsString="0" containsBlank="1" containsNumber="1" containsInteger="1" minValue="56000" maxValue="307256521"/>
    </cacheField>
    <cacheField name="As of Date" numFmtId="0">
      <sharedItems containsNonDate="0" containsDate="1" containsString="0" containsBlank="1" minDate="2011-02-28T00:00:00" maxDate="2011-12-02T00:00:00"/>
    </cacheField>
    <cacheField name="Date Fundraising Closed" numFmtId="14">
      <sharedItems containsDate="1" containsBlank="1" containsMixedTypes="1" minDate="2011-02-28T00:00:00" maxDate="2011-11-18T00:00:00"/>
    </cacheField>
    <cacheField name="AP Code 1" numFmtId="0">
      <sharedItems containsBlank="1" containsMixedTypes="1" containsNumber="1" containsInteger="1" minValue="2002" maxValue="9306"/>
    </cacheField>
    <cacheField name="AP1 Amount" numFmtId="0">
      <sharedItems containsString="0" containsBlank="1" containsNumber="1" containsInteger="1" minValue="30000" maxValue="200000"/>
    </cacheField>
    <cacheField name="AP Code 2" numFmtId="0">
      <sharedItems containsString="0" containsBlank="1" containsNumber="1" containsInteger="1" minValue="2010" maxValue="2882"/>
    </cacheField>
    <cacheField name="AP2 Amount" numFmtId="0">
      <sharedItems containsString="0" containsBlank="1" containsNumber="1" containsInteger="1" minValue="100000" maxValue="2553000"/>
    </cacheField>
    <cacheField name="AP Code 3" numFmtId="0">
      <sharedItems containsString="0" containsBlank="1" containsNumber="1" containsInteger="1" minValue="2099" maxValue="2799"/>
    </cacheField>
    <cacheField name="AP3 Amount" numFmtId="166">
      <sharedItems containsBlank="1" containsMixedTypes="1" containsNumber="1" containsInteger="1" minValue="200000" maxValue="200000"/>
    </cacheField>
    <cacheField name="ARCT?" numFmtId="0">
      <sharedItems containsBlank="1"/>
    </cacheField>
    <cacheField name="OFDA?" numFmtId="0">
      <sharedItems containsBlank="1"/>
    </cacheField>
    <cacheField name="RRF?" numFmtId="0">
      <sharedItems containsBlank="1"/>
    </cacheField>
    <cacheField name="IRF?" numFmtId="0">
      <sharedItems containsBlank="1"/>
    </cacheField>
    <cacheField name="Funding Source &amp; Info" numFmtId="0">
      <sharedItems containsBlank="1" longText="1"/>
    </cacheField>
    <cacheField name="Stewardship report?" numFmtId="0">
      <sharedItems containsBlank="1"/>
    </cacheField>
    <cacheField name="Disaster Response Description " numFmtId="0">
      <sharedItems containsDate="1" containsBlank="1" containsMixedTypes="1" minDate="2008-09-11T00:00:00" maxDate="1900-01-04T11:09:05" longText="1"/>
    </cacheField>
    <cacheField name="Contributions Description" numFmtId="0">
      <sharedItems containsBlank="1" longText="1"/>
    </cacheField>
    <cacheField name="% Appeal Covered by ARC" numFmtId="0" formula="IF('Appeal Amount'=0,&quot;&quot;,'Cash to IFRC'+'Cash to ICRC'+'Cash to NS')" databaseField="0"/>
  </cacheFields>
  <extLst>
    <ext xmlns:x14="http://schemas.microsoft.com/office/spreadsheetml/2009/9/main" uri="{725AE2AE-9491-48be-B2B4-4EB974FC3084}">
      <x14:pivotCacheDefinition/>
    </ext>
  </extLst>
</pivotCacheDefinition>
</file>

<file path=xl/pivotCache/pivotCacheDefinition28.xml><?xml version="1.0" encoding="utf-8"?>
<pivotCacheDefinition xmlns="http://schemas.openxmlformats.org/spreadsheetml/2006/main" xmlns:r="http://schemas.openxmlformats.org/officeDocument/2006/relationships" r:id="rId1" refreshedBy="Eliza Paul" refreshedDate="40939.623039699072" createdVersion="3" refreshedVersion="3" minRefreshableVersion="3" recordCount="340">
  <cacheSource type="worksheet">
    <worksheetSource ref="A1:BY343" sheet="Disaster Data"/>
  </cacheSource>
  <cacheFields count="77">
    <cacheField name="Glide #" numFmtId="0">
      <sharedItems containsBlank="1"/>
    </cacheField>
    <cacheField name="ARC Disaster #" numFmtId="0">
      <sharedItems containsMixedTypes="1" containsNumber="1" containsInteger="1" minValue="1" maxValue="265"/>
    </cacheField>
    <cacheField name="Disaster Name" numFmtId="0">
      <sharedItems count="250">
        <s v="Mexico Earthquake"/>
        <s v="Armenia Earthquake"/>
        <s v="Rwanda Crisis"/>
        <s v="Hurricane Mitch"/>
        <s v="Balkans Crisis"/>
        <s v="Ethiopia Drought"/>
        <s v="Mexico Floods"/>
        <s v="Costa Rica Floods"/>
        <s v="China Floods"/>
        <s v="Turkey Earthquake"/>
        <s v="Nicaragua Volcano"/>
        <s v="Cambodia Floods"/>
        <s v="Greece Earthquake"/>
        <s v="Bahamas Storm"/>
        <s v="Taiwan Earthquake"/>
        <s v="Japan Industrial"/>
        <s v="Mexico Floods "/>
        <s v="Russian Fed. Conflict"/>
        <s v="Timor-Leste Conflict"/>
        <s v="Bangladesh Floods"/>
        <s v="India Storm"/>
        <s v="Vietnam Floods"/>
        <s v="Dominica Storm"/>
        <s v="St. Kitts &amp; Nevis Storm"/>
        <s v="Antigua Storm"/>
        <s v="Grenada Storm"/>
        <s v="St. Maartens Storm"/>
        <s v="Venezuela Floods"/>
        <s v="South Africa Floods"/>
        <s v="Botswana Floods"/>
        <s v="Zimbabwe Floods"/>
        <s v="Madagascar Floods"/>
        <s v="Indonesia Earthquake"/>
        <s v="India Floods"/>
        <s v="Belize Storm"/>
        <s v="Israel Conflict"/>
        <s v="Jordan Conflict"/>
        <s v="Palestine Conflict"/>
        <s v="Taiwan Transport"/>
        <s v="Austria Miscellaneous"/>
        <s v="Azerbaijan Earthquake"/>
        <s v="Sri Lanka Storm"/>
        <s v="South Africa Epidemic"/>
        <s v="El Salvador Earthquake"/>
        <s v="China Storm"/>
        <s v="India Earthquake"/>
        <s v="Mozambique Floods"/>
        <s v="Malawi Floods"/>
        <s v="Bolivia Floods"/>
        <s v="Peru Floods"/>
        <s v="Canada Transport"/>
        <s v="Russian Fed. Floods"/>
        <s v="Macedonia Conflict"/>
        <s v="Bosnia Floods"/>
        <s v="Peru Earthquake"/>
        <s v="El Salvador Drought"/>
        <s v="Honduras Drought"/>
        <s v="Nicaragua Drought"/>
        <s v="Guatemala Drought"/>
        <s v="Ecuador Volcano"/>
        <s v="Afghanistan Conflict"/>
        <s v="Pakistan Conflict"/>
        <s v="Uzbekistan Conflict"/>
        <s v="Iran Conflict"/>
        <s v="Turkmenistan Conflict"/>
        <s v="US Terrorism"/>
        <s v="Mexico Transport"/>
        <s v="Mexico Storm"/>
        <s v="Belize Meteorological"/>
        <s v="Belize Transport"/>
        <s v="Honduras Storm"/>
        <s v="Nicaragua Storm"/>
        <s v="Cuba Storm"/>
        <s v="Jamaica Storm"/>
        <s v="US Transport"/>
        <s v="Cambodia Miscellaneous"/>
        <s v="Albania Storm"/>
        <s v="DR Congo Volcano"/>
        <s v="Nigeria Industrial"/>
        <s v="Afghanistan Earthquake"/>
        <s v="Panama Floods"/>
        <s v="Kenya Floods"/>
        <s v="Malawi Food Insecurity"/>
        <s v="Nicaragua  Floods"/>
        <s v="Syria Miscellaneous"/>
        <s v="FS Micronesia Storm"/>
        <s v="Peru Storm"/>
        <s v="Bolivia Storm"/>
        <s v="Romania Floods"/>
        <s v="Germany Floods"/>
        <s v="Czech Republic Floods"/>
        <s v="Slovakia Floods"/>
        <s v="Hungary Floods"/>
        <s v="Austria Floods"/>
        <s v="Paraguay Drought"/>
        <s v="South Korea Storm"/>
        <s v="Italy Earthquake"/>
        <s v="Indonesia Terrorism"/>
        <s v="Australia Terrorism"/>
        <s v="Vietnam Miscellaneous"/>
        <s v="Lesotho Food Insecurity"/>
        <s v="Kenya Epidemic"/>
        <s v="Solomon Islands Storm"/>
        <s v="South Korea Transport"/>
        <s v="China Earthquake"/>
        <s v="Iraq Conflict"/>
        <s v="Syria Conflict"/>
        <s v="Turkey Conflict"/>
        <s v="Argentina Floods"/>
        <s v="China Epidemic"/>
        <s v="Hong Kong Epidemic"/>
        <s v="Sri Lanka Floods"/>
        <s v="Canada Wildfire"/>
        <s v="Dominican Republic Earthquake"/>
        <s v="Algeria Earthquake"/>
        <s v="Liberia Conflict"/>
        <s v="Dominican Republic Floods"/>
        <s v="Iran Earthquake"/>
        <s v="Panama Earthquake"/>
        <s v="North Korea Transport"/>
        <s v="Haiti Floods"/>
        <s v="Malawi Epidemic"/>
        <s v="Jamaica Conflict"/>
        <s v="Paraguay Miscellaneous"/>
        <s v="Chad Conflict"/>
        <s v="Sudan Conflict"/>
        <s v="Taiwan Storm"/>
        <s v="Cayman Islands Storm"/>
        <s v="Sri Lanka Tsunami"/>
        <s v="Indonesia Tsunami"/>
        <s v="Maldives Tsunami"/>
        <s v="Guyana Floods"/>
        <s v="Canada Floods"/>
        <s v="Hurricane Dennis - Jamaica "/>
        <s v="Hurricane Dennis - Grenada"/>
        <s v="Hurricane Dennis - Haiti"/>
        <s v="Sahel Food Crisis"/>
        <s v="Hurricane Katrina"/>
        <s v="Pakistan Earthquake"/>
        <s v="Hurricane Stan - Guatemala"/>
        <s v="Hurricane Stan - Mexico"/>
        <s v="El Salvador Hurricane Stan &amp; Volcano Eruption"/>
        <s v="Hurricane Wilma - Bahamas"/>
        <s v="Hurricane Wilma - Mexico"/>
        <s v="Vietnam Typhoon Damrey"/>
        <s v="Colombia Volcano"/>
        <s v="Southern Africa Food Security Crisis - Lesotho"/>
        <s v="Southern Africa Food Security Crisis - Malawi"/>
        <s v="Southern Africa Food Security Crisis - Zimbabwe"/>
        <s v="Southern Africa Food Security Crisis - Zambia"/>
        <s v="Eastern Africa Drought"/>
        <s v="Iraq Humanitarian Emergency"/>
        <s v="Timor-Leste Floods"/>
        <s v="Philippines Mudslides"/>
        <s v="Angola Cholera Epidemic"/>
        <s v="Somalia Drought"/>
        <s v="Spain Terrorism"/>
        <s v="Colombia Floods"/>
        <s v="Indonesia Yogyakarta Earthquake"/>
        <s v="Middle East Humanitarian Crisis"/>
        <s v="Ecuador Volanic Eruption"/>
        <s v="Ethiopia Floods"/>
        <s v="Sudan Floods"/>
        <s v="Philippines Typhoons"/>
        <s v="Vietnam Typhoons"/>
        <s v="Somalia Conflict"/>
        <s v="Somalia Floods"/>
        <s v="Sri Lanka Conflict"/>
        <s v="Madagascar Cyclones"/>
        <s v="Solomon Islands Tsunami/ Earthquake"/>
        <s v="Colombia Tolima Floods"/>
        <s v="Mexico Coahuila Tornado"/>
        <s v="Pakistan Cyclone Yemyin"/>
        <s v="United Kingdom Floods"/>
        <s v="Nepal Floods"/>
        <s v="Hurricane Dean"/>
        <s v="Greece Wildfire"/>
        <s v="Hurricane Felix"/>
        <s v="Indonesia Bengkulu Earthquake"/>
        <s v="Uganda Floods"/>
        <s v="Togo Floods"/>
        <s v="Tropical Storm Noel"/>
        <s v="Vietnam Typhoon Lekima"/>
        <s v="Bangladesh Cyclone Sidr"/>
        <s v="Papua New Guinea Storm"/>
        <s v="Kenya Election Civil Unrest"/>
        <s v="China Snow Disaster"/>
        <s v="Guyana Civil Unrest"/>
        <s v="Ecuador Floods"/>
        <s v="Madagascar Cyclone Ivan"/>
        <s v="Southern Africa Floods - Cyclone Jokwe"/>
        <s v="Myanmar Cyclone Nargis"/>
        <s v="China Sichuan Earthquake"/>
        <s v="Ethiopia Food Insecurity"/>
        <s v="South Africa Civil Unrest"/>
        <s v="Chile Floods"/>
        <s v="Philippines – Typhoon Fengshen"/>
        <s v="Yemen Conflict"/>
        <s v="Suriname Floods"/>
        <s v="Moldova and Ukraine Floods"/>
        <s v="Georgia Conflict"/>
        <s v="Haiti Hurricane Season 2008"/>
        <s v="Carribean Hurricane Season 2008 - Bahamas"/>
        <s v="Carribean Hurricane Season 2008 -  Jamaica"/>
        <s v="Cuba Hurricane Season 2008"/>
        <s v="Central America Floods"/>
        <s v="Pakistan Baluchistan Earthquake"/>
        <s v="Panama &amp; Costa Rica Floods"/>
        <s v="Horn of Africa Food Insecurity Crisis"/>
        <s v="Uganda, Rwanda, Burundi Population Movement"/>
        <s v="Zimbabwe Cholera Epidemic"/>
        <s v="Gaza Conflict - Israel"/>
        <s v="Gaza Conflict - Palestine"/>
        <s v="Costa Rica Earthquake"/>
        <s v="Australia Wildfires"/>
        <s v="Namibia Floods"/>
        <s v="Africa Polio Outbreak"/>
        <s v="Pakistan Internally Displaced Persons Crisis"/>
        <s v="Bangladesh Cyclone Aila"/>
        <s v="Tajikistan Mudslides and Floods"/>
        <s v="Syria Drought"/>
        <s v="West &amp; Central Africa Floods - Burkina Faso"/>
        <s v="West &amp; Central Africa Floods - Senegal"/>
        <s v="Mexico Hurricane Jimena"/>
        <s v="Java Indonesia Earthquake"/>
        <s v="Southeast Asia Typhoons - Philippines"/>
        <s v="Southeast Asia Typhoons - Vietnam"/>
        <s v="West Sumatra Indonesia Earthquake"/>
        <s v="Samoa Islands Tsunami"/>
        <s v="Kenya Drought"/>
        <s v="El Salvador Floods"/>
        <s v="Haiti Earthquake"/>
        <s v="Tanzania Floods"/>
        <s v="Chile Earthquake"/>
        <s v="Mongolia Severe Winter"/>
        <s v="Nepal Diarrhea Outbreak"/>
        <s v="Tropical Storm Agatha"/>
        <s v="Kyrgyzstan-Uzbekistan Population Movement"/>
        <s v="Pakistan Monsoon Floods"/>
        <s v="Haiti &amp; Dominican Republic Cholera Outbreak"/>
        <s v="Philippines Typhoon Megi"/>
        <s v="Indonesia Tsunami &amp; Volcanic Eruption"/>
        <s v="Caribbean Hurricane Tomas"/>
        <s v="Belize Hurricane Richard"/>
        <s v="Colombian Floods"/>
        <s v="North Africa &amp; Middle East Civil Unrest"/>
        <s v="New Zealand Earthquake"/>
        <s v="Paraguay Dengue Epidemic"/>
        <s v="Japan Earthquake &amp; Tsunami"/>
        <s v="West African Population Movement"/>
      </sharedItems>
    </cacheField>
    <cacheField name="Date of Response" numFmtId="167">
      <sharedItems containsSemiMixedTypes="0" containsNonDate="0" containsDate="1" containsString="0" minDate="1985-09-01T00:00:00" maxDate="2011-04-02T00:00:00"/>
    </cacheField>
    <cacheField name="Fiscal Year" numFmtId="0">
      <sharedItems containsSemiMixedTypes="0" containsString="0" containsNumber="1" containsInteger="1" minValue="1986" maxValue="2011" count="16">
        <n v="1986"/>
        <n v="1989"/>
        <n v="1994"/>
        <n v="1999"/>
        <n v="2000"/>
        <n v="2001"/>
        <n v="2002"/>
        <n v="2003"/>
        <n v="2004"/>
        <n v="2005"/>
        <n v="2006"/>
        <n v="2007"/>
        <n v="2008"/>
        <n v="2009"/>
        <n v="2010"/>
        <n v="2011"/>
      </sharedItems>
    </cacheField>
    <cacheField name="FY #" numFmtId="0">
      <sharedItems containsString="0" containsBlank="1" containsNumber="1" containsInteger="1" minValue="1" maxValue="33" count="34">
        <m/>
        <n v="1"/>
        <n v="2"/>
        <n v="3"/>
        <n v="4"/>
        <n v="5"/>
        <n v="6"/>
        <n v="7"/>
        <n v="8"/>
        <n v="9"/>
        <n v="10"/>
        <n v="11"/>
        <n v="12"/>
        <n v="13"/>
        <n v="14"/>
        <n v="15"/>
        <n v="16"/>
        <n v="17"/>
        <n v="18"/>
        <n v="19"/>
        <n v="21"/>
        <n v="22"/>
        <n v="23"/>
        <n v="20"/>
        <n v="24"/>
        <n v="25"/>
        <n v="26"/>
        <n v="27"/>
        <n v="28"/>
        <n v="29"/>
        <n v="32"/>
        <n v="30"/>
        <n v="31"/>
        <n v="33"/>
      </sharedItems>
    </cacheField>
    <cacheField name="Quarter" numFmtId="0">
      <sharedItems containsBlank="1"/>
    </cacheField>
    <cacheField name="Calendar Year" numFmtId="0">
      <sharedItems containsSemiMixedTypes="0" containsString="0" containsNumber="1" containsInteger="1" minValue="1985" maxValue="2011"/>
    </cacheField>
    <cacheField name="CY #" numFmtId="0">
      <sharedItems containsString="0" containsBlank="1" containsNumber="1" containsInteger="1" minValue="1" maxValue="33"/>
    </cacheField>
    <cacheField name="Region" numFmtId="0">
      <sharedItems containsBlank="1"/>
    </cacheField>
    <cacheField name="Country" numFmtId="0">
      <sharedItems containsBlank="1" count="118">
        <m/>
        <s v="Ethiopia"/>
        <s v="Mexico"/>
        <s v="Costa Rica"/>
        <s v="China"/>
        <s v="Turkey"/>
        <s v="Nicaragua"/>
        <s v="Cambodia"/>
        <s v="Greece"/>
        <s v="Bahamas"/>
        <s v="Taiwan"/>
        <s v="Japan"/>
        <s v="Russian Fed."/>
        <s v="Timor-Leste"/>
        <s v="Bangladesh"/>
        <s v="India"/>
        <s v="Vietnam"/>
        <s v="Dominica"/>
        <s v="St. Kitts &amp; Nevis"/>
        <s v="Antigua"/>
        <s v="Grenada"/>
        <s v="St. Maartens"/>
        <s v="Venezuela"/>
        <s v="South Africa"/>
        <s v="Botswana"/>
        <s v="Zimbabwe"/>
        <s v="Madagascar"/>
        <s v="Indonesia"/>
        <s v="Belize"/>
        <s v="Israel"/>
        <s v="Jordan"/>
        <s v="Palestine"/>
        <s v="Austria"/>
        <s v="Azerbaijan"/>
        <s v="Sri Lanka"/>
        <s v="El Salvador"/>
        <s v="Mozambique"/>
        <s v="Malawi"/>
        <s v="Bolivia"/>
        <s v="Peru"/>
        <s v="Canada"/>
        <s v="Macedonia"/>
        <s v="Bosnia"/>
        <s v="Honduras"/>
        <s v="Guatemala"/>
        <s v="Ecuador"/>
        <s v="Afghanistan"/>
        <s v="Pakistan"/>
        <s v="Uzbekistan"/>
        <s v="Iran"/>
        <s v="Turkmenistan"/>
        <s v="US"/>
        <s v="Cuba"/>
        <s v="Jamaica"/>
        <s v="Albania"/>
        <s v="DR Congo"/>
        <s v="Nigeria"/>
        <s v="Panama"/>
        <s v="Kenya"/>
        <s v="Syria"/>
        <s v="FS Micronesia"/>
        <s v="Romania"/>
        <s v="Germany"/>
        <s v="Czech Republic"/>
        <s v="Slovakia"/>
        <s v="Hungary"/>
        <s v="Paraguay"/>
        <s v="South Korea"/>
        <s v="Italy"/>
        <s v="Australia"/>
        <s v="Lesotho"/>
        <s v="Solomon Islands"/>
        <s v="Iraq"/>
        <s v="Argentina"/>
        <s v="Hong Kong"/>
        <s v="Dominican Republic"/>
        <s v="Algeria"/>
        <s v="Liberia"/>
        <s v="DPRK/North Korea"/>
        <s v="Haiti"/>
        <s v="Chad"/>
        <s v="Sudan"/>
        <s v="Cayman Islands"/>
        <s v="Bahamas "/>
        <s v="Maldives"/>
        <s v="Guyana"/>
        <s v="Niger"/>
        <s v="Colombia"/>
        <s v="Zambia"/>
        <s v="Philippines"/>
        <s v="Angola"/>
        <s v="Somalia"/>
        <s v="Spain"/>
        <s v="Lebanon"/>
        <s v="United Kingdom"/>
        <s v="Nepal"/>
        <s v="Uganda"/>
        <s v="Togo"/>
        <s v="Papua New Guinea"/>
        <s v="Tanzania"/>
        <s v="Myanmar"/>
        <s v="Chile"/>
        <s v="Yemen"/>
        <s v="Suriname"/>
        <s v="Ukraine"/>
        <s v="Georgia"/>
        <s v="[rollup]"/>
        <s v="Djibouti"/>
        <s v="Namibia"/>
        <s v="Tajikistan"/>
        <s v="Burkina Faso"/>
        <s v="Senegal"/>
        <s v="Samoa"/>
        <s v="Mongolia"/>
        <s v="Kyrgyzstan"/>
        <s v="Saint Lucia/ Saint Vincent and the Grenadines/ Barbados "/>
        <s v="Tunisia"/>
        <s v="New Zealand"/>
      </sharedItems>
    </cacheField>
    <cacheField name="Major Disaster Category" numFmtId="0">
      <sharedItems containsBlank="1"/>
    </cacheField>
    <cacheField name="Disaster Type" numFmtId="0">
      <sharedItems containsBlank="1" count="24">
        <m/>
        <s v="Drought"/>
        <s v="Floods"/>
        <s v="Earthquake"/>
        <s v="Volcano"/>
        <s v="Storm"/>
        <s v="Industrial"/>
        <s v="Floods "/>
        <s v="Conflict"/>
        <s v="Transport"/>
        <s v="Miscellaneous"/>
        <s v="Epidemic"/>
        <s v="Terrorism"/>
        <s v="Meteorological"/>
        <s v="Food Insecurity"/>
        <s v="Wildfire"/>
        <s v="Tsunami"/>
        <s v="Tropical Storm"/>
        <s v="Mass Movement Wet"/>
        <s v="Civil Unrest"/>
        <s v="Winter storm"/>
        <s v="Tsunami &amp; Volcanic Eruption"/>
        <s v="Earthquake/ Tsunami"/>
        <s v="Population Movement"/>
      </sharedItems>
    </cacheField>
    <cacheField name="Nature of Disaster (Disaster Sub-Type)" numFmtId="0">
      <sharedItems containsBlank="1"/>
    </cacheField>
    <cacheField name="Disaster Sub-Sub Type" numFmtId="0">
      <sharedItems containsBlank="1"/>
    </cacheField>
    <cacheField name="Total Affected" numFmtId="0">
      <sharedItems containsBlank="1" containsMixedTypes="1" containsNumber="1" containsInteger="1" minValue="2500" maxValue="25000000"/>
    </cacheField>
    <cacheField name="Appeal?_x000a_Y/N" numFmtId="0">
      <sharedItems containsBlank="1"/>
    </cacheField>
    <cacheField name="Whose Appeal?" numFmtId="0">
      <sharedItems containsBlank="1"/>
    </cacheField>
    <cacheField name="Appeal Amount" numFmtId="0">
      <sharedItems containsBlank="1" containsMixedTypes="1" containsNumber="1" containsInteger="1" minValue="364732" maxValue="200000000"/>
    </cacheField>
    <cacheField name="Appeal #" numFmtId="0">
      <sharedItems containsBlank="1"/>
    </cacheField>
    <cacheField name="% of Appeal Covered by ARC" numFmtId="169">
      <sharedItems containsMixedTypes="1" containsNumber="1" minValue="0" maxValue="0.36102216666666664"/>
    </cacheField>
    <cacheField name="Overall Appeal Coverage" numFmtId="0">
      <sharedItems containsBlank="1" containsMixedTypes="1" containsNumber="1" minValue="0.06" maxValue="1.04"/>
    </cacheField>
    <cacheField name="IFRC DREF?" numFmtId="0">
      <sharedItems containsBlank="1"/>
    </cacheField>
    <cacheField name="DREF Amount" numFmtId="0">
      <sharedItems containsString="0" containsBlank="1" containsNumber="1" containsInteger="1" minValue="49273" maxValue="613944"/>
    </cacheField>
    <cacheField name="Multilateral Beneficiaries" numFmtId="0">
      <sharedItems containsBlank="1" containsMixedTypes="1" containsNumber="1" containsInteger="1" minValue="0" maxValue="25000000" count="90">
        <m/>
        <n v="35000"/>
        <n v="222000"/>
        <n v="575000"/>
        <n v="21000"/>
        <n v="25000"/>
        <n v="1500000"/>
        <n v="329000"/>
        <n v="455000"/>
        <n v="8400"/>
        <n v="8000"/>
        <n v="36341"/>
        <n v="325000"/>
        <n v="13000"/>
        <n v="2000000"/>
        <n v="240000"/>
        <n v="5475"/>
        <n v="15000"/>
        <n v="1030000"/>
        <n v="60400"/>
        <n v="563000"/>
        <n v="324000"/>
        <n v="100000"/>
        <n v="35940"/>
        <n v="150000"/>
        <n v="60000"/>
        <n v="9000"/>
        <n v="612000"/>
        <n v="125000"/>
        <n v="257500"/>
        <n v="1200000"/>
        <n v="250000"/>
        <n v="200000"/>
        <n v="37500"/>
        <n v="108550"/>
        <n v="31658"/>
        <n v="94825"/>
        <n v="52995"/>
        <n v="44380"/>
        <n v="180000"/>
        <n v="1215000"/>
        <n v="500000"/>
        <s v="n/a"/>
        <n v="0"/>
        <n v="600000"/>
        <n v="15220"/>
        <n v="900000"/>
        <n v="50000"/>
        <n v="97550"/>
        <n v="2700"/>
        <n v="76075"/>
        <n v="30000"/>
        <n v="4000"/>
        <n v="80500"/>
        <n v="3000"/>
        <n v="20000"/>
        <s v="-"/>
        <n v="32000"/>
        <n v="37930"/>
        <n v="300000"/>
        <n v="2488500"/>
        <n v="25000000"/>
        <n v="91000"/>
        <n v="184000"/>
        <n v="4320"/>
        <n v="260000"/>
        <n v="40000"/>
        <n v="270000"/>
        <n v="5000"/>
        <n v="1692428"/>
        <n v="2500"/>
        <n v="10000"/>
        <n v="400000"/>
        <n v="23000"/>
        <s v="tbd"/>
        <n v="13600"/>
        <n v="189000"/>
        <n v="7500"/>
        <n v="124000"/>
        <n v="5265"/>
        <n v="2600000"/>
        <n v="120000"/>
        <n v="1000"/>
        <n v="71500"/>
        <n v="10225"/>
        <n v="306000"/>
        <n v="47800"/>
        <n v="225000"/>
        <n v="67500"/>
        <n v="37457"/>
      </sharedItems>
    </cacheField>
    <cacheField name="Bilateral Request?" numFmtId="0">
      <sharedItems containsBlank="1"/>
    </cacheField>
    <cacheField name="Direct Beneficiaries" numFmtId="0">
      <sharedItems containsBlank="1" containsMixedTypes="1" containsNumber="1" containsInteger="1" minValue="0" maxValue="50000" count="24">
        <m/>
        <n v="2500"/>
        <n v="3600"/>
        <n v="3000"/>
        <n v="5000"/>
        <n v="24000"/>
        <n v="10000"/>
        <s v="n/a"/>
        <n v="0"/>
        <n v="6445"/>
        <n v="15000"/>
        <n v="1250"/>
        <s v="-"/>
        <n v="10380"/>
        <n v="640"/>
        <n v="20000"/>
        <n v="165"/>
        <n v="50000"/>
        <n v="25000"/>
        <n v="21668"/>
        <n v="4639"/>
        <n v="1500"/>
        <n v="300"/>
        <n v="2000"/>
      </sharedItems>
    </cacheField>
    <cacheField name="Contribution to IFRC/ICRC &gt;/= $50K?" numFmtId="0">
      <sharedItems containsString="0" containsBlank="1" containsNumber="1" containsInteger="1" minValue="0" maxValue="1"/>
    </cacheField>
    <cacheField name="Cash to IFRC" numFmtId="166">
      <sharedItems containsString="0" containsBlank="1" containsNumber="1" minValue="0" maxValue="30000000" count="73">
        <m/>
        <n v="100000"/>
        <n v="10000"/>
        <n v="25000"/>
        <n v="80000"/>
        <n v="1200000"/>
        <n v="50000"/>
        <n v="2504221.9900000002"/>
        <n v="23333.333333333332"/>
        <n v="23333.343333333331"/>
        <n v="21612.23"/>
        <n v="5000"/>
        <n v="66918.959999999992"/>
        <n v="7242.1372799999999"/>
        <n v="15000"/>
        <n v="21400"/>
        <n v="35027"/>
        <n v="200000"/>
        <n v="110000"/>
        <n v="20007"/>
        <n v="35975"/>
        <n v="300000"/>
        <n v="400000"/>
        <n v="1837066.6666666667"/>
        <n v="1666666.6666666667"/>
        <n v="75000"/>
        <n v="6750000"/>
        <n v="47581"/>
        <n v="257378"/>
        <n v="7034"/>
        <n v="128869"/>
        <n v="21068"/>
        <n v="150000"/>
        <n v="250000"/>
        <n v="88443"/>
        <n v="94461"/>
        <n v="1398250"/>
        <n v="475000"/>
        <n v="85000"/>
        <n v="787000"/>
        <n v="63000"/>
        <n v="285000"/>
        <n v="124500"/>
        <n v="22500"/>
        <n v="47500"/>
        <n v="19970"/>
        <n v="35000"/>
        <n v="30000"/>
        <n v="167077"/>
        <n v="115000"/>
        <n v="1083856"/>
        <n v="23750"/>
        <n v="269000"/>
        <n v="10000000"/>
        <n v="2000"/>
        <n v="185000"/>
        <n v="44250"/>
        <n v="283682"/>
        <n v="121044"/>
        <n v="1129943"/>
        <n v="246683"/>
        <n v="11500"/>
        <n v="550000"/>
        <n v="450000"/>
        <n v="243605"/>
        <n v="30000000"/>
        <n v="500000"/>
        <n v="0"/>
        <n v="145000"/>
        <n v="4100000"/>
        <n v="2166133"/>
        <n v="297270"/>
        <n v="182000"/>
      </sharedItems>
    </cacheField>
    <cacheField name="Cash to ICRC" numFmtId="166">
      <sharedItems containsBlank="1" containsMixedTypes="1" containsNumber="1" minValue="50000" maxValue="4377346.43" count="15">
        <m/>
        <n v="104805"/>
        <n v="100000"/>
        <n v="242000"/>
        <n v="1000000"/>
        <n v="250000"/>
        <n v="1058600"/>
        <n v="50000"/>
        <n v="2000000"/>
        <n v="200000"/>
        <n v="714000"/>
        <s v=" "/>
        <n v="360625"/>
        <n v="500000"/>
        <n v="4377346.43"/>
      </sharedItems>
    </cacheField>
    <cacheField name="Cash to NS" numFmtId="166">
      <sharedItems containsString="0" containsBlank="1" containsNumber="1" minValue="1000" maxValue="276000000" count="58">
        <m/>
        <n v="100000"/>
        <n v="10000"/>
        <n v="25000"/>
        <n v="150000"/>
        <n v="200000"/>
        <n v="75000"/>
        <n v="50000"/>
        <n v="1360000"/>
        <n v="15000"/>
        <n v="9000"/>
        <n v="352704"/>
        <n v="28500"/>
        <n v="40000"/>
        <n v="77500"/>
        <n v="70000"/>
        <n v="24420"/>
        <n v="3257775.37"/>
        <n v="5000"/>
        <n v="11700"/>
        <n v="2000"/>
        <n v="90000"/>
        <n v="35000"/>
        <n v="120000"/>
        <n v="46670"/>
        <n v="237898.78"/>
        <n v="1000"/>
        <n v="1345"/>
        <n v="350000"/>
        <n v="32500"/>
        <n v="370642"/>
        <n v="60000"/>
        <n v="10500"/>
        <n v="18675"/>
        <n v="59896.536212325685"/>
        <n v="85000"/>
        <n v="325000"/>
        <n v="20000"/>
        <n v="356000"/>
        <n v="30000"/>
        <n v="20188"/>
        <n v="298680"/>
        <n v="2500"/>
        <n v="3000"/>
        <n v="867000"/>
        <n v="2400"/>
        <n v="245000"/>
        <n v="48500"/>
        <n v="500000"/>
        <n v="560625"/>
        <n v="62250"/>
        <n v="1520000"/>
        <n v="981315"/>
        <n v="80000"/>
        <n v="322330"/>
        <n v="826450"/>
        <n v="56000"/>
        <n v="276000000"/>
      </sharedItems>
    </cacheField>
    <cacheField name="Cash to Other Orgs" numFmtId="166">
      <sharedItems containsString="0" containsBlank="1" containsNumber="1" containsInteger="1" minValue="1500000" maxValue="1500000"/>
    </cacheField>
    <cacheField name="Total Cash" numFmtId="166">
      <sharedItems containsBlank="1" containsMixedTypes="1" containsNumber="1" minValue="0" maxValue="279800000"/>
    </cacheField>
    <cacheField name="ARC People Deployed" numFmtId="0">
      <sharedItems containsString="0" containsBlank="1" containsNumber="1" containsInteger="1" minValue="0" maxValue="82" count="19">
        <m/>
        <n v="0"/>
        <n v="1"/>
        <n v="20"/>
        <n v="2"/>
        <n v="3"/>
        <n v="4"/>
        <n v="10"/>
        <n v="23"/>
        <n v="9"/>
        <n v="5"/>
        <n v="12"/>
        <n v="19"/>
        <n v="8"/>
        <n v="30"/>
        <n v="7"/>
        <n v="6"/>
        <n v="17"/>
        <n v="82"/>
      </sharedItems>
    </cacheField>
    <cacheField name="ERUs" numFmtId="0">
      <sharedItems containsBlank="1"/>
    </cacheField>
    <cacheField name="Individual Deployments" numFmtId="0">
      <sharedItems containsString="0" containsBlank="1" containsNumber="1" containsInteger="1" minValue="1" maxValue="85"/>
    </cacheField>
    <cacheField name="Total ARC Items Supplied" numFmtId="3">
      <sharedItems containsBlank="1" containsMixedTypes="1" containsNumber="1" minValue="11" maxValue="5143307" count="54">
        <m/>
        <n v="76700"/>
        <n v="55532"/>
        <n v="5000"/>
        <n v="1000"/>
        <n v="6111"/>
        <n v="10000"/>
        <n v="6000"/>
        <n v="6107"/>
        <n v="2900"/>
        <n v="14500"/>
        <n v="675"/>
        <n v="64200"/>
        <n v="9000"/>
        <n v="6500"/>
        <n v="115560"/>
        <n v="11"/>
        <n v="2300"/>
        <n v="10930"/>
        <n v="12380"/>
        <n v="486"/>
        <n v="7314"/>
        <n v="2346"/>
        <n v="110"/>
        <n v="750"/>
        <n v="25"/>
        <n v="9995"/>
        <n v="325618"/>
        <n v="2371.9999999999995"/>
        <n v="4500"/>
        <n v="45"/>
        <n v="20000"/>
        <n v="26950"/>
        <n v="16500"/>
        <n v="2350"/>
        <n v="4000"/>
        <n v="2000"/>
        <n v="15500"/>
        <n v="39000"/>
        <n v="205000"/>
        <s v="-"/>
        <n v="19100"/>
        <n v="8000"/>
        <n v="5150"/>
        <n v="13840"/>
        <n v="22300"/>
        <n v="44181"/>
        <n v="7500"/>
        <n v="5143307"/>
        <n v="6160"/>
        <n v="9900"/>
        <n v="99900"/>
        <n v="1714"/>
        <n v="1500"/>
      </sharedItems>
    </cacheField>
    <cacheField name="Pre-positioned?" numFmtId="3">
      <sharedItems containsBlank="1"/>
    </cacheField>
    <cacheField name="Hygiene Kits" numFmtId="3">
      <sharedItems containsString="0" containsBlank="1" containsNumber="1" containsInteger="1" minValue="214" maxValue="45000"/>
    </cacheField>
    <cacheField name="Blankets" numFmtId="3">
      <sharedItems containsString="0" containsBlank="1" containsNumber="1" containsInteger="1" minValue="1000" maxValue="222900"/>
    </cacheField>
    <cacheField name="Jerry Cans" numFmtId="0">
      <sharedItems containsString="0" containsBlank="1" containsNumber="1" containsInteger="1" minValue="321" maxValue="30000"/>
    </cacheField>
    <cacheField name="Buckets" numFmtId="3">
      <sharedItems containsString="0" containsBlank="1" containsNumber="1" containsInteger="1" minValue="3650" maxValue="28000"/>
    </cacheField>
    <cacheField name="Tents" numFmtId="3">
      <sharedItems containsString="0" containsBlank="1" containsNumber="1" containsInteger="1" minValue="5" maxValue="5200"/>
    </cacheField>
    <cacheField name="Kitchen Sets" numFmtId="3">
      <sharedItems containsString="0" containsBlank="1" containsNumber="1" containsInteger="1" minValue="500" maxValue="18000"/>
    </cacheField>
    <cacheField name="Sleeping Mats / Bedsheets" numFmtId="3">
      <sharedItems containsString="0" containsBlank="1" containsNumber="1" containsInteger="1" minValue="500" maxValue="30518"/>
    </cacheField>
    <cacheField name="Mosquito Nets" numFmtId="3">
      <sharedItems containsString="0" containsBlank="1" containsNumber="1" containsInteger="1" minValue="1000" maxValue="20000"/>
    </cacheField>
    <cacheField name="Food Parcels" numFmtId="3">
      <sharedItems containsString="0" containsBlank="1" containsNumber="1" containsInteger="1" minValue="2600" maxValue="40000"/>
    </cacheField>
    <cacheField name="Tarps" numFmtId="3">
      <sharedItems containsString="0" containsBlank="1" containsNumber="1" containsInteger="1" minValue="20" maxValue="11000"/>
    </cacheField>
    <cacheField name="Vehicles" numFmtId="3">
      <sharedItems containsString="0" containsBlank="1" containsNumber="1" containsInteger="1" minValue="1" maxValue="7"/>
    </cacheField>
    <cacheField name="Other Items" numFmtId="3">
      <sharedItems containsString="0" containsBlank="1" containsNumber="1" containsInteger="1" minValue="3000" maxValue="6250"/>
    </cacheField>
    <cacheField name="Rice Bags" numFmtId="3">
      <sharedItems containsNonDate="0" containsString="0" containsBlank="1"/>
    </cacheField>
    <cacheField name="Value of Supplies" numFmtId="166">
      <sharedItems containsBlank="1" containsMixedTypes="1" containsNumber="1" minValue="0" maxValue="15266353" count="84">
        <m/>
        <n v="0"/>
        <n v="97443"/>
        <n v="200"/>
        <n v="535134"/>
        <n v="816758.16"/>
        <n v="506000"/>
        <n v="199200"/>
        <n v="20000"/>
        <n v="90000"/>
        <n v="172000"/>
        <n v="25000"/>
        <n v="150000"/>
        <n v="1371479"/>
        <n v="620000"/>
        <n v="149000"/>
        <n v="20700"/>
        <n v="18000"/>
        <n v="361260"/>
        <n v="100000"/>
        <n v="2032231"/>
        <n v="69000"/>
        <n v="10000"/>
        <n v="71832"/>
        <n v="350424.24"/>
        <n v="122911.16"/>
        <n v="102950"/>
        <n v="221694"/>
        <n v="331380"/>
        <n v="16700"/>
        <n v="37200"/>
        <n v="50000"/>
        <n v="825763"/>
        <n v="19975"/>
        <n v="60000"/>
        <n v="6178"/>
        <n v="205334.81245"/>
        <n v="16885.856"/>
        <n v="61220"/>
        <n v="110266.26"/>
        <n v="97442.48"/>
        <n v="3000"/>
        <n v="2452.19"/>
        <n v="31046.879999999997"/>
        <n v="12853.79"/>
        <n v="1375"/>
        <n v="2655"/>
        <n v="2011842.8599999999"/>
        <n v="2300506.4"/>
        <n v="155600"/>
        <n v="7475"/>
        <n v="8693"/>
        <n v="4808310"/>
        <n v="20597"/>
        <n v="43875"/>
        <n v="17402"/>
        <n v="36900"/>
        <n v="120000"/>
        <n v="200000"/>
        <n v="74000"/>
        <n v="44400"/>
        <n v="214800"/>
        <n v="34565"/>
        <n v="69055"/>
        <n v="8073"/>
        <n v="143415"/>
        <n v="260798"/>
        <n v="900000"/>
        <s v="-"/>
        <n v="340000"/>
        <n v="30000"/>
        <n v="80000"/>
        <n v="259500"/>
        <n v="118000"/>
        <n v="400000"/>
        <n v="190000"/>
        <n v="31240"/>
        <n v="15266353"/>
        <n v="96000"/>
        <n v="824977"/>
        <n v="694910"/>
        <n v="40000"/>
        <n v="9812"/>
        <n v="43000"/>
      </sharedItems>
    </cacheField>
    <cacheField name="Operational (People) Cost for Response Phase" numFmtId="166">
      <sharedItems containsBlank="1" containsMixedTypes="1" containsNumber="1" minValue="0" maxValue="100000000"/>
    </cacheField>
    <cacheField name="Total $ Response Phase" numFmtId="166">
      <sharedItems containsBlank="1" containsMixedTypes="1" containsNumber="1" minValue="0" maxValue="279800000"/>
    </cacheField>
    <cacheField name="Early Recovery $" numFmtId="0">
      <sharedItems containsString="0" containsBlank="1" containsNumber="1" minValue="764192.86" maxValue="337000000"/>
    </cacheField>
    <cacheField name="Future Contrib Anticipated $" numFmtId="0">
      <sharedItems containsString="0" containsBlank="1" containsNumber="1" containsInteger="1" minValue="500000" maxValue="500000"/>
    </cacheField>
    <cacheField name="Beneficiaries Served (Final Rpt)" numFmtId="0">
      <sharedItems containsString="0" containsBlank="1" containsNumber="1" minValue="0" maxValue="455000"/>
    </cacheField>
    <cacheField name="Total Contributions" numFmtId="166">
      <sharedItems containsBlank="1" containsMixedTypes="1" containsNumber="1" minValue="0" maxValue="477328823.80666667" count="188">
        <n v="19700000"/>
        <n v="14000000"/>
        <n v="18000000"/>
        <n v="50000000"/>
        <n v="39000000"/>
        <n v="100000"/>
        <n v="10000"/>
        <n v="0"/>
        <n v="25000"/>
        <n v="80000"/>
        <n v="132193"/>
        <n v="1200000"/>
        <n v="200"/>
        <n v="150000"/>
        <n v="205000"/>
        <n v="610134"/>
        <n v="50000"/>
        <n v="5153184.1400000006"/>
        <n v="15000"/>
        <n v="9000"/>
        <n v="1056000"/>
        <n v="23333.333333333332"/>
        <n v="23333.343333333331"/>
        <n v="389265"/>
        <n v="352704"/>
        <n v="20000"/>
        <n v="118500"/>
        <n v="40000"/>
        <n v="172000"/>
        <n v="90000"/>
        <n v="7500"/>
        <n v="2577.8000000000002"/>
        <n v="30500"/>
        <n v="227500"/>
        <n v="690000"/>
        <n v="250000"/>
        <n v="174000"/>
        <n v="1000"/>
        <n v="20700"/>
        <n v="18000"/>
        <n v="699130"/>
        <n v="12000000"/>
        <n v="3515479.37"/>
        <n v="97982"/>
        <n v="4400"/>
        <n v="60000"/>
        <n v="5000"/>
        <n v="500"/>
        <n v="71832"/>
        <n v="45000"/>
        <n v="21612.23"/>
        <n v="350424.24"/>
        <n v="11700"/>
        <n v="104805"/>
        <n v="225000"/>
        <n v="2000"/>
        <n v="75000"/>
        <n v="232252.87"/>
        <n v="115139.84"/>
        <n v="35000"/>
        <n v="130000"/>
        <n v="46670"/>
        <n v="237898.78"/>
        <n v="1345"/>
        <n v="7242.1372799999999"/>
        <n v="350000"/>
        <n v="421694"/>
        <n v="32812"/>
        <n v="17812"/>
        <n v="331380"/>
        <n v="32500"/>
        <n v="370642"/>
        <n v="21400"/>
        <n v="16700"/>
        <n v="65870"/>
        <n v="35027"/>
        <n v="10500"/>
        <n v="1175801.98"/>
        <n v="19975"/>
        <n v="6178"/>
        <n v="110000"/>
        <n v="220134.81245"/>
        <n v="44557.856"/>
        <n v="61220"/>
        <n v="110266.26"/>
        <n v="97442.48"/>
        <n v="3000"/>
        <n v="18675"/>
        <n v="247400"/>
        <n v="35975"/>
        <n v="59896.536212325685"/>
        <n v="302452.19"/>
        <n v="131046.88"/>
        <n v="112853.79000000001"/>
        <n v="401375"/>
        <n v="2655"/>
        <n v="103848909.52666667"/>
        <n v="477328823.80666667"/>
        <n v="1822266.6666666667"/>
        <n v="13100"/>
        <n v="32475"/>
        <n v="108693"/>
        <n v="36200"/>
        <n v="12558310"/>
        <n v="47581"/>
        <n v="342378"/>
        <n v="7034"/>
        <n v="20597"/>
        <n v="497744"/>
        <n v="21068"/>
        <n v="17402"/>
        <n v="400000"/>
        <n v="188443"/>
        <n v="55000"/>
        <n v="94461"/>
        <n v="1485750"/>
        <n v="1889600"/>
        <n v="85000"/>
        <n v="46900"/>
        <n v="793500"/>
        <n v="63000"/>
        <n v="200000"/>
        <n v="245000"/>
        <n v="2000000"/>
        <n v="102000"/>
        <n v="295000"/>
        <n v="124500"/>
        <n v="153400"/>
        <n v="20188"/>
        <n v="3400000"/>
        <n v="34565"/>
        <n v="298680"/>
        <n v="2500"/>
        <n v="22500"/>
        <n v="47500"/>
        <n v="17400"/>
        <n v="19970"/>
        <n v="104055"/>
        <n v="58073"/>
        <n v="37440"/>
        <n v="1900000"/>
        <n v="115000"/>
        <n v="1356654"/>
        <n v="23750"/>
        <n v="300000"/>
        <n v="867000"/>
        <n v="12400"/>
        <n v="714000"/>
        <n v="269000"/>
        <n v="48500"/>
        <n v="55000000"/>
        <n v="185000"/>
        <m/>
        <n v="44250"/>
        <n v="1532876"/>
        <n v="121044"/>
        <s v="-"/>
        <n v="1129943"/>
        <n v="246683"/>
        <n v="921250"/>
        <n v="74200"/>
        <n v="1520000"/>
        <n v="500000"/>
        <n v="30000"/>
        <n v="981315"/>
        <n v="330000"/>
        <n v="11500"/>
        <n v="259500"/>
        <n v="1168000"/>
        <n v="2150000"/>
        <n v="1664192.8599999999"/>
        <n v="190000"/>
        <n v="274845"/>
        <n v="139611532"/>
        <n v="6400000"/>
        <n v="1000000"/>
        <n v="145000"/>
        <n v="180000"/>
        <n v="8200000"/>
        <n v="16068357"/>
        <n v="322330"/>
        <n v="240000"/>
        <n v="9812"/>
        <n v="440270"/>
        <n v="826450"/>
        <n v="56000"/>
        <n v="279800000"/>
        <n v="182000"/>
      </sharedItems>
    </cacheField>
    <cacheField name="Designated Fundraising?" numFmtId="166">
      <sharedItems containsBlank="1"/>
    </cacheField>
    <cacheField name="Limited corporate or full public?" numFmtId="166">
      <sharedItems containsBlank="1"/>
    </cacheField>
    <cacheField name="Total Funds Raised" numFmtId="166">
      <sharedItems containsString="0" containsBlank="1" containsNumber="1" containsInteger="1" minValue="56000" maxValue="307256521"/>
    </cacheField>
    <cacheField name="As of Date" numFmtId="14">
      <sharedItems containsNonDate="0" containsDate="1" containsString="0" containsBlank="1" minDate="2011-02-28T00:00:00" maxDate="2011-12-02T00:00:00"/>
    </cacheField>
    <cacheField name="Date Fundraising Closed" numFmtId="14">
      <sharedItems containsDate="1" containsBlank="1" containsMixedTypes="1" minDate="2011-02-28T00:00:00" maxDate="2011-05-11T00:00:00"/>
    </cacheField>
    <cacheField name="AP Code 1" numFmtId="0">
      <sharedItems containsBlank="1" containsMixedTypes="1" containsNumber="1" containsInteger="1" minValue="2002" maxValue="9306"/>
    </cacheField>
    <cacheField name="AP1 Amount" numFmtId="166">
      <sharedItems containsString="0" containsBlank="1" containsNumber="1" containsInteger="1" minValue="30000" maxValue="100000"/>
    </cacheField>
    <cacheField name="AP Code 2" numFmtId="0">
      <sharedItems containsString="0" containsBlank="1" containsNumber="1" containsInteger="1" minValue="2010" maxValue="2841"/>
    </cacheField>
    <cacheField name="AP2 Amount" numFmtId="166">
      <sharedItems containsString="0" containsBlank="1" containsNumber="1" containsInteger="1" minValue="100000" maxValue="155000"/>
    </cacheField>
    <cacheField name="AP Code 3" numFmtId="1">
      <sharedItems containsString="0" containsBlank="1" containsNumber="1" containsInteger="1" minValue="2799" maxValue="2799"/>
    </cacheField>
    <cacheField name="AP3 Amount" numFmtId="166">
      <sharedItems containsBlank="1"/>
    </cacheField>
    <cacheField name="ARCT?" numFmtId="0">
      <sharedItems containsBlank="1"/>
    </cacheField>
    <cacheField name="OFDA?" numFmtId="0">
      <sharedItems containsBlank="1"/>
    </cacheField>
    <cacheField name="RRF?" numFmtId="0">
      <sharedItems containsBlank="1"/>
    </cacheField>
    <cacheField name="IRF?" numFmtId="0">
      <sharedItems containsNonDate="0" containsString="0" containsBlank="1"/>
    </cacheField>
    <cacheField name="Funding Source &amp; Info" numFmtId="0">
      <sharedItems containsBlank="1" longText="1"/>
    </cacheField>
    <cacheField name="Stewardship report?" numFmtId="0">
      <sharedItems containsBlank="1"/>
    </cacheField>
    <cacheField name="Disaster Response Description " numFmtId="0">
      <sharedItems containsDate="1" containsBlank="1" containsMixedTypes="1" minDate="2008-09-11T00:00:00" maxDate="1900-01-04T11:09:05" longText="1"/>
    </cacheField>
    <cacheField name="Contributions Description" numFmtId="0">
      <sharedItems containsBlank="1" longText="1"/>
    </cacheField>
  </cacheFields>
  <extLst>
    <ext xmlns:x14="http://schemas.microsoft.com/office/spreadsheetml/2009/9/main" uri="{725AE2AE-9491-48be-B2B4-4EB974FC3084}">
      <x14:pivotCacheDefinition/>
    </ext>
  </extLst>
</pivotCacheDefinition>
</file>

<file path=xl/pivotCache/pivotCacheDefinition29.xml><?xml version="1.0" encoding="utf-8"?>
<pivotCacheDefinition xmlns="http://schemas.openxmlformats.org/spreadsheetml/2006/main" xmlns:r="http://schemas.openxmlformats.org/officeDocument/2006/relationships" r:id="rId1" refreshedBy="Eliza Paul" refreshedDate="40948.716445601851" createdVersion="3" refreshedVersion="3" minRefreshableVersion="3" recordCount="373">
  <cacheSource type="worksheet">
    <worksheetSource ref="A1:BY384" sheet="Disaster Data"/>
  </cacheSource>
  <cacheFields count="77">
    <cacheField name="Glide #" numFmtId="0">
      <sharedItems containsBlank="1"/>
    </cacheField>
    <cacheField name="ARC Disaster #" numFmtId="0">
      <sharedItems containsBlank="1" containsMixedTypes="1" containsNumber="1" containsInteger="1" minValue="1" maxValue="278"/>
    </cacheField>
    <cacheField name="Disaster Name" numFmtId="0">
      <sharedItems containsBlank="1" count="257">
        <s v="Mexico Earthquake"/>
        <s v="Armenia Earthquake"/>
        <s v="Rwanda Crisis"/>
        <s v="Hurricane Mitch"/>
        <s v="Balkans Crisis"/>
        <s v="Ethiopia Drought"/>
        <s v="Mexico Floods"/>
        <s v="Costa Rica Floods"/>
        <s v="China Floods"/>
        <s v="Turkey Earthquake"/>
        <s v="Nicaragua Volcano"/>
        <s v="Cambodia Floods"/>
        <s v="Greece Earthquake"/>
        <s v="Bahamas Storm"/>
        <s v="Taiwan Earthquake"/>
        <s v="Japan Industrial"/>
        <s v="Mexico Floods "/>
        <s v="Russian Fed. Conflict"/>
        <s v="Timor-Leste Conflict"/>
        <s v="Bangladesh Floods"/>
        <s v="India Storm"/>
        <s v="Vietnam Floods"/>
        <s v="Dominica Storm"/>
        <s v="St. Kitts &amp; Nevis Storm"/>
        <s v="Antigua Storm"/>
        <s v="Grenada Storm"/>
        <s v="St. Maartens Storm"/>
        <s v="Venezuela Floods"/>
        <s v="South Africa Floods"/>
        <s v="Botswana Floods"/>
        <s v="Zimbabwe Floods"/>
        <s v="Madagascar Floods"/>
        <s v="Indonesia Earthquake"/>
        <s v="India Floods"/>
        <s v="Belize Storm"/>
        <s v="Israel Conflict"/>
        <s v="Jordan Conflict"/>
        <s v="Palestine Conflict"/>
        <s v="Taiwan Transport"/>
        <s v="Austria Miscellaneous"/>
        <s v="Azerbaijan Earthquake"/>
        <s v="Sri Lanka Storm"/>
        <s v="South Africa Epidemic"/>
        <s v="El Salvador Earthquake"/>
        <s v="China Storm"/>
        <s v="India Earthquake"/>
        <s v="Mozambique Floods"/>
        <s v="Malawi Floods"/>
        <s v="Bolivia Floods"/>
        <s v="Peru Floods"/>
        <s v="Canada Transport"/>
        <s v="Russian Fed. Floods"/>
        <s v="Macedonia Conflict"/>
        <s v="Bosnia Floods"/>
        <s v="Peru Earthquake"/>
        <s v="El Salvador Drought"/>
        <s v="Honduras Drought"/>
        <s v="Nicaragua Drought"/>
        <s v="Guatemala Drought"/>
        <s v="Ecuador Volcano"/>
        <s v="Afghanistan Conflict"/>
        <s v="Pakistan Conflict"/>
        <s v="Uzbekistan Conflict"/>
        <s v="Iran Conflict"/>
        <s v="Turkmenistan Conflict"/>
        <s v="US Terrorism"/>
        <s v="Mexico Transport"/>
        <s v="Mexico Storm"/>
        <s v="Belize Meteorological"/>
        <s v="Belize Transport"/>
        <s v="Honduras Storm"/>
        <s v="Nicaragua Storm"/>
        <s v="Cuba Storm"/>
        <s v="Jamaica Storm"/>
        <s v="US Transport"/>
        <s v="Cambodia Miscellaneous"/>
        <s v="Albania Storm"/>
        <s v="DR Congo Volcano"/>
        <s v="Nigeria Industrial"/>
        <s v="Afghanistan Earthquake"/>
        <s v="Panama Floods"/>
        <s v="Kenya Floods"/>
        <s v="Malawi Food Insecurity"/>
        <s v="Nicaragua  Floods"/>
        <s v="Syria Miscellaneous"/>
        <s v="FS Micronesia Storm"/>
        <s v="Peru Storm"/>
        <s v="Bolivia Storm"/>
        <s v="Romania Floods"/>
        <s v="Germany Floods"/>
        <s v="Czech Republic Floods"/>
        <s v="Slovakia Floods"/>
        <s v="Hungary Floods"/>
        <s v="Austria Floods"/>
        <s v="Paraguay Drought"/>
        <s v="South Korea Storm"/>
        <s v="Italy Earthquake"/>
        <s v="Indonesia Terrorism"/>
        <s v="Australia Terrorism"/>
        <s v="Vietnam Miscellaneous"/>
        <s v="Lesotho Food Insecurity"/>
        <s v="Kenya Epidemic"/>
        <s v="Solomon Islands Storm"/>
        <s v="South Korea Transport"/>
        <s v="China Earthquake"/>
        <s v="Iraq Conflict"/>
        <s v="Syria Conflict"/>
        <s v="Turkey Conflict"/>
        <s v="Argentina Floods"/>
        <s v="China Epidemic"/>
        <s v="Hong Kong Epidemic"/>
        <s v="Sri Lanka Floods"/>
        <s v="Canada Wildfire"/>
        <s v="Dominican Republic Earthquake"/>
        <s v="Algeria Earthquake"/>
        <s v="Liberia Conflict"/>
        <s v="Dominican Republic Floods"/>
        <s v="Iran Earthquake"/>
        <s v="Panama Earthquake"/>
        <s v="North Korea Transport"/>
        <s v="Haiti Floods"/>
        <s v="Malawi Epidemic"/>
        <s v="Jamaica Conflict"/>
        <s v="Paraguay Miscellaneous"/>
        <s v="Chad Conflict"/>
        <s v="Sudan Conflict"/>
        <s v="Taiwan Storm"/>
        <s v="Cayman Islands Storm"/>
        <s v="Sri Lanka Tsunami"/>
        <s v="Indonesia Tsunami"/>
        <s v="Maldives Tsunami"/>
        <s v="Guyana Floods"/>
        <s v="Canada Floods"/>
        <s v="Hurricane Dennis - Jamaica "/>
        <s v="Hurricane Dennis - Grenada"/>
        <s v="Hurricane Dennis - Haiti"/>
        <s v="Sahel Food Crisis"/>
        <s v="Hurricane Katrina"/>
        <s v="Pakistan Earthquake"/>
        <s v="Hurricane Stan - Guatemala"/>
        <s v="Hurricane Stan - Mexico"/>
        <s v="El Salvador Hurricane Stan &amp; Volcano Eruption"/>
        <s v="Hurricane Wilma - Bahamas"/>
        <s v="Hurricane Wilma - Mexico"/>
        <s v="Vietnam Typhoon Damrey"/>
        <s v="Colombia Volcano"/>
        <s v="Southern Africa Food Security Crisis - Lesotho"/>
        <s v="Southern Africa Food Security Crisis - Malawi"/>
        <s v="Southern Africa Food Security Crisis - Zimbabwe"/>
        <s v="Southern Africa Food Security Crisis - Zambia"/>
        <s v="Eastern Africa Drought"/>
        <s v="Iraq Humanitarian Emergency"/>
        <s v="Timor-Leste Floods"/>
        <s v="Philippines Mudslides"/>
        <s v="Angola Cholera Epidemic"/>
        <s v="Somalia Drought"/>
        <s v="Spain Terrorism"/>
        <s v="Colombia Floods"/>
        <s v="Indonesia Yogyakarta Earthquake"/>
        <s v="Middle East Humanitarian Crisis"/>
        <s v="Ecuador Volanic Eruption"/>
        <s v="Ethiopia Floods"/>
        <s v="Sudan Floods"/>
        <s v="Philippines Typhoons"/>
        <s v="Vietnam Typhoons"/>
        <s v="Somalia Conflict"/>
        <s v="Somalia Floods"/>
        <s v="Sri Lanka Conflict"/>
        <s v="Madagascar Cyclones"/>
        <s v="Solomon Islands Tsunami/ Earthquake"/>
        <s v="Colombia Tolima Floods"/>
        <s v="Mexico Coahuila Tornado"/>
        <s v="Pakistan Cyclone Yemyin"/>
        <s v="United Kingdom Floods"/>
        <s v="Nepal Floods"/>
        <s v="Hurricane Dean"/>
        <s v="Greece Wildfire"/>
        <s v="Hurricane Felix"/>
        <s v="Indonesia Bengkulu Earthquake"/>
        <s v="Uganda Floods"/>
        <s v="Togo Floods"/>
        <s v="Tropical Storm Noel"/>
        <s v="Vietnam Typhoon Lekima"/>
        <s v="Bangladesh Cyclone Sidr"/>
        <s v="Papua New Guinea Storm"/>
        <s v="Kenya Election Civil Unrest"/>
        <s v="China Snow Disaster"/>
        <s v="Guyana Civil Unrest"/>
        <s v="Ecuador Floods"/>
        <s v="Madagascar Cyclone Ivan"/>
        <s v="Southern Africa Floods - Cyclone Jokwe"/>
        <s v="Myanmar Cyclone Nargis"/>
        <s v="China Sichuan Earthquake"/>
        <s v="Ethiopia Food Insecurity"/>
        <s v="South Africa Civil Unrest"/>
        <s v="Chile Floods"/>
        <s v="Philippines – Typhoon Fengshen"/>
        <s v="Yemen Conflict"/>
        <s v="Suriname Floods"/>
        <s v="Moldova and Ukraine Floods"/>
        <s v="Georgia Conflict"/>
        <s v="Haiti Hurricane Season 2008"/>
        <s v="Carribean Hurricane Season 2008 - Bahamas"/>
        <s v="Carribean Hurricane Season 2008 -  Jamaica"/>
        <s v="Cuba Hurricane Season 2008"/>
        <s v="Central America Floods"/>
        <s v="Pakistan Baluchistan Earthquake"/>
        <s v="Panama &amp; Costa Rica Floods"/>
        <s v="Horn of Africa Food Insecurity Crisis"/>
        <s v="Uganda, Rwanda, Burundi Population Movement"/>
        <s v="Zimbabwe Cholera Epidemic"/>
        <s v="Gaza Conflict - Israel"/>
        <s v="Gaza Conflict - Palestine"/>
        <s v="Costa Rica Earthquake"/>
        <s v="Australia Wildfires"/>
        <s v="Namibia Floods"/>
        <s v="Africa Polio Outbreak"/>
        <s v="Pakistan Internally Displaced Persons Crisis"/>
        <s v="Bangladesh Cyclone Aila"/>
        <s v="Tajikistan Mudslides and Floods"/>
        <s v="Syria Drought"/>
        <s v="West &amp; Central Africa Floods - Burkina Faso"/>
        <s v="West &amp; Central Africa Floods - Senegal"/>
        <s v="Mexico Hurricane Jimena"/>
        <s v="Java Indonesia Earthquake"/>
        <s v="Southeast Asia Typhoons - Philippines"/>
        <s v="Southeast Asia Typhoons - Vietnam"/>
        <s v="West Sumatra Indonesia Earthquake"/>
        <s v="Samoa Islands Tsunami"/>
        <s v="Kenya Drought"/>
        <s v="El Salvador Floods"/>
        <s v="Haiti Earthquake"/>
        <s v="Tanzania Floods"/>
        <s v="Chile Earthquake"/>
        <s v="Mongolia Severe Winter"/>
        <s v="Nepal Diarrhea Outbreak"/>
        <s v="Tropical Storm Agatha"/>
        <s v="Kyrgyzstan-Uzbekistan Population Movement"/>
        <s v="Pakistan Monsoon Floods"/>
        <s v="Haiti &amp; Dominican Republic Cholera Outbreak"/>
        <s v="Philippines Typhoon Megi"/>
        <s v="Indonesia Tsunami &amp; Volcanic Eruption"/>
        <s v="Caribbean Hurricane Tomas"/>
        <s v="Belize Hurricane Richard"/>
        <s v="Colombian Floods"/>
        <s v="North Africa &amp; Middle East Civil Unrest"/>
        <s v="New Zealand Earthquake"/>
        <s v="Paraguay Dengue Epidemic"/>
        <s v="Japan Earthquake &amp; Tsunami"/>
        <s v="West African Population Movement"/>
        <s v="Horn of Africa Drought"/>
        <s v="DPR Korea (North Korea) Floods"/>
        <s v="Pakistan Floods"/>
        <s v="Turkey  Earthquake"/>
        <s v="Thailand Floods"/>
        <s v="Philippines Typhoon Washi"/>
        <m/>
      </sharedItems>
    </cacheField>
    <cacheField name="Date of Response" numFmtId="167">
      <sharedItems containsNonDate="0" containsDate="1" containsString="0" containsBlank="1" minDate="1985-09-01T00:00:00" maxDate="2012-02-09T00:00:00"/>
    </cacheField>
    <cacheField name="Fiscal Year" numFmtId="0">
      <sharedItems containsString="0" containsBlank="1" containsNumber="1" containsInteger="1" minValue="1986" maxValue="2012" count="18">
        <n v="1986"/>
        <n v="1989"/>
        <n v="1994"/>
        <n v="1999"/>
        <n v="2000"/>
        <n v="2001"/>
        <n v="2002"/>
        <n v="2003"/>
        <n v="2004"/>
        <n v="2005"/>
        <n v="2006"/>
        <n v="2007"/>
        <n v="2008"/>
        <n v="2009"/>
        <n v="2010"/>
        <n v="2011"/>
        <n v="2012"/>
        <m/>
      </sharedItems>
    </cacheField>
    <cacheField name="FY #" numFmtId="0">
      <sharedItems containsString="0" containsBlank="1" containsNumber="1" containsInteger="1" minValue="1" maxValue="33" count="34">
        <m/>
        <n v="1"/>
        <n v="2"/>
        <n v="3"/>
        <n v="4"/>
        <n v="5"/>
        <n v="6"/>
        <n v="7"/>
        <n v="8"/>
        <n v="9"/>
        <n v="10"/>
        <n v="11"/>
        <n v="12"/>
        <n v="13"/>
        <n v="14"/>
        <n v="15"/>
        <n v="16"/>
        <n v="17"/>
        <n v="18"/>
        <n v="19"/>
        <n v="21"/>
        <n v="22"/>
        <n v="23"/>
        <n v="20"/>
        <n v="24"/>
        <n v="25"/>
        <n v="26"/>
        <n v="27"/>
        <n v="28"/>
        <n v="29"/>
        <n v="32"/>
        <n v="30"/>
        <n v="31"/>
        <n v="33"/>
      </sharedItems>
    </cacheField>
    <cacheField name="Quarter" numFmtId="0">
      <sharedItems containsBlank="1"/>
    </cacheField>
    <cacheField name="Calendar Year" numFmtId="0">
      <sharedItems containsString="0" containsBlank="1" containsNumber="1" containsInteger="1" minValue="1985" maxValue="2012"/>
    </cacheField>
    <cacheField name="CY #" numFmtId="0">
      <sharedItems containsString="0" containsBlank="1" containsNumber="1" containsInteger="1" minValue="1" maxValue="33"/>
    </cacheField>
    <cacheField name="Region" numFmtId="0">
      <sharedItems containsBlank="1"/>
    </cacheField>
    <cacheField name="Country" numFmtId="0">
      <sharedItems containsBlank="1"/>
    </cacheField>
    <cacheField name="Major Disaster Category" numFmtId="0">
      <sharedItems containsBlank="1"/>
    </cacheField>
    <cacheField name="Disaster Type" numFmtId="0">
      <sharedItems containsBlank="1"/>
    </cacheField>
    <cacheField name="Nature of Disaster (Disaster Sub-Type)" numFmtId="0">
      <sharedItems containsBlank="1"/>
    </cacheField>
    <cacheField name="Disaster Sub-Sub Type" numFmtId="0">
      <sharedItems containsBlank="1"/>
    </cacheField>
    <cacheField name="Total Affected" numFmtId="0">
      <sharedItems containsBlank="1" containsMixedTypes="1" containsNumber="1" containsInteger="1" minValue="2500" maxValue="25000000"/>
    </cacheField>
    <cacheField name="Appeal?_x000a_Y/N" numFmtId="0">
      <sharedItems containsBlank="1"/>
    </cacheField>
    <cacheField name="Whose Appeal?" numFmtId="0">
      <sharedItems containsBlank="1"/>
    </cacheField>
    <cacheField name="Appeal Amount" numFmtId="0">
      <sharedItems containsBlank="1" containsMixedTypes="1" containsNumber="1" containsInteger="1" minValue="364732" maxValue="254000000"/>
    </cacheField>
    <cacheField name="Appeal #" numFmtId="0">
      <sharedItems containsBlank="1"/>
    </cacheField>
    <cacheField name="% of Appeal Covered by ARC" numFmtId="169">
      <sharedItems containsBlank="1" containsMixedTypes="1" containsNumber="1" minValue="0" maxValue="0.36102216666666664"/>
    </cacheField>
    <cacheField name="Overall Appeal Coverage" numFmtId="0">
      <sharedItems containsBlank="1" containsMixedTypes="1" containsNumber="1" minValue="0.06" maxValue="1.04"/>
    </cacheField>
    <cacheField name="IFRC DREF?" numFmtId="0">
      <sharedItems containsBlank="1"/>
    </cacheField>
    <cacheField name="DREF Amount" numFmtId="0">
      <sharedItems containsString="0" containsBlank="1" containsNumber="1" containsInteger="1" minValue="49273" maxValue="613944"/>
    </cacheField>
    <cacheField name="Multilateral Beneficiaries" numFmtId="0">
      <sharedItems containsBlank="1" containsMixedTypes="1" containsNumber="1" containsInteger="1" minValue="0" maxValue="25000000"/>
    </cacheField>
    <cacheField name="Bilateral Request?" numFmtId="0">
      <sharedItems containsBlank="1"/>
    </cacheField>
    <cacheField name="Direct Beneficiaries" numFmtId="0">
      <sharedItems containsBlank="1" containsMixedTypes="1" containsNumber="1" containsInteger="1" minValue="0" maxValue="50000"/>
    </cacheField>
    <cacheField name="Contribution to IFRC/ICRC &gt;/= $50K?" numFmtId="0">
      <sharedItems containsString="0" containsBlank="1" containsNumber="1" containsInteger="1" minValue="0" maxValue="4"/>
    </cacheField>
    <cacheField name="Cash to IFRC" numFmtId="166">
      <sharedItems containsString="0" containsBlank="1" containsNumber="1" minValue="0" maxValue="30000000"/>
    </cacheField>
    <cacheField name="Cash to ICRC" numFmtId="0">
      <sharedItems containsBlank="1" containsMixedTypes="1" containsNumber="1" minValue="50000" maxValue="4377346.43"/>
    </cacheField>
    <cacheField name="Cash to NS" numFmtId="166">
      <sharedItems containsString="0" containsBlank="1" containsNumber="1" minValue="1000" maxValue="276000000"/>
    </cacheField>
    <cacheField name="Cash to Other Orgs" numFmtId="0">
      <sharedItems containsString="0" containsBlank="1" containsNumber="1" containsInteger="1" minValue="1500000" maxValue="1500000"/>
    </cacheField>
    <cacheField name="Total Cash" numFmtId="0">
      <sharedItems containsBlank="1" containsMixedTypes="1" containsNumber="1" minValue="0" maxValue="279800000"/>
    </cacheField>
    <cacheField name="ARC People Deployed" numFmtId="0">
      <sharedItems containsString="0" containsBlank="1" containsNumber="1" containsInteger="1" minValue="0" maxValue="82"/>
    </cacheField>
    <cacheField name="ERUs" numFmtId="0">
      <sharedItems containsBlank="1"/>
    </cacheField>
    <cacheField name="Individual Deployments" numFmtId="0">
      <sharedItems containsString="0" containsBlank="1" containsNumber="1" containsInteger="1" minValue="1" maxValue="85"/>
    </cacheField>
    <cacheField name="Total ARC Items Supplied" numFmtId="0">
      <sharedItems containsBlank="1" containsMixedTypes="1" containsNumber="1" minValue="11" maxValue="5143307"/>
    </cacheField>
    <cacheField name="Pre-positioned?" numFmtId="0">
      <sharedItems containsBlank="1"/>
    </cacheField>
    <cacheField name="Hygiene Kits" numFmtId="0">
      <sharedItems containsString="0" containsBlank="1" containsNumber="1" containsInteger="1" minValue="214" maxValue="45000"/>
    </cacheField>
    <cacheField name="Blankets" numFmtId="0">
      <sharedItems containsString="0" containsBlank="1" containsNumber="1" containsInteger="1" minValue="1000" maxValue="222900"/>
    </cacheField>
    <cacheField name="Jerry Cans" numFmtId="0">
      <sharedItems containsString="0" containsBlank="1" containsNumber="1" containsInteger="1" minValue="321" maxValue="30000"/>
    </cacheField>
    <cacheField name="Buckets" numFmtId="0">
      <sharedItems containsString="0" containsBlank="1" containsNumber="1" containsInteger="1" minValue="3650" maxValue="28000"/>
    </cacheField>
    <cacheField name="Tents" numFmtId="0">
      <sharedItems containsString="0" containsBlank="1" containsNumber="1" containsInteger="1" minValue="5" maxValue="5200"/>
    </cacheField>
    <cacheField name="Kitchen Sets" numFmtId="0">
      <sharedItems containsString="0" containsBlank="1" containsNumber="1" containsInteger="1" minValue="500" maxValue="18000"/>
    </cacheField>
    <cacheField name="Sleeping Mats / Bedsheets" numFmtId="0">
      <sharedItems containsString="0" containsBlank="1" containsNumber="1" containsInteger="1" minValue="500" maxValue="30518"/>
    </cacheField>
    <cacheField name="Mosquito Nets" numFmtId="0">
      <sharedItems containsString="0" containsBlank="1" containsNumber="1" containsInteger="1" minValue="1000" maxValue="20000"/>
    </cacheField>
    <cacheField name="Food Parcels" numFmtId="0">
      <sharedItems containsString="0" containsBlank="1" containsNumber="1" containsInteger="1" minValue="2600" maxValue="40000"/>
    </cacheField>
    <cacheField name="Tarps" numFmtId="0">
      <sharedItems containsString="0" containsBlank="1" containsNumber="1" containsInteger="1" minValue="20" maxValue="11000"/>
    </cacheField>
    <cacheField name="Vehicles" numFmtId="0">
      <sharedItems containsString="0" containsBlank="1" containsNumber="1" containsInteger="1" minValue="1" maxValue="7"/>
    </cacheField>
    <cacheField name="Other Items" numFmtId="0">
      <sharedItems containsString="0" containsBlank="1" containsNumber="1" containsInteger="1" minValue="3000" maxValue="6250"/>
    </cacheField>
    <cacheField name="Rice Bags" numFmtId="0">
      <sharedItems containsNonDate="0" containsString="0" containsBlank="1"/>
    </cacheField>
    <cacheField name="Value of Supplies" numFmtId="0">
      <sharedItems containsBlank="1" containsMixedTypes="1" containsNumber="1" minValue="0" maxValue="15266353"/>
    </cacheField>
    <cacheField name="Operational (People) Cost for Response Phase" numFmtId="0">
      <sharedItems containsBlank="1" containsMixedTypes="1" containsNumber="1" minValue="0" maxValue="100000000"/>
    </cacheField>
    <cacheField name="Total $ Response Phase" numFmtId="0">
      <sharedItems containsBlank="1" containsMixedTypes="1" containsNumber="1" minValue="0" maxValue="279800000"/>
    </cacheField>
    <cacheField name="Early Recovery $" numFmtId="0">
      <sharedItems containsString="0" containsBlank="1" containsNumber="1" minValue="764192.86" maxValue="337000000"/>
    </cacheField>
    <cacheField name="Future Contrib Anticipated $" numFmtId="0">
      <sharedItems containsString="0" containsBlank="1" containsNumber="1" containsInteger="1" minValue="500000" maxValue="500000"/>
    </cacheField>
    <cacheField name="Beneficiaries Served (Final Rpt)" numFmtId="0">
      <sharedItems containsString="0" containsBlank="1" containsNumber="1" minValue="0" maxValue="455000"/>
    </cacheField>
    <cacheField name="Total Contributions" numFmtId="166">
      <sharedItems containsBlank="1" containsMixedTypes="1" containsNumber="1" minValue="0" maxValue="477328823.80666667" count="193">
        <n v="19700000"/>
        <n v="14000000"/>
        <n v="18000000"/>
        <n v="50000000"/>
        <n v="39000000"/>
        <n v="100000"/>
        <n v="10000"/>
        <n v="0"/>
        <n v="25000"/>
        <n v="80000"/>
        <n v="132193"/>
        <n v="1200000"/>
        <n v="200"/>
        <n v="150000"/>
        <n v="205000"/>
        <n v="610134"/>
        <n v="50000"/>
        <n v="5153184.1400000006"/>
        <n v="15000"/>
        <n v="9000"/>
        <n v="1056000"/>
        <n v="23333.333333333332"/>
        <n v="23333.343333333331"/>
        <n v="389265"/>
        <n v="352704"/>
        <n v="20000"/>
        <n v="118500"/>
        <n v="40000"/>
        <n v="172000"/>
        <n v="90000"/>
        <n v="7500"/>
        <n v="2577.8000000000002"/>
        <n v="30500"/>
        <n v="227500"/>
        <n v="690000"/>
        <n v="250000"/>
        <n v="174000"/>
        <n v="1000"/>
        <n v="20700"/>
        <n v="18000"/>
        <n v="699130"/>
        <n v="12000000"/>
        <n v="3515479.37"/>
        <n v="97982"/>
        <n v="4400"/>
        <n v="60000"/>
        <n v="5000"/>
        <n v="500"/>
        <n v="71832"/>
        <n v="45000"/>
        <n v="21612.23"/>
        <n v="350424.24"/>
        <n v="11700"/>
        <n v="104805"/>
        <n v="225000"/>
        <n v="2000"/>
        <n v="75000"/>
        <n v="232252.87"/>
        <n v="115139.84"/>
        <n v="35000"/>
        <n v="130000"/>
        <n v="46670"/>
        <n v="237898.78"/>
        <n v="1345"/>
        <n v="7242.1372799999999"/>
        <n v="350000"/>
        <n v="421694"/>
        <n v="32812"/>
        <n v="17812"/>
        <n v="331380"/>
        <n v="32500"/>
        <n v="370642"/>
        <n v="21400"/>
        <n v="16700"/>
        <n v="65870"/>
        <n v="35027"/>
        <n v="10500"/>
        <n v="1175801.98"/>
        <n v="19975"/>
        <n v="6178"/>
        <n v="110000"/>
        <n v="220134.81245"/>
        <n v="44557.856"/>
        <n v="61220"/>
        <n v="110266.26"/>
        <n v="97442.48"/>
        <n v="3000"/>
        <n v="18675"/>
        <n v="247400"/>
        <n v="35975"/>
        <n v="59896.536212325685"/>
        <n v="302452.19"/>
        <n v="131046.88"/>
        <n v="112853.79000000001"/>
        <n v="401375"/>
        <n v="2655"/>
        <n v="103848909.52666667"/>
        <n v="477328823.80666667"/>
        <n v="1822266.6666666667"/>
        <n v="13100"/>
        <n v="32475"/>
        <n v="108693"/>
        <n v="36200"/>
        <n v="12558310"/>
        <n v="47581"/>
        <n v="342378"/>
        <n v="7034"/>
        <n v="20597"/>
        <n v="497744"/>
        <n v="21068"/>
        <n v="17402"/>
        <n v="400000"/>
        <n v="188443"/>
        <n v="55000"/>
        <n v="94461"/>
        <n v="1485750"/>
        <n v="1889600"/>
        <n v="85000"/>
        <n v="46900"/>
        <n v="793500"/>
        <n v="63000"/>
        <n v="200000"/>
        <n v="245000"/>
        <n v="2000000"/>
        <n v="102000"/>
        <n v="295000"/>
        <n v="124500"/>
        <n v="153400"/>
        <n v="20188"/>
        <n v="3400000"/>
        <n v="34565"/>
        <n v="298680"/>
        <n v="2500"/>
        <n v="22500"/>
        <n v="47500"/>
        <n v="17400"/>
        <n v="19970"/>
        <n v="104055"/>
        <n v="58073"/>
        <n v="37440"/>
        <n v="1900000"/>
        <n v="115000"/>
        <n v="1356654"/>
        <n v="23750"/>
        <n v="300000"/>
        <n v="867000"/>
        <n v="12400"/>
        <n v="714000"/>
        <n v="269000"/>
        <n v="48500"/>
        <n v="55000000"/>
        <n v="185000"/>
        <m/>
        <n v="44250"/>
        <n v="1532876"/>
        <n v="121044"/>
        <s v="-"/>
        <n v="1129943"/>
        <n v="246683"/>
        <n v="921250"/>
        <n v="74200"/>
        <n v="1520000"/>
        <n v="500000"/>
        <n v="30000"/>
        <n v="981315"/>
        <n v="330000"/>
        <n v="11500"/>
        <n v="259500"/>
        <n v="1168000"/>
        <n v="2150000"/>
        <n v="1664192.8599999999"/>
        <n v="190000"/>
        <n v="274845"/>
        <n v="139611532"/>
        <n v="6400000"/>
        <n v="1000000"/>
        <n v="145000"/>
        <n v="180000"/>
        <n v="8200000"/>
        <n v="16068357"/>
        <n v="322330"/>
        <n v="240000"/>
        <n v="9812"/>
        <n v="440270"/>
        <n v="826450"/>
        <n v="56000"/>
        <n v="279800000"/>
        <n v="182000"/>
        <n v="3235000"/>
        <n v="303940"/>
        <n v="897000"/>
        <n v="270000"/>
        <n v="167000"/>
      </sharedItems>
    </cacheField>
    <cacheField name="Designated Fundraising?" numFmtId="0">
      <sharedItems containsBlank="1"/>
    </cacheField>
    <cacheField name="Limited corporate or full public?" numFmtId="0">
      <sharedItems containsBlank="1"/>
    </cacheField>
    <cacheField name="Total Funds Raised" numFmtId="0">
      <sharedItems containsString="0" containsBlank="1" containsNumber="1" containsInteger="1" minValue="56000" maxValue="307256521"/>
    </cacheField>
    <cacheField name="As of Date" numFmtId="0">
      <sharedItems containsNonDate="0" containsDate="1" containsString="0" containsBlank="1" minDate="2011-02-28T00:00:00" maxDate="2011-12-02T00:00:00"/>
    </cacheField>
    <cacheField name="Date Fundraising Closed" numFmtId="14">
      <sharedItems containsDate="1" containsBlank="1" containsMixedTypes="1" minDate="2011-02-28T00:00:00" maxDate="2011-11-18T00:00:00"/>
    </cacheField>
    <cacheField name="AP Code 1" numFmtId="0">
      <sharedItems containsBlank="1" containsMixedTypes="1" containsNumber="1" containsInteger="1" minValue="2002" maxValue="9306"/>
    </cacheField>
    <cacheField name="AP1 Amount" numFmtId="0">
      <sharedItems containsString="0" containsBlank="1" containsNumber="1" containsInteger="1" minValue="30000" maxValue="200000"/>
    </cacheField>
    <cacheField name="AP Code 2" numFmtId="0">
      <sharedItems containsString="0" containsBlank="1" containsNumber="1" containsInteger="1" minValue="2010" maxValue="2882"/>
    </cacheField>
    <cacheField name="AP2 Amount" numFmtId="0">
      <sharedItems containsString="0" containsBlank="1" containsNumber="1" containsInteger="1" minValue="100000" maxValue="2553000"/>
    </cacheField>
    <cacheField name="AP Code 3" numFmtId="0">
      <sharedItems containsString="0" containsBlank="1" containsNumber="1" containsInteger="1" minValue="2099" maxValue="2799"/>
    </cacheField>
    <cacheField name="AP3 Amount" numFmtId="166">
      <sharedItems containsBlank="1" containsMixedTypes="1" containsNumber="1" containsInteger="1" minValue="200000" maxValue="200000"/>
    </cacheField>
    <cacheField name="ARCT?" numFmtId="0">
      <sharedItems containsBlank="1"/>
    </cacheField>
    <cacheField name="OFDA?" numFmtId="0">
      <sharedItems containsBlank="1"/>
    </cacheField>
    <cacheField name="RRF?" numFmtId="0">
      <sharedItems containsBlank="1"/>
    </cacheField>
    <cacheField name="IRF?" numFmtId="0">
      <sharedItems containsBlank="1"/>
    </cacheField>
    <cacheField name="Funding Source &amp; Info" numFmtId="0">
      <sharedItems containsBlank="1" longText="1"/>
    </cacheField>
    <cacheField name="Stewardship report?" numFmtId="0">
      <sharedItems containsBlank="1"/>
    </cacheField>
    <cacheField name="Disaster Response Description " numFmtId="0">
      <sharedItems containsDate="1" containsBlank="1" containsMixedTypes="1" minDate="2008-09-11T00:00:00" maxDate="1900-01-04T11:09:05" longText="1"/>
    </cacheField>
    <cacheField name="Contributions Description" numFmtId="0">
      <sharedItems containsBlank="1" longText="1"/>
    </cacheField>
  </cacheFields>
  <extLst>
    <ext xmlns:x14="http://schemas.microsoft.com/office/spreadsheetml/2009/9/main" uri="{725AE2AE-9491-48be-B2B4-4EB974FC3084}">
      <x14:pivotCacheDefinition/>
    </ext>
  </extLst>
</pivotCacheDefinition>
</file>

<file path=xl/pivotCache/pivotCacheDefinition30.xml><?xml version="1.0" encoding="utf-8"?>
<pivotCacheDefinition xmlns="http://schemas.openxmlformats.org/spreadsheetml/2006/main" xmlns:r="http://schemas.openxmlformats.org/officeDocument/2006/relationships" r:id="rId1" refreshedBy="Eliza Paul" refreshedDate="41002.625328125003" createdVersion="3" refreshedVersion="3" minRefreshableVersion="3" recordCount="370">
  <cacheSource type="worksheet">
    <worksheetSource ref="A1:BY372" sheet="Disaster Data"/>
  </cacheSource>
  <cacheFields count="77">
    <cacheField name="Glide #" numFmtId="0">
      <sharedItems containsBlank="1"/>
    </cacheField>
    <cacheField name="ARC Disaster #" numFmtId="0">
      <sharedItems containsMixedTypes="1" containsNumber="1" containsInteger="1" minValue="1" maxValue="281"/>
    </cacheField>
    <cacheField name="Disaster Name" numFmtId="0">
      <sharedItems count="257">
        <s v="Mexico Earthquake"/>
        <s v="Armenia Earthquake"/>
        <s v="Rwanda Crisis"/>
        <s v="Hurricane Mitch"/>
        <s v="Balkans Crisis"/>
        <s v="Ethiopia Drought"/>
        <s v="Mexico Floods"/>
        <s v="Costa Rica Floods"/>
        <s v="China Floods"/>
        <s v="Turkey Earthquake"/>
        <s v="Nicaragua Volcano"/>
        <s v="Cambodia Floods"/>
        <s v="Greece Earthquake"/>
        <s v="Bahamas Storm"/>
        <s v="Taiwan Earthquake"/>
        <s v="Japan Industrial"/>
        <s v="Mexico Floods "/>
        <s v="Russian Fed. Conflict"/>
        <s v="Timor-Leste Conflict"/>
        <s v="Bangladesh Floods"/>
        <s v="India Storm"/>
        <s v="Vietnam Floods"/>
        <s v="Dominica Storm"/>
        <s v="St. Kitts &amp; Nevis Storm"/>
        <s v="Antigua Storm"/>
        <s v="Grenada Storm"/>
        <s v="St. Maartens Storm"/>
        <s v="Venezuela Floods"/>
        <s v="South Africa Floods"/>
        <s v="Botswana Floods"/>
        <s v="Zimbabwe Floods"/>
        <s v="Madagascar Floods"/>
        <s v="Indonesia Earthquake"/>
        <s v="India Floods"/>
        <s v="Belize Storm"/>
        <s v="Israel Conflict"/>
        <s v="Jordan Conflict"/>
        <s v="Palestine Conflict"/>
        <s v="Taiwan Transport"/>
        <s v="Austria Miscellaneous"/>
        <s v="Azerbaijan Earthquake"/>
        <s v="Sri Lanka Storm"/>
        <s v="South Africa Epidemic"/>
        <s v="El Salvador Earthquake"/>
        <s v="China Storm"/>
        <s v="India Earthquake"/>
        <s v="Mozambique Floods"/>
        <s v="Malawi Floods"/>
        <s v="Bolivia Floods"/>
        <s v="Peru Floods"/>
        <s v="Canada Transport"/>
        <s v="Russian Fed. Floods"/>
        <s v="Macedonia Conflict"/>
        <s v="Bosnia Floods"/>
        <s v="Peru Earthquake"/>
        <s v="El Salvador Drought"/>
        <s v="Honduras Drought"/>
        <s v="Nicaragua Drought"/>
        <s v="Guatemala Drought"/>
        <s v="Ecuador Volcano"/>
        <s v="Afghanistan Conflict"/>
        <s v="Pakistan Conflict"/>
        <s v="Uzbekistan Conflict"/>
        <s v="Iran Conflict"/>
        <s v="Turkmenistan Conflict"/>
        <s v="US Terrorism"/>
        <s v="Mexico Transport"/>
        <s v="Mexico Storm"/>
        <s v="Belize Meteorological"/>
        <s v="Belize Transport"/>
        <s v="Honduras Storm"/>
        <s v="Nicaragua Storm"/>
        <s v="Cuba Storm"/>
        <s v="Jamaica Storm"/>
        <s v="US Transport"/>
        <s v="Cambodia Miscellaneous"/>
        <s v="Albania Storm"/>
        <s v="DR Congo Volcano"/>
        <s v="Nigeria Industrial"/>
        <s v="Afghanistan Earthquake"/>
        <s v="Panama Floods"/>
        <s v="Kenya Floods"/>
        <s v="Malawi Food Insecurity"/>
        <s v="Nicaragua  Floods"/>
        <s v="Syria Miscellaneous"/>
        <s v="FS Micronesia Storm"/>
        <s v="Peru Storm"/>
        <s v="Bolivia Storm"/>
        <s v="Romania Floods"/>
        <s v="Germany Floods"/>
        <s v="Czech Republic Floods"/>
        <s v="Slovakia Floods"/>
        <s v="Hungary Floods"/>
        <s v="Austria Floods"/>
        <s v="Paraguay Drought"/>
        <s v="South Korea Storm"/>
        <s v="Italy Earthquake"/>
        <s v="Indonesia Terrorism"/>
        <s v="Australia Terrorism"/>
        <s v="Vietnam Miscellaneous"/>
        <s v="Lesotho Food Insecurity"/>
        <s v="Kenya Epidemic"/>
        <s v="Solomon Islands Storm"/>
        <s v="South Korea Transport"/>
        <s v="China Earthquake"/>
        <s v="Iraq Conflict"/>
        <s v="Syria Conflict"/>
        <s v="Turkey Conflict"/>
        <s v="Argentina Floods"/>
        <s v="China Epidemic"/>
        <s v="Hong Kong Epidemic"/>
        <s v="Sri Lanka Floods"/>
        <s v="Canada Wildfire"/>
        <s v="Dominican Republic Earthquake"/>
        <s v="Algeria Earthquake"/>
        <s v="Liberia Conflict"/>
        <s v="Dominican Republic Floods"/>
        <s v="Iran Earthquake"/>
        <s v="Panama Earthquake"/>
        <s v="North Korea Transport"/>
        <s v="Haiti Floods"/>
        <s v="Malawi Epidemic"/>
        <s v="Jamaica Conflict"/>
        <s v="Paraguay Miscellaneous"/>
        <s v="Chad Conflict"/>
        <s v="Sudan Conflict"/>
        <s v="Taiwan Storm"/>
        <s v="Cayman Islands Storm"/>
        <s v="Sri Lanka Tsunami"/>
        <s v="Indonesia Tsunami"/>
        <s v="Maldives Tsunami"/>
        <s v="Guyana Floods"/>
        <s v="Canada Floods"/>
        <s v="Hurricane Dennis - Jamaica "/>
        <s v="Hurricane Dennis - Grenada"/>
        <s v="Hurricane Dennis - Haiti"/>
        <s v="Sahel Food Crisis"/>
        <s v="Hurricane Katrina"/>
        <s v="Pakistan Earthquake"/>
        <s v="Hurricane Stan - Guatemala"/>
        <s v="Hurricane Stan - Mexico"/>
        <s v="El Salvador Hurricane Stan &amp; Volcano Eruption"/>
        <s v="Hurricane Wilma - Bahamas"/>
        <s v="Hurricane Wilma - Mexico"/>
        <s v="Vietnam Typhoon Damrey"/>
        <s v="Colombia Volcano"/>
        <s v="Southern Africa Food Security Crisis - Lesotho"/>
        <s v="Southern Africa Food Security Crisis - Malawi"/>
        <s v="Southern Africa Food Security Crisis - Zimbabwe"/>
        <s v="Southern Africa Food Security Crisis - Zambia"/>
        <s v="Eastern Africa Drought"/>
        <s v="Iraq Humanitarian Emergency"/>
        <s v="Timor-Leste Floods"/>
        <s v="Philippines Mudslides"/>
        <s v="Angola Cholera Epidemic"/>
        <s v="Somalia Drought"/>
        <s v="Spain Terrorism"/>
        <s v="Colombia Floods"/>
        <s v="Indonesia Yogyakarta Earthquake"/>
        <s v="Middle East Humanitarian Crisis"/>
        <s v="Ecuador Volanic Eruption"/>
        <s v="Ethiopia Floods"/>
        <s v="Sudan Floods"/>
        <s v="Philippines Typhoons"/>
        <s v="Vietnam Typhoons"/>
        <s v="Somalia Conflict"/>
        <s v="Somalia Floods"/>
        <s v="Sri Lanka Conflict"/>
        <s v="Madagascar Cyclones"/>
        <s v="Solomon Islands Tsunami/ Earthquake"/>
        <s v="Colombia Tolima Floods"/>
        <s v="Mexico Coahuila Tornado"/>
        <s v="Pakistan Cyclone Yemyin"/>
        <s v="United Kingdom Floods"/>
        <s v="Nepal Floods"/>
        <s v="Hurricane Dean"/>
        <s v="Greece Wildfire"/>
        <s v="Hurricane Felix"/>
        <s v="Indonesia Bengkulu Earthquake"/>
        <s v="Uganda Floods"/>
        <s v="Togo Floods"/>
        <s v="Tropical Storm Noel"/>
        <s v="Vietnam Typhoon Lekima"/>
        <s v="Bangladesh Cyclone Sidr"/>
        <s v="Papua New Guinea Storm"/>
        <s v="Kenya Election Civil Unrest"/>
        <s v="China Snow Disaster"/>
        <s v="Guyana Civil Unrest"/>
        <s v="Ecuador Floods"/>
        <s v="Madagascar Cyclone Ivan"/>
        <s v="Southern Africa Floods - Cyclone Jokwe"/>
        <s v="Myanmar Cyclone Nargis"/>
        <s v="China Sichuan Earthquake"/>
        <s v="Ethiopia Food Insecurity"/>
        <s v="South Africa Civil Unrest"/>
        <s v="Chile Floods"/>
        <s v="Philippines – Typhoon Fengshen"/>
        <s v="Yemen Conflict"/>
        <s v="Suriname Floods"/>
        <s v="Moldova and Ukraine Floods"/>
        <s v="Georgia Conflict"/>
        <s v="Haiti Hurricane Season 2008"/>
        <s v="Carribean Hurricane Season 2008 - Bahamas"/>
        <s v="Carribean Hurricane Season 2008 -  Jamaica"/>
        <s v="Cuba Hurricane Season 2008"/>
        <s v="Central America Floods"/>
        <s v="Pakistan Baluchistan Earthquake"/>
        <s v="Panama &amp; Costa Rica Floods"/>
        <s v="Horn of Africa Food Insecurity Crisis"/>
        <s v="Uganda, Rwanda, Burundi Population Movement"/>
        <s v="Zimbabwe Cholera Epidemic"/>
        <s v="Gaza Conflict - Israel"/>
        <s v="Gaza Conflict - Palestine"/>
        <s v="Costa Rica Earthquake"/>
        <s v="Australia Wildfires"/>
        <s v="Namibia Floods"/>
        <s v="Africa Polio Outbreak"/>
        <s v="Pakistan Internally Displaced Persons Crisis"/>
        <s v="Bangladesh Cyclone Aila"/>
        <s v="Tajikistan Mudslides and Floods"/>
        <s v="Syria Drought"/>
        <s v="West &amp; Central Africa Floods - Burkina Faso"/>
        <s v="West &amp; Central Africa Floods - Senegal"/>
        <s v="Mexico Hurricane Jimena"/>
        <s v="Java Indonesia Earthquake"/>
        <s v="Southeast Asia Typhoons - Philippines"/>
        <s v="Southeast Asia Typhoons - Vietnam"/>
        <s v="West Sumatra Indonesia Earthquake"/>
        <s v="Samoa Islands Tsunami"/>
        <s v="Kenya Drought"/>
        <s v="El Salvador Floods"/>
        <s v="Haiti Earthquake"/>
        <s v="Tanzania Floods"/>
        <s v="Chile Earthquake"/>
        <s v="Mongolia Severe Winter"/>
        <s v="Nepal Diarrhea Outbreak"/>
        <s v="Tropical Storm Agatha"/>
        <s v="Kyrgyzstan-Uzbekistan Population Movement"/>
        <s v="Pakistan Monsoon Floods"/>
        <s v="Haiti &amp; Dominican Republic Cholera Outbreak"/>
        <s v="Philippines Typhoon Megi"/>
        <s v="Indonesia Tsunami &amp; Volcanic Eruption"/>
        <s v="Caribbean Hurricane Tomas"/>
        <s v="Belize Hurricane Richard"/>
        <s v="Colombian Floods"/>
        <s v="North Africa &amp; Middle East Civil Unrest"/>
        <s v="New Zealand Earthquake"/>
        <s v="Paraguay Dengue Epidemic"/>
        <s v="Japan Earthquake &amp; Tsunami"/>
        <s v="West African Population Movement"/>
        <s v="Horn of Africa Drought"/>
        <s v="DPR Korea (North Korea) Floods"/>
        <s v="Pakistan Floods"/>
        <s v="Turkey  Earthquake"/>
        <s v="Thailand Floods"/>
        <s v="Philippines Typhoon Washi"/>
        <s v="Mexico Drought"/>
      </sharedItems>
    </cacheField>
    <cacheField name="Date of Response" numFmtId="167">
      <sharedItems containsNonDate="0" containsDate="1" containsString="0" containsBlank="1" minDate="1985-09-01T00:00:00" maxDate="2012-03-17T00:00:00"/>
    </cacheField>
    <cacheField name="Fiscal Year" numFmtId="0">
      <sharedItems containsString="0" containsBlank="1" containsNumber="1" containsInteger="1" minValue="1986" maxValue="2012" count="18">
        <n v="1986"/>
        <n v="1989"/>
        <n v="1994"/>
        <n v="1999"/>
        <n v="2000"/>
        <n v="2001"/>
        <n v="2002"/>
        <n v="2003"/>
        <n v="2004"/>
        <n v="2005"/>
        <n v="2006"/>
        <n v="2007"/>
        <n v="2008"/>
        <n v="2009"/>
        <n v="2010"/>
        <n v="2011"/>
        <n v="2012"/>
        <m/>
      </sharedItems>
    </cacheField>
    <cacheField name="FY #" numFmtId="0">
      <sharedItems containsString="0" containsBlank="1" containsNumber="1" containsInteger="1" minValue="1" maxValue="33" count="34">
        <m/>
        <n v="1"/>
        <n v="2"/>
        <n v="3"/>
        <n v="4"/>
        <n v="5"/>
        <n v="6"/>
        <n v="7"/>
        <n v="8"/>
        <n v="9"/>
        <n v="10"/>
        <n v="11"/>
        <n v="12"/>
        <n v="13"/>
        <n v="14"/>
        <n v="15"/>
        <n v="16"/>
        <n v="17"/>
        <n v="18"/>
        <n v="19"/>
        <n v="21"/>
        <n v="22"/>
        <n v="23"/>
        <n v="20"/>
        <n v="24"/>
        <n v="25"/>
        <n v="26"/>
        <n v="27"/>
        <n v="28"/>
        <n v="29"/>
        <n v="32"/>
        <n v="30"/>
        <n v="31"/>
        <n v="33"/>
      </sharedItems>
    </cacheField>
    <cacheField name="Quarter" numFmtId="0">
      <sharedItems containsBlank="1"/>
    </cacheField>
    <cacheField name="Calendar Year" numFmtId="0">
      <sharedItems containsString="0" containsBlank="1" containsNumber="1" containsInteger="1" minValue="1985" maxValue="2012" count="19">
        <n v="1985"/>
        <n v="1988"/>
        <n v="1994"/>
        <n v="1998"/>
        <n v="1999"/>
        <n v="2000"/>
        <n v="2001"/>
        <n v="2002"/>
        <n v="2003"/>
        <n v="2004"/>
        <n v="2005"/>
        <n v="2006"/>
        <n v="2007"/>
        <n v="2008"/>
        <n v="2009"/>
        <n v="2010"/>
        <n v="2011"/>
        <m/>
        <n v="2012"/>
      </sharedItems>
    </cacheField>
    <cacheField name="CY #" numFmtId="0">
      <sharedItems containsString="0" containsBlank="1" containsNumber="1" containsInteger="1" minValue="1" maxValue="33"/>
    </cacheField>
    <cacheField name="Region" numFmtId="0">
      <sharedItems containsBlank="1" count="5">
        <m/>
        <s v="Africa"/>
        <s v="LAC"/>
        <s v="Europe/Asia"/>
        <s v="North America"/>
      </sharedItems>
    </cacheField>
    <cacheField name="Country" numFmtId="0">
      <sharedItems containsBlank="1"/>
    </cacheField>
    <cacheField name="Major Disaster Category" numFmtId="0">
      <sharedItems containsBlank="1"/>
    </cacheField>
    <cacheField name="Disaster Type" numFmtId="0">
      <sharedItems containsBlank="1"/>
    </cacheField>
    <cacheField name="Nature of Disaster (Disaster Sub-Type)" numFmtId="0">
      <sharedItems containsBlank="1"/>
    </cacheField>
    <cacheField name="Disaster Sub-Sub Type" numFmtId="0">
      <sharedItems containsBlank="1"/>
    </cacheField>
    <cacheField name="Total Affected" numFmtId="0">
      <sharedItems containsBlank="1" containsMixedTypes="1" containsNumber="1" containsInteger="1" minValue="2500" maxValue="25000000"/>
    </cacheField>
    <cacheField name="Appeal?_x000a_Y/N" numFmtId="0">
      <sharedItems containsBlank="1" count="3">
        <m/>
        <s v="Y"/>
        <s v="N"/>
      </sharedItems>
    </cacheField>
    <cacheField name="Whose Appeal?" numFmtId="0">
      <sharedItems containsBlank="1"/>
    </cacheField>
    <cacheField name="Appeal Amount" numFmtId="0">
      <sharedItems containsBlank="1" containsMixedTypes="1" containsNumber="1" containsInteger="1" minValue="364732" maxValue="254000000"/>
    </cacheField>
    <cacheField name="Appeal #" numFmtId="0">
      <sharedItems containsBlank="1"/>
    </cacheField>
    <cacheField name="% of Appeal Covered by ARC" numFmtId="169">
      <sharedItems containsBlank="1" containsMixedTypes="1" containsNumber="1" minValue="0" maxValue="0.36102216666666664" count="105">
        <s v=""/>
        <n v="4.2589437819420782E-2"/>
        <n v="0"/>
        <n v="6.623931623931624E-2"/>
        <n v="6.405930540187333E-3"/>
        <n v="0.23663660062565173"/>
        <n v="3.3504396378573595E-2"/>
        <n v="1.4285714285714285E-2"/>
        <n v="0.10309278350515463"/>
        <n v="2.75E-2"/>
        <n v="8.3612303606992691E-2"/>
        <n v="4.5104838709677422E-2"/>
        <n v="2.631578947368421E-3"/>
        <n v="2.2730389385427818E-2"/>
        <n v="1.036099574142353E-2"/>
        <n v="9.7133965222155089E-2"/>
        <n v="2.0118009879126264E-2"/>
        <n v="2.0299416391778735E-2"/>
        <n v="9.1119000372464828E-2"/>
        <n v="4.7014925373134328E-2"/>
        <n v="3.6642373231244017E-3"/>
        <n v="2.9843619434164977E-3"/>
        <n v="0.30968700966223472"/>
        <n v="6.2464863514273224E-2"/>
        <n v="3.5570858929530574E-2"/>
        <n v="2.6115115428810196E-3"/>
        <n v="2.3191363536219111E-3"/>
        <n v="1.6764705882352942E-2"/>
        <n v="2.5670103092783506E-2"/>
        <n v="1.6666666666666666E-2"/>
        <n v="1.4705882352941176E-2"/>
        <n v="2.1367521367521368E-2"/>
        <n v="3.125E-2"/>
        <n v="3.8461538461538464E-2"/>
        <n v="6.2406249999999996E-3"/>
        <n v="2.266839378238342E-2"/>
        <n v="0.28726499999999999"/>
        <n v="4.2592592592592592E-2"/>
        <n v="4.926618181818182E-2"/>
        <n v="3.5342261904761904E-2"/>
        <n v="2.1126760563380281E-2"/>
        <n v="7.5957446808510637E-3"/>
        <n v="0.35"/>
        <n v="1.4232804232804232E-2"/>
        <n v="3.5714285714285712E-2"/>
        <n v="3.446509157705697E-3"/>
        <n v="0.10787486515641856"/>
        <n v="1.2626253060919398E-2"/>
        <n v="2.3125E-2"/>
        <n v="3.6477712117895965E-3"/>
        <n v="3.7091366303436714E-2"/>
        <n v="1.3522650439486139E-2"/>
        <n v="1.8884321820569483E-2"/>
        <n v="3.7326578947368419E-2"/>
        <n v="7.3883904046877863E-2"/>
        <n v="0.12823728953979216"/>
        <n v="0.17760727008821217"/>
        <n v="1.0121457489878543E-2"/>
        <n v="1.2500000000000001E-2"/>
        <n v="0.17483954101123694"/>
        <n v="7.5090094221398245E-3"/>
        <n v="3.4779415038062589E-2"/>
        <n v="1.0869565217391304E-2"/>
        <n v="2.6621502400460871E-2"/>
        <n v="9.0909090909090912E-2"/>
        <n v="3.4246575342465752E-2"/>
        <n v="1.4251440015069349E-2"/>
        <n v="1.6252683724399992E-2"/>
        <n v="0.15789473684210525"/>
        <n v="0.17367458866544791"/>
        <n v="2.6881720430107527E-2"/>
        <n v="4.0816326530612242E-2"/>
        <n v="1.1865413932084269E-2"/>
        <n v="0.14491335418155082"/>
        <n v="0.17188673215"/>
        <n v="0.12306541172764147"/>
        <n v="0.15625"/>
        <n v="0.1462140149662649"/>
        <n v="7.5281364098317455E-2"/>
        <n v="8.9914311660987081E-2"/>
        <n v="1.0033955910195694E-2"/>
        <n v="0.10966884395878206"/>
        <n v="2.7609427609427608E-2"/>
        <n v="2.7777777777777776E-2"/>
        <n v="0.36102216666666664"/>
        <n v="6.9605568445475635E-3"/>
        <n v="1.7446769905019786E-2"/>
        <n v="0.23307812618046034"/>
        <n v="0.1801900825180483"/>
        <n v="1.0997655697098372E-2"/>
        <n v="0.31840336457885032"/>
        <n v="3.4557689224083116E-2"/>
        <n v="2.4603623326400034E-2"/>
        <n v="1.2255905511811023E-2"/>
        <n v="1.1363636363636364E-2"/>
        <n v="3.3333333333333333E-2"/>
        <n v="4.2016806722689074E-3"/>
        <n v="1.3157894736842105E-2"/>
        <n v="2.2259619758027836E-2"/>
        <n v="1.3223076923076922E-2"/>
        <n v="7.6016949152542368E-2"/>
        <n v="4.0669253231172167E-2"/>
        <n v="2.6785714285714284E-2"/>
        <m/>
        <n v="0.13"/>
      </sharedItems>
    </cacheField>
    <cacheField name="Overall Appeal Coverage" numFmtId="0">
      <sharedItems containsBlank="1" containsMixedTypes="1" containsNumber="1" minValue="0.06" maxValue="1.04" count="33">
        <m/>
        <n v="1"/>
        <n v="0.95"/>
        <n v="0.93"/>
        <n v="0.64"/>
        <n v="0.77"/>
        <n v="0.66"/>
        <n v="0.76"/>
        <n v="0.9"/>
        <n v="0.65"/>
        <n v="0.54"/>
        <n v="0.72"/>
        <n v="1.04"/>
        <n v="0.67"/>
        <n v="0.47"/>
        <n v="0.39"/>
        <n v="0.09"/>
        <n v="0.62"/>
        <n v="0.99"/>
        <n v="0.91"/>
        <s v="various"/>
        <n v="0.45"/>
        <n v="0.61"/>
        <n v="0.34"/>
        <n v="0.32"/>
        <n v="0.53"/>
        <n v="0.25"/>
        <n v="0.06"/>
        <n v="0.92"/>
        <n v="0.94"/>
        <n v="0.89"/>
        <n v="0.79"/>
        <n v="0.35"/>
      </sharedItems>
    </cacheField>
    <cacheField name="IFRC DREF?" numFmtId="0">
      <sharedItems containsBlank="1"/>
    </cacheField>
    <cacheField name="DREF Amount" numFmtId="0">
      <sharedItems containsString="0" containsBlank="1" containsNumber="1" containsInteger="1" minValue="49273" maxValue="613944"/>
    </cacheField>
    <cacheField name="Multilateral Beneficiaries" numFmtId="0">
      <sharedItems containsBlank="1" containsMixedTypes="1" containsNumber="1" containsInteger="1" minValue="0" maxValue="25000000"/>
    </cacheField>
    <cacheField name="Bilateral Request?" numFmtId="0">
      <sharedItems containsBlank="1"/>
    </cacheField>
    <cacheField name="Direct Beneficiaries" numFmtId="0">
      <sharedItems containsBlank="1" containsMixedTypes="1" containsNumber="1" containsInteger="1" minValue="0" maxValue="50000"/>
    </cacheField>
    <cacheField name="Contribution to IFRC/ICRC &gt;/= $50K?" numFmtId="0">
      <sharedItems containsBlank="1" containsMixedTypes="1" containsNumber="1" containsInteger="1" minValue="0" maxValue="4"/>
    </cacheField>
    <cacheField name="Cash to IFRC" numFmtId="166">
      <sharedItems containsString="0" containsBlank="1" containsNumber="1" minValue="0" maxValue="30000000"/>
    </cacheField>
    <cacheField name="Cash to ICRC" numFmtId="0">
      <sharedItems containsBlank="1" containsMixedTypes="1" containsNumber="1" minValue="50000" maxValue="4377346.43"/>
    </cacheField>
    <cacheField name="Cash to NS" numFmtId="166">
      <sharedItems containsString="0" containsBlank="1" containsNumber="1" minValue="1000" maxValue="276000000"/>
    </cacheField>
    <cacheField name="Cash to Other Orgs" numFmtId="0">
      <sharedItems containsString="0" containsBlank="1" containsNumber="1" containsInteger="1" minValue="1500000" maxValue="1500000"/>
    </cacheField>
    <cacheField name="Total Cash" numFmtId="166">
      <sharedItems containsBlank="1" containsMixedTypes="1" containsNumber="1" minValue="0" maxValue="279800000"/>
    </cacheField>
    <cacheField name="ARC People Deployed" numFmtId="0">
      <sharedItems containsString="0" containsBlank="1" containsNumber="1" containsInteger="1" minValue="0" maxValue="82"/>
    </cacheField>
    <cacheField name="ERUs" numFmtId="0">
      <sharedItems containsBlank="1"/>
    </cacheField>
    <cacheField name="Individual Deployments" numFmtId="0">
      <sharedItems containsString="0" containsBlank="1" containsNumber="1" containsInteger="1" minValue="1" maxValue="85"/>
    </cacheField>
    <cacheField name="Total ARC Items Supplied" numFmtId="0">
      <sharedItems containsBlank="1" containsMixedTypes="1" containsNumber="1" minValue="11" maxValue="5143307"/>
    </cacheField>
    <cacheField name="Pre-positioned?" numFmtId="0">
      <sharedItems containsBlank="1"/>
    </cacheField>
    <cacheField name="Hygiene Kits" numFmtId="0">
      <sharedItems containsString="0" containsBlank="1" containsNumber="1" containsInteger="1" minValue="214" maxValue="45000"/>
    </cacheField>
    <cacheField name="Blankets" numFmtId="0">
      <sharedItems containsString="0" containsBlank="1" containsNumber="1" containsInteger="1" minValue="1000" maxValue="222900"/>
    </cacheField>
    <cacheField name="Jerry Cans" numFmtId="0">
      <sharedItems containsString="0" containsBlank="1" containsNumber="1" containsInteger="1" minValue="321" maxValue="30000"/>
    </cacheField>
    <cacheField name="Buckets" numFmtId="0">
      <sharedItems containsString="0" containsBlank="1" containsNumber="1" containsInteger="1" minValue="3650" maxValue="28000"/>
    </cacheField>
    <cacheField name="Tents" numFmtId="0">
      <sharedItems containsString="0" containsBlank="1" containsNumber="1" containsInteger="1" minValue="5" maxValue="5200"/>
    </cacheField>
    <cacheField name="Kitchen Sets" numFmtId="0">
      <sharedItems containsString="0" containsBlank="1" containsNumber="1" containsInteger="1" minValue="500" maxValue="18000"/>
    </cacheField>
    <cacheField name="Sleeping Mats / Bedsheets" numFmtId="0">
      <sharedItems containsString="0" containsBlank="1" containsNumber="1" containsInteger="1" minValue="500" maxValue="30518"/>
    </cacheField>
    <cacheField name="Mosquito Nets" numFmtId="0">
      <sharedItems containsString="0" containsBlank="1" containsNumber="1" containsInteger="1" minValue="1000" maxValue="20000"/>
    </cacheField>
    <cacheField name="Food Parcels" numFmtId="0">
      <sharedItems containsString="0" containsBlank="1" containsNumber="1" containsInteger="1" minValue="2600" maxValue="40000"/>
    </cacheField>
    <cacheField name="Tarps" numFmtId="0">
      <sharedItems containsString="0" containsBlank="1" containsNumber="1" containsInteger="1" minValue="20" maxValue="11000"/>
    </cacheField>
    <cacheField name="Vehicles" numFmtId="0">
      <sharedItems containsString="0" containsBlank="1" containsNumber="1" containsInteger="1" minValue="1" maxValue="7"/>
    </cacheField>
    <cacheField name="Other Items" numFmtId="0">
      <sharedItems containsString="0" containsBlank="1" containsNumber="1" containsInteger="1" minValue="3000" maxValue="6250"/>
    </cacheField>
    <cacheField name="Rice Bags" numFmtId="0">
      <sharedItems containsNonDate="0" containsString="0" containsBlank="1"/>
    </cacheField>
    <cacheField name="Value of Supplies" numFmtId="0">
      <sharedItems containsBlank="1" containsMixedTypes="1" containsNumber="1" minValue="0" maxValue="15266353"/>
    </cacheField>
    <cacheField name="Operational (People) Cost for Response Phase" numFmtId="0">
      <sharedItems containsBlank="1" containsMixedTypes="1" containsNumber="1" minValue="0" maxValue="100000000"/>
    </cacheField>
    <cacheField name="Total $ Response Phase" numFmtId="166">
      <sharedItems containsBlank="1" containsMixedTypes="1" containsNumber="1" minValue="0" maxValue="279800000"/>
    </cacheField>
    <cacheField name="Early Recovery $" numFmtId="0">
      <sharedItems containsString="0" containsBlank="1" containsNumber="1" minValue="764192.86" maxValue="337000000"/>
    </cacheField>
    <cacheField name="Future Contrib Anticipated $" numFmtId="0">
      <sharedItems containsNonDate="0" containsString="0" containsBlank="1"/>
    </cacheField>
    <cacheField name="Beneficiaries Served (Final Rpt)" numFmtId="0">
      <sharedItems containsString="0" containsBlank="1" containsNumber="1" minValue="0" maxValue="455000"/>
    </cacheField>
    <cacheField name="Total Contributions" numFmtId="166">
      <sharedItems containsBlank="1" containsMixedTypes="1" containsNumber="1" minValue="0" maxValue="477328823.80666667" count="192">
        <n v="19700000"/>
        <n v="14000000"/>
        <n v="18000000"/>
        <n v="50000000"/>
        <n v="39000000"/>
        <n v="100000"/>
        <n v="10000"/>
        <n v="0"/>
        <n v="25000"/>
        <n v="80000"/>
        <n v="132193"/>
        <n v="1200000"/>
        <n v="200"/>
        <n v="150000"/>
        <n v="205000"/>
        <n v="610134"/>
        <n v="50000"/>
        <n v="5153184.1400000006"/>
        <n v="15000"/>
        <n v="9000"/>
        <n v="1056000"/>
        <n v="23333.333333333332"/>
        <n v="23333.343333333331"/>
        <n v="389265"/>
        <n v="352704"/>
        <n v="20000"/>
        <n v="118500"/>
        <n v="40000"/>
        <n v="172000"/>
        <n v="90000"/>
        <n v="7500"/>
        <n v="2577.8000000000002"/>
        <n v="30500"/>
        <n v="227500"/>
        <n v="690000"/>
        <n v="250000"/>
        <n v="174000"/>
        <n v="1000"/>
        <n v="20700"/>
        <n v="18000"/>
        <n v="699130"/>
        <n v="12000000"/>
        <n v="3515479.37"/>
        <n v="97982"/>
        <n v="4400"/>
        <n v="60000"/>
        <n v="5000"/>
        <n v="500"/>
        <n v="71832"/>
        <n v="45000"/>
        <n v="21612.23"/>
        <n v="350424.24"/>
        <n v="11700"/>
        <n v="104805"/>
        <n v="225000"/>
        <n v="2000"/>
        <n v="75000"/>
        <n v="232252.87"/>
        <n v="115139.84"/>
        <n v="35000"/>
        <n v="130000"/>
        <n v="46670"/>
        <n v="237898.78"/>
        <n v="1345"/>
        <n v="7242.1372799999999"/>
        <n v="350000"/>
        <n v="421694"/>
        <n v="32812"/>
        <n v="17812"/>
        <n v="331380"/>
        <n v="32500"/>
        <n v="370642"/>
        <n v="21400"/>
        <n v="16700"/>
        <n v="65870"/>
        <n v="35027"/>
        <n v="10500"/>
        <n v="1175801.98"/>
        <n v="19975"/>
        <n v="6178"/>
        <n v="110000"/>
        <n v="220134.81245"/>
        <n v="44557.856"/>
        <n v="61220"/>
        <n v="110266.26"/>
        <n v="97442.48"/>
        <n v="3000"/>
        <n v="18675"/>
        <n v="247400"/>
        <n v="35975"/>
        <n v="59896.536212325685"/>
        <n v="302452.19"/>
        <n v="131046.88"/>
        <n v="112853.79000000001"/>
        <n v="401375"/>
        <n v="2655"/>
        <n v="103848909.52666667"/>
        <n v="477328823.80666667"/>
        <n v="1822266.6666666667"/>
        <n v="13100"/>
        <n v="32475"/>
        <n v="108693"/>
        <n v="36200"/>
        <n v="12558310"/>
        <n v="47581"/>
        <n v="342378"/>
        <n v="7034"/>
        <n v="20597"/>
        <n v="497744"/>
        <n v="21068"/>
        <n v="17402"/>
        <n v="400000"/>
        <n v="188443"/>
        <n v="55000"/>
        <n v="94461"/>
        <n v="1485750"/>
        <n v="1889600"/>
        <n v="85000"/>
        <n v="46900"/>
        <n v="793500"/>
        <n v="63000"/>
        <n v="200000"/>
        <n v="245000"/>
        <n v="2000000"/>
        <n v="102000"/>
        <n v="295000"/>
        <n v="124500"/>
        <n v="153400"/>
        <n v="20188"/>
        <n v="3400000"/>
        <n v="34565"/>
        <n v="298680"/>
        <n v="2500"/>
        <n v="22500"/>
        <n v="47500"/>
        <n v="17400"/>
        <n v="19970"/>
        <n v="104055"/>
        <n v="58073"/>
        <n v="37440"/>
        <n v="1900000"/>
        <n v="115000"/>
        <n v="1356654"/>
        <n v="23750"/>
        <n v="300000"/>
        <n v="867000"/>
        <n v="12400"/>
        <n v="714000"/>
        <n v="269000"/>
        <n v="48500"/>
        <n v="55000000"/>
        <n v="185000"/>
        <m/>
        <n v="44250"/>
        <n v="1532876"/>
        <n v="121044"/>
        <s v="-"/>
        <n v="1129943"/>
        <n v="246683"/>
        <n v="921250"/>
        <n v="74200"/>
        <n v="1520000"/>
        <n v="500000"/>
        <n v="30000"/>
        <n v="981315"/>
        <n v="330000"/>
        <n v="11500"/>
        <n v="259500"/>
        <n v="1168000"/>
        <n v="2150000"/>
        <n v="1664192.8599999999"/>
        <n v="190000"/>
        <n v="274845"/>
        <n v="139611532"/>
        <n v="6400000"/>
        <n v="145000"/>
        <n v="180000"/>
        <n v="8200000"/>
        <n v="16068357"/>
        <n v="322330"/>
        <n v="240000"/>
        <n v="9812"/>
        <n v="540270"/>
        <n v="826450"/>
        <n v="56000"/>
        <n v="279800000"/>
        <n v="182000"/>
        <n v="3235000"/>
        <n v="303940"/>
        <n v="897000"/>
        <n v="270000"/>
        <n v="167000"/>
      </sharedItems>
    </cacheField>
    <cacheField name="Designated Fundraising?" numFmtId="0">
      <sharedItems containsBlank="1" count="3">
        <m/>
        <s v="Y"/>
        <s v="N"/>
      </sharedItems>
    </cacheField>
    <cacheField name="Limited corporate or full public?" numFmtId="0">
      <sharedItems containsBlank="1"/>
    </cacheField>
    <cacheField name="Total Funds Raised" numFmtId="0">
      <sharedItems containsString="0" containsBlank="1" containsNumber="1" containsInteger="1" minValue="0" maxValue="476611532"/>
    </cacheField>
    <cacheField name="As of Date" numFmtId="0">
      <sharedItems containsNonDate="0" containsDate="1" containsString="0" containsBlank="1" minDate="2010-09-01T00:00:00" maxDate="2011-12-02T00:00:00"/>
    </cacheField>
    <cacheField name="Date Fundraising Closed" numFmtId="14">
      <sharedItems containsDate="1" containsBlank="1" containsMixedTypes="1" minDate="2011-02-28T00:00:00" maxDate="2011-11-18T00:00:00"/>
    </cacheField>
    <cacheField name="AP Code 1" numFmtId="0">
      <sharedItems containsBlank="1" containsMixedTypes="1" containsNumber="1" containsInteger="1" minValue="2002" maxValue="9306"/>
    </cacheField>
    <cacheField name="AP1 Amount" numFmtId="0">
      <sharedItems containsString="0" containsBlank="1" containsNumber="1" containsInteger="1" minValue="30000" maxValue="200000"/>
    </cacheField>
    <cacheField name="AP Code 2" numFmtId="0">
      <sharedItems containsString="0" containsBlank="1" containsNumber="1" containsInteger="1" minValue="2010" maxValue="2882"/>
    </cacheField>
    <cacheField name="AP2 Amount" numFmtId="0">
      <sharedItems containsString="0" containsBlank="1" containsNumber="1" containsInteger="1" minValue="100000" maxValue="2553000"/>
    </cacheField>
    <cacheField name="AP Code 3" numFmtId="0">
      <sharedItems containsString="0" containsBlank="1" containsNumber="1" containsInteger="1" minValue="2099" maxValue="2799"/>
    </cacheField>
    <cacheField name="AP3 Amount" numFmtId="166">
      <sharedItems containsBlank="1" containsMixedTypes="1" containsNumber="1" containsInteger="1" minValue="200000" maxValue="200000"/>
    </cacheField>
    <cacheField name="ARCT?" numFmtId="0">
      <sharedItems containsBlank="1"/>
    </cacheField>
    <cacheField name="OFDA?" numFmtId="0">
      <sharedItems containsBlank="1"/>
    </cacheField>
    <cacheField name="RRF?" numFmtId="0">
      <sharedItems containsBlank="1"/>
    </cacheField>
    <cacheField name="IRF?" numFmtId="0">
      <sharedItems containsBlank="1"/>
    </cacheField>
    <cacheField name="Funding Source &amp; Info" numFmtId="0">
      <sharedItems containsBlank="1" longText="1"/>
    </cacheField>
    <cacheField name="Stewardship report?" numFmtId="0">
      <sharedItems containsBlank="1"/>
    </cacheField>
    <cacheField name="Disaster Response Description " numFmtId="0">
      <sharedItems containsDate="1" containsBlank="1" containsMixedTypes="1" minDate="2008-09-11T00:00:00" maxDate="2008-09-12T00:00:00" longText="1"/>
    </cacheField>
    <cacheField name="Contributions Description" numFmtId="0">
      <sharedItems containsBlank="1" longText="1"/>
    </cacheField>
  </cacheFields>
  <extLst>
    <ext xmlns:x14="http://schemas.microsoft.com/office/spreadsheetml/2009/9/main" uri="{725AE2AE-9491-48be-B2B4-4EB974FC3084}">
      <x14:pivotCacheDefinition/>
    </ext>
  </extLst>
</pivotCacheDefinition>
</file>

<file path=xl/pivotCache/pivotCacheDefinition31.xml><?xml version="1.0" encoding="utf-8"?>
<pivotCacheDefinition xmlns="http://schemas.openxmlformats.org/spreadsheetml/2006/main" xmlns:r="http://schemas.openxmlformats.org/officeDocument/2006/relationships" r:id="rId1" refreshedBy="Othon Estrada" refreshedDate="41018.806964004631" createdVersion="4" refreshedVersion="4" minRefreshableVersion="3" recordCount="106">
  <cacheSource type="worksheet">
    <worksheetSource ref="A1:O107" sheet="IFRC - 2010&amp;11"/>
  </cacheSource>
  <cacheFields count="15">
    <cacheField name="Appeal #" numFmtId="0">
      <sharedItems containsBlank="1"/>
    </cacheField>
    <cacheField name="Vlookup Attempt" numFmtId="0">
      <sharedItems containsMixedTypes="1" containsNumber="1" containsInteger="1" minValue="2032221" maxValue="2032221"/>
    </cacheField>
    <cacheField name="Value CHF" numFmtId="0">
      <sharedItems containsString="0" containsBlank="1" containsNumber="1" containsInteger="1" minValue="409759" maxValue="247279612"/>
    </cacheField>
    <cacheField name="Value USD" numFmtId="166">
      <sharedItems containsSemiMixedTypes="0" containsString="0" containsNumber="1" minValue="0" maxValue="270343381.41123998"/>
    </cacheField>
    <cacheField name="Total Coverage" numFmtId="0">
      <sharedItems containsString="0" containsBlank="1" containsNumber="1" minValue="0.08" maxValue="1.03"/>
    </cacheField>
    <cacheField name="Total Coverage USD" numFmtId="166">
      <sharedItems containsString="0" containsBlank="1" containsNumber="1" minValue="0" maxValue="254122778.52656558"/>
    </cacheField>
    <cacheField name="IFRC Region" numFmtId="0">
      <sharedItems/>
    </cacheField>
    <cacheField name="Country" numFmtId="0">
      <sharedItems/>
    </cacheField>
    <cacheField name="IFRC Appeal Name" numFmtId="0">
      <sharedItems count="102">
        <s v="Floods (Appeal MDR63001)"/>
        <s v="Expanding Response to Humanitarian Crisis"/>
        <s v="Population movement (Appeal MDRCM006)"/>
        <s v="Cyclone Ivan (MDRMG003)"/>
        <s v="Tajikistan: Cold wave (MDRTJ004)"/>
        <s v="Hurricane Dean (MDR49001)"/>
        <s v="Floods and landslides (MDRNP001)"/>
        <s v="Cyclone Nargis (Appeal MDRMM002)"/>
        <s v="Food Insecurity (MDRET005)"/>
        <s v="Sichuan Earthquake (Appeal MDRCN003)"/>
        <s v="Typhoon Fengshen (Appeal MDRPH004)"/>
        <s v="Floods (Appeal MDRSR002)"/>
        <s v="Uganda: Epidemics (MDRUG010)"/>
        <s v="Floods (Appeal MDR61003)"/>
        <s v="Floods (MDR67003)"/>
        <s v="Zimbabwe - Food Insecurity (MDRZW003)"/>
        <s v="Hurricane Season 2008 (MDRHT005)"/>
        <s v="Cuba: Hurricane Season 2008 (MDRCU001)"/>
        <s v="Caribbean: Hurricane Season 2008 (MDR49003)"/>
        <s v="Chad and Cameroon floods (Appeal MDR62003)"/>
        <s v="Floods in Ghardaia"/>
        <s v="Floods (MDRNP002)"/>
        <s v="Floods (Appeal MDR43004)"/>
        <s v="Floods"/>
        <s v="Flash Floods"/>
        <s v="Nigeria Population Movement (N°MDRNG007)"/>
        <s v="Floods (Appeal n° MDRVN005)"/>
        <s v="Baluchistan earthquake (Appeal MDRPK002)"/>
        <s v="Floods (Appeal MDRKE007)"/>
        <s v="Floods (Appeal MDR43005)"/>
        <s v="Exceptional food security crisis (Appeal MDR64003)"/>
        <s v="Zimbabwe Cholera (MDRZW004)"/>
        <s v="Colombia - Floods "/>
        <s v="Namibia Floods (MDRNA004)"/>
        <s v="Polio (Appeal MDR61004-65005-63002)"/>
        <s v="Pandemic Influenza - Response &amp; Mitigation "/>
        <s v="Explosion (MDRTZ009)"/>
        <s v="Tajikistan: Mudslides and floods (MDRTJ005)"/>
        <s v="Humanitarian assistance for internally displaced people (Appeal MDRPK003)"/>
        <s v="Cyclone Aila"/>
        <s v="Floods (MDRCF006)"/>
        <s v="Early Warning/Early Action (MDR61005)"/>
        <s v="Drought"/>
        <s v="Sudan - Khartoum State Floods "/>
        <s v="Burkina Faso floods 2009"/>
        <s v="Senegal floods 2009"/>
        <s v="Kenya - Drought "/>
        <s v="Philippines - Typhoons "/>
        <s v="Vietnam - Floods and typhoon "/>
        <s v="Samoa - Earthquake &amp; Tsunami "/>
        <s v="Indonesia - West Sumatra Earthquakes "/>
        <s v="East Africa - El Nino Preparedness "/>
        <s v="El Salvador - Floods "/>
        <s v="Syria: Population Displaced From Iraq "/>
        <s v="Haiti - Earthquake "/>
        <s v="Tanzania - Floods "/>
        <s v="Ethiopia - Drought "/>
        <s v="Chile - Earthquake "/>
        <s v="Niger - Food Insecurity"/>
        <s v="Mongolia -Severe Winter "/>
        <s v="Sri Lanka -Support for IDP "/>
        <s v="Chad: Food Crisis "/>
        <s v="Nepal Potential Diarrhoea Outbreak "/>
        <s v="Kenya - Floods "/>
        <s v="Guatemala - Tropical Storm Agatha "/>
        <s v="Uzbekistan - Population Movement "/>
        <s v="Kyrgyzstan - Civil Unrest "/>
        <s v="Pakistan - Monsoon Floods"/>
        <s v="Chad - Floods "/>
        <s v="Burkina Faso - Floods "/>
        <s v="Vietnam - Floods "/>
        <s v="Sudan - Floods"/>
        <s v="Philippines - Typhoon Megi "/>
        <s v="Caribbean - Tropical Storm Tomas "/>
        <s v="Haiti &amp; Dominican Republic - Cholera Outbreak "/>
        <s v="Indonesia - Java Volcano &amp; Sumatra Tsunami "/>
        <s v="Congo - Polio Outbreak "/>
        <s v="Sudan - Preparedness for Civil Unrest"/>
        <s v="Serbia - Earthquake"/>
        <s v="Panama - Floods  "/>
        <s v="Venezuela - Floods"/>
        <s v="West Africa - Population Movement "/>
        <s v="Floods and landslides (MDRLK003)"/>
        <s v="Bolivia:floods and landslides (MDRBO006)"/>
        <s v="Kenya: Population Movement (MDRKE014)"/>
        <s v="Kenya Drought"/>
        <s v="Cameroon: Cholera outbreak"/>
        <s v="Namibia: Floods"/>
        <s v="Cote d’Ivoire: Post electoral civil unrest"/>
        <s v="Sudan: Complex Emergency"/>
        <s v="Floods (MDRKP003)"/>
        <s v="Bangladesh: Monsoon Floods (MDRBD009)"/>
        <s v="Drought and food insecurity"/>
        <s v="Floods (MDRGT003)"/>
        <s v="Population Movements (MDRET011)"/>
        <s v="Floods (MDRSV004)"/>
        <s v="Mekong Delta floods (MDRVN009)"/>
        <s v="Population movement - Somali Refugees (MDRKE018)"/>
        <s v="Food insecurity (MDRNE010)"/>
        <s v="Turkey: Van Earthquake"/>
        <s v="Tropical Storm Washi"/>
        <s v="Cholera (MDRTD008)"/>
      </sharedItems>
    </cacheField>
    <cacheField name="Disaster Major Type" numFmtId="0">
      <sharedItems/>
    </cacheField>
    <cacheField name="Appeal" numFmtId="0">
      <sharedItems/>
    </cacheField>
    <cacheField name="Date" numFmtId="14">
      <sharedItems containsSemiMixedTypes="0" containsNonDate="0" containsDate="1" containsString="0" minDate="2008-01-18T00:00:00" maxDate="2012-01-31T00:00:00"/>
    </cacheField>
    <cacheField name="Quarter" numFmtId="0">
      <sharedItems containsBlank="1"/>
    </cacheField>
    <cacheField name="ARC Fiscal Year" numFmtId="0">
      <sharedItems containsSemiMixedTypes="0" containsString="0" containsNumber="1" containsInteger="1" minValue="2008" maxValue="2012" count="5">
        <n v="2008"/>
        <n v="2009"/>
        <n v="2010"/>
        <n v="2011"/>
        <n v="2012"/>
      </sharedItems>
    </cacheField>
    <cacheField name="Calendar Year" numFmtId="0">
      <sharedItems containsSemiMixedTypes="0" containsString="0" containsNumber="1" containsInteger="1" minValue="2008" maxValue="2012"/>
    </cacheField>
  </cacheFields>
  <extLst>
    <ext xmlns:x14="http://schemas.microsoft.com/office/spreadsheetml/2009/9/main" uri="{725AE2AE-9491-48be-B2B4-4EB974FC3084}">
      <x14:pivotCacheDefinition/>
    </ext>
  </extLst>
</pivotCacheDefinition>
</file>

<file path=xl/pivotCache/pivotCacheDefinition32.xml><?xml version="1.0" encoding="utf-8"?>
<pivotCacheDefinition xmlns="http://schemas.openxmlformats.org/spreadsheetml/2006/main" xmlns:r="http://schemas.openxmlformats.org/officeDocument/2006/relationships" r:id="rId1" refreshedBy="Marian" refreshedDate="41022.487903935187" createdVersion="3" refreshedVersion="4" minRefreshableVersion="3" recordCount="455">
  <cacheSource type="worksheet">
    <worksheetSource ref="A1:BY500" sheet="Disaster Data"/>
  </cacheSource>
  <cacheFields count="79">
    <cacheField name="Glide #" numFmtId="0">
      <sharedItems containsBlank="1"/>
    </cacheField>
    <cacheField name="ARC Disaster #" numFmtId="0">
      <sharedItems containsBlank="1" containsMixedTypes="1" containsNumber="1" containsInteger="1" minValue="1" maxValue="281"/>
    </cacheField>
    <cacheField name="Disaster Name" numFmtId="0">
      <sharedItems containsBlank="1" count="258">
        <s v="Mexico Earthquake"/>
        <s v="Armenia Earthquake"/>
        <s v="Rwanda Crisis"/>
        <s v="Hurricane Mitch"/>
        <s v="Balkans Crisis"/>
        <s v="Ethiopia Drought"/>
        <s v="Mexico Floods"/>
        <s v="Costa Rica Floods"/>
        <s v="China Floods"/>
        <s v="Turkey Earthquake"/>
        <s v="Nicaragua Volcano"/>
        <s v="Cambodia Floods"/>
        <s v="Greece Earthquake"/>
        <s v="Bahamas Storm"/>
        <s v="Taiwan Earthquake"/>
        <s v="Japan Industrial"/>
        <s v="Mexico Floods "/>
        <s v="Russian Fed. Conflict"/>
        <s v="Timor-Leste Conflict"/>
        <s v="Bangladesh Floods"/>
        <s v="India Storm"/>
        <s v="Vietnam Floods"/>
        <s v="Dominica Storm"/>
        <s v="St. Kitts &amp; Nevis Storm"/>
        <s v="Antigua Storm"/>
        <s v="Grenada Storm"/>
        <s v="St. Maartens Storm"/>
        <s v="Venezuela Floods"/>
        <s v="South Africa Floods"/>
        <s v="Botswana Floods"/>
        <s v="Zimbabwe Floods"/>
        <s v="Madagascar Floods"/>
        <s v="Indonesia Earthquake"/>
        <s v="India Floods"/>
        <s v="Belize Storm"/>
        <s v="Israel Conflict"/>
        <s v="Jordan Conflict"/>
        <s v="Palestine Conflict"/>
        <s v="Taiwan Transport"/>
        <s v="Austria Miscellaneous"/>
        <s v="Azerbaijan Earthquake"/>
        <s v="Sri Lanka Storm"/>
        <s v="South Africa Epidemic"/>
        <s v="El Salvador Earthquake"/>
        <s v="China Storm"/>
        <s v="India Earthquake"/>
        <s v="Mozambique Floods"/>
        <s v="Malawi Floods"/>
        <s v="Bolivia Floods"/>
        <s v="Peru Floods"/>
        <s v="Canada Transport"/>
        <s v="Russian Fed. Floods"/>
        <s v="Macedonia Conflict"/>
        <s v="Bosnia Floods"/>
        <s v="Peru Earthquake"/>
        <s v="El Salvador Drought"/>
        <s v="Honduras Drought"/>
        <s v="Nicaragua Drought"/>
        <s v="Guatemala Drought"/>
        <s v="Ecuador Volcano"/>
        <s v="Afghanistan Conflict"/>
        <s v="Pakistan Conflict"/>
        <s v="Uzbekistan Conflict"/>
        <s v="Iran Conflict"/>
        <s v="Turkmenistan Conflict"/>
        <s v="US Terrorism"/>
        <s v="Mexico Transport"/>
        <s v="Mexico Storm"/>
        <s v="Belize Meteorological"/>
        <s v="Belize Transport"/>
        <s v="Honduras Storm"/>
        <s v="Nicaragua Storm"/>
        <s v="Cuba Storm"/>
        <s v="Jamaica Storm"/>
        <s v="US Transport"/>
        <s v="Cambodia Miscellaneous"/>
        <s v="Albania Storm"/>
        <s v="DR Congo Volcano"/>
        <s v="Nigeria Industrial"/>
        <s v="Afghanistan Earthquake"/>
        <s v="Panama Floods"/>
        <s v="Kenya Floods"/>
        <s v="Malawi Food Insecurity"/>
        <s v="Nicaragua  Floods"/>
        <s v="Syria Miscellaneous"/>
        <s v="FS Micronesia Storm"/>
        <s v="Peru Storm"/>
        <s v="Bolivia Storm"/>
        <s v="Romania Floods"/>
        <s v="Germany Floods"/>
        <s v="Czech Republic Floods"/>
        <s v="Slovakia Floods"/>
        <s v="Hungary Floods"/>
        <s v="Austria Floods"/>
        <s v="Paraguay Drought"/>
        <s v="South Korea Storm"/>
        <s v="Italy Earthquake"/>
        <s v="Indonesia Terrorism"/>
        <s v="Australia Terrorism"/>
        <s v="Vietnam Miscellaneous"/>
        <s v="Lesotho Food Insecurity"/>
        <s v="Kenya Epidemic"/>
        <s v="Solomon Islands Storm"/>
        <s v="South Korea Transport"/>
        <s v="China Earthquake"/>
        <s v="Iraq Conflict"/>
        <s v="Syria Conflict"/>
        <s v="Turkey Conflict"/>
        <s v="Argentina Floods"/>
        <s v="China Epidemic"/>
        <s v="Hong Kong Epidemic"/>
        <s v="Sri Lanka Floods"/>
        <s v="Canada Wildfire"/>
        <s v="Dominican Republic Earthquake"/>
        <s v="Algeria Earthquake"/>
        <s v="Liberia Conflict"/>
        <s v="Dominican Republic Floods"/>
        <s v="Iran Earthquake"/>
        <s v="Panama Earthquake"/>
        <s v="North Korea Transport"/>
        <s v="Haiti Floods"/>
        <s v="Malawi Epidemic"/>
        <s v="Jamaica Conflict"/>
        <s v="Paraguay Miscellaneous"/>
        <s v="Chad Conflict"/>
        <s v="Sudan Conflict"/>
        <s v="Taiwan Storm"/>
        <s v="Cayman Islands Storm"/>
        <s v="Sri Lanka Tsunami"/>
        <s v="Indonesia Tsunami"/>
        <s v="Maldives Tsunami"/>
        <s v="Guyana Floods"/>
        <s v="Canada Floods"/>
        <s v="Hurricane Dennis - Jamaica "/>
        <s v="Hurricane Dennis - Grenada"/>
        <s v="Hurricane Dennis - Haiti"/>
        <s v="Sahel Food Crisis"/>
        <s v="Hurricane Katrina"/>
        <s v="Pakistan Earthquake"/>
        <s v="Hurricane Stan - Guatemala"/>
        <s v="Hurricane Stan - Mexico"/>
        <s v="El Salvador Hurricane Stan &amp; Volcano Eruption"/>
        <s v="Hurricane Wilma - Bahamas"/>
        <s v="Hurricane Wilma - Mexico"/>
        <s v="Vietnam Typhoon Damrey"/>
        <s v="Colombia Volcano"/>
        <s v="Southern Africa Food Security Crisis - Lesotho"/>
        <s v="Southern Africa Food Security Crisis - Malawi"/>
        <s v="Southern Africa Food Security Crisis - Zimbabwe"/>
        <s v="Southern Africa Food Security Crisis - Zambia"/>
        <s v="Eastern Africa Drought"/>
        <s v="Iraq Humanitarian Emergency"/>
        <s v="Timor-Leste Floods"/>
        <s v="Philippines Mudslides"/>
        <s v="Angola Cholera Epidemic"/>
        <s v="Somalia Drought"/>
        <s v="Spain Terrorism"/>
        <s v="Colombia Floods"/>
        <s v="Indonesia Yogyakarta Earthquake"/>
        <s v="Middle East Humanitarian Crisis"/>
        <s v="Ecuador Volanic Eruption"/>
        <s v="Ethiopia Floods"/>
        <s v="Sudan Floods"/>
        <s v="Philippines Typhoons"/>
        <s v="Vietnam Typhoons"/>
        <s v="Somalia Conflict"/>
        <s v="Somalia Floods"/>
        <s v="Sri Lanka Conflict"/>
        <s v="Madagascar Cyclones"/>
        <s v="Solomon Islands Tsunami/ Earthquake"/>
        <s v="Colombia Tolima Floods"/>
        <s v="Mexico Coahuila Tornado"/>
        <s v="Pakistan Cyclone Yemyin"/>
        <s v="United Kingdom Floods"/>
        <s v="Nepal Floods"/>
        <s v="Hurricane Dean"/>
        <s v="Greece Wildfire"/>
        <s v="Hurricane Felix"/>
        <s v="Indonesia Bengkulu Earthquake"/>
        <s v="Uganda Floods"/>
        <s v="Togo Floods"/>
        <s v="Tropical Storm Noel"/>
        <s v="Vietnam Typhoon Lekima"/>
        <s v="Bangladesh Cyclone Sidr"/>
        <s v="Papua New Guinea Storm"/>
        <s v="Kenya Election Civil Unrest"/>
        <s v="China Snow Disaster"/>
        <s v="Guyana Civil Unrest"/>
        <s v="Ecuador Floods"/>
        <s v="Madagascar Cyclone Ivan"/>
        <s v="Southern Africa Floods - Cyclone Jokwe"/>
        <s v="Myanmar Cyclone Nargis"/>
        <s v="China Sichuan Earthquake"/>
        <s v="Ethiopia Food Insecurity"/>
        <s v="South Africa Civil Unrest"/>
        <s v="Chile Floods"/>
        <s v="Philippines – Typhoon Fengshen"/>
        <s v="Yemen Conflict"/>
        <s v="Suriname Floods"/>
        <s v="Moldova and Ukraine Floods"/>
        <s v="Georgia Conflict"/>
        <s v="Haiti Hurricane Season 2008"/>
        <s v="Carribean Hurricane Season 2008 - Bahamas"/>
        <s v="Carribean Hurricane Season 2008 -  Jamaica"/>
        <s v="Cuba Hurricane Season 2008"/>
        <s v="Central America Floods"/>
        <s v="Pakistan Baluchistan Earthquake"/>
        <s v="Panama &amp; Costa Rica Floods"/>
        <s v="Horn of Africa Food Insecurity Crisis"/>
        <s v="Uganda, Rwanda, Burundi Population Movement"/>
        <s v="Zimbabwe Cholera Epidemic"/>
        <s v="Gaza Conflict - Israel"/>
        <s v="Gaza Conflict - Palestine"/>
        <s v="Costa Rica Earthquake"/>
        <s v="Australia Wildfires"/>
        <s v="Namibia Floods"/>
        <s v="Africa Polio Outbreak"/>
        <s v="Pakistan Internally Displaced Persons Crisis"/>
        <s v="Bangladesh Cyclone Aila"/>
        <s v="Tajikistan Mudslides and Floods"/>
        <s v="Syria Drought"/>
        <s v="West &amp; Central Africa Floods - Burkina Faso"/>
        <s v="West &amp; Central Africa Floods - Senegal"/>
        <s v="Mexico Hurricane Jimena"/>
        <s v="Java Indonesia Earthquake"/>
        <s v="Southeast Asia Typhoons - Philippines"/>
        <s v="Southeast Asia Typhoons - Vietnam"/>
        <s v="West Sumatra Indonesia Earthquake"/>
        <s v="Samoa Islands Tsunami"/>
        <s v="Kenya Drought"/>
        <s v="El Salvador Floods"/>
        <s v="Haiti Earthquake"/>
        <s v="Tanzania Floods"/>
        <s v="Chile Earthquake"/>
        <s v="Mongolia Severe Winter"/>
        <s v="Nepal Diarrhea Outbreak"/>
        <s v="Tropical Storm Agatha"/>
        <s v="Kyrgyzstan-Uzbekistan Population Movement"/>
        <s v="Pakistan Monsoon Floods"/>
        <s v="Haiti &amp; Dominican Republic Cholera Outbreak"/>
        <s v="Philippines Typhoon Megi"/>
        <s v="Indonesia Tsunami &amp; Volcanic Eruption"/>
        <s v="Caribbean Hurricane Tomas"/>
        <s v="Belize Hurricane Richard"/>
        <s v="Colombian Floods"/>
        <s v="North Africa &amp; Middle East Civil Unrest"/>
        <s v="New Zealand Earthquake"/>
        <s v="Paraguay Dengue Epidemic"/>
        <s v="Japan Earthquake &amp; Tsunami"/>
        <s v="West African Population Movement"/>
        <s v="Horn of Africa Drought"/>
        <s v="DPR Korea (North Korea) Floods"/>
        <s v="Pakistan Floods"/>
        <s v="Turkey  Earthquake"/>
        <s v="Thailand Floods"/>
        <s v="Philippines Typhoon Washi"/>
        <s v="Mexico Drought"/>
        <m/>
      </sharedItems>
    </cacheField>
    <cacheField name="Date of Response" numFmtId="0">
      <sharedItems containsNonDate="0" containsDate="1" containsString="0" containsBlank="1" minDate="1985-09-01T00:00:00" maxDate="2012-03-17T00:00:00"/>
    </cacheField>
    <cacheField name="Fiscal Year" numFmtId="0">
      <sharedItems containsString="0" containsBlank="1" containsNumber="1" containsInteger="1" minValue="1986" maxValue="2012" count="18">
        <n v="1986"/>
        <n v="1989"/>
        <n v="1994"/>
        <n v="1999"/>
        <n v="2000"/>
        <n v="2001"/>
        <n v="2002"/>
        <n v="2003"/>
        <n v="2004"/>
        <n v="2005"/>
        <n v="2006"/>
        <n v="2007"/>
        <n v="2008"/>
        <n v="2009"/>
        <n v="2010"/>
        <n v="2011"/>
        <n v="2012"/>
        <m/>
      </sharedItems>
    </cacheField>
    <cacheField name="FY #" numFmtId="0">
      <sharedItems containsString="0" containsBlank="1" containsNumber="1" containsInteger="1" minValue="1" maxValue="33"/>
    </cacheField>
    <cacheField name="Quarter" numFmtId="0">
      <sharedItems containsBlank="1"/>
    </cacheField>
    <cacheField name="Calendar Year" numFmtId="0">
      <sharedItems containsString="0" containsBlank="1" containsNumber="1" containsInteger="1" minValue="1985" maxValue="2012"/>
    </cacheField>
    <cacheField name="CY #" numFmtId="0">
      <sharedItems containsString="0" containsBlank="1" containsNumber="1" containsInteger="1" minValue="1" maxValue="33"/>
    </cacheField>
    <cacheField name="Region" numFmtId="0">
      <sharedItems containsBlank="1"/>
    </cacheField>
    <cacheField name="Country" numFmtId="0">
      <sharedItems containsBlank="1"/>
    </cacheField>
    <cacheField name="Major Disaster Category" numFmtId="0">
      <sharedItems containsBlank="1"/>
    </cacheField>
    <cacheField name="Disaster Type" numFmtId="0">
      <sharedItems containsBlank="1"/>
    </cacheField>
    <cacheField name="Nature of Disaster (Disaster Sub-Type)" numFmtId="0">
      <sharedItems containsBlank="1"/>
    </cacheField>
    <cacheField name="Disaster Sub-Sub Type" numFmtId="0">
      <sharedItems containsBlank="1"/>
    </cacheField>
    <cacheField name="Total Affected" numFmtId="0">
      <sharedItems containsBlank="1" containsMixedTypes="1" containsNumber="1" containsInteger="1" minValue="2500" maxValue="25000000"/>
    </cacheField>
    <cacheField name="Appeal?_x000a_Y/N" numFmtId="0">
      <sharedItems containsBlank="1" count="3">
        <m/>
        <s v="Y"/>
        <s v="N"/>
      </sharedItems>
    </cacheField>
    <cacheField name="Whose Appeal?" numFmtId="0">
      <sharedItems containsBlank="1"/>
    </cacheField>
    <cacheField name="IFRC appeal amount" numFmtId="0">
      <sharedItems containsBlank="1" containsMixedTypes="1" containsNumber="1" minValue="364732" maxValue="270204199"/>
    </cacheField>
    <cacheField name="ICRC appeal amount" numFmtId="0">
      <sharedItems containsBlank="1" containsMixedTypes="1" containsNumber="1" containsInteger="1" minValue="8800000" maxValue="31916000"/>
    </cacheField>
    <cacheField name="Appeal #" numFmtId="0">
      <sharedItems containsBlank="1"/>
    </cacheField>
    <cacheField name="% of Appeal Covered by ARC" numFmtId="0">
      <sharedItems containsBlank="1" containsMixedTypes="1" containsNumber="1" minValue="0" maxValue="0.49625887565167204"/>
    </cacheField>
    <cacheField name="Overall Appeal Coverage (IFRC)" numFmtId="0">
      <sharedItems containsBlank="1" containsMixedTypes="1" containsNumber="1" minValue="0.09" maxValue="1.04"/>
    </cacheField>
    <cacheField name="Date Appeal Coverage Updated" numFmtId="0">
      <sharedItems containsNonDate="0" containsDate="1" containsString="0" containsBlank="1" minDate="2011-03-02T00:00:00" maxDate="2012-04-20T00:00:00"/>
    </cacheField>
    <cacheField name="IFRC DREF?" numFmtId="0">
      <sharedItems containsBlank="1"/>
    </cacheField>
    <cacheField name="DREF Amount" numFmtId="0">
      <sharedItems containsString="0" containsBlank="1" containsNumber="1" containsInteger="1" minValue="49273" maxValue="613944"/>
    </cacheField>
    <cacheField name="Multilateral Beneficiaries" numFmtId="0">
      <sharedItems containsBlank="1" containsMixedTypes="1" containsNumber="1" containsInteger="1" minValue="0" maxValue="25000000"/>
    </cacheField>
    <cacheField name="Bilateral Request?" numFmtId="0">
      <sharedItems containsBlank="1"/>
    </cacheField>
    <cacheField name="Direct Beneficiaries" numFmtId="0">
      <sharedItems containsBlank="1" containsMixedTypes="1" containsNumber="1" containsInteger="1" minValue="0" maxValue="50000"/>
    </cacheField>
    <cacheField name="Contribution to IFRC/ICRC &gt;/= $50K?" numFmtId="0">
      <sharedItems containsString="0" containsBlank="1" containsNumber="1" containsInteger="1" minValue="0" maxValue="4" count="4">
        <m/>
        <n v="1"/>
        <n v="0"/>
        <n v="4" u="1"/>
      </sharedItems>
    </cacheField>
    <cacheField name="Cash to IFRC" numFmtId="0">
      <sharedItems containsString="0" containsBlank="1" containsNumber="1" minValue="0" maxValue="46003197.772909999"/>
    </cacheField>
    <cacheField name="Cash to ICRC" numFmtId="0">
      <sharedItems containsBlank="1" containsMixedTypes="1" containsNumber="1" minValue="50000" maxValue="4377346.43"/>
    </cacheField>
    <cacheField name="Cash to NS" numFmtId="166">
      <sharedItems containsString="0" containsBlank="1" containsNumber="1" minValue="1000" maxValue="276000000"/>
    </cacheField>
    <cacheField name="Cash to Other Orgs" numFmtId="0">
      <sharedItems containsString="0" containsBlank="1" containsNumber="1" containsInteger="1" minValue="1500000" maxValue="1500000"/>
    </cacheField>
    <cacheField name="Total Cash" numFmtId="0">
      <sharedItems containsBlank="1" containsMixedTypes="1" containsNumber="1" minValue="0" maxValue="279800000"/>
    </cacheField>
    <cacheField name="ARC People Deployed" numFmtId="0">
      <sharedItems containsString="0" containsBlank="1" containsNumber="1" containsInteger="1" minValue="0" maxValue="82"/>
    </cacheField>
    <cacheField name="ERUs" numFmtId="0">
      <sharedItems containsBlank="1"/>
    </cacheField>
    <cacheField name="Individual Deployments" numFmtId="0">
      <sharedItems containsString="0" containsBlank="1" containsNumber="1" containsInteger="1" minValue="1" maxValue="85"/>
    </cacheField>
    <cacheField name="Total ARC Items Supplied" numFmtId="0">
      <sharedItems containsBlank="1" containsMixedTypes="1" containsNumber="1" minValue="11" maxValue="5143307"/>
    </cacheField>
    <cacheField name="Pre-positioned?" numFmtId="0">
      <sharedItems containsBlank="1"/>
    </cacheField>
    <cacheField name="Hygiene Kits" numFmtId="0">
      <sharedItems containsString="0" containsBlank="1" containsNumber="1" containsInteger="1" minValue="214" maxValue="45000"/>
    </cacheField>
    <cacheField name="Blankets" numFmtId="0">
      <sharedItems containsString="0" containsBlank="1" containsNumber="1" containsInteger="1" minValue="1000" maxValue="222900"/>
    </cacheField>
    <cacheField name="Jerry Cans" numFmtId="0">
      <sharedItems containsString="0" containsBlank="1" containsNumber="1" containsInteger="1" minValue="321" maxValue="30000"/>
    </cacheField>
    <cacheField name="Buckets" numFmtId="0">
      <sharedItems containsString="0" containsBlank="1" containsNumber="1" containsInteger="1" minValue="3650" maxValue="28000"/>
    </cacheField>
    <cacheField name="Tents" numFmtId="0">
      <sharedItems containsString="0" containsBlank="1" containsNumber="1" containsInteger="1" minValue="5" maxValue="5200"/>
    </cacheField>
    <cacheField name="Kitchen Sets" numFmtId="0">
      <sharedItems containsString="0" containsBlank="1" containsNumber="1" containsInteger="1" minValue="500" maxValue="18000"/>
    </cacheField>
    <cacheField name="Sleeping Mats / Bedsheets" numFmtId="0">
      <sharedItems containsString="0" containsBlank="1" containsNumber="1" containsInteger="1" minValue="500" maxValue="30518"/>
    </cacheField>
    <cacheField name="Mosquito Nets" numFmtId="0">
      <sharedItems containsString="0" containsBlank="1" containsNumber="1" containsInteger="1" minValue="1000" maxValue="20000"/>
    </cacheField>
    <cacheField name="Food Parcels" numFmtId="0">
      <sharedItems containsString="0" containsBlank="1" containsNumber="1" containsInteger="1" minValue="2600" maxValue="40000"/>
    </cacheField>
    <cacheField name="Tarps" numFmtId="0">
      <sharedItems containsString="0" containsBlank="1" containsNumber="1" containsInteger="1" minValue="20" maxValue="11000"/>
    </cacheField>
    <cacheField name="Vehicles" numFmtId="0">
      <sharedItems containsString="0" containsBlank="1" containsNumber="1" containsInteger="1" minValue="1" maxValue="7"/>
    </cacheField>
    <cacheField name="Other Items" numFmtId="0">
      <sharedItems containsString="0" containsBlank="1" containsNumber="1" containsInteger="1" minValue="3000" maxValue="6250"/>
    </cacheField>
    <cacheField name="Rice Bags" numFmtId="0">
      <sharedItems containsNonDate="0" containsString="0" containsBlank="1"/>
    </cacheField>
    <cacheField name="Value of Supplies" numFmtId="0">
      <sharedItems containsBlank="1" containsMixedTypes="1" containsNumber="1" minValue="0" maxValue="15266353"/>
    </cacheField>
    <cacheField name="Operational (People) Cost for Response Phase" numFmtId="0">
      <sharedItems containsBlank="1" containsMixedTypes="1" containsNumber="1" minValue="0" maxValue="100000000"/>
    </cacheField>
    <cacheField name="Total $ Response Phase" numFmtId="0">
      <sharedItems containsBlank="1" containsMixedTypes="1" containsNumber="1" minValue="0" maxValue="279800000"/>
    </cacheField>
    <cacheField name="Early Recovery $" numFmtId="0">
      <sharedItems containsString="0" containsBlank="1" containsNumber="1" minValue="764192.86" maxValue="337000000"/>
    </cacheField>
    <cacheField name="Future Contrib Anticipated $" numFmtId="0">
      <sharedItems containsNonDate="0" containsString="0" containsBlank="1"/>
    </cacheField>
    <cacheField name="Beneficiaries Served (Final Rpt)" numFmtId="0">
      <sharedItems containsString="0" containsBlank="1" containsNumber="1" minValue="0" maxValue="455000"/>
    </cacheField>
    <cacheField name="Total Contributions" numFmtId="0">
      <sharedItems containsBlank="1" containsMixedTypes="1" containsNumber="1" minValue="0" maxValue="477328823.80666667"/>
    </cacheField>
    <cacheField name="Non-ARCT Designated Fundraising?" numFmtId="0">
      <sharedItems containsBlank="1" count="3">
        <m/>
        <s v="Y"/>
        <s v="N"/>
      </sharedItems>
    </cacheField>
    <cacheField name="Limited corporate, full public and/or USG?" numFmtId="0">
      <sharedItems containsBlank="1"/>
    </cacheField>
    <cacheField name="Total Funds Raised" numFmtId="0">
      <sharedItems containsString="0" containsBlank="1" containsNumber="1" containsInteger="1" minValue="0" maxValue="476611532"/>
    </cacheField>
    <cacheField name="As of Date" numFmtId="0">
      <sharedItems containsNonDate="0" containsDate="1" containsString="0" containsBlank="1" minDate="2010-09-01T00:00:00" maxDate="2011-12-02T00:00:00"/>
    </cacheField>
    <cacheField name="Date Fundraising Closed" numFmtId="14">
      <sharedItems containsDate="1" containsBlank="1" containsMixedTypes="1" minDate="2011-02-28T00:00:00" maxDate="2011-11-18T00:00:00"/>
    </cacheField>
    <cacheField name="AP Code 1" numFmtId="0">
      <sharedItems containsBlank="1" containsMixedTypes="1" containsNumber="1" containsInteger="1" minValue="2002" maxValue="9306"/>
    </cacheField>
    <cacheField name="AP1 Amount" numFmtId="0">
      <sharedItems containsString="0" containsBlank="1" containsNumber="1" containsInteger="1" minValue="30000" maxValue="200000"/>
    </cacheField>
    <cacheField name="AP Code 2" numFmtId="0">
      <sharedItems containsString="0" containsBlank="1" containsNumber="1" containsInteger="1" minValue="2010" maxValue="2882"/>
    </cacheField>
    <cacheField name="AP2 Amount" numFmtId="0">
      <sharedItems containsString="0" containsBlank="1" containsNumber="1" containsInteger="1" minValue="100000" maxValue="2553000"/>
    </cacheField>
    <cacheField name="AP Code 3" numFmtId="0">
      <sharedItems containsString="0" containsBlank="1" containsNumber="1" containsInteger="1" minValue="2099" maxValue="2799"/>
    </cacheField>
    <cacheField name="AP3 Amount" numFmtId="166">
      <sharedItems containsBlank="1" containsMixedTypes="1" containsNumber="1" containsInteger="1" minValue="200000" maxValue="200000"/>
    </cacheField>
    <cacheField name="ARCT?" numFmtId="0">
      <sharedItems containsBlank="1" containsMixedTypes="1" containsNumber="1" containsInteger="1" minValue="50000" maxValue="200000"/>
    </cacheField>
    <cacheField name="OFDA?" numFmtId="0">
      <sharedItems containsBlank="1"/>
    </cacheField>
    <cacheField name="RRF?" numFmtId="0">
      <sharedItems containsBlank="1"/>
    </cacheField>
    <cacheField name="IRF?" numFmtId="0">
      <sharedItems containsBlank="1"/>
    </cacheField>
    <cacheField name="Funding Source &amp; Info" numFmtId="0">
      <sharedItems containsBlank="1" longText="1"/>
    </cacheField>
    <cacheField name="Stewardship report?" numFmtId="0">
      <sharedItems containsBlank="1"/>
    </cacheField>
    <cacheField name="Disaster Response Description " numFmtId="0">
      <sharedItems containsDate="1" containsBlank="1" containsMixedTypes="1" minDate="2008-09-11T00:00:00" maxDate="2008-09-12T00:00:00" longText="1"/>
    </cacheField>
    <cacheField name="Contributions Description" numFmtId="0">
      <sharedItems containsBlank="1" longText="1"/>
    </cacheField>
  </cacheFields>
  <extLst>
    <ext xmlns:x14="http://schemas.microsoft.com/office/spreadsheetml/2009/9/main" uri="{725AE2AE-9491-48be-B2B4-4EB974FC3084}">
      <x14:pivotCacheDefinition/>
    </ext>
  </extLst>
</pivotCacheDefinition>
</file>

<file path=xl/pivotCache/pivotCacheDefinition33.xml><?xml version="1.0" encoding="utf-8"?>
<pivotCacheDefinition xmlns="http://schemas.openxmlformats.org/spreadsheetml/2006/main" xmlns:r="http://schemas.openxmlformats.org/officeDocument/2006/relationships" r:id="rId1" refreshedBy="Marian" refreshedDate="41022.492045949075" createdVersion="4" refreshedVersion="4" minRefreshableVersion="3" recordCount="66">
  <cacheSource type="worksheet">
    <worksheetSource ref="A1:AM1048576" sheet="IFRCDB"/>
  </cacheSource>
  <cacheFields count="39">
    <cacheField name="document number" numFmtId="0">
      <sharedItems containsBlank="1"/>
    </cacheField>
    <cacheField name="Appeal: Emergency Appeal launched" numFmtId="0">
      <sharedItems containsString="0" containsBlank="1" containsNumber="1" minValue="0" maxValue="152857777"/>
    </cacheField>
    <cacheField name="Coverage" numFmtId="9">
      <sharedItems containsString="0" containsBlank="1" containsNumber="1" minValue="0" maxValue="1.05"/>
    </cacheField>
    <cacheField name="Total Coverage CHF" numFmtId="0">
      <sharedItems containsString="0" containsBlank="1" containsNumber="1" minValue="0" maxValue="152857777" count="55">
        <n v="2365500"/>
        <n v="5999152"/>
        <n v="2344464"/>
        <n v="5723859.75"/>
        <n v="7875386.0699999994"/>
        <n v="2868460"/>
        <n v="10468864.039999999"/>
        <n v="0"/>
        <n v="809335.67999999993"/>
        <n v="1316160"/>
        <n v="3726246.75"/>
        <n v="2488260.39"/>
        <n v="1898867"/>
        <n v="1750541"/>
        <n v="19586528"/>
        <n v="562887.92000000004"/>
        <n v="5790742.3200000003"/>
        <n v="2527283.06"/>
        <n v="492503.08"/>
        <n v="1436612.5799999998"/>
        <n v="698672"/>
        <n v="75467665.140000001"/>
        <n v="7097118.0899999999"/>
        <n v="152857777"/>
        <n v="911135"/>
        <n v="8310213"/>
        <n v="4881711.84"/>
        <n v="151532.64000000001"/>
        <n v="1209435"/>
        <n v="1275362.1000000001"/>
        <n v="13448414.699999999"/>
        <n v="8475870"/>
        <n v="2650000"/>
        <n v="1749562.17"/>
        <n v="9220191.3599999994"/>
        <n v="7903.5"/>
        <n v="46002.494999999995"/>
        <n v="267176.58"/>
        <n v="1219915.74"/>
        <n v="1398098.0999999999"/>
        <n v="242727.3"/>
        <n v="432567.24000000005"/>
        <n v="2246147.3899999997"/>
        <n v="2000000"/>
        <n v="651961"/>
        <n v="832191.36"/>
        <n v="12879255.420000002"/>
        <n v="1110665"/>
        <n v="2057872.46"/>
        <n v="1484089.13"/>
        <n v="812287.84000000008"/>
        <n v="3562998.7399999998"/>
        <n v="228956.28"/>
        <n v="992213.82"/>
        <m/>
      </sharedItems>
    </cacheField>
    <cacheField name="Admin 2" numFmtId="0">
      <sharedItems containsBlank="1"/>
    </cacheField>
    <cacheField name="Emergency_Level" numFmtId="0">
      <sharedItems containsBlank="1"/>
    </cacheField>
    <cacheField name="Precision" numFmtId="0">
      <sharedItems containsBlank="1"/>
    </cacheField>
    <cacheField name="GLIDE number" numFmtId="0">
      <sharedItems containsBlank="1"/>
    </cacheField>
    <cacheField name="First on DMIS" numFmtId="0">
      <sharedItems containsBlank="1"/>
    </cacheField>
    <cacheField name="NS involved" numFmtId="0">
      <sharedItems containsString="0" containsBlank="1" containsNumber="1" containsInteger="1" minValue="1" maxValue="30"/>
    </cacheField>
    <cacheField name="DMIS field reports" numFmtId="0">
      <sharedItems containsBlank="1"/>
    </cacheField>
    <cacheField name="ARC FY " numFmtId="0">
      <sharedItems containsString="0" containsBlank="1" containsNumber="1" containsInteger="1" minValue="2008" maxValue="2009" count="3">
        <n v="2008"/>
        <n v="2009"/>
        <m/>
      </sharedItems>
    </cacheField>
    <cacheField name="Start" numFmtId="0">
      <sharedItems containsNonDate="0" containsDate="1" containsString="0" containsBlank="1" minDate="2007-07-03T00:00:00" maxDate="2009-05-27T00:00:00"/>
    </cacheField>
    <cacheField name="End" numFmtId="0">
      <sharedItems containsNonDate="0" containsDate="1" containsString="0" containsBlank="1" minDate="2007-09-01T00:00:00" maxDate="2011-12-22T00:00:00"/>
    </cacheField>
    <cacheField name="Injured" numFmtId="0">
      <sharedItems containsString="0" containsBlank="1" containsNumber="1" containsInteger="1" minValue="15" maxValue="375000"/>
    </cacheField>
    <cacheField name="Dead" numFmtId="0">
      <sharedItems containsString="0" containsBlank="1" containsNumber="1" containsInteger="1" minValue="2" maxValue="87449"/>
    </cacheField>
    <cacheField name="Missing" numFmtId="0">
      <sharedItems containsString="0" containsBlank="1" containsNumber="1" containsInteger="1" minValue="1" maxValue="53800"/>
    </cacheField>
    <cacheField name="Affected" numFmtId="0">
      <sharedItems containsString="0" containsBlank="1" containsNumber="1" containsInteger="1" minValue="3530" maxValue="200000000"/>
    </cacheField>
    <cacheField name="Displaced/Evacuated" numFmtId="0">
      <sharedItems containsString="0" containsBlank="1" containsNumber="1" containsInteger="1" minValue="525" maxValue="15000000"/>
    </cacheField>
    <cacheField name="Beneficiaries" numFmtId="0">
      <sharedItems containsString="0" containsBlank="1" containsNumber="1" containsInteger="1" minValue="2500" maxValue="25000000"/>
    </cacheField>
    <cacheField name="Local Staff" numFmtId="0">
      <sharedItems containsString="0" containsBlank="1" containsNumber="1" containsInteger="1" minValue="2" maxValue="17800"/>
    </cacheField>
    <cacheField name="Volunteers" numFmtId="0">
      <sharedItems containsString="0" containsBlank="1" containsNumber="1" containsInteger="1" minValue="25" maxValue="42000"/>
    </cacheField>
    <cacheField name="Del: Delegation involved in assessment/coordination" numFmtId="0">
      <sharedItems containsString="0" containsBlank="1" containsNumber="1" containsInteger="1" minValue="1" maxValue="4"/>
    </cacheField>
    <cacheField name="RDRT: Regional Disaster Response Team mobilised" numFmtId="0">
      <sharedItems containsString="0" containsBlank="1" containsNumber="1" containsInteger="1" minValue="1" maxValue="3"/>
    </cacheField>
    <cacheField name="Type of RDRT" numFmtId="0">
      <sharedItems containsBlank="1"/>
    </cacheField>
    <cacheField name="Others: Other key actors in the operation" numFmtId="0">
      <sharedItems containsBlank="1"/>
    </cacheField>
    <cacheField name="FACT: Field Assessment and Coordination Team Deployed" numFmtId="0">
      <sharedItems containsString="0" containsBlank="1" containsNumber="1" containsInteger="1" minValue="1" maxValue="1"/>
    </cacheField>
    <cacheField name="ERU: Emergency Response Units deployed" numFmtId="0">
      <sharedItems containsString="0" containsBlank="1" containsNumber="1" containsInteger="1" minValue="1" maxValue="7"/>
    </cacheField>
    <cacheField name="DREF: Disaster Relief Emergency Fund used" numFmtId="0">
      <sharedItems containsString="0" containsBlank="1" containsNumber="1" containsInteger="1" minValue="25000" maxValue="1191647"/>
    </cacheField>
    <cacheField name="Comment" numFmtId="0">
      <sharedItems containsBlank="1"/>
    </cacheField>
    <cacheField name="year" numFmtId="0">
      <sharedItems containsString="0" containsBlank="1" containsNumber="1" containsInteger="1" minValue="2007" maxValue="2009"/>
    </cacheField>
    <cacheField name="country id" numFmtId="0">
      <sharedItems containsString="0" containsBlank="1" containsNumber="1" containsInteger="1" minValue="3" maxValue="248"/>
    </cacheField>
    <cacheField name="Admin 3" numFmtId="0">
      <sharedItems containsBlank="1" containsMixedTypes="1" containsNumber="1" containsInteger="1" minValue="10170233" maxValue="10170233"/>
    </cacheField>
    <cacheField name="Admin 4" numFmtId="0">
      <sharedItems containsBlank="1"/>
    </cacheField>
    <cacheField name="Admin suite" numFmtId="0">
      <sharedItems containsBlank="1"/>
    </cacheField>
    <cacheField name="disaster id" numFmtId="0">
      <sharedItems containsString="0" containsBlank="1" containsNumber="1" containsInteger="1" minValue="16" maxValue="41"/>
    </cacheField>
    <cacheField name="region id" numFmtId="0">
      <sharedItems containsString="0" containsBlank="1" containsNumber="1" containsInteger="1" minValue="1" maxValue="5"/>
    </cacheField>
    <cacheField name="subregion id" numFmtId="0">
      <sharedItems containsString="0" containsBlank="1" containsNumber="1" containsInteger="1" minValue="1" maxValue="19"/>
    </cacheField>
    <cacheField name="data ID" numFmtId="0">
      <sharedItems containsString="0" containsBlank="1" containsNumber="1" containsInteger="1" minValue="1405" maxValue="271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32">
  <r>
    <m/>
    <s v="a"/>
    <s v="Mexico Earthquake"/>
    <d v="1985-09-01T00:00:00"/>
    <x v="0"/>
    <m/>
    <x v="0"/>
    <x v="0"/>
    <m/>
    <x v="0"/>
    <x v="0"/>
    <x v="0"/>
    <x v="0"/>
    <x v="0"/>
    <x v="0"/>
    <m/>
    <x v="0"/>
    <x v="0"/>
    <m/>
    <m/>
    <m/>
    <m/>
    <x v="0"/>
    <m/>
    <m/>
    <x v="0"/>
    <x v="0"/>
    <m/>
    <x v="0"/>
    <m/>
    <m/>
    <x v="0"/>
    <x v="0"/>
    <x v="0"/>
    <m/>
    <x v="0"/>
    <x v="0"/>
    <x v="0"/>
    <x v="0"/>
    <x v="0"/>
    <x v="0"/>
    <x v="0"/>
    <x v="0"/>
    <x v="0"/>
    <x v="0"/>
    <x v="0"/>
    <x v="0"/>
    <x v="0"/>
    <x v="0"/>
    <m/>
    <m/>
    <m/>
    <x v="0"/>
    <x v="0"/>
    <m/>
    <n v="19700000"/>
    <m/>
    <m/>
    <m/>
    <x v="0"/>
    <x v="0"/>
  </r>
  <r>
    <m/>
    <s v="b"/>
    <s v="Armenia Earthquake"/>
    <d v="1988-12-01T00:00:00"/>
    <x v="1"/>
    <m/>
    <x v="0"/>
    <x v="1"/>
    <m/>
    <x v="0"/>
    <x v="0"/>
    <x v="0"/>
    <x v="0"/>
    <x v="0"/>
    <x v="0"/>
    <m/>
    <x v="0"/>
    <x v="0"/>
    <m/>
    <m/>
    <m/>
    <m/>
    <x v="0"/>
    <m/>
    <m/>
    <x v="0"/>
    <x v="0"/>
    <m/>
    <x v="0"/>
    <m/>
    <m/>
    <x v="0"/>
    <x v="0"/>
    <x v="0"/>
    <m/>
    <x v="0"/>
    <x v="0"/>
    <x v="0"/>
    <x v="0"/>
    <x v="0"/>
    <x v="0"/>
    <x v="0"/>
    <x v="0"/>
    <x v="0"/>
    <x v="0"/>
    <x v="0"/>
    <x v="0"/>
    <x v="0"/>
    <x v="0"/>
    <m/>
    <m/>
    <m/>
    <x v="0"/>
    <x v="0"/>
    <m/>
    <n v="14000000"/>
    <m/>
    <m/>
    <m/>
    <x v="0"/>
    <x v="0"/>
  </r>
  <r>
    <m/>
    <s v="c"/>
    <s v="Rwanda Crisis"/>
    <d v="1994-06-01T00:00:00"/>
    <x v="2"/>
    <m/>
    <x v="0"/>
    <x v="2"/>
    <m/>
    <x v="0"/>
    <x v="0"/>
    <x v="0"/>
    <x v="0"/>
    <x v="0"/>
    <x v="0"/>
    <m/>
    <x v="0"/>
    <x v="0"/>
    <m/>
    <m/>
    <m/>
    <m/>
    <x v="0"/>
    <m/>
    <m/>
    <x v="0"/>
    <x v="0"/>
    <m/>
    <x v="0"/>
    <m/>
    <m/>
    <x v="0"/>
    <x v="0"/>
    <x v="0"/>
    <m/>
    <x v="0"/>
    <x v="0"/>
    <x v="0"/>
    <x v="0"/>
    <x v="0"/>
    <x v="0"/>
    <x v="0"/>
    <x v="0"/>
    <x v="0"/>
    <x v="0"/>
    <x v="0"/>
    <x v="0"/>
    <x v="0"/>
    <x v="0"/>
    <m/>
    <m/>
    <m/>
    <x v="0"/>
    <x v="0"/>
    <m/>
    <n v="18000000"/>
    <m/>
    <m/>
    <m/>
    <x v="0"/>
    <x v="0"/>
  </r>
  <r>
    <m/>
    <s v="d"/>
    <s v="Hurricane Mitch"/>
    <d v="1998-10-01T00:00:00"/>
    <x v="3"/>
    <m/>
    <x v="0"/>
    <x v="3"/>
    <m/>
    <x v="0"/>
    <x v="0"/>
    <x v="0"/>
    <x v="0"/>
    <x v="0"/>
    <x v="0"/>
    <n v="2998214"/>
    <x v="0"/>
    <x v="0"/>
    <m/>
    <m/>
    <m/>
    <m/>
    <x v="0"/>
    <m/>
    <m/>
    <x v="0"/>
    <x v="0"/>
    <m/>
    <x v="0"/>
    <m/>
    <m/>
    <x v="0"/>
    <x v="0"/>
    <x v="0"/>
    <m/>
    <x v="0"/>
    <x v="0"/>
    <x v="0"/>
    <x v="0"/>
    <x v="0"/>
    <x v="0"/>
    <x v="0"/>
    <x v="0"/>
    <x v="0"/>
    <x v="0"/>
    <x v="0"/>
    <x v="0"/>
    <x v="0"/>
    <x v="0"/>
    <m/>
    <m/>
    <m/>
    <x v="0"/>
    <x v="0"/>
    <m/>
    <n v="50000000"/>
    <m/>
    <m/>
    <m/>
    <x v="0"/>
    <x v="0"/>
  </r>
  <r>
    <m/>
    <s v="e"/>
    <s v="Balkans Crisis"/>
    <d v="1999-03-01T00:00:00"/>
    <x v="3"/>
    <m/>
    <x v="0"/>
    <x v="4"/>
    <m/>
    <x v="0"/>
    <x v="0"/>
    <x v="0"/>
    <x v="0"/>
    <x v="0"/>
    <x v="0"/>
    <m/>
    <x v="0"/>
    <x v="0"/>
    <m/>
    <m/>
    <m/>
    <m/>
    <x v="0"/>
    <m/>
    <m/>
    <x v="0"/>
    <x v="0"/>
    <m/>
    <x v="0"/>
    <m/>
    <m/>
    <x v="0"/>
    <x v="0"/>
    <x v="0"/>
    <m/>
    <x v="0"/>
    <x v="0"/>
    <x v="0"/>
    <x v="0"/>
    <x v="0"/>
    <x v="0"/>
    <x v="0"/>
    <x v="0"/>
    <x v="0"/>
    <x v="0"/>
    <x v="0"/>
    <x v="0"/>
    <x v="0"/>
    <x v="0"/>
    <m/>
    <m/>
    <m/>
    <x v="0"/>
    <x v="0"/>
    <m/>
    <n v="39000000"/>
    <m/>
    <m/>
    <m/>
    <x v="0"/>
    <x v="0"/>
  </r>
  <r>
    <m/>
    <n v="1"/>
    <s v="Ethiopia Drought"/>
    <d v="1999-06-01T00:00:00"/>
    <x v="3"/>
    <n v="1"/>
    <x v="0"/>
    <x v="4"/>
    <n v="1"/>
    <x v="1"/>
    <x v="1"/>
    <x v="0"/>
    <x v="1"/>
    <x v="1"/>
    <x v="1"/>
    <m/>
    <x v="0"/>
    <x v="0"/>
    <m/>
    <m/>
    <m/>
    <m/>
    <x v="0"/>
    <m/>
    <m/>
    <x v="0"/>
    <x v="1"/>
    <n v="100000"/>
    <x v="0"/>
    <m/>
    <n v="100000"/>
    <x v="1"/>
    <x v="0"/>
    <x v="0"/>
    <m/>
    <x v="0"/>
    <x v="0"/>
    <x v="0"/>
    <x v="0"/>
    <x v="0"/>
    <x v="0"/>
    <x v="0"/>
    <x v="0"/>
    <x v="0"/>
    <x v="0"/>
    <x v="0"/>
    <x v="0"/>
    <x v="0"/>
    <x v="0"/>
    <m/>
    <m/>
    <n v="100000"/>
    <x v="0"/>
    <x v="0"/>
    <n v="7159.297959242117"/>
    <n v="100000"/>
    <n v="2898"/>
    <m/>
    <s v="Region response"/>
    <x v="0"/>
    <x v="0"/>
  </r>
  <r>
    <m/>
    <n v="2"/>
    <s v="Mexico Floods"/>
    <d v="1999-06-01T00:00:00"/>
    <x v="3"/>
    <n v="2"/>
    <x v="0"/>
    <x v="4"/>
    <n v="2"/>
    <x v="2"/>
    <x v="2"/>
    <x v="0"/>
    <x v="2"/>
    <x v="2"/>
    <x v="2"/>
    <m/>
    <x v="0"/>
    <x v="0"/>
    <m/>
    <m/>
    <m/>
    <m/>
    <x v="0"/>
    <m/>
    <m/>
    <x v="0"/>
    <x v="0"/>
    <m/>
    <x v="0"/>
    <n v="100000"/>
    <n v="100000"/>
    <x v="2"/>
    <x v="0"/>
    <x v="0"/>
    <m/>
    <x v="0"/>
    <x v="0"/>
    <x v="0"/>
    <x v="0"/>
    <x v="0"/>
    <x v="0"/>
    <x v="0"/>
    <x v="0"/>
    <x v="0"/>
    <x v="0"/>
    <x v="0"/>
    <x v="0"/>
    <x v="0"/>
    <x v="0"/>
    <m/>
    <m/>
    <n v="100000"/>
    <x v="0"/>
    <x v="0"/>
    <n v="34050"/>
    <n v="100000"/>
    <n v="2898"/>
    <m/>
    <m/>
    <x v="0"/>
    <x v="0"/>
  </r>
  <r>
    <m/>
    <n v="3"/>
    <s v="Costa Rica Floods"/>
    <d v="1999-06-01T00:00:00"/>
    <x v="3"/>
    <n v="3"/>
    <x v="0"/>
    <x v="4"/>
    <n v="3"/>
    <x v="2"/>
    <x v="3"/>
    <x v="0"/>
    <x v="2"/>
    <x v="2"/>
    <x v="2"/>
    <m/>
    <x v="0"/>
    <x v="0"/>
    <m/>
    <m/>
    <m/>
    <m/>
    <x v="0"/>
    <m/>
    <m/>
    <x v="0"/>
    <x v="2"/>
    <n v="10000"/>
    <x v="0"/>
    <m/>
    <n v="10000"/>
    <x v="1"/>
    <x v="0"/>
    <x v="0"/>
    <m/>
    <x v="0"/>
    <x v="0"/>
    <x v="0"/>
    <x v="0"/>
    <x v="0"/>
    <x v="0"/>
    <x v="0"/>
    <x v="0"/>
    <x v="0"/>
    <x v="0"/>
    <x v="0"/>
    <x v="0"/>
    <x v="0"/>
    <x v="0"/>
    <m/>
    <m/>
    <n v="10000"/>
    <x v="0"/>
    <x v="0"/>
    <n v="1000"/>
    <n v="10000"/>
    <n v="2898"/>
    <m/>
    <s v="Region response"/>
    <x v="0"/>
    <x v="0"/>
  </r>
  <r>
    <m/>
    <n v="4"/>
    <s v="China Floods"/>
    <d v="1999-08-01T00:00:00"/>
    <x v="4"/>
    <n v="1"/>
    <x v="0"/>
    <x v="4"/>
    <n v="4"/>
    <x v="3"/>
    <x v="4"/>
    <x v="0"/>
    <x v="2"/>
    <x v="2"/>
    <x v="2"/>
    <m/>
    <x v="0"/>
    <x v="0"/>
    <m/>
    <m/>
    <m/>
    <m/>
    <x v="0"/>
    <m/>
    <m/>
    <x v="0"/>
    <x v="1"/>
    <n v="100000"/>
    <x v="0"/>
    <m/>
    <n v="100000"/>
    <x v="1"/>
    <x v="0"/>
    <x v="0"/>
    <m/>
    <x v="0"/>
    <x v="0"/>
    <x v="0"/>
    <x v="0"/>
    <x v="0"/>
    <x v="0"/>
    <x v="0"/>
    <x v="0"/>
    <x v="0"/>
    <x v="0"/>
    <x v="0"/>
    <x v="0"/>
    <x v="0"/>
    <x v="0"/>
    <m/>
    <m/>
    <n v="100000"/>
    <x v="0"/>
    <x v="0"/>
    <n v="15080.681646810435"/>
    <n v="100000"/>
    <n v="2060"/>
    <m/>
    <s v="Region response"/>
    <x v="0"/>
    <x v="0"/>
  </r>
  <r>
    <m/>
    <n v="5"/>
    <s v="Turkey Earthquake"/>
    <d v="1999-08-01T00:00:00"/>
    <x v="4"/>
    <n v="2"/>
    <x v="0"/>
    <x v="4"/>
    <n v="5"/>
    <x v="3"/>
    <x v="5"/>
    <x v="0"/>
    <x v="3"/>
    <x v="3"/>
    <x v="3"/>
    <m/>
    <x v="0"/>
    <x v="0"/>
    <m/>
    <m/>
    <m/>
    <m/>
    <x v="0"/>
    <m/>
    <m/>
    <x v="0"/>
    <x v="0"/>
    <m/>
    <x v="0"/>
    <m/>
    <n v="0"/>
    <x v="3"/>
    <x v="0"/>
    <x v="0"/>
    <m/>
    <x v="0"/>
    <x v="0"/>
    <x v="0"/>
    <x v="0"/>
    <x v="0"/>
    <x v="0"/>
    <x v="0"/>
    <x v="0"/>
    <x v="0"/>
    <x v="0"/>
    <x v="0"/>
    <x v="0"/>
    <x v="0"/>
    <x v="0"/>
    <n v="0"/>
    <n v="0"/>
    <n v="0"/>
    <x v="0"/>
    <x v="0"/>
    <m/>
    <n v="0"/>
    <n v="2814"/>
    <m/>
    <s v="Total expenses combined with (#19, below)"/>
    <x v="0"/>
    <x v="0"/>
  </r>
  <r>
    <m/>
    <n v="6"/>
    <s v="Nicaragua Volcano"/>
    <d v="1999-08-01T00:00:00"/>
    <x v="4"/>
    <n v="3"/>
    <x v="0"/>
    <x v="4"/>
    <n v="6"/>
    <x v="2"/>
    <x v="6"/>
    <x v="0"/>
    <x v="4"/>
    <x v="4"/>
    <x v="4"/>
    <m/>
    <x v="0"/>
    <x v="0"/>
    <m/>
    <m/>
    <m/>
    <m/>
    <x v="0"/>
    <m/>
    <m/>
    <x v="0"/>
    <x v="0"/>
    <m/>
    <x v="0"/>
    <n v="10000"/>
    <n v="10000"/>
    <x v="4"/>
    <x v="0"/>
    <x v="0"/>
    <m/>
    <x v="0"/>
    <x v="0"/>
    <x v="0"/>
    <x v="0"/>
    <x v="0"/>
    <x v="0"/>
    <x v="0"/>
    <x v="0"/>
    <x v="0"/>
    <x v="0"/>
    <x v="0"/>
    <x v="0"/>
    <x v="0"/>
    <x v="0"/>
    <m/>
    <m/>
    <n v="10000"/>
    <x v="0"/>
    <x v="0"/>
    <n v="1000"/>
    <n v="10000"/>
    <n v="2898"/>
    <m/>
    <s v="Gisla Dewey and Carol Schimke sent to assist and observe"/>
    <x v="0"/>
    <x v="0"/>
  </r>
  <r>
    <m/>
    <n v="7"/>
    <s v="Cambodia Floods"/>
    <d v="1999-08-01T00:00:00"/>
    <x v="4"/>
    <n v="4"/>
    <x v="0"/>
    <x v="4"/>
    <n v="7"/>
    <x v="3"/>
    <x v="7"/>
    <x v="0"/>
    <x v="2"/>
    <x v="2"/>
    <x v="2"/>
    <m/>
    <x v="0"/>
    <x v="0"/>
    <m/>
    <m/>
    <m/>
    <m/>
    <x v="0"/>
    <m/>
    <m/>
    <x v="0"/>
    <x v="2"/>
    <n v="25000"/>
    <x v="0"/>
    <m/>
    <n v="25000"/>
    <x v="1"/>
    <x v="0"/>
    <x v="0"/>
    <m/>
    <x v="0"/>
    <x v="0"/>
    <x v="0"/>
    <x v="0"/>
    <x v="0"/>
    <x v="0"/>
    <x v="0"/>
    <x v="0"/>
    <x v="0"/>
    <x v="0"/>
    <x v="0"/>
    <x v="0"/>
    <x v="0"/>
    <x v="0"/>
    <m/>
    <m/>
    <n v="25000"/>
    <x v="0"/>
    <x v="0"/>
    <n v="1321.7075933422946"/>
    <n v="25000"/>
    <n v="2898"/>
    <m/>
    <s v="Region response"/>
    <x v="0"/>
    <x v="0"/>
  </r>
  <r>
    <m/>
    <n v="8"/>
    <s v="Greece Earthquake"/>
    <d v="1999-09-01T00:00:00"/>
    <x v="4"/>
    <n v="5"/>
    <x v="0"/>
    <x v="4"/>
    <n v="8"/>
    <x v="3"/>
    <x v="8"/>
    <x v="0"/>
    <x v="3"/>
    <x v="3"/>
    <x v="3"/>
    <m/>
    <x v="0"/>
    <x v="0"/>
    <m/>
    <m/>
    <m/>
    <m/>
    <x v="0"/>
    <m/>
    <m/>
    <x v="0"/>
    <x v="1"/>
    <n v="80000"/>
    <x v="0"/>
    <m/>
    <n v="80000"/>
    <x v="1"/>
    <x v="0"/>
    <x v="0"/>
    <m/>
    <x v="0"/>
    <x v="0"/>
    <x v="0"/>
    <x v="0"/>
    <x v="0"/>
    <x v="0"/>
    <x v="0"/>
    <x v="0"/>
    <x v="0"/>
    <x v="0"/>
    <x v="0"/>
    <x v="0"/>
    <x v="0"/>
    <x v="0"/>
    <m/>
    <m/>
    <n v="80000"/>
    <x v="0"/>
    <x v="0"/>
    <n v="2580.0991790124413"/>
    <n v="80000"/>
    <n v="2898"/>
    <m/>
    <m/>
    <x v="0"/>
    <x v="0"/>
  </r>
  <r>
    <m/>
    <n v="9"/>
    <s v="Bahamas Storm"/>
    <d v="1999-09-01T00:00:00"/>
    <x v="4"/>
    <n v="6"/>
    <x v="0"/>
    <x v="4"/>
    <n v="9"/>
    <x v="2"/>
    <x v="9"/>
    <x v="0"/>
    <x v="5"/>
    <x v="5"/>
    <x v="5"/>
    <m/>
    <x v="0"/>
    <x v="0"/>
    <m/>
    <m/>
    <m/>
    <m/>
    <x v="0"/>
    <m/>
    <m/>
    <x v="0"/>
    <x v="0"/>
    <m/>
    <x v="0"/>
    <n v="25000"/>
    <n v="25000"/>
    <x v="5"/>
    <x v="0"/>
    <x v="0"/>
    <m/>
    <x v="0"/>
    <x v="0"/>
    <x v="0"/>
    <x v="0"/>
    <x v="0"/>
    <x v="0"/>
    <x v="0"/>
    <x v="0"/>
    <x v="0"/>
    <x v="0"/>
    <x v="0"/>
    <x v="0"/>
    <x v="0"/>
    <x v="0"/>
    <n v="97443"/>
    <n v="9750"/>
    <n v="132193"/>
    <x v="0"/>
    <x v="0"/>
    <n v="12383.247348462506"/>
    <n v="132193"/>
    <n v="2898"/>
    <s v="Floyd"/>
    <s v="Hygiene kits, plastic sheeting, flashlights,batteries, bedsheets, and tents"/>
    <x v="0"/>
    <x v="0"/>
  </r>
  <r>
    <m/>
    <n v="10"/>
    <s v="Taiwan Earthquake"/>
    <d v="1999-09-01T00:00:00"/>
    <x v="4"/>
    <n v="7"/>
    <x v="0"/>
    <x v="4"/>
    <n v="10"/>
    <x v="3"/>
    <x v="10"/>
    <x v="0"/>
    <x v="3"/>
    <x v="3"/>
    <x v="3"/>
    <m/>
    <x v="0"/>
    <x v="0"/>
    <m/>
    <m/>
    <m/>
    <m/>
    <x v="0"/>
    <m/>
    <m/>
    <x v="0"/>
    <x v="1"/>
    <n v="1200000"/>
    <x v="0"/>
    <m/>
    <n v="1200000"/>
    <x v="1"/>
    <x v="0"/>
    <x v="0"/>
    <m/>
    <x v="0"/>
    <x v="0"/>
    <x v="0"/>
    <x v="0"/>
    <x v="0"/>
    <x v="0"/>
    <x v="0"/>
    <x v="0"/>
    <x v="0"/>
    <x v="0"/>
    <x v="0"/>
    <x v="0"/>
    <x v="0"/>
    <x v="0"/>
    <m/>
    <m/>
    <n v="1200000"/>
    <x v="0"/>
    <x v="0"/>
    <n v="54838.842352037951"/>
    <n v="1200000"/>
    <n v="2824"/>
    <m/>
    <s v="Money sent to Federation"/>
    <x v="0"/>
    <x v="0"/>
  </r>
  <r>
    <m/>
    <n v="11"/>
    <s v="Japan Industrial"/>
    <d v="1999-09-01T00:00:00"/>
    <x v="4"/>
    <n v="8"/>
    <x v="0"/>
    <x v="4"/>
    <n v="11"/>
    <x v="3"/>
    <x v="11"/>
    <x v="0"/>
    <x v="6"/>
    <x v="6"/>
    <x v="6"/>
    <m/>
    <x v="0"/>
    <x v="0"/>
    <m/>
    <m/>
    <m/>
    <m/>
    <x v="0"/>
    <m/>
    <m/>
    <x v="0"/>
    <x v="0"/>
    <m/>
    <x v="0"/>
    <m/>
    <n v="0"/>
    <x v="1"/>
    <x v="0"/>
    <x v="0"/>
    <m/>
    <x v="0"/>
    <x v="0"/>
    <x v="0"/>
    <x v="0"/>
    <x v="0"/>
    <x v="0"/>
    <x v="0"/>
    <x v="0"/>
    <x v="0"/>
    <x v="0"/>
    <x v="0"/>
    <x v="0"/>
    <x v="0"/>
    <x v="0"/>
    <n v="200"/>
    <m/>
    <n v="200"/>
    <x v="0"/>
    <x v="0"/>
    <m/>
    <n v="200"/>
    <n v="2898"/>
    <s v="Nuclear Power Plant"/>
    <s v="Manuals related to Nuclear disasters sent to JRCS"/>
    <x v="0"/>
    <x v="0"/>
  </r>
  <r>
    <m/>
    <n v="12"/>
    <s v="Mexico Earthquake"/>
    <d v="1999-09-01T00:00:00"/>
    <x v="4"/>
    <n v="9"/>
    <x v="0"/>
    <x v="4"/>
    <n v="12"/>
    <x v="2"/>
    <x v="2"/>
    <x v="0"/>
    <x v="3"/>
    <x v="3"/>
    <x v="3"/>
    <m/>
    <x v="0"/>
    <x v="0"/>
    <m/>
    <m/>
    <m/>
    <m/>
    <x v="0"/>
    <m/>
    <m/>
    <x v="0"/>
    <x v="0"/>
    <m/>
    <x v="0"/>
    <n v="150000"/>
    <n v="150000"/>
    <x v="5"/>
    <x v="0"/>
    <x v="0"/>
    <m/>
    <x v="0"/>
    <x v="0"/>
    <x v="0"/>
    <x v="0"/>
    <x v="0"/>
    <x v="0"/>
    <x v="0"/>
    <x v="0"/>
    <x v="0"/>
    <x v="0"/>
    <x v="0"/>
    <x v="0"/>
    <x v="0"/>
    <x v="0"/>
    <m/>
    <m/>
    <n v="150000"/>
    <x v="0"/>
    <x v="0"/>
    <m/>
    <n v="150000"/>
    <n v="2020"/>
    <m/>
    <m/>
    <x v="0"/>
    <x v="0"/>
  </r>
  <r>
    <m/>
    <n v="13"/>
    <s v="Mexico Floods "/>
    <d v="1999-10-01T00:00:00"/>
    <x v="4"/>
    <n v="10"/>
    <x v="0"/>
    <x v="4"/>
    <n v="13"/>
    <x v="2"/>
    <x v="2"/>
    <x v="0"/>
    <x v="7"/>
    <x v="2"/>
    <x v="2"/>
    <m/>
    <x v="0"/>
    <x v="0"/>
    <m/>
    <m/>
    <m/>
    <m/>
    <x v="0"/>
    <m/>
    <m/>
    <x v="0"/>
    <x v="0"/>
    <m/>
    <x v="0"/>
    <n v="200000"/>
    <n v="200000"/>
    <x v="6"/>
    <x v="0"/>
    <x v="0"/>
    <m/>
    <x v="0"/>
    <x v="0"/>
    <x v="0"/>
    <x v="0"/>
    <x v="0"/>
    <x v="0"/>
    <x v="0"/>
    <x v="0"/>
    <x v="0"/>
    <x v="0"/>
    <x v="0"/>
    <x v="0"/>
    <x v="0"/>
    <x v="0"/>
    <m/>
    <n v="5000"/>
    <n v="205000"/>
    <x v="0"/>
    <x v="0"/>
    <n v="12000"/>
    <n v="205000"/>
    <n v="2020"/>
    <m/>
    <m/>
    <x v="0"/>
    <x v="0"/>
  </r>
  <r>
    <m/>
    <n v="14"/>
    <s v="Russian Fed. Conflict"/>
    <d v="1999-10-01T00:00:00"/>
    <x v="4"/>
    <n v="11"/>
    <x v="0"/>
    <x v="4"/>
    <n v="14"/>
    <x v="3"/>
    <x v="12"/>
    <x v="0"/>
    <x v="8"/>
    <x v="7"/>
    <x v="7"/>
    <m/>
    <x v="0"/>
    <x v="0"/>
    <m/>
    <m/>
    <m/>
    <m/>
    <x v="0"/>
    <m/>
    <m/>
    <x v="0"/>
    <x v="0"/>
    <m/>
    <x v="0"/>
    <n v="75000"/>
    <n v="75000"/>
    <x v="1"/>
    <x v="0"/>
    <x v="0"/>
    <n v="76700"/>
    <x v="0"/>
    <x v="1"/>
    <x v="1"/>
    <x v="1"/>
    <x v="0"/>
    <x v="0"/>
    <x v="0"/>
    <x v="0"/>
    <x v="0"/>
    <x v="0"/>
    <x v="0"/>
    <x v="0"/>
    <x v="0"/>
    <x v="0"/>
    <n v="535134"/>
    <m/>
    <n v="610134"/>
    <x v="0"/>
    <x v="0"/>
    <n v="55000"/>
    <n v="610134"/>
    <n v="2045"/>
    <s v="Chechnya"/>
    <s v="Chechnya:  Response handled by Regional desk, winter clothing for 3,000 people, 55,000 blankets, 10,500 Jerry cans, 11,200 hygiene parcels."/>
    <x v="0"/>
    <x v="0"/>
  </r>
  <r>
    <m/>
    <n v="15"/>
    <s v="Timor-Leste Conflict"/>
    <d v="1999-10-01T00:00:00"/>
    <x v="4"/>
    <n v="12"/>
    <x v="0"/>
    <x v="4"/>
    <n v="15"/>
    <x v="3"/>
    <x v="13"/>
    <x v="0"/>
    <x v="8"/>
    <x v="7"/>
    <x v="7"/>
    <m/>
    <x v="0"/>
    <x v="0"/>
    <m/>
    <m/>
    <m/>
    <m/>
    <x v="0"/>
    <m/>
    <m/>
    <x v="0"/>
    <x v="0"/>
    <m/>
    <x v="0"/>
    <n v="10000"/>
    <n v="10000"/>
    <x v="2"/>
    <x v="0"/>
    <x v="0"/>
    <m/>
    <x v="0"/>
    <x v="0"/>
    <x v="0"/>
    <x v="0"/>
    <x v="0"/>
    <x v="0"/>
    <x v="0"/>
    <x v="0"/>
    <x v="0"/>
    <x v="0"/>
    <x v="0"/>
    <x v="0"/>
    <x v="0"/>
    <x v="0"/>
    <m/>
    <m/>
    <n v="10000"/>
    <x v="0"/>
    <x v="0"/>
    <m/>
    <n v="10000"/>
    <n v="2898"/>
    <s v="Referendum"/>
    <s v="Kevin Kelley sent."/>
    <x v="0"/>
    <x v="0"/>
  </r>
  <r>
    <m/>
    <n v="16"/>
    <s v="Bangladesh Floods"/>
    <d v="1999-10-01T00:00:00"/>
    <x v="4"/>
    <n v="13"/>
    <x v="0"/>
    <x v="4"/>
    <n v="16"/>
    <x v="3"/>
    <x v="14"/>
    <x v="0"/>
    <x v="2"/>
    <x v="2"/>
    <x v="2"/>
    <m/>
    <x v="0"/>
    <x v="0"/>
    <m/>
    <m/>
    <m/>
    <m/>
    <x v="0"/>
    <m/>
    <m/>
    <x v="0"/>
    <x v="2"/>
    <n v="25000"/>
    <x v="0"/>
    <m/>
    <n v="25000"/>
    <x v="1"/>
    <x v="0"/>
    <x v="0"/>
    <m/>
    <x v="0"/>
    <x v="0"/>
    <x v="0"/>
    <x v="0"/>
    <x v="0"/>
    <x v="0"/>
    <x v="0"/>
    <x v="0"/>
    <x v="0"/>
    <x v="0"/>
    <x v="0"/>
    <x v="0"/>
    <x v="0"/>
    <x v="0"/>
    <m/>
    <m/>
    <n v="25000"/>
    <x v="0"/>
    <x v="0"/>
    <n v="2500"/>
    <n v="25000"/>
    <n v="2898"/>
    <m/>
    <m/>
    <x v="0"/>
    <x v="0"/>
  </r>
  <r>
    <m/>
    <n v="17"/>
    <s v="India Storm"/>
    <d v="1999-11-01T00:00:00"/>
    <x v="4"/>
    <n v="14"/>
    <x v="0"/>
    <x v="4"/>
    <n v="17"/>
    <x v="3"/>
    <x v="15"/>
    <x v="0"/>
    <x v="5"/>
    <x v="5"/>
    <x v="8"/>
    <m/>
    <x v="0"/>
    <x v="0"/>
    <m/>
    <m/>
    <m/>
    <m/>
    <x v="0"/>
    <m/>
    <m/>
    <x v="0"/>
    <x v="1"/>
    <n v="50000"/>
    <x v="0"/>
    <m/>
    <n v="50000"/>
    <x v="1"/>
    <x v="0"/>
    <x v="0"/>
    <m/>
    <x v="0"/>
    <x v="0"/>
    <x v="0"/>
    <x v="0"/>
    <x v="0"/>
    <x v="0"/>
    <x v="0"/>
    <x v="0"/>
    <x v="0"/>
    <x v="0"/>
    <x v="0"/>
    <x v="0"/>
    <x v="0"/>
    <x v="0"/>
    <m/>
    <m/>
    <n v="50000"/>
    <x v="0"/>
    <x v="0"/>
    <n v="5000"/>
    <n v="50000"/>
    <n v="2898"/>
    <m/>
    <s v="Federation handled funds"/>
    <x v="0"/>
    <x v="0"/>
  </r>
  <r>
    <m/>
    <n v="18"/>
    <s v="Vietnam Floods"/>
    <d v="1999-11-01T00:00:00"/>
    <x v="4"/>
    <n v="15"/>
    <x v="0"/>
    <x v="4"/>
    <n v="18"/>
    <x v="3"/>
    <x v="16"/>
    <x v="0"/>
    <x v="2"/>
    <x v="2"/>
    <x v="2"/>
    <m/>
    <x v="0"/>
    <x v="0"/>
    <m/>
    <m/>
    <m/>
    <m/>
    <x v="0"/>
    <m/>
    <m/>
    <x v="0"/>
    <x v="0"/>
    <m/>
    <x v="0"/>
    <n v="50000"/>
    <n v="50000"/>
    <x v="1"/>
    <x v="0"/>
    <x v="0"/>
    <m/>
    <x v="0"/>
    <x v="0"/>
    <x v="0"/>
    <x v="0"/>
    <x v="0"/>
    <x v="0"/>
    <x v="0"/>
    <x v="0"/>
    <x v="0"/>
    <x v="0"/>
    <x v="0"/>
    <x v="0"/>
    <x v="0"/>
    <x v="0"/>
    <m/>
    <m/>
    <n v="50000"/>
    <x v="0"/>
    <x v="0"/>
    <m/>
    <n v="50000"/>
    <n v="2870"/>
    <m/>
    <s v="Reference Regional Desk information."/>
    <x v="0"/>
    <x v="0"/>
  </r>
  <r>
    <m/>
    <n v="19"/>
    <s v="Turkey Earthquake"/>
    <d v="1999-11-01T00:00:00"/>
    <x v="4"/>
    <n v="16"/>
    <x v="0"/>
    <x v="4"/>
    <n v="19"/>
    <x v="3"/>
    <x v="5"/>
    <x v="0"/>
    <x v="3"/>
    <x v="3"/>
    <x v="3"/>
    <m/>
    <x v="0"/>
    <x v="0"/>
    <m/>
    <m/>
    <m/>
    <m/>
    <x v="0"/>
    <m/>
    <m/>
    <x v="0"/>
    <x v="1"/>
    <n v="2504221.9900000002"/>
    <x v="0"/>
    <n v="1360000"/>
    <n v="3864221.99"/>
    <x v="7"/>
    <x v="0"/>
    <x v="0"/>
    <m/>
    <x v="0"/>
    <x v="0"/>
    <x v="0"/>
    <x v="0"/>
    <x v="0"/>
    <x v="0"/>
    <x v="0"/>
    <x v="0"/>
    <x v="0"/>
    <x v="0"/>
    <x v="0"/>
    <x v="0"/>
    <x v="0"/>
    <x v="0"/>
    <n v="816758.16"/>
    <n v="472203.99"/>
    <n v="5153184.1400000006"/>
    <x v="0"/>
    <x v="0"/>
    <n v="52000"/>
    <n v="5153184.1400000006"/>
    <n v="2814"/>
    <m/>
    <s v="Total expenditures based off expenses from August-Jan for both earthquakes affecting Turkey."/>
    <x v="0"/>
    <x v="0"/>
  </r>
  <r>
    <m/>
    <n v="20"/>
    <s v="Dominica Storm"/>
    <d v="1999-11-01T00:00:00"/>
    <x v="4"/>
    <n v="17"/>
    <x v="0"/>
    <x v="4"/>
    <n v="20"/>
    <x v="2"/>
    <x v="17"/>
    <x v="0"/>
    <x v="5"/>
    <x v="5"/>
    <x v="5"/>
    <m/>
    <x v="0"/>
    <x v="0"/>
    <m/>
    <m/>
    <m/>
    <m/>
    <x v="0"/>
    <m/>
    <m/>
    <x v="0"/>
    <x v="0"/>
    <m/>
    <x v="0"/>
    <n v="15000"/>
    <n v="15000"/>
    <x v="2"/>
    <x v="0"/>
    <x v="0"/>
    <m/>
    <x v="0"/>
    <x v="0"/>
    <x v="0"/>
    <x v="0"/>
    <x v="0"/>
    <x v="0"/>
    <x v="0"/>
    <x v="0"/>
    <x v="0"/>
    <x v="0"/>
    <x v="0"/>
    <x v="0"/>
    <x v="0"/>
    <x v="0"/>
    <m/>
    <m/>
    <n v="15000"/>
    <x v="0"/>
    <x v="0"/>
    <n v="1500"/>
    <n v="15000"/>
    <n v="2898"/>
    <s v="Lenny"/>
    <s v="Transferred directly to DRCS for household items, supplementary food to 100 families, tents &amp; hygiene kits. "/>
    <x v="0"/>
    <x v="0"/>
  </r>
  <r>
    <m/>
    <n v="20"/>
    <s v="St. Kitts &amp; Nevis Storm"/>
    <d v="1999-11-01T00:00:00"/>
    <x v="4"/>
    <n v="17"/>
    <x v="0"/>
    <x v="4"/>
    <n v="20"/>
    <x v="2"/>
    <x v="18"/>
    <x v="0"/>
    <x v="5"/>
    <x v="5"/>
    <x v="5"/>
    <m/>
    <x v="0"/>
    <x v="0"/>
    <m/>
    <m/>
    <m/>
    <m/>
    <x v="0"/>
    <m/>
    <m/>
    <x v="0"/>
    <x v="0"/>
    <m/>
    <x v="0"/>
    <n v="15000"/>
    <n v="15000"/>
    <x v="4"/>
    <x v="0"/>
    <x v="0"/>
    <m/>
    <x v="0"/>
    <x v="0"/>
    <x v="0"/>
    <x v="0"/>
    <x v="0"/>
    <x v="0"/>
    <x v="0"/>
    <x v="0"/>
    <x v="0"/>
    <x v="0"/>
    <x v="0"/>
    <x v="0"/>
    <x v="0"/>
    <x v="0"/>
    <m/>
    <m/>
    <n v="15000"/>
    <x v="0"/>
    <x v="0"/>
    <n v="1500"/>
    <n v="15000"/>
    <n v="2898"/>
    <s v="Lenny"/>
    <s v="Transferred directly to SKNRC for hygiene kits, food packages and bedding "/>
    <x v="0"/>
    <x v="0"/>
  </r>
  <r>
    <m/>
    <n v="20"/>
    <s v="Antigua Storm"/>
    <d v="1999-11-01T00:00:00"/>
    <x v="4"/>
    <n v="17"/>
    <x v="0"/>
    <x v="4"/>
    <n v="20"/>
    <x v="2"/>
    <x v="19"/>
    <x v="0"/>
    <x v="5"/>
    <x v="5"/>
    <x v="5"/>
    <m/>
    <x v="0"/>
    <x v="0"/>
    <m/>
    <m/>
    <m/>
    <m/>
    <x v="0"/>
    <m/>
    <m/>
    <x v="0"/>
    <x v="0"/>
    <m/>
    <x v="0"/>
    <n v="15000"/>
    <n v="15000"/>
    <x v="2"/>
    <x v="0"/>
    <x v="0"/>
    <m/>
    <x v="0"/>
    <x v="0"/>
    <x v="0"/>
    <x v="0"/>
    <x v="0"/>
    <x v="0"/>
    <x v="0"/>
    <x v="0"/>
    <x v="0"/>
    <x v="0"/>
    <x v="0"/>
    <x v="0"/>
    <x v="0"/>
    <x v="0"/>
    <m/>
    <m/>
    <n v="15000"/>
    <x v="0"/>
    <x v="0"/>
    <n v="1500"/>
    <n v="15000"/>
    <n v="2898"/>
    <s v="Lenny"/>
    <s v="$15,000 for mattresses, first aid supplies, and roofing .     "/>
    <x v="0"/>
    <x v="0"/>
  </r>
  <r>
    <m/>
    <n v="20"/>
    <s v="Grenada Storm"/>
    <d v="1999-11-01T00:00:00"/>
    <x v="4"/>
    <n v="17"/>
    <x v="0"/>
    <x v="4"/>
    <n v="20"/>
    <x v="2"/>
    <x v="20"/>
    <x v="0"/>
    <x v="5"/>
    <x v="5"/>
    <x v="5"/>
    <m/>
    <x v="0"/>
    <x v="0"/>
    <m/>
    <m/>
    <m/>
    <m/>
    <x v="0"/>
    <m/>
    <m/>
    <x v="0"/>
    <x v="0"/>
    <m/>
    <x v="0"/>
    <n v="9000"/>
    <n v="9000"/>
    <x v="2"/>
    <x v="0"/>
    <x v="0"/>
    <m/>
    <x v="0"/>
    <x v="0"/>
    <x v="0"/>
    <x v="0"/>
    <x v="0"/>
    <x v="0"/>
    <x v="0"/>
    <x v="0"/>
    <x v="0"/>
    <x v="0"/>
    <x v="0"/>
    <x v="0"/>
    <x v="0"/>
    <x v="0"/>
    <m/>
    <m/>
    <n v="9000"/>
    <x v="0"/>
    <x v="0"/>
    <n v="900"/>
    <n v="9000"/>
    <n v="2898"/>
    <s v="Lenny"/>
    <m/>
    <x v="0"/>
    <x v="0"/>
  </r>
  <r>
    <m/>
    <n v="20"/>
    <s v="St. Maartens Storm"/>
    <d v="1999-11-01T00:00:00"/>
    <x v="4"/>
    <n v="17"/>
    <x v="0"/>
    <x v="4"/>
    <n v="20"/>
    <x v="2"/>
    <x v="21"/>
    <x v="0"/>
    <x v="5"/>
    <x v="5"/>
    <x v="5"/>
    <m/>
    <x v="0"/>
    <x v="0"/>
    <m/>
    <m/>
    <m/>
    <m/>
    <x v="0"/>
    <m/>
    <m/>
    <x v="0"/>
    <x v="0"/>
    <m/>
    <x v="0"/>
    <n v="9000"/>
    <n v="9000"/>
    <x v="0"/>
    <x v="0"/>
    <x v="0"/>
    <m/>
    <x v="0"/>
    <x v="0"/>
    <x v="0"/>
    <x v="0"/>
    <x v="0"/>
    <x v="0"/>
    <x v="0"/>
    <x v="0"/>
    <x v="0"/>
    <x v="0"/>
    <x v="0"/>
    <x v="0"/>
    <x v="0"/>
    <x v="0"/>
    <m/>
    <m/>
    <n v="9000"/>
    <x v="0"/>
    <x v="0"/>
    <n v="900"/>
    <n v="9000"/>
    <n v="2898"/>
    <s v="Lenny"/>
    <m/>
    <x v="0"/>
    <x v="0"/>
  </r>
  <r>
    <m/>
    <n v="21"/>
    <s v="Venezuela Floods"/>
    <d v="1999-12-01T00:00:00"/>
    <x v="4"/>
    <n v="18"/>
    <x v="0"/>
    <x v="4"/>
    <n v="21"/>
    <x v="2"/>
    <x v="22"/>
    <x v="0"/>
    <x v="2"/>
    <x v="2"/>
    <x v="2"/>
    <m/>
    <x v="0"/>
    <x v="0"/>
    <m/>
    <m/>
    <m/>
    <m/>
    <x v="0"/>
    <m/>
    <m/>
    <x v="0"/>
    <x v="0"/>
    <m/>
    <x v="0"/>
    <n v="50000"/>
    <n v="50000"/>
    <x v="8"/>
    <x v="0"/>
    <x v="0"/>
    <n v="55532"/>
    <x v="0"/>
    <x v="2"/>
    <x v="2"/>
    <x v="2"/>
    <x v="0"/>
    <x v="1"/>
    <x v="0"/>
    <x v="1"/>
    <x v="0"/>
    <x v="1"/>
    <x v="0"/>
    <x v="1"/>
    <x v="0"/>
    <x v="0"/>
    <n v="506000"/>
    <n v="500000"/>
    <n v="1056000"/>
    <x v="0"/>
    <x v="0"/>
    <n v="120000"/>
    <n v="1056000"/>
    <n v="2912"/>
    <m/>
    <s v="2,550 collapsible water containers. Purchased and shipped 7 Ford trucks, ($182,000),  13 MT calcium hypochloride ($30,000)"/>
    <x v="0"/>
    <x v="0"/>
  </r>
  <r>
    <m/>
    <n v="22"/>
    <s v="South Africa Floods"/>
    <d v="2000-02-01T00:00:00"/>
    <x v="4"/>
    <n v="19"/>
    <x v="0"/>
    <x v="5"/>
    <n v="1"/>
    <x v="1"/>
    <x v="23"/>
    <x v="0"/>
    <x v="2"/>
    <x v="2"/>
    <x v="2"/>
    <m/>
    <x v="0"/>
    <x v="0"/>
    <m/>
    <m/>
    <m/>
    <m/>
    <x v="0"/>
    <m/>
    <m/>
    <x v="0"/>
    <x v="2"/>
    <n v="23333.333333333332"/>
    <x v="0"/>
    <m/>
    <n v="23333.333333333332"/>
    <x v="1"/>
    <x v="0"/>
    <x v="0"/>
    <m/>
    <x v="0"/>
    <x v="0"/>
    <x v="0"/>
    <x v="0"/>
    <x v="0"/>
    <x v="0"/>
    <x v="0"/>
    <x v="0"/>
    <x v="0"/>
    <x v="0"/>
    <x v="0"/>
    <x v="0"/>
    <x v="0"/>
    <x v="0"/>
    <m/>
    <m/>
    <n v="23333.333333333332"/>
    <x v="0"/>
    <x v="0"/>
    <n v="2300"/>
    <n v="23333.333333333332"/>
    <n v="2898"/>
    <m/>
    <s v="Federation handled funds ($70,000 total)"/>
    <x v="0"/>
    <x v="0"/>
  </r>
  <r>
    <m/>
    <n v="22"/>
    <s v="Botswana Floods"/>
    <d v="2000-02-01T00:00:00"/>
    <x v="4"/>
    <n v="19"/>
    <x v="0"/>
    <x v="5"/>
    <n v="1"/>
    <x v="1"/>
    <x v="24"/>
    <x v="0"/>
    <x v="2"/>
    <x v="2"/>
    <x v="2"/>
    <m/>
    <x v="0"/>
    <x v="0"/>
    <m/>
    <m/>
    <m/>
    <m/>
    <x v="0"/>
    <m/>
    <m/>
    <x v="0"/>
    <x v="2"/>
    <n v="23333.333333333332"/>
    <x v="0"/>
    <m/>
    <n v="23333.333333333332"/>
    <x v="0"/>
    <x v="0"/>
    <x v="0"/>
    <m/>
    <x v="0"/>
    <x v="0"/>
    <x v="0"/>
    <x v="0"/>
    <x v="0"/>
    <x v="0"/>
    <x v="0"/>
    <x v="0"/>
    <x v="0"/>
    <x v="0"/>
    <x v="0"/>
    <x v="0"/>
    <x v="0"/>
    <x v="0"/>
    <m/>
    <m/>
    <n v="23333.333333333332"/>
    <x v="0"/>
    <x v="0"/>
    <n v="2300"/>
    <n v="23333.333333333332"/>
    <n v="2898"/>
    <m/>
    <s v="Federation handled funds ($70,000 total)"/>
    <x v="0"/>
    <x v="0"/>
  </r>
  <r>
    <m/>
    <n v="22"/>
    <s v="Zimbabwe Floods"/>
    <d v="2000-02-01T00:00:00"/>
    <x v="4"/>
    <n v="19"/>
    <x v="0"/>
    <x v="5"/>
    <n v="1"/>
    <x v="1"/>
    <x v="25"/>
    <x v="0"/>
    <x v="2"/>
    <x v="2"/>
    <x v="2"/>
    <m/>
    <x v="0"/>
    <x v="0"/>
    <m/>
    <m/>
    <m/>
    <m/>
    <x v="0"/>
    <m/>
    <m/>
    <x v="0"/>
    <x v="2"/>
    <n v="23333.343333333331"/>
    <x v="0"/>
    <m/>
    <n v="23333.343333333331"/>
    <x v="0"/>
    <x v="0"/>
    <x v="0"/>
    <m/>
    <x v="0"/>
    <x v="0"/>
    <x v="0"/>
    <x v="0"/>
    <x v="0"/>
    <x v="0"/>
    <x v="0"/>
    <x v="0"/>
    <x v="0"/>
    <x v="0"/>
    <x v="0"/>
    <x v="0"/>
    <x v="0"/>
    <x v="0"/>
    <m/>
    <m/>
    <n v="23333.343333333331"/>
    <x v="0"/>
    <x v="0"/>
    <n v="2300"/>
    <n v="23333.343333333331"/>
    <n v="2898"/>
    <m/>
    <s v="Federation handled funds ($70,000 total)"/>
    <x v="0"/>
    <x v="0"/>
  </r>
  <r>
    <m/>
    <n v="23"/>
    <s v="Madagascar Floods"/>
    <d v="2000-03-01T00:00:00"/>
    <x v="4"/>
    <n v="21"/>
    <x v="0"/>
    <x v="5"/>
    <n v="3"/>
    <x v="1"/>
    <x v="26"/>
    <x v="0"/>
    <x v="2"/>
    <x v="2"/>
    <x v="2"/>
    <m/>
    <x v="0"/>
    <x v="0"/>
    <m/>
    <m/>
    <m/>
    <m/>
    <x v="0"/>
    <m/>
    <m/>
    <x v="0"/>
    <x v="2"/>
    <n v="25000"/>
    <x v="0"/>
    <m/>
    <n v="25000"/>
    <x v="1"/>
    <x v="0"/>
    <x v="0"/>
    <m/>
    <x v="0"/>
    <x v="0"/>
    <x v="0"/>
    <x v="0"/>
    <x v="0"/>
    <x v="0"/>
    <x v="0"/>
    <x v="0"/>
    <x v="0"/>
    <x v="0"/>
    <x v="0"/>
    <x v="0"/>
    <x v="0"/>
    <x v="0"/>
    <m/>
    <m/>
    <n v="25000"/>
    <x v="0"/>
    <x v="0"/>
    <n v="2500"/>
    <n v="25000"/>
    <n v="2898"/>
    <m/>
    <s v="Federation handled funds"/>
    <x v="0"/>
    <x v="0"/>
  </r>
  <r>
    <m/>
    <n v="24"/>
    <s v="Ethiopia Drought"/>
    <d v="2000-04-01T00:00:00"/>
    <x v="4"/>
    <n v="22"/>
    <x v="0"/>
    <x v="5"/>
    <n v="4"/>
    <x v="1"/>
    <x v="1"/>
    <x v="0"/>
    <x v="1"/>
    <x v="1"/>
    <x v="1"/>
    <m/>
    <x v="0"/>
    <x v="0"/>
    <m/>
    <m/>
    <m/>
    <m/>
    <x v="0"/>
    <m/>
    <m/>
    <x v="0"/>
    <x v="1"/>
    <n v="100000"/>
    <x v="0"/>
    <m/>
    <n v="100000"/>
    <x v="1"/>
    <x v="0"/>
    <x v="0"/>
    <m/>
    <x v="0"/>
    <x v="0"/>
    <x v="0"/>
    <x v="0"/>
    <x v="0"/>
    <x v="0"/>
    <x v="0"/>
    <x v="0"/>
    <x v="0"/>
    <x v="0"/>
    <x v="0"/>
    <x v="0"/>
    <x v="0"/>
    <x v="0"/>
    <m/>
    <m/>
    <n v="100000"/>
    <x v="0"/>
    <x v="0"/>
    <n v="2376.7346201502733"/>
    <n v="100000"/>
    <n v="2898"/>
    <m/>
    <m/>
    <x v="0"/>
    <x v="0"/>
  </r>
  <r>
    <m/>
    <n v="25"/>
    <s v="Indonesia Earthquake"/>
    <d v="2000-06-01T00:00:00"/>
    <x v="4"/>
    <n v="23"/>
    <x v="0"/>
    <x v="5"/>
    <n v="5"/>
    <x v="3"/>
    <x v="27"/>
    <x v="0"/>
    <x v="3"/>
    <x v="3"/>
    <x v="3"/>
    <m/>
    <x v="0"/>
    <x v="0"/>
    <m/>
    <m/>
    <m/>
    <m/>
    <x v="0"/>
    <m/>
    <m/>
    <x v="0"/>
    <x v="1"/>
    <n v="50000"/>
    <x v="0"/>
    <m/>
    <n v="50000"/>
    <x v="4"/>
    <x v="0"/>
    <x v="0"/>
    <m/>
    <x v="0"/>
    <x v="0"/>
    <x v="0"/>
    <x v="0"/>
    <x v="0"/>
    <x v="0"/>
    <x v="0"/>
    <x v="0"/>
    <x v="0"/>
    <x v="0"/>
    <x v="0"/>
    <x v="0"/>
    <x v="0"/>
    <x v="0"/>
    <m/>
    <m/>
    <n v="50000"/>
    <x v="0"/>
    <x v="0"/>
    <n v="3300"/>
    <n v="50000"/>
    <n v="2898"/>
    <m/>
    <s v="625 family kits"/>
    <x v="0"/>
    <x v="0"/>
  </r>
  <r>
    <m/>
    <n v="26"/>
    <s v="India Floods"/>
    <d v="2000-08-01T00:00:00"/>
    <x v="5"/>
    <n v="1"/>
    <x v="0"/>
    <x v="5"/>
    <n v="6"/>
    <x v="3"/>
    <x v="15"/>
    <x v="0"/>
    <x v="2"/>
    <x v="2"/>
    <x v="2"/>
    <m/>
    <x v="0"/>
    <x v="0"/>
    <m/>
    <m/>
    <m/>
    <m/>
    <x v="0"/>
    <m/>
    <m/>
    <x v="0"/>
    <x v="0"/>
    <m/>
    <x v="0"/>
    <m/>
    <n v="0"/>
    <x v="9"/>
    <x v="0"/>
    <x v="0"/>
    <n v="5000"/>
    <x v="0"/>
    <x v="0"/>
    <x v="0"/>
    <x v="0"/>
    <x v="0"/>
    <x v="0"/>
    <x v="0"/>
    <x v="0"/>
    <x v="0"/>
    <x v="2"/>
    <x v="0"/>
    <x v="2"/>
    <x v="0"/>
    <x v="0"/>
    <n v="199200"/>
    <n v="190065"/>
    <n v="389265"/>
    <x v="0"/>
    <x v="0"/>
    <n v="25000"/>
    <n v="389265"/>
    <n v="4901"/>
    <m/>
    <s v="5,000 relief/food parcels and 5 trucks"/>
    <x v="0"/>
    <x v="0"/>
  </r>
  <r>
    <m/>
    <n v="27"/>
    <s v="Bangladesh Floods"/>
    <d v="2000-08-01T00:00:00"/>
    <x v="5"/>
    <n v="2"/>
    <x v="0"/>
    <x v="5"/>
    <n v="7"/>
    <x v="3"/>
    <x v="14"/>
    <x v="0"/>
    <x v="2"/>
    <x v="2"/>
    <x v="2"/>
    <m/>
    <x v="0"/>
    <x v="0"/>
    <m/>
    <m/>
    <m/>
    <m/>
    <x v="0"/>
    <m/>
    <m/>
    <x v="0"/>
    <x v="0"/>
    <m/>
    <x v="0"/>
    <n v="25000"/>
    <n v="25000"/>
    <x v="1"/>
    <x v="0"/>
    <x v="0"/>
    <m/>
    <x v="0"/>
    <x v="0"/>
    <x v="0"/>
    <x v="0"/>
    <x v="0"/>
    <x v="0"/>
    <x v="0"/>
    <x v="0"/>
    <x v="0"/>
    <x v="0"/>
    <x v="0"/>
    <x v="0"/>
    <x v="0"/>
    <x v="0"/>
    <m/>
    <m/>
    <n v="25000"/>
    <x v="0"/>
    <x v="0"/>
    <n v="2500"/>
    <n v="25000"/>
    <n v="2898"/>
    <m/>
    <s v="via Japanese Red Cross for relief supplies"/>
    <x v="0"/>
    <x v="0"/>
  </r>
  <r>
    <m/>
    <n v="28"/>
    <s v="Cambodia Floods"/>
    <d v="2000-09-01T00:00:00"/>
    <x v="5"/>
    <n v="3"/>
    <x v="0"/>
    <x v="5"/>
    <n v="8"/>
    <x v="3"/>
    <x v="7"/>
    <x v="0"/>
    <x v="2"/>
    <x v="8"/>
    <x v="9"/>
    <m/>
    <x v="0"/>
    <x v="0"/>
    <m/>
    <m/>
    <m/>
    <m/>
    <x v="0"/>
    <m/>
    <m/>
    <x v="0"/>
    <x v="0"/>
    <m/>
    <x v="0"/>
    <n v="352704"/>
    <n v="352704"/>
    <x v="1"/>
    <x v="0"/>
    <x v="0"/>
    <m/>
    <x v="0"/>
    <x v="0"/>
    <x v="0"/>
    <x v="0"/>
    <x v="0"/>
    <x v="0"/>
    <x v="0"/>
    <x v="0"/>
    <x v="0"/>
    <x v="0"/>
    <x v="0"/>
    <x v="0"/>
    <x v="0"/>
    <x v="0"/>
    <m/>
    <m/>
    <n v="352704"/>
    <x v="0"/>
    <x v="0"/>
    <n v="32645"/>
    <n v="352704"/>
    <s v="OFDA"/>
    <s v="TS Wukong"/>
    <s v="Three grants from OFDA (two @ $25,000 each and 1 @ $302,704) for emergency household kits"/>
    <x v="0"/>
    <x v="0"/>
  </r>
  <r>
    <m/>
    <n v="29"/>
    <s v="Vietnam Floods"/>
    <d v="2000-09-01T00:00:00"/>
    <x v="5"/>
    <n v="4"/>
    <x v="0"/>
    <x v="5"/>
    <n v="9"/>
    <x v="3"/>
    <x v="16"/>
    <x v="0"/>
    <x v="2"/>
    <x v="8"/>
    <x v="9"/>
    <m/>
    <x v="0"/>
    <x v="0"/>
    <m/>
    <m/>
    <m/>
    <m/>
    <x v="0"/>
    <m/>
    <m/>
    <x v="0"/>
    <x v="0"/>
    <m/>
    <x v="0"/>
    <m/>
    <n v="0"/>
    <x v="1"/>
    <x v="0"/>
    <x v="0"/>
    <n v="1000"/>
    <x v="0"/>
    <x v="0"/>
    <x v="0"/>
    <x v="0"/>
    <x v="0"/>
    <x v="0"/>
    <x v="0"/>
    <x v="0"/>
    <x v="0"/>
    <x v="0"/>
    <x v="0"/>
    <x v="0"/>
    <x v="0"/>
    <x v="0"/>
    <n v="20000"/>
    <m/>
    <n v="20000"/>
    <x v="0"/>
    <x v="0"/>
    <n v="3500"/>
    <n v="20000"/>
    <n v="2898"/>
    <s v="TS Wukong"/>
    <s v="1,000 Relief kits. (blankets, mosquito nets and cooking sets)"/>
    <x v="0"/>
    <x v="0"/>
  </r>
  <r>
    <m/>
    <n v="30"/>
    <s v="Belize Storm"/>
    <d v="2000-10-01T00:00:00"/>
    <x v="5"/>
    <n v="5"/>
    <x v="0"/>
    <x v="5"/>
    <n v="10"/>
    <x v="2"/>
    <x v="28"/>
    <x v="0"/>
    <x v="5"/>
    <x v="5"/>
    <x v="5"/>
    <m/>
    <x v="0"/>
    <x v="0"/>
    <m/>
    <m/>
    <m/>
    <m/>
    <x v="0"/>
    <m/>
    <m/>
    <x v="0"/>
    <x v="0"/>
    <m/>
    <x v="0"/>
    <n v="28500"/>
    <n v="28500"/>
    <x v="10"/>
    <x v="0"/>
    <x v="0"/>
    <m/>
    <x v="0"/>
    <x v="0"/>
    <x v="0"/>
    <x v="0"/>
    <x v="0"/>
    <x v="0"/>
    <x v="0"/>
    <x v="0"/>
    <x v="0"/>
    <x v="3"/>
    <x v="0"/>
    <x v="0"/>
    <x v="0"/>
    <x v="0"/>
    <n v="90000"/>
    <m/>
    <n v="118500"/>
    <x v="0"/>
    <x v="0"/>
    <n v="13000"/>
    <n v="118500"/>
    <n v="4903"/>
    <s v="Keith"/>
    <s v="2,600 LDS food parcels + $30,000 for local procurement"/>
    <x v="0"/>
    <x v="0"/>
  </r>
  <r>
    <m/>
    <n v="32"/>
    <s v="Israel Conflict"/>
    <d v="2000-10-01T00:00:00"/>
    <x v="5"/>
    <n v="6"/>
    <x v="0"/>
    <x v="5"/>
    <n v="11"/>
    <x v="3"/>
    <x v="29"/>
    <x v="0"/>
    <x v="8"/>
    <x v="7"/>
    <x v="7"/>
    <m/>
    <x v="0"/>
    <x v="0"/>
    <m/>
    <m/>
    <m/>
    <m/>
    <x v="0"/>
    <m/>
    <m/>
    <x v="0"/>
    <x v="0"/>
    <m/>
    <x v="0"/>
    <n v="40000"/>
    <n v="40000"/>
    <x v="0"/>
    <x v="0"/>
    <x v="0"/>
    <m/>
    <x v="0"/>
    <x v="0"/>
    <x v="0"/>
    <x v="0"/>
    <x v="0"/>
    <x v="0"/>
    <x v="0"/>
    <x v="0"/>
    <x v="0"/>
    <x v="0"/>
    <x v="0"/>
    <x v="0"/>
    <x v="0"/>
    <x v="0"/>
    <n v="0"/>
    <m/>
    <n v="40000"/>
    <x v="0"/>
    <x v="0"/>
    <m/>
    <n v="40000"/>
    <n v="2898"/>
    <m/>
    <s v="CASH"/>
    <x v="0"/>
    <x v="0"/>
  </r>
  <r>
    <m/>
    <n v="32"/>
    <s v="Jordan Conflict"/>
    <d v="2000-10-01T00:00:00"/>
    <x v="5"/>
    <n v="6"/>
    <x v="0"/>
    <x v="5"/>
    <n v="11"/>
    <x v="3"/>
    <x v="30"/>
    <x v="0"/>
    <x v="8"/>
    <x v="7"/>
    <x v="7"/>
    <m/>
    <x v="0"/>
    <x v="0"/>
    <m/>
    <m/>
    <m/>
    <m/>
    <x v="0"/>
    <m/>
    <m/>
    <x v="0"/>
    <x v="0"/>
    <m/>
    <x v="0"/>
    <m/>
    <n v="0"/>
    <x v="0"/>
    <x v="0"/>
    <x v="0"/>
    <m/>
    <x v="0"/>
    <x v="0"/>
    <x v="0"/>
    <x v="0"/>
    <x v="0"/>
    <x v="0"/>
    <x v="0"/>
    <x v="0"/>
    <x v="0"/>
    <x v="0"/>
    <x v="0"/>
    <x v="3"/>
    <x v="0"/>
    <x v="0"/>
    <n v="172000"/>
    <m/>
    <n v="172000"/>
    <x v="0"/>
    <x v="0"/>
    <m/>
    <n v="172000"/>
    <n v="2898"/>
    <m/>
    <s v="1 ambulance, 1 generator, various med supp/equip"/>
    <x v="0"/>
    <x v="0"/>
  </r>
  <r>
    <m/>
    <n v="32"/>
    <s v="Palestine Conflict"/>
    <d v="2000-10-01T00:00:00"/>
    <x v="5"/>
    <n v="6"/>
    <x v="0"/>
    <x v="5"/>
    <n v="11"/>
    <x v="3"/>
    <x v="31"/>
    <x v="0"/>
    <x v="8"/>
    <x v="7"/>
    <x v="7"/>
    <m/>
    <x v="0"/>
    <x v="0"/>
    <m/>
    <m/>
    <m/>
    <m/>
    <x v="0"/>
    <m/>
    <m/>
    <x v="0"/>
    <x v="0"/>
    <m/>
    <x v="0"/>
    <m/>
    <n v="0"/>
    <x v="1"/>
    <x v="0"/>
    <x v="0"/>
    <m/>
    <x v="0"/>
    <x v="0"/>
    <x v="0"/>
    <x v="0"/>
    <x v="0"/>
    <x v="0"/>
    <x v="0"/>
    <x v="0"/>
    <x v="0"/>
    <x v="0"/>
    <x v="0"/>
    <x v="4"/>
    <x v="0"/>
    <x v="0"/>
    <n v="90000"/>
    <m/>
    <n v="90000"/>
    <x v="0"/>
    <x v="0"/>
    <n v="10000"/>
    <n v="90000"/>
    <n v="2898"/>
    <m/>
    <s v="2 ambulances, 1 New Emergency Health Kit"/>
    <x v="0"/>
    <x v="0"/>
  </r>
  <r>
    <m/>
    <n v="33"/>
    <s v="Taiwan Transport"/>
    <d v="2000-11-01T00:00:00"/>
    <x v="5"/>
    <n v="7"/>
    <x v="0"/>
    <x v="5"/>
    <n v="12"/>
    <x v="3"/>
    <x v="10"/>
    <x v="0"/>
    <x v="9"/>
    <x v="9"/>
    <x v="10"/>
    <m/>
    <x v="0"/>
    <x v="0"/>
    <m/>
    <m/>
    <m/>
    <m/>
    <x v="0"/>
    <m/>
    <m/>
    <x v="0"/>
    <x v="0"/>
    <m/>
    <x v="0"/>
    <m/>
    <n v="0"/>
    <x v="2"/>
    <x v="0"/>
    <x v="0"/>
    <m/>
    <x v="0"/>
    <x v="0"/>
    <x v="0"/>
    <x v="0"/>
    <x v="0"/>
    <x v="0"/>
    <x v="0"/>
    <x v="0"/>
    <x v="0"/>
    <x v="0"/>
    <x v="0"/>
    <x v="0"/>
    <x v="0"/>
    <x v="0"/>
    <m/>
    <n v="7500"/>
    <n v="7500"/>
    <x v="0"/>
    <x v="0"/>
    <n v="300"/>
    <n v="7500"/>
    <n v="2898"/>
    <s v="Singapore Airlines 006"/>
    <s v="liaison on AIR Team"/>
    <x v="0"/>
    <x v="0"/>
  </r>
  <r>
    <m/>
    <n v="34"/>
    <s v="Austria Miscellaneous"/>
    <d v="2000-11-01T00:00:00"/>
    <x v="5"/>
    <n v="8"/>
    <x v="0"/>
    <x v="5"/>
    <n v="13"/>
    <x v="3"/>
    <x v="32"/>
    <x v="0"/>
    <x v="10"/>
    <x v="10"/>
    <x v="11"/>
    <m/>
    <x v="0"/>
    <x v="0"/>
    <m/>
    <m/>
    <m/>
    <m/>
    <x v="0"/>
    <m/>
    <m/>
    <x v="0"/>
    <x v="0"/>
    <m/>
    <x v="0"/>
    <m/>
    <n v="0"/>
    <x v="1"/>
    <x v="0"/>
    <x v="0"/>
    <m/>
    <x v="0"/>
    <x v="0"/>
    <x v="0"/>
    <x v="0"/>
    <x v="0"/>
    <x v="0"/>
    <x v="0"/>
    <x v="0"/>
    <x v="0"/>
    <x v="0"/>
    <x v="0"/>
    <x v="0"/>
    <x v="0"/>
    <x v="0"/>
    <m/>
    <n v="2577.8000000000002"/>
    <n v="2577.8000000000002"/>
    <x v="0"/>
    <x v="0"/>
    <n v="3"/>
    <n v="2577.8000000000002"/>
    <n v="2898"/>
    <s v="Cable Car Fire"/>
    <s v="plane tickets for family members via AFES"/>
    <x v="0"/>
    <x v="0"/>
  </r>
  <r>
    <m/>
    <n v="35"/>
    <s v="Azerbaijan Earthquake"/>
    <d v="2000-11-01T00:00:00"/>
    <x v="5"/>
    <n v="9"/>
    <x v="0"/>
    <x v="5"/>
    <n v="14"/>
    <x v="3"/>
    <x v="33"/>
    <x v="0"/>
    <x v="3"/>
    <x v="3"/>
    <x v="3"/>
    <m/>
    <x v="0"/>
    <x v="0"/>
    <m/>
    <m/>
    <m/>
    <m/>
    <x v="0"/>
    <m/>
    <m/>
    <x v="0"/>
    <x v="0"/>
    <m/>
    <x v="0"/>
    <m/>
    <n v="0"/>
    <x v="2"/>
    <x v="0"/>
    <x v="0"/>
    <m/>
    <x v="0"/>
    <x v="0"/>
    <x v="0"/>
    <x v="0"/>
    <x v="0"/>
    <x v="0"/>
    <x v="0"/>
    <x v="0"/>
    <x v="0"/>
    <x v="0"/>
    <x v="0"/>
    <x v="0"/>
    <x v="0"/>
    <x v="0"/>
    <n v="25000"/>
    <n v="5500"/>
    <n v="30500"/>
    <x v="0"/>
    <x v="0"/>
    <n v="3050"/>
    <n v="30500"/>
    <n v="2898"/>
    <m/>
    <s v="10 generators, tents &amp; cooking sets. Delegate from Armenia deployed"/>
    <x v="0"/>
    <x v="0"/>
  </r>
  <r>
    <m/>
    <n v="36"/>
    <s v="Sri Lanka Storm"/>
    <d v="2000-12-01T00:00:00"/>
    <x v="5"/>
    <n v="10"/>
    <x v="0"/>
    <x v="5"/>
    <n v="15"/>
    <x v="3"/>
    <x v="34"/>
    <x v="0"/>
    <x v="5"/>
    <x v="5"/>
    <x v="8"/>
    <m/>
    <x v="0"/>
    <x v="0"/>
    <m/>
    <m/>
    <m/>
    <m/>
    <x v="0"/>
    <m/>
    <m/>
    <x v="0"/>
    <x v="0"/>
    <m/>
    <x v="0"/>
    <m/>
    <n v="0"/>
    <x v="1"/>
    <x v="0"/>
    <x v="0"/>
    <m/>
    <x v="0"/>
    <x v="0"/>
    <x v="0"/>
    <x v="0"/>
    <x v="0"/>
    <x v="0"/>
    <x v="0"/>
    <x v="0"/>
    <x v="0"/>
    <x v="0"/>
    <x v="0"/>
    <x v="0"/>
    <x v="0"/>
    <x v="0"/>
    <n v="20000"/>
    <m/>
    <n v="20000"/>
    <x v="0"/>
    <x v="0"/>
    <n v="3000"/>
    <n v="20000"/>
    <n v="2898"/>
    <s v="Cyclone 04B"/>
    <s v="Bedsheets and kitchen sets"/>
    <x v="0"/>
    <x v="0"/>
  </r>
  <r>
    <m/>
    <n v="37"/>
    <s v="South Africa Epidemic"/>
    <d v="2001-01-01T00:00:00"/>
    <x v="5"/>
    <n v="11"/>
    <x v="0"/>
    <x v="6"/>
    <n v="1"/>
    <x v="1"/>
    <x v="23"/>
    <x v="0"/>
    <x v="11"/>
    <x v="11"/>
    <x v="12"/>
    <m/>
    <x v="0"/>
    <x v="0"/>
    <m/>
    <m/>
    <m/>
    <m/>
    <x v="0"/>
    <m/>
    <m/>
    <x v="0"/>
    <x v="2"/>
    <n v="25000"/>
    <x v="0"/>
    <m/>
    <n v="25000"/>
    <x v="1"/>
    <x v="0"/>
    <x v="0"/>
    <m/>
    <x v="0"/>
    <x v="0"/>
    <x v="0"/>
    <x v="0"/>
    <x v="0"/>
    <x v="0"/>
    <x v="0"/>
    <x v="0"/>
    <x v="0"/>
    <x v="0"/>
    <x v="0"/>
    <x v="0"/>
    <x v="0"/>
    <x v="0"/>
    <m/>
    <m/>
    <n v="25000"/>
    <x v="0"/>
    <x v="0"/>
    <n v="5000"/>
    <n v="25000"/>
    <n v="2898"/>
    <s v="Cholera Outbreak"/>
    <s v="Federation Appeal 32/00"/>
    <x v="0"/>
    <x v="0"/>
  </r>
  <r>
    <m/>
    <n v="38"/>
    <s v="El Salvador Earthquake"/>
    <d v="2001-01-01T00:00:00"/>
    <x v="5"/>
    <n v="12"/>
    <x v="0"/>
    <x v="6"/>
    <n v="2"/>
    <x v="2"/>
    <x v="35"/>
    <x v="0"/>
    <x v="3"/>
    <x v="3"/>
    <x v="3"/>
    <m/>
    <x v="0"/>
    <x v="0"/>
    <m/>
    <m/>
    <m/>
    <m/>
    <x v="0"/>
    <m/>
    <m/>
    <x v="0"/>
    <x v="0"/>
    <m/>
    <x v="0"/>
    <n v="77500"/>
    <n v="77500"/>
    <x v="11"/>
    <x v="0"/>
    <x v="0"/>
    <m/>
    <x v="0"/>
    <x v="0"/>
    <x v="0"/>
    <x v="0"/>
    <x v="0"/>
    <x v="0"/>
    <x v="0"/>
    <x v="0"/>
    <x v="0"/>
    <x v="0"/>
    <x v="0"/>
    <x v="0"/>
    <x v="0"/>
    <x v="0"/>
    <n v="150000"/>
    <m/>
    <n v="227500"/>
    <x v="0"/>
    <x v="0"/>
    <m/>
    <n v="227500"/>
    <n v="2953"/>
    <m/>
    <s v="Cash sent to ARC Delegation in region. Supplies from Regional Warehouses.   Total expenditures as of February 2001, post 2.01 expenditures were rolled into the second El Salvador earthquake."/>
    <x v="0"/>
    <x v="0"/>
  </r>
  <r>
    <m/>
    <n v="39"/>
    <s v="China Storm"/>
    <d v="2001-01-01T00:00:00"/>
    <x v="5"/>
    <n v="13"/>
    <x v="0"/>
    <x v="6"/>
    <n v="3"/>
    <x v="3"/>
    <x v="4"/>
    <x v="0"/>
    <x v="5"/>
    <x v="12"/>
    <x v="13"/>
    <m/>
    <x v="0"/>
    <x v="0"/>
    <m/>
    <m/>
    <m/>
    <m/>
    <x v="0"/>
    <m/>
    <m/>
    <x v="0"/>
    <x v="0"/>
    <m/>
    <x v="0"/>
    <n v="50000"/>
    <n v="50000"/>
    <x v="1"/>
    <x v="0"/>
    <x v="0"/>
    <m/>
    <x v="0"/>
    <x v="0"/>
    <x v="0"/>
    <x v="0"/>
    <x v="0"/>
    <x v="0"/>
    <x v="0"/>
    <x v="0"/>
    <x v="0"/>
    <x v="0"/>
    <x v="0"/>
    <x v="0"/>
    <x v="0"/>
    <x v="0"/>
    <m/>
    <m/>
    <n v="50000"/>
    <x v="0"/>
    <x v="0"/>
    <n v="5000"/>
    <n v="50000"/>
    <n v="2060"/>
    <s v="Inner Mongolia"/>
    <s v="fund to purchase food (wheat), winter clothes and cotton quilts"/>
    <x v="0"/>
    <x v="0"/>
  </r>
  <r>
    <m/>
    <n v="40"/>
    <s v="India Earthquake"/>
    <d v="2001-01-01T00:00:00"/>
    <x v="5"/>
    <n v="14"/>
    <x v="0"/>
    <x v="6"/>
    <n v="4"/>
    <x v="3"/>
    <x v="15"/>
    <x v="0"/>
    <x v="3"/>
    <x v="3"/>
    <x v="3"/>
    <n v="15850000"/>
    <x v="0"/>
    <x v="0"/>
    <m/>
    <m/>
    <m/>
    <m/>
    <x v="0"/>
    <m/>
    <m/>
    <x v="0"/>
    <x v="1"/>
    <n v="100000"/>
    <x v="0"/>
    <n v="25000"/>
    <n v="125000"/>
    <x v="12"/>
    <x v="0"/>
    <x v="0"/>
    <m/>
    <x v="0"/>
    <x v="0"/>
    <x v="0"/>
    <x v="0"/>
    <x v="0"/>
    <x v="0"/>
    <x v="0"/>
    <x v="0"/>
    <x v="0"/>
    <x v="0"/>
    <x v="0"/>
    <x v="0"/>
    <x v="0"/>
    <x v="0"/>
    <n v="1371479"/>
    <n v="366481.13"/>
    <n v="1862960.13"/>
    <x v="0"/>
    <x v="0"/>
    <n v="324495"/>
    <n v="14000000"/>
    <n v="2954"/>
    <m/>
    <s v="ARC also served an additional 190,185 beneficiaries by  distributing inputs from other NS.  Total expenditures as of May 2001."/>
    <x v="0"/>
    <x v="0"/>
  </r>
  <r>
    <m/>
    <n v="41"/>
    <s v="El Salvador Earthquake"/>
    <d v="2001-02-01T00:00:00"/>
    <x v="5"/>
    <n v="15"/>
    <x v="0"/>
    <x v="6"/>
    <n v="5"/>
    <x v="2"/>
    <x v="35"/>
    <x v="0"/>
    <x v="3"/>
    <x v="3"/>
    <x v="3"/>
    <m/>
    <x v="0"/>
    <x v="0"/>
    <m/>
    <m/>
    <m/>
    <m/>
    <x v="0"/>
    <m/>
    <m/>
    <x v="0"/>
    <x v="0"/>
    <m/>
    <x v="0"/>
    <n v="70000"/>
    <n v="70000"/>
    <x v="13"/>
    <x v="0"/>
    <x v="0"/>
    <m/>
    <x v="0"/>
    <x v="0"/>
    <x v="0"/>
    <x v="0"/>
    <x v="0"/>
    <x v="0"/>
    <x v="0"/>
    <x v="0"/>
    <x v="0"/>
    <x v="0"/>
    <x v="0"/>
    <x v="0"/>
    <x v="0"/>
    <x v="0"/>
    <n v="620000"/>
    <m/>
    <n v="690000"/>
    <x v="0"/>
    <x v="0"/>
    <n v="41628.709446663277"/>
    <n v="690000"/>
    <n v="2953"/>
    <m/>
    <s v="To Purchase Warm cloths, footwear, blankets sheets and left over for food. Total expenditures for both earthquakes in El Salvador through May 2001."/>
    <x v="0"/>
    <x v="0"/>
  </r>
  <r>
    <m/>
    <n v="42"/>
    <s v="Mozambique Floods"/>
    <d v="2001-02-01T00:00:00"/>
    <x v="5"/>
    <n v="16"/>
    <x v="0"/>
    <x v="6"/>
    <n v="6"/>
    <x v="1"/>
    <x v="36"/>
    <x v="0"/>
    <x v="2"/>
    <x v="2"/>
    <x v="2"/>
    <m/>
    <x v="0"/>
    <x v="0"/>
    <m/>
    <m/>
    <m/>
    <m/>
    <x v="0"/>
    <m/>
    <m/>
    <x v="0"/>
    <x v="0"/>
    <m/>
    <x v="0"/>
    <m/>
    <n v="0"/>
    <x v="2"/>
    <x v="0"/>
    <x v="0"/>
    <m/>
    <x v="0"/>
    <x v="0"/>
    <x v="0"/>
    <x v="0"/>
    <x v="0"/>
    <x v="0"/>
    <x v="0"/>
    <x v="0"/>
    <x v="0"/>
    <x v="0"/>
    <x v="0"/>
    <x v="0"/>
    <x v="0"/>
    <x v="0"/>
    <m/>
    <n v="250000"/>
    <n v="250000"/>
    <x v="0"/>
    <x v="0"/>
    <n v="75000"/>
    <n v="250000"/>
    <n v="2675"/>
    <m/>
    <s v="Fed Appeal 10/2001;  Includes regional supply purchase; one delegate.  Total expenditure also includes Malawi expense."/>
    <x v="0"/>
    <x v="0"/>
  </r>
  <r>
    <m/>
    <n v="43"/>
    <s v="Malawi Floods"/>
    <d v="2001-02-01T00:00:00"/>
    <x v="5"/>
    <n v="17"/>
    <x v="0"/>
    <x v="6"/>
    <n v="7"/>
    <x v="1"/>
    <x v="37"/>
    <x v="0"/>
    <x v="2"/>
    <x v="2"/>
    <x v="2"/>
    <m/>
    <x v="0"/>
    <x v="0"/>
    <m/>
    <m/>
    <m/>
    <m/>
    <x v="0"/>
    <m/>
    <m/>
    <x v="0"/>
    <x v="0"/>
    <m/>
    <x v="0"/>
    <n v="25000"/>
    <n v="25000"/>
    <x v="4"/>
    <x v="0"/>
    <x v="0"/>
    <m/>
    <x v="0"/>
    <x v="0"/>
    <x v="0"/>
    <x v="0"/>
    <x v="0"/>
    <x v="0"/>
    <x v="0"/>
    <x v="0"/>
    <x v="0"/>
    <x v="0"/>
    <x v="0"/>
    <x v="0"/>
    <x v="0"/>
    <x v="0"/>
    <n v="149000"/>
    <m/>
    <n v="174000"/>
    <x v="0"/>
    <x v="0"/>
    <n v="22452"/>
    <n v="174000"/>
    <n v="2675"/>
    <m/>
    <s v="Fed Appeal 9/2001;  49,000 from CCC seeds, tools and water supply.  See Mozambique Total Expenditure (they are combined.)"/>
    <x v="0"/>
    <x v="0"/>
  </r>
  <r>
    <m/>
    <n v="44"/>
    <s v="Bolivia Floods"/>
    <d v="2001-03-01T00:00:00"/>
    <x v="5"/>
    <n v="18"/>
    <x v="0"/>
    <x v="6"/>
    <n v="8"/>
    <x v="2"/>
    <x v="38"/>
    <x v="0"/>
    <x v="2"/>
    <x v="2"/>
    <x v="2"/>
    <m/>
    <x v="0"/>
    <x v="0"/>
    <m/>
    <m/>
    <m/>
    <m/>
    <x v="0"/>
    <m/>
    <m/>
    <x v="0"/>
    <x v="0"/>
    <m/>
    <x v="0"/>
    <n v="15000"/>
    <n v="15000"/>
    <x v="1"/>
    <x v="0"/>
    <x v="0"/>
    <m/>
    <x v="0"/>
    <x v="0"/>
    <x v="0"/>
    <x v="0"/>
    <x v="0"/>
    <x v="0"/>
    <x v="0"/>
    <x v="0"/>
    <x v="0"/>
    <x v="0"/>
    <x v="0"/>
    <x v="0"/>
    <x v="0"/>
    <x v="0"/>
    <m/>
    <m/>
    <n v="15000"/>
    <x v="0"/>
    <x v="0"/>
    <n v="1500"/>
    <n v="15000"/>
    <n v="2898"/>
    <m/>
    <s v="Fed Appeal 5/2001"/>
    <x v="0"/>
    <x v="0"/>
  </r>
  <r>
    <m/>
    <n v="45"/>
    <s v="Peru Floods"/>
    <d v="2001-03-01T00:00:00"/>
    <x v="5"/>
    <n v="19"/>
    <x v="0"/>
    <x v="6"/>
    <n v="9"/>
    <x v="2"/>
    <x v="39"/>
    <x v="0"/>
    <x v="2"/>
    <x v="2"/>
    <x v="2"/>
    <m/>
    <x v="0"/>
    <x v="0"/>
    <m/>
    <m/>
    <m/>
    <m/>
    <x v="0"/>
    <m/>
    <m/>
    <x v="0"/>
    <x v="0"/>
    <m/>
    <x v="0"/>
    <n v="15000"/>
    <n v="15000"/>
    <x v="1"/>
    <x v="0"/>
    <x v="0"/>
    <n v="6111"/>
    <x v="0"/>
    <x v="0"/>
    <x v="3"/>
    <x v="0"/>
    <x v="0"/>
    <x v="2"/>
    <x v="0"/>
    <x v="0"/>
    <x v="0"/>
    <x v="0"/>
    <x v="1"/>
    <x v="0"/>
    <x v="0"/>
    <x v="0"/>
    <n v="0"/>
    <n v="0"/>
    <n v="15000"/>
    <x v="0"/>
    <x v="0"/>
    <n v="24805"/>
    <n v="15000"/>
    <n v="2898"/>
    <m/>
    <m/>
    <x v="0"/>
    <x v="0"/>
  </r>
  <r>
    <m/>
    <n v="46"/>
    <s v="Canada Transport"/>
    <d v="2001-04-01T00:00:00"/>
    <x v="5"/>
    <n v="20"/>
    <x v="0"/>
    <x v="6"/>
    <n v="10"/>
    <x v="4"/>
    <x v="40"/>
    <x v="0"/>
    <x v="9"/>
    <x v="13"/>
    <x v="14"/>
    <m/>
    <x v="0"/>
    <x v="0"/>
    <m/>
    <m/>
    <m/>
    <m/>
    <x v="0"/>
    <m/>
    <m/>
    <x v="0"/>
    <x v="0"/>
    <m/>
    <x v="0"/>
    <m/>
    <n v="0"/>
    <x v="4"/>
    <x v="0"/>
    <x v="0"/>
    <m/>
    <x v="0"/>
    <x v="0"/>
    <x v="0"/>
    <x v="0"/>
    <x v="0"/>
    <x v="0"/>
    <x v="0"/>
    <x v="0"/>
    <x v="0"/>
    <x v="0"/>
    <x v="0"/>
    <x v="0"/>
    <x v="0"/>
    <x v="0"/>
    <m/>
    <n v="1000"/>
    <n v="1000"/>
    <x v="0"/>
    <x v="0"/>
    <m/>
    <n v="1000"/>
    <n v="2898"/>
    <s v="Bus Crash"/>
    <s v="American children survivors"/>
    <x v="0"/>
    <x v="0"/>
  </r>
  <r>
    <m/>
    <n v="47"/>
    <s v="Russian Fed. Floods"/>
    <d v="2001-05-01T00:00:00"/>
    <x v="5"/>
    <n v="21"/>
    <x v="0"/>
    <x v="6"/>
    <n v="11"/>
    <x v="3"/>
    <x v="12"/>
    <x v="0"/>
    <x v="2"/>
    <x v="2"/>
    <x v="2"/>
    <m/>
    <x v="0"/>
    <x v="0"/>
    <m/>
    <m/>
    <m/>
    <m/>
    <x v="0"/>
    <m/>
    <m/>
    <x v="0"/>
    <x v="0"/>
    <m/>
    <x v="0"/>
    <n v="25000"/>
    <n v="25000"/>
    <x v="1"/>
    <x v="0"/>
    <x v="0"/>
    <m/>
    <x v="0"/>
    <x v="0"/>
    <x v="0"/>
    <x v="0"/>
    <x v="0"/>
    <x v="0"/>
    <x v="0"/>
    <x v="0"/>
    <x v="0"/>
    <x v="0"/>
    <x v="0"/>
    <x v="0"/>
    <x v="0"/>
    <x v="0"/>
    <m/>
    <m/>
    <n v="25000"/>
    <x v="0"/>
    <x v="0"/>
    <n v="3000"/>
    <n v="25000"/>
    <n v="2898"/>
    <m/>
    <s v="Siberia: Procurement of warm cloths, footwear, blankets sheets &amp; food. "/>
    <x v="0"/>
    <x v="0"/>
  </r>
  <r>
    <m/>
    <n v="48"/>
    <s v="Macedonia Conflict"/>
    <d v="2001-06-01T00:00:00"/>
    <x v="5"/>
    <n v="22"/>
    <x v="0"/>
    <x v="6"/>
    <n v="12"/>
    <x v="3"/>
    <x v="41"/>
    <x v="0"/>
    <x v="8"/>
    <x v="7"/>
    <x v="7"/>
    <m/>
    <x v="0"/>
    <x v="0"/>
    <m/>
    <m/>
    <m/>
    <m/>
    <x v="0"/>
    <m/>
    <m/>
    <x v="0"/>
    <x v="0"/>
    <m/>
    <x v="0"/>
    <m/>
    <n v="0"/>
    <x v="1"/>
    <x v="0"/>
    <x v="0"/>
    <n v="10000"/>
    <x v="0"/>
    <x v="0"/>
    <x v="0"/>
    <x v="0"/>
    <x v="0"/>
    <x v="0"/>
    <x v="0"/>
    <x v="0"/>
    <x v="0"/>
    <x v="0"/>
    <x v="0"/>
    <x v="0"/>
    <x v="0"/>
    <x v="0"/>
    <n v="20700"/>
    <m/>
    <n v="20700"/>
    <x v="0"/>
    <x v="0"/>
    <n v="40000"/>
    <n v="20700"/>
    <n v="2898"/>
    <m/>
    <s v="10,000 family  packets (Currently only 2,300) a family is 4 persons"/>
    <x v="0"/>
    <x v="0"/>
  </r>
  <r>
    <m/>
    <n v="49"/>
    <s v="Bosnia Floods"/>
    <d v="2001-06-01T00:00:00"/>
    <x v="5"/>
    <n v="23"/>
    <x v="0"/>
    <x v="6"/>
    <n v="13"/>
    <x v="3"/>
    <x v="42"/>
    <x v="0"/>
    <x v="2"/>
    <x v="2"/>
    <x v="2"/>
    <m/>
    <x v="0"/>
    <x v="0"/>
    <m/>
    <m/>
    <m/>
    <m/>
    <x v="0"/>
    <m/>
    <m/>
    <x v="0"/>
    <x v="0"/>
    <m/>
    <x v="0"/>
    <m/>
    <n v="0"/>
    <x v="1"/>
    <x v="0"/>
    <x v="0"/>
    <n v="6000"/>
    <x v="0"/>
    <x v="0"/>
    <x v="4"/>
    <x v="0"/>
    <x v="0"/>
    <x v="0"/>
    <x v="0"/>
    <x v="0"/>
    <x v="0"/>
    <x v="0"/>
    <x v="0"/>
    <x v="0"/>
    <x v="0"/>
    <x v="0"/>
    <n v="18000"/>
    <m/>
    <n v="18000"/>
    <x v="0"/>
    <x v="0"/>
    <n v="6000"/>
    <n v="18000"/>
    <n v="2898"/>
    <m/>
    <s v="Bulgaria stocks"/>
    <x v="0"/>
    <x v="0"/>
  </r>
  <r>
    <m/>
    <n v="50"/>
    <s v="Peru Earthquake"/>
    <d v="2001-06-01T00:00:00"/>
    <x v="5"/>
    <n v="24"/>
    <x v="0"/>
    <x v="6"/>
    <n v="14"/>
    <x v="2"/>
    <x v="39"/>
    <x v="0"/>
    <x v="3"/>
    <x v="3"/>
    <x v="3"/>
    <m/>
    <x v="0"/>
    <x v="0"/>
    <m/>
    <m/>
    <m/>
    <m/>
    <x v="0"/>
    <m/>
    <m/>
    <x v="0"/>
    <x v="0"/>
    <m/>
    <x v="0"/>
    <n v="24420"/>
    <n v="24420"/>
    <x v="5"/>
    <x v="0"/>
    <x v="0"/>
    <n v="6107"/>
    <x v="0"/>
    <x v="0"/>
    <x v="3"/>
    <x v="0"/>
    <x v="0"/>
    <x v="3"/>
    <x v="0"/>
    <x v="0"/>
    <x v="0"/>
    <x v="0"/>
    <x v="1"/>
    <x v="0"/>
    <x v="0"/>
    <x v="0"/>
    <n v="361260"/>
    <n v="313450"/>
    <n v="699130"/>
    <x v="0"/>
    <x v="0"/>
    <n v="15000"/>
    <n v="699130"/>
    <n v="2676"/>
    <m/>
    <s v="plastic sheeting ($81,250), blankets ($12,240), tents ($78,637). Total $271,627 (incl. transport).    tents ($147,706): Total $150,706 (incl. transport).  Replenishment of supplies $50,000"/>
    <x v="0"/>
    <x v="0"/>
  </r>
  <r>
    <m/>
    <n v="51"/>
    <s v="India Floods"/>
    <d v="2001-07-01T00:00:00"/>
    <x v="6"/>
    <n v="1"/>
    <x v="0"/>
    <x v="6"/>
    <n v="15"/>
    <x v="3"/>
    <x v="15"/>
    <x v="0"/>
    <x v="2"/>
    <x v="2"/>
    <x v="2"/>
    <n v="6000000"/>
    <x v="0"/>
    <x v="0"/>
    <m/>
    <m/>
    <m/>
    <m/>
    <x v="0"/>
    <m/>
    <m/>
    <x v="0"/>
    <x v="0"/>
    <m/>
    <x v="0"/>
    <m/>
    <n v="0"/>
    <x v="1"/>
    <x v="0"/>
    <x v="0"/>
    <m/>
    <x v="0"/>
    <x v="0"/>
    <x v="0"/>
    <x v="0"/>
    <x v="0"/>
    <x v="0"/>
    <x v="0"/>
    <x v="0"/>
    <x v="0"/>
    <x v="0"/>
    <x v="0"/>
    <x v="0"/>
    <x v="0"/>
    <x v="0"/>
    <n v="100000"/>
    <m/>
    <n v="100000"/>
    <x v="0"/>
    <x v="0"/>
    <n v="10000"/>
    <n v="100000"/>
    <n v="2954"/>
    <m/>
    <m/>
    <x v="0"/>
    <x v="0"/>
  </r>
  <r>
    <m/>
    <n v="52"/>
    <s v="El Salvador Drought"/>
    <d v="2001-08-01T00:00:00"/>
    <x v="6"/>
    <n v="2"/>
    <x v="0"/>
    <x v="6"/>
    <n v="16"/>
    <x v="2"/>
    <x v="35"/>
    <x v="0"/>
    <x v="1"/>
    <x v="1"/>
    <x v="1"/>
    <m/>
    <x v="0"/>
    <x v="0"/>
    <m/>
    <m/>
    <m/>
    <m/>
    <x v="0"/>
    <m/>
    <m/>
    <x v="0"/>
    <x v="0"/>
    <m/>
    <x v="0"/>
    <n v="25000"/>
    <n v="25000"/>
    <x v="10"/>
    <x v="0"/>
    <x v="0"/>
    <m/>
    <x v="0"/>
    <x v="0"/>
    <x v="0"/>
    <x v="0"/>
    <x v="0"/>
    <x v="0"/>
    <x v="0"/>
    <x v="0"/>
    <x v="0"/>
    <x v="0"/>
    <x v="0"/>
    <x v="0"/>
    <x v="0"/>
    <x v="0"/>
    <m/>
    <m/>
    <n v="25000"/>
    <x v="0"/>
    <x v="0"/>
    <n v="5000"/>
    <n v="25000"/>
    <n v="2837"/>
    <m/>
    <s v="$25,000 allocated to each national society to be implemented thr ARC delegations through $12,500 donation to the field delegation and $12,500 matched by the field.  Total expenditures through December 2001."/>
    <x v="0"/>
    <x v="0"/>
  </r>
  <r>
    <m/>
    <n v="52"/>
    <s v="Honduras Drought"/>
    <d v="2001-08-01T00:00:00"/>
    <x v="6"/>
    <n v="2"/>
    <x v="0"/>
    <x v="6"/>
    <n v="16"/>
    <x v="2"/>
    <x v="43"/>
    <x v="0"/>
    <x v="1"/>
    <x v="1"/>
    <x v="1"/>
    <m/>
    <x v="0"/>
    <x v="0"/>
    <m/>
    <m/>
    <m/>
    <m/>
    <x v="0"/>
    <m/>
    <m/>
    <x v="0"/>
    <x v="0"/>
    <m/>
    <x v="0"/>
    <m/>
    <n v="0"/>
    <x v="0"/>
    <x v="0"/>
    <x v="0"/>
    <m/>
    <x v="0"/>
    <x v="0"/>
    <x v="0"/>
    <x v="0"/>
    <x v="0"/>
    <x v="0"/>
    <x v="0"/>
    <x v="0"/>
    <x v="0"/>
    <x v="0"/>
    <x v="0"/>
    <x v="0"/>
    <x v="0"/>
    <x v="0"/>
    <m/>
    <m/>
    <n v="0"/>
    <x v="0"/>
    <x v="0"/>
    <m/>
    <n v="0"/>
    <n v="2837"/>
    <m/>
    <m/>
    <x v="0"/>
    <x v="0"/>
  </r>
  <r>
    <m/>
    <n v="52"/>
    <s v="Nicaragua Drought"/>
    <d v="2001-08-01T00:00:00"/>
    <x v="6"/>
    <n v="2"/>
    <x v="0"/>
    <x v="6"/>
    <n v="16"/>
    <x v="2"/>
    <x v="6"/>
    <x v="0"/>
    <x v="1"/>
    <x v="1"/>
    <x v="1"/>
    <m/>
    <x v="0"/>
    <x v="0"/>
    <m/>
    <m/>
    <m/>
    <m/>
    <x v="0"/>
    <m/>
    <m/>
    <x v="0"/>
    <x v="0"/>
    <m/>
    <x v="0"/>
    <m/>
    <n v="0"/>
    <x v="0"/>
    <x v="0"/>
    <x v="0"/>
    <m/>
    <x v="0"/>
    <x v="0"/>
    <x v="0"/>
    <x v="0"/>
    <x v="0"/>
    <x v="0"/>
    <x v="0"/>
    <x v="0"/>
    <x v="0"/>
    <x v="0"/>
    <x v="0"/>
    <x v="0"/>
    <x v="0"/>
    <x v="0"/>
    <m/>
    <m/>
    <n v="0"/>
    <x v="0"/>
    <x v="0"/>
    <m/>
    <n v="0"/>
    <n v="2837"/>
    <m/>
    <m/>
    <x v="0"/>
    <x v="0"/>
  </r>
  <r>
    <m/>
    <n v="52"/>
    <s v="Guatemala Drought"/>
    <d v="2001-08-01T00:00:00"/>
    <x v="6"/>
    <n v="2"/>
    <x v="0"/>
    <x v="6"/>
    <n v="16"/>
    <x v="2"/>
    <x v="44"/>
    <x v="0"/>
    <x v="1"/>
    <x v="1"/>
    <x v="1"/>
    <m/>
    <x v="0"/>
    <x v="0"/>
    <m/>
    <m/>
    <m/>
    <m/>
    <x v="0"/>
    <m/>
    <m/>
    <x v="0"/>
    <x v="0"/>
    <m/>
    <x v="0"/>
    <m/>
    <n v="0"/>
    <x v="0"/>
    <x v="0"/>
    <x v="0"/>
    <m/>
    <x v="0"/>
    <x v="0"/>
    <x v="0"/>
    <x v="0"/>
    <x v="0"/>
    <x v="0"/>
    <x v="0"/>
    <x v="0"/>
    <x v="0"/>
    <x v="0"/>
    <x v="0"/>
    <x v="0"/>
    <x v="0"/>
    <x v="0"/>
    <m/>
    <m/>
    <n v="0"/>
    <x v="0"/>
    <x v="0"/>
    <m/>
    <n v="0"/>
    <n v="2837"/>
    <m/>
    <m/>
    <x v="0"/>
    <x v="0"/>
  </r>
  <r>
    <m/>
    <n v="53"/>
    <s v="Ecuador Volcano"/>
    <d v="2001-09-01T00:00:00"/>
    <x v="6"/>
    <n v="3"/>
    <x v="0"/>
    <x v="6"/>
    <n v="17"/>
    <x v="2"/>
    <x v="45"/>
    <x v="0"/>
    <x v="4"/>
    <x v="4"/>
    <x v="4"/>
    <m/>
    <x v="0"/>
    <x v="0"/>
    <m/>
    <m/>
    <m/>
    <m/>
    <x v="0"/>
    <m/>
    <m/>
    <x v="0"/>
    <x v="0"/>
    <m/>
    <x v="0"/>
    <n v="10000"/>
    <n v="10000"/>
    <x v="0"/>
    <x v="0"/>
    <x v="0"/>
    <m/>
    <x v="0"/>
    <x v="0"/>
    <x v="0"/>
    <x v="0"/>
    <x v="0"/>
    <x v="0"/>
    <x v="0"/>
    <x v="0"/>
    <x v="0"/>
    <x v="0"/>
    <x v="0"/>
    <x v="0"/>
    <x v="0"/>
    <x v="0"/>
    <m/>
    <m/>
    <n v="10000"/>
    <x v="0"/>
    <x v="0"/>
    <n v="1000"/>
    <n v="10000"/>
    <n v="2898"/>
    <m/>
    <s v="$10,000 from IDRU in addition to $10,000 from the Americas Region to the Ecuador Red Cross for the Tungurahua Volcano Ash Fall "/>
    <x v="0"/>
    <x v="0"/>
  </r>
  <r>
    <m/>
    <n v="54"/>
    <s v="Afghanistan Conflict"/>
    <d v="2001-09-01T00:00:00"/>
    <x v="6"/>
    <n v="4"/>
    <x v="0"/>
    <x v="6"/>
    <n v="18"/>
    <x v="3"/>
    <x v="46"/>
    <x v="0"/>
    <x v="8"/>
    <x v="7"/>
    <x v="7"/>
    <m/>
    <x v="0"/>
    <x v="0"/>
    <m/>
    <m/>
    <m/>
    <m/>
    <x v="0"/>
    <m/>
    <m/>
    <x v="0"/>
    <x v="0"/>
    <m/>
    <x v="0"/>
    <m/>
    <n v="0"/>
    <x v="11"/>
    <x v="0"/>
    <x v="0"/>
    <m/>
    <x v="0"/>
    <x v="0"/>
    <x v="0"/>
    <x v="0"/>
    <x v="0"/>
    <x v="0"/>
    <x v="0"/>
    <x v="0"/>
    <x v="0"/>
    <x v="0"/>
    <x v="0"/>
    <x v="0"/>
    <x v="0"/>
    <x v="0"/>
    <n v="2032231"/>
    <n v="200000"/>
    <n v="2232231"/>
    <x v="1"/>
    <x v="0"/>
    <n v="380000"/>
    <n v="12000000"/>
    <n v="2677"/>
    <m/>
    <s v="AFAC is a partnership with the White House.  Final report issued in August 2006."/>
    <x v="0"/>
    <x v="0"/>
  </r>
  <r>
    <m/>
    <n v="54"/>
    <s v="Pakistan Conflict"/>
    <d v="2001-09-01T00:00:00"/>
    <x v="6"/>
    <n v="4"/>
    <x v="0"/>
    <x v="6"/>
    <n v="18"/>
    <x v="3"/>
    <x v="47"/>
    <x v="0"/>
    <x v="8"/>
    <x v="7"/>
    <x v="7"/>
    <m/>
    <x v="0"/>
    <x v="0"/>
    <m/>
    <m/>
    <m/>
    <m/>
    <x v="0"/>
    <m/>
    <m/>
    <x v="0"/>
    <x v="0"/>
    <m/>
    <x v="0"/>
    <m/>
    <n v="0"/>
    <x v="0"/>
    <x v="0"/>
    <x v="0"/>
    <m/>
    <x v="0"/>
    <x v="0"/>
    <x v="0"/>
    <x v="0"/>
    <x v="0"/>
    <x v="0"/>
    <x v="0"/>
    <x v="0"/>
    <x v="0"/>
    <x v="0"/>
    <x v="0"/>
    <x v="0"/>
    <x v="0"/>
    <x v="0"/>
    <m/>
    <m/>
    <n v="0"/>
    <x v="0"/>
    <x v="0"/>
    <m/>
    <n v="0"/>
    <n v="2677"/>
    <m/>
    <m/>
    <x v="0"/>
    <x v="0"/>
  </r>
  <r>
    <m/>
    <n v="54"/>
    <s v="Uzbekistan Conflict"/>
    <d v="2001-09-01T00:00:00"/>
    <x v="6"/>
    <n v="4"/>
    <x v="0"/>
    <x v="6"/>
    <n v="18"/>
    <x v="3"/>
    <x v="48"/>
    <x v="0"/>
    <x v="8"/>
    <x v="7"/>
    <x v="7"/>
    <m/>
    <x v="0"/>
    <x v="0"/>
    <m/>
    <m/>
    <m/>
    <m/>
    <x v="0"/>
    <m/>
    <m/>
    <x v="0"/>
    <x v="0"/>
    <m/>
    <x v="0"/>
    <m/>
    <n v="0"/>
    <x v="0"/>
    <x v="0"/>
    <x v="0"/>
    <m/>
    <x v="0"/>
    <x v="0"/>
    <x v="0"/>
    <x v="0"/>
    <x v="0"/>
    <x v="0"/>
    <x v="0"/>
    <x v="0"/>
    <x v="0"/>
    <x v="0"/>
    <x v="0"/>
    <x v="0"/>
    <x v="0"/>
    <x v="0"/>
    <m/>
    <m/>
    <n v="0"/>
    <x v="0"/>
    <x v="0"/>
    <m/>
    <n v="0"/>
    <n v="2677"/>
    <m/>
    <m/>
    <x v="0"/>
    <x v="0"/>
  </r>
  <r>
    <m/>
    <n v="54"/>
    <s v="Iran Conflict"/>
    <d v="2001-09-01T00:00:00"/>
    <x v="6"/>
    <n v="4"/>
    <x v="0"/>
    <x v="6"/>
    <n v="18"/>
    <x v="3"/>
    <x v="49"/>
    <x v="0"/>
    <x v="8"/>
    <x v="7"/>
    <x v="7"/>
    <m/>
    <x v="0"/>
    <x v="0"/>
    <m/>
    <m/>
    <m/>
    <m/>
    <x v="0"/>
    <m/>
    <m/>
    <x v="0"/>
    <x v="0"/>
    <m/>
    <x v="0"/>
    <m/>
    <n v="0"/>
    <x v="0"/>
    <x v="0"/>
    <x v="0"/>
    <m/>
    <x v="0"/>
    <x v="0"/>
    <x v="0"/>
    <x v="0"/>
    <x v="0"/>
    <x v="0"/>
    <x v="0"/>
    <x v="0"/>
    <x v="0"/>
    <x v="0"/>
    <x v="0"/>
    <x v="0"/>
    <x v="0"/>
    <x v="0"/>
    <m/>
    <m/>
    <n v="0"/>
    <x v="0"/>
    <x v="0"/>
    <m/>
    <n v="0"/>
    <n v="2677"/>
    <m/>
    <m/>
    <x v="0"/>
    <x v="0"/>
  </r>
  <r>
    <m/>
    <n v="54"/>
    <s v="Turkmenistan Conflict"/>
    <d v="2001-09-01T00:00:00"/>
    <x v="6"/>
    <n v="4"/>
    <x v="0"/>
    <x v="6"/>
    <n v="18"/>
    <x v="3"/>
    <x v="50"/>
    <x v="0"/>
    <x v="8"/>
    <x v="7"/>
    <x v="7"/>
    <m/>
    <x v="0"/>
    <x v="0"/>
    <m/>
    <m/>
    <m/>
    <m/>
    <x v="0"/>
    <m/>
    <m/>
    <x v="0"/>
    <x v="0"/>
    <m/>
    <x v="0"/>
    <m/>
    <n v="0"/>
    <x v="0"/>
    <x v="0"/>
    <x v="0"/>
    <m/>
    <x v="0"/>
    <x v="0"/>
    <x v="0"/>
    <x v="0"/>
    <x v="0"/>
    <x v="0"/>
    <x v="0"/>
    <x v="0"/>
    <x v="0"/>
    <x v="0"/>
    <x v="0"/>
    <x v="0"/>
    <x v="0"/>
    <x v="0"/>
    <m/>
    <m/>
    <n v="0"/>
    <x v="0"/>
    <x v="0"/>
    <m/>
    <n v="0"/>
    <n v="2677"/>
    <m/>
    <m/>
    <x v="0"/>
    <x v="0"/>
  </r>
  <r>
    <m/>
    <n v="55"/>
    <s v="US Terrorism"/>
    <d v="2001-09-01T00:00:00"/>
    <x v="6"/>
    <n v="5"/>
    <x v="0"/>
    <x v="6"/>
    <n v="19"/>
    <x v="4"/>
    <x v="51"/>
    <x v="0"/>
    <x v="12"/>
    <x v="14"/>
    <x v="15"/>
    <m/>
    <x v="0"/>
    <x v="0"/>
    <m/>
    <m/>
    <m/>
    <m/>
    <x v="0"/>
    <m/>
    <m/>
    <x v="0"/>
    <x v="0"/>
    <m/>
    <x v="0"/>
    <n v="3257775.37"/>
    <n v="3257775.37"/>
    <x v="14"/>
    <x v="0"/>
    <x v="0"/>
    <m/>
    <x v="0"/>
    <x v="0"/>
    <x v="0"/>
    <x v="0"/>
    <x v="0"/>
    <x v="0"/>
    <x v="0"/>
    <x v="0"/>
    <x v="0"/>
    <x v="0"/>
    <x v="0"/>
    <x v="0"/>
    <x v="0"/>
    <x v="0"/>
    <n v="0"/>
    <n v="257704"/>
    <n v="3515479.37"/>
    <x v="0"/>
    <x v="0"/>
    <n v="2622"/>
    <n v="3515479.37"/>
    <n v="4949"/>
    <d v="2008-09-11T00:00:00"/>
    <s v="The $3,084,914.31 distributed was to international families of victims of the terrorist attacks.   Beneficiaries: 6 members per each family assisted."/>
    <x v="0"/>
    <x v="0"/>
  </r>
  <r>
    <m/>
    <n v="56"/>
    <s v="Mexico Transport"/>
    <d v="2001-09-01T00:00:00"/>
    <x v="6"/>
    <n v="6"/>
    <x v="0"/>
    <x v="6"/>
    <n v="20"/>
    <x v="2"/>
    <x v="2"/>
    <x v="0"/>
    <x v="9"/>
    <x v="9"/>
    <x v="10"/>
    <m/>
    <x v="0"/>
    <x v="0"/>
    <m/>
    <m/>
    <m/>
    <m/>
    <x v="0"/>
    <m/>
    <m/>
    <x v="0"/>
    <x v="0"/>
    <m/>
    <x v="0"/>
    <m/>
    <n v="0"/>
    <x v="6"/>
    <x v="0"/>
    <x v="0"/>
    <m/>
    <x v="0"/>
    <x v="0"/>
    <x v="0"/>
    <x v="0"/>
    <x v="0"/>
    <x v="0"/>
    <x v="0"/>
    <x v="0"/>
    <x v="0"/>
    <x v="0"/>
    <x v="0"/>
    <x v="0"/>
    <x v="0"/>
    <x v="0"/>
    <n v="0"/>
    <n v="15000"/>
    <n v="15000"/>
    <x v="0"/>
    <x v="0"/>
    <n v="95"/>
    <n v="15000"/>
    <n v="2679"/>
    <s v="Plane Crash"/>
    <s v="Financial contribution made to memorial; beneficiaries: 5 members per each family assisted."/>
    <x v="0"/>
    <x v="0"/>
  </r>
  <r>
    <m/>
    <n v="57"/>
    <s v="Mexico Storm"/>
    <d v="2001-10-01T00:00:00"/>
    <x v="6"/>
    <n v="7"/>
    <x v="0"/>
    <x v="6"/>
    <n v="21"/>
    <x v="2"/>
    <x v="2"/>
    <x v="0"/>
    <x v="5"/>
    <x v="5"/>
    <x v="5"/>
    <m/>
    <x v="0"/>
    <x v="0"/>
    <m/>
    <m/>
    <m/>
    <m/>
    <x v="0"/>
    <m/>
    <m/>
    <x v="0"/>
    <x v="0"/>
    <m/>
    <x v="0"/>
    <n v="25000"/>
    <n v="25000"/>
    <x v="2"/>
    <x v="0"/>
    <x v="0"/>
    <m/>
    <x v="0"/>
    <x v="0"/>
    <x v="0"/>
    <x v="0"/>
    <x v="0"/>
    <x v="0"/>
    <x v="0"/>
    <x v="0"/>
    <x v="0"/>
    <x v="0"/>
    <x v="0"/>
    <x v="0"/>
    <x v="0"/>
    <x v="0"/>
    <m/>
    <m/>
    <n v="25000"/>
    <x v="0"/>
    <x v="0"/>
    <n v="5000"/>
    <n v="25000"/>
    <n v="2898"/>
    <s v="Juliette"/>
    <s v="Financial contribution designated for relief supplies.  Beneficiaries: 5 members per each family assisted."/>
    <x v="0"/>
    <x v="0"/>
  </r>
  <r>
    <m/>
    <n v="58"/>
    <s v="Belize Meteorological"/>
    <d v="2001-10-01T00:00:00"/>
    <x v="6"/>
    <n v="8"/>
    <x v="0"/>
    <x v="6"/>
    <n v="22"/>
    <x v="2"/>
    <x v="28"/>
    <x v="0"/>
    <x v="13"/>
    <x v="5"/>
    <x v="5"/>
    <m/>
    <x v="0"/>
    <x v="0"/>
    <m/>
    <m/>
    <m/>
    <m/>
    <x v="0"/>
    <m/>
    <m/>
    <x v="0"/>
    <x v="0"/>
    <m/>
    <x v="0"/>
    <n v="25000"/>
    <n v="25000"/>
    <x v="5"/>
    <x v="0"/>
    <x v="0"/>
    <m/>
    <x v="0"/>
    <x v="0"/>
    <x v="0"/>
    <x v="0"/>
    <x v="0"/>
    <x v="0"/>
    <x v="0"/>
    <x v="0"/>
    <x v="0"/>
    <x v="0"/>
    <x v="0"/>
    <x v="0"/>
    <x v="0"/>
    <x v="0"/>
    <n v="69000"/>
    <n v="3982"/>
    <n v="97982"/>
    <x v="0"/>
    <x v="0"/>
    <n v="5000"/>
    <n v="97982"/>
    <n v="2678"/>
    <s v="Iris"/>
    <s v="$20,000 for hygiene kits; $19,000 given to Guatemala ARC delegation for hygiene kits and $50,000 in relief supplies to BRC."/>
    <x v="0"/>
    <x v="0"/>
  </r>
  <r>
    <m/>
    <n v="59"/>
    <s v="Belize Transport"/>
    <d v="2001-10-01T00:00:00"/>
    <x v="6"/>
    <n v="9"/>
    <x v="0"/>
    <x v="6"/>
    <n v="23"/>
    <x v="2"/>
    <x v="28"/>
    <x v="0"/>
    <x v="9"/>
    <x v="15"/>
    <x v="16"/>
    <m/>
    <x v="0"/>
    <x v="0"/>
    <m/>
    <m/>
    <m/>
    <m/>
    <x v="0"/>
    <m/>
    <m/>
    <x v="0"/>
    <x v="0"/>
    <m/>
    <x v="0"/>
    <m/>
    <n v="0"/>
    <x v="4"/>
    <x v="0"/>
    <x v="0"/>
    <m/>
    <x v="0"/>
    <x v="0"/>
    <x v="0"/>
    <x v="0"/>
    <x v="0"/>
    <x v="0"/>
    <x v="0"/>
    <x v="0"/>
    <x v="0"/>
    <x v="0"/>
    <x v="0"/>
    <x v="0"/>
    <x v="0"/>
    <x v="0"/>
    <n v="0"/>
    <n v="4400"/>
    <n v="4400"/>
    <x v="0"/>
    <x v="0"/>
    <n v="135"/>
    <n v="4400"/>
    <n v="2898"/>
    <s v="Boat Crash"/>
    <s v="Beneficiaries calculated at 5 family members per each 27 families assisted."/>
    <x v="0"/>
    <x v="0"/>
  </r>
  <r>
    <m/>
    <n v="60"/>
    <s v="Honduras Storm"/>
    <d v="2001-10-01T00:00:00"/>
    <x v="6"/>
    <n v="10"/>
    <x v="0"/>
    <x v="6"/>
    <n v="24"/>
    <x v="2"/>
    <x v="43"/>
    <x v="0"/>
    <x v="5"/>
    <x v="5"/>
    <x v="17"/>
    <m/>
    <x v="0"/>
    <x v="0"/>
    <m/>
    <m/>
    <m/>
    <m/>
    <x v="0"/>
    <m/>
    <m/>
    <x v="0"/>
    <x v="0"/>
    <m/>
    <x v="0"/>
    <m/>
    <n v="0"/>
    <x v="0"/>
    <x v="0"/>
    <x v="0"/>
    <m/>
    <x v="0"/>
    <x v="0"/>
    <x v="0"/>
    <x v="0"/>
    <x v="0"/>
    <x v="0"/>
    <x v="0"/>
    <x v="0"/>
    <x v="0"/>
    <x v="0"/>
    <x v="0"/>
    <x v="0"/>
    <x v="0"/>
    <x v="0"/>
    <m/>
    <m/>
    <n v="0"/>
    <x v="0"/>
    <x v="0"/>
    <m/>
    <n v="0"/>
    <n v="2898"/>
    <s v="Michelle"/>
    <m/>
    <x v="0"/>
    <x v="0"/>
  </r>
  <r>
    <m/>
    <n v="60"/>
    <s v="Nicaragua Storm"/>
    <d v="2001-11-01T00:00:00"/>
    <x v="6"/>
    <n v="10"/>
    <x v="0"/>
    <x v="6"/>
    <n v="24"/>
    <x v="2"/>
    <x v="6"/>
    <x v="0"/>
    <x v="5"/>
    <x v="5"/>
    <x v="17"/>
    <m/>
    <x v="0"/>
    <x v="0"/>
    <m/>
    <m/>
    <m/>
    <m/>
    <x v="0"/>
    <m/>
    <m/>
    <x v="0"/>
    <x v="0"/>
    <m/>
    <x v="0"/>
    <m/>
    <n v="0"/>
    <x v="0"/>
    <x v="0"/>
    <x v="0"/>
    <m/>
    <x v="0"/>
    <x v="0"/>
    <x v="0"/>
    <x v="0"/>
    <x v="0"/>
    <x v="0"/>
    <x v="0"/>
    <x v="0"/>
    <x v="0"/>
    <x v="0"/>
    <x v="0"/>
    <x v="0"/>
    <x v="0"/>
    <x v="0"/>
    <m/>
    <n v="60000"/>
    <n v="60000"/>
    <x v="0"/>
    <x v="0"/>
    <n v="5000"/>
    <n v="60000"/>
    <n v="2898"/>
    <s v="Michelle"/>
    <s v="$10,000 from Nicaragua delegation for procurement of relief supplies.  $50,000 from OFDA for Honduras. (The 1,000 families assisted were in Honduras through the Emergency Food Rations) "/>
    <x v="0"/>
    <x v="0"/>
  </r>
  <r>
    <m/>
    <n v="60"/>
    <s v="Cuba Storm"/>
    <d v="2001-11-01T00:00:00"/>
    <x v="6"/>
    <n v="10"/>
    <x v="0"/>
    <x v="6"/>
    <n v="24"/>
    <x v="2"/>
    <x v="52"/>
    <x v="0"/>
    <x v="5"/>
    <x v="5"/>
    <x v="17"/>
    <m/>
    <x v="0"/>
    <x v="0"/>
    <m/>
    <m/>
    <m/>
    <m/>
    <x v="0"/>
    <m/>
    <m/>
    <x v="0"/>
    <x v="0"/>
    <m/>
    <x v="0"/>
    <m/>
    <n v="0"/>
    <x v="0"/>
    <x v="0"/>
    <x v="0"/>
    <m/>
    <x v="0"/>
    <x v="0"/>
    <x v="0"/>
    <x v="0"/>
    <x v="0"/>
    <x v="0"/>
    <x v="0"/>
    <x v="0"/>
    <x v="0"/>
    <x v="0"/>
    <x v="0"/>
    <x v="0"/>
    <x v="0"/>
    <x v="0"/>
    <m/>
    <m/>
    <n v="0"/>
    <x v="0"/>
    <x v="0"/>
    <m/>
    <n v="0"/>
    <n v="2898"/>
    <s v="Michelle"/>
    <m/>
    <x v="0"/>
    <x v="0"/>
  </r>
  <r>
    <m/>
    <n v="60"/>
    <s v="Jamaica Storm"/>
    <d v="2001-11-01T00:00:00"/>
    <x v="6"/>
    <n v="10"/>
    <x v="0"/>
    <x v="6"/>
    <n v="24"/>
    <x v="2"/>
    <x v="53"/>
    <x v="0"/>
    <x v="5"/>
    <x v="5"/>
    <x v="17"/>
    <m/>
    <x v="0"/>
    <x v="0"/>
    <m/>
    <m/>
    <m/>
    <m/>
    <x v="0"/>
    <m/>
    <m/>
    <x v="0"/>
    <x v="0"/>
    <m/>
    <x v="0"/>
    <n v="5000"/>
    <n v="5000"/>
    <x v="0"/>
    <x v="0"/>
    <x v="0"/>
    <m/>
    <x v="0"/>
    <x v="0"/>
    <x v="0"/>
    <x v="0"/>
    <x v="0"/>
    <x v="0"/>
    <x v="0"/>
    <x v="0"/>
    <x v="0"/>
    <x v="0"/>
    <x v="0"/>
    <x v="0"/>
    <x v="0"/>
    <x v="0"/>
    <m/>
    <m/>
    <n v="5000"/>
    <x v="0"/>
    <x v="0"/>
    <m/>
    <n v="5000"/>
    <n v="2898"/>
    <s v="Michelle"/>
    <m/>
    <x v="0"/>
    <x v="0"/>
  </r>
  <r>
    <m/>
    <n v="61"/>
    <s v="Bahamas Storm"/>
    <d v="2001-11-01T00:00:00"/>
    <x v="6"/>
    <n v="11"/>
    <x v="0"/>
    <x v="6"/>
    <n v="25"/>
    <x v="2"/>
    <x v="9"/>
    <x v="0"/>
    <x v="5"/>
    <x v="5"/>
    <x v="17"/>
    <m/>
    <x v="0"/>
    <x v="0"/>
    <m/>
    <m/>
    <m/>
    <m/>
    <x v="0"/>
    <m/>
    <m/>
    <x v="0"/>
    <x v="0"/>
    <m/>
    <x v="0"/>
    <n v="5000"/>
    <n v="5000"/>
    <x v="1"/>
    <x v="0"/>
    <x v="0"/>
    <m/>
    <x v="0"/>
    <x v="0"/>
    <x v="0"/>
    <x v="0"/>
    <x v="0"/>
    <x v="0"/>
    <x v="0"/>
    <x v="0"/>
    <x v="0"/>
    <x v="0"/>
    <x v="0"/>
    <x v="0"/>
    <x v="0"/>
    <x v="0"/>
    <m/>
    <m/>
    <n v="5000"/>
    <x v="0"/>
    <x v="0"/>
    <m/>
    <n v="5000"/>
    <n v="2898"/>
    <s v="Michelle"/>
    <m/>
    <x v="0"/>
    <x v="0"/>
  </r>
  <r>
    <m/>
    <n v="62"/>
    <s v="US Transport"/>
    <d v="2001-11-01T00:00:00"/>
    <x v="6"/>
    <n v="12"/>
    <x v="0"/>
    <x v="6"/>
    <n v="26"/>
    <x v="4"/>
    <x v="51"/>
    <x v="0"/>
    <x v="9"/>
    <x v="9"/>
    <x v="10"/>
    <m/>
    <x v="0"/>
    <x v="0"/>
    <m/>
    <m/>
    <m/>
    <m/>
    <x v="0"/>
    <m/>
    <m/>
    <x v="0"/>
    <x v="0"/>
    <m/>
    <x v="0"/>
    <m/>
    <n v="0"/>
    <x v="10"/>
    <x v="0"/>
    <x v="0"/>
    <m/>
    <x v="0"/>
    <x v="0"/>
    <x v="0"/>
    <x v="0"/>
    <x v="0"/>
    <x v="0"/>
    <x v="0"/>
    <x v="0"/>
    <x v="0"/>
    <x v="0"/>
    <x v="0"/>
    <x v="0"/>
    <x v="0"/>
    <x v="0"/>
    <n v="0"/>
    <n v="500"/>
    <n v="500"/>
    <x v="0"/>
    <x v="0"/>
    <m/>
    <n v="500"/>
    <n v="2680"/>
    <s v="AA #587"/>
    <s v="Crash of AA 587 to D.R.  Beneficiaries calculated at 5 family members per each 260 families assisted."/>
    <x v="0"/>
    <x v="0"/>
  </r>
  <r>
    <m/>
    <n v="63"/>
    <s v="Cambodia Miscellaneous"/>
    <d v="2002-01-01T00:00:00"/>
    <x v="6"/>
    <n v="13"/>
    <x v="0"/>
    <x v="7"/>
    <n v="1"/>
    <x v="3"/>
    <x v="7"/>
    <x v="0"/>
    <x v="10"/>
    <x v="10"/>
    <x v="18"/>
    <m/>
    <x v="0"/>
    <x v="0"/>
    <m/>
    <m/>
    <m/>
    <m/>
    <x v="0"/>
    <m/>
    <m/>
    <x v="0"/>
    <x v="0"/>
    <m/>
    <x v="0"/>
    <m/>
    <n v="0"/>
    <x v="0"/>
    <x v="0"/>
    <x v="0"/>
    <m/>
    <x v="0"/>
    <x v="0"/>
    <x v="0"/>
    <x v="0"/>
    <x v="0"/>
    <x v="0"/>
    <x v="0"/>
    <x v="0"/>
    <x v="0"/>
    <x v="0"/>
    <x v="0"/>
    <x v="0"/>
    <x v="0"/>
    <x v="0"/>
    <n v="10000"/>
    <m/>
    <n v="10000"/>
    <x v="0"/>
    <x v="0"/>
    <n v="2079"/>
    <n v="10000"/>
    <n v="2898"/>
    <s v="Phnom Penh"/>
    <m/>
    <x v="0"/>
    <x v="0"/>
  </r>
  <r>
    <m/>
    <n v="64"/>
    <s v="Albania Storm"/>
    <d v="2002-01-01T00:00:00"/>
    <x v="6"/>
    <n v="14"/>
    <x v="0"/>
    <x v="7"/>
    <n v="2"/>
    <x v="3"/>
    <x v="54"/>
    <x v="0"/>
    <x v="5"/>
    <x v="16"/>
    <x v="0"/>
    <m/>
    <x v="0"/>
    <x v="0"/>
    <m/>
    <m/>
    <m/>
    <m/>
    <x v="0"/>
    <m/>
    <m/>
    <x v="0"/>
    <x v="0"/>
    <m/>
    <x v="0"/>
    <m/>
    <n v="0"/>
    <x v="2"/>
    <x v="0"/>
    <x v="0"/>
    <m/>
    <x v="0"/>
    <x v="0"/>
    <x v="0"/>
    <x v="0"/>
    <x v="0"/>
    <x v="0"/>
    <x v="0"/>
    <x v="0"/>
    <x v="0"/>
    <x v="0"/>
    <x v="0"/>
    <x v="0"/>
    <x v="0"/>
    <x v="0"/>
    <n v="71832"/>
    <m/>
    <n v="71832"/>
    <x v="0"/>
    <x v="0"/>
    <n v="20000"/>
    <n v="71832"/>
    <n v="2898"/>
    <m/>
    <s v="Beneficiaries calculated at 5 family members per the 4,000 families assisted."/>
    <x v="0"/>
    <x v="0"/>
  </r>
  <r>
    <m/>
    <n v="65"/>
    <s v="DR Congo Volcano"/>
    <d v="2002-01-01T00:00:00"/>
    <x v="6"/>
    <n v="15"/>
    <x v="0"/>
    <x v="7"/>
    <n v="3"/>
    <x v="1"/>
    <x v="55"/>
    <x v="0"/>
    <x v="4"/>
    <x v="4"/>
    <x v="4"/>
    <m/>
    <x v="0"/>
    <x v="0"/>
    <m/>
    <m/>
    <m/>
    <m/>
    <x v="0"/>
    <m/>
    <m/>
    <x v="0"/>
    <x v="2"/>
    <n v="25000"/>
    <x v="0"/>
    <m/>
    <n v="25000"/>
    <x v="0"/>
    <x v="0"/>
    <x v="0"/>
    <m/>
    <x v="0"/>
    <x v="0"/>
    <x v="0"/>
    <x v="0"/>
    <x v="0"/>
    <x v="0"/>
    <x v="0"/>
    <x v="0"/>
    <x v="0"/>
    <x v="0"/>
    <x v="0"/>
    <x v="0"/>
    <x v="0"/>
    <x v="0"/>
    <n v="20000"/>
    <m/>
    <n v="45000"/>
    <x v="0"/>
    <x v="0"/>
    <n v="30000"/>
    <n v="45000"/>
    <n v="2681"/>
    <s v="North Kivu"/>
    <s v="3 NEHK (approx. value $20,000 incl. transport) = 30,000 people for 3 months."/>
    <x v="0"/>
    <x v="0"/>
  </r>
  <r>
    <m/>
    <n v="66"/>
    <s v="Nigeria Industrial"/>
    <d v="2002-01-01T00:00:00"/>
    <x v="6"/>
    <n v="17"/>
    <x v="0"/>
    <x v="7"/>
    <n v="5"/>
    <x v="1"/>
    <x v="56"/>
    <x v="0"/>
    <x v="6"/>
    <x v="17"/>
    <x v="19"/>
    <m/>
    <x v="0"/>
    <x v="0"/>
    <m/>
    <m/>
    <m/>
    <m/>
    <x v="0"/>
    <m/>
    <m/>
    <x v="0"/>
    <x v="2"/>
    <n v="21612.23"/>
    <x v="0"/>
    <m/>
    <n v="21612.23"/>
    <x v="0"/>
    <x v="0"/>
    <x v="0"/>
    <m/>
    <x v="0"/>
    <x v="0"/>
    <x v="0"/>
    <x v="0"/>
    <x v="0"/>
    <x v="0"/>
    <x v="0"/>
    <x v="0"/>
    <x v="0"/>
    <x v="0"/>
    <x v="0"/>
    <x v="0"/>
    <x v="0"/>
    <x v="0"/>
    <m/>
    <m/>
    <n v="21612.23"/>
    <x v="0"/>
    <x v="0"/>
    <n v="677.77942515832501"/>
    <n v="21612.23"/>
    <n v="2682"/>
    <s v="Munitions Explosion"/>
    <s v="$20,000 Citicorp donation; $1,612.23 PMN sent to Federation 22 August 03"/>
    <x v="0"/>
    <x v="0"/>
  </r>
  <r>
    <m/>
    <n v="67"/>
    <s v="Turkey Earthquake"/>
    <d v="2002-02-01T00:00:00"/>
    <x v="6"/>
    <n v="16"/>
    <x v="0"/>
    <x v="7"/>
    <n v="4"/>
    <x v="3"/>
    <x v="5"/>
    <x v="0"/>
    <x v="3"/>
    <x v="3"/>
    <x v="3"/>
    <m/>
    <x v="0"/>
    <x v="0"/>
    <m/>
    <m/>
    <m/>
    <m/>
    <x v="0"/>
    <m/>
    <m/>
    <x v="0"/>
    <x v="0"/>
    <m/>
    <x v="0"/>
    <m/>
    <n v="0"/>
    <x v="2"/>
    <x v="0"/>
    <x v="0"/>
    <m/>
    <x v="0"/>
    <x v="0"/>
    <x v="0"/>
    <x v="0"/>
    <x v="0"/>
    <x v="0"/>
    <x v="0"/>
    <x v="0"/>
    <x v="0"/>
    <x v="0"/>
    <x v="0"/>
    <x v="0"/>
    <x v="0"/>
    <x v="0"/>
    <n v="350424.24"/>
    <m/>
    <n v="350424.24"/>
    <x v="0"/>
    <x v="0"/>
    <n v="49315"/>
    <n v="350424.24"/>
    <n v="2814"/>
    <m/>
    <m/>
    <x v="0"/>
    <x v="0"/>
  </r>
  <r>
    <m/>
    <n v="68"/>
    <s v="Bolivia Floods"/>
    <d v="2002-03-01T00:00:00"/>
    <x v="6"/>
    <n v="18"/>
    <x v="0"/>
    <x v="7"/>
    <n v="6"/>
    <x v="2"/>
    <x v="38"/>
    <x v="0"/>
    <x v="2"/>
    <x v="2"/>
    <x v="2"/>
    <m/>
    <x v="0"/>
    <x v="0"/>
    <m/>
    <m/>
    <m/>
    <m/>
    <x v="0"/>
    <m/>
    <m/>
    <x v="0"/>
    <x v="0"/>
    <m/>
    <x v="0"/>
    <n v="11700"/>
    <n v="11700"/>
    <x v="0"/>
    <x v="0"/>
    <x v="0"/>
    <m/>
    <x v="0"/>
    <x v="0"/>
    <x v="0"/>
    <x v="0"/>
    <x v="0"/>
    <x v="0"/>
    <x v="0"/>
    <x v="0"/>
    <x v="0"/>
    <x v="0"/>
    <x v="0"/>
    <x v="0"/>
    <x v="0"/>
    <x v="0"/>
    <m/>
    <m/>
    <n v="11700"/>
    <x v="0"/>
    <x v="0"/>
    <n v="300"/>
    <n v="11700"/>
    <n v="2898"/>
    <m/>
    <m/>
    <x v="0"/>
    <x v="0"/>
  </r>
  <r>
    <m/>
    <n v="69"/>
    <s v="Afghanistan Earthquake"/>
    <d v="2002-03-01T00:00:00"/>
    <x v="6"/>
    <n v="19"/>
    <x v="0"/>
    <x v="7"/>
    <n v="7"/>
    <x v="3"/>
    <x v="46"/>
    <x v="0"/>
    <x v="3"/>
    <x v="3"/>
    <x v="3"/>
    <m/>
    <x v="0"/>
    <x v="0"/>
    <m/>
    <m/>
    <m/>
    <m/>
    <x v="0"/>
    <m/>
    <m/>
    <x v="0"/>
    <x v="0"/>
    <m/>
    <x v="1"/>
    <m/>
    <n v="104805"/>
    <x v="4"/>
    <x v="0"/>
    <x v="0"/>
    <m/>
    <x v="0"/>
    <x v="0"/>
    <x v="0"/>
    <x v="0"/>
    <x v="0"/>
    <x v="0"/>
    <x v="0"/>
    <x v="0"/>
    <x v="0"/>
    <x v="0"/>
    <x v="0"/>
    <x v="0"/>
    <x v="0"/>
    <x v="0"/>
    <m/>
    <m/>
    <n v="104805"/>
    <x v="0"/>
    <x v="0"/>
    <n v="19678.7"/>
    <n v="104805"/>
    <n v="2876"/>
    <m/>
    <s v="NEHK for Mazar e Sharif "/>
    <x v="0"/>
    <x v="0"/>
  </r>
  <r>
    <m/>
    <n v="70"/>
    <s v="Jordan Conflict"/>
    <d v="2002-04-01T00:00:00"/>
    <x v="6"/>
    <n v="20"/>
    <x v="0"/>
    <x v="7"/>
    <n v="8"/>
    <x v="3"/>
    <x v="30"/>
    <x v="0"/>
    <x v="8"/>
    <x v="7"/>
    <x v="7"/>
    <m/>
    <x v="0"/>
    <x v="0"/>
    <m/>
    <m/>
    <m/>
    <m/>
    <x v="0"/>
    <m/>
    <m/>
    <x v="0"/>
    <x v="2"/>
    <n v="25000"/>
    <x v="0"/>
    <n v="200000"/>
    <n v="225000"/>
    <x v="2"/>
    <x v="0"/>
    <x v="0"/>
    <m/>
    <x v="0"/>
    <x v="0"/>
    <x v="0"/>
    <x v="0"/>
    <x v="0"/>
    <x v="0"/>
    <x v="0"/>
    <x v="0"/>
    <x v="0"/>
    <x v="0"/>
    <x v="0"/>
    <x v="0"/>
    <x v="0"/>
    <x v="0"/>
    <m/>
    <m/>
    <n v="225000"/>
    <x v="0"/>
    <x v="0"/>
    <m/>
    <n v="225000"/>
    <n v="2898"/>
    <m/>
    <s v="Second Installment for ICU sent in Nov 2002"/>
    <x v="0"/>
    <x v="0"/>
  </r>
  <r>
    <m/>
    <n v="71"/>
    <s v="Panama Floods"/>
    <d v="2002-05-01T00:00:00"/>
    <x v="6"/>
    <n v="21"/>
    <x v="0"/>
    <x v="7"/>
    <n v="9"/>
    <x v="2"/>
    <x v="57"/>
    <x v="0"/>
    <x v="2"/>
    <x v="2"/>
    <x v="2"/>
    <m/>
    <x v="0"/>
    <x v="0"/>
    <m/>
    <m/>
    <m/>
    <m/>
    <x v="0"/>
    <m/>
    <m/>
    <x v="0"/>
    <x v="0"/>
    <m/>
    <x v="0"/>
    <n v="2000"/>
    <n v="2000"/>
    <x v="0"/>
    <x v="0"/>
    <x v="0"/>
    <m/>
    <x v="0"/>
    <x v="0"/>
    <x v="0"/>
    <x v="0"/>
    <x v="0"/>
    <x v="0"/>
    <x v="0"/>
    <x v="0"/>
    <x v="0"/>
    <x v="0"/>
    <x v="0"/>
    <x v="0"/>
    <x v="0"/>
    <x v="0"/>
    <m/>
    <m/>
    <n v="2000"/>
    <x v="0"/>
    <x v="0"/>
    <m/>
    <n v="2000"/>
    <n v="2898"/>
    <m/>
    <m/>
    <x v="0"/>
    <x v="0"/>
  </r>
  <r>
    <m/>
    <n v="71"/>
    <s v="Costa Rica Floods"/>
    <d v="2002-05-01T00:00:00"/>
    <x v="6"/>
    <n v="21"/>
    <x v="0"/>
    <x v="7"/>
    <n v="9"/>
    <x v="2"/>
    <x v="3"/>
    <x v="0"/>
    <x v="2"/>
    <x v="2"/>
    <x v="2"/>
    <m/>
    <x v="0"/>
    <x v="0"/>
    <m/>
    <m/>
    <m/>
    <m/>
    <x v="0"/>
    <m/>
    <m/>
    <x v="0"/>
    <x v="0"/>
    <m/>
    <x v="0"/>
    <n v="2000"/>
    <n v="2000"/>
    <x v="0"/>
    <x v="0"/>
    <x v="0"/>
    <m/>
    <x v="0"/>
    <x v="0"/>
    <x v="0"/>
    <x v="0"/>
    <x v="0"/>
    <x v="0"/>
    <x v="0"/>
    <x v="0"/>
    <x v="0"/>
    <x v="0"/>
    <x v="0"/>
    <x v="0"/>
    <x v="0"/>
    <x v="0"/>
    <m/>
    <m/>
    <n v="2000"/>
    <x v="0"/>
    <x v="0"/>
    <n v="0"/>
    <n v="2000"/>
    <n v="2898"/>
    <m/>
    <m/>
    <x v="0"/>
    <x v="0"/>
  </r>
  <r>
    <m/>
    <n v="72"/>
    <s v="Kenya Floods"/>
    <d v="2002-05-01T00:00:00"/>
    <x v="6"/>
    <n v="22"/>
    <x v="0"/>
    <x v="7"/>
    <n v="10"/>
    <x v="1"/>
    <x v="58"/>
    <x v="0"/>
    <x v="2"/>
    <x v="2"/>
    <x v="2"/>
    <m/>
    <x v="0"/>
    <x v="0"/>
    <m/>
    <m/>
    <m/>
    <m/>
    <x v="0"/>
    <m/>
    <m/>
    <x v="0"/>
    <x v="2"/>
    <n v="10000"/>
    <x v="0"/>
    <m/>
    <n v="10000"/>
    <x v="0"/>
    <x v="0"/>
    <x v="0"/>
    <m/>
    <x v="0"/>
    <x v="0"/>
    <x v="0"/>
    <x v="0"/>
    <x v="0"/>
    <x v="0"/>
    <x v="0"/>
    <x v="0"/>
    <x v="0"/>
    <x v="0"/>
    <x v="0"/>
    <x v="0"/>
    <x v="0"/>
    <x v="0"/>
    <m/>
    <m/>
    <n v="10000"/>
    <x v="0"/>
    <x v="0"/>
    <n v="1160.6960462049883"/>
    <n v="10000"/>
    <n v="2898"/>
    <m/>
    <m/>
    <x v="0"/>
    <x v="0"/>
  </r>
  <r>
    <m/>
    <n v="73"/>
    <s v="Malawi Food Insecurity"/>
    <d v="2002-05-01T00:00:00"/>
    <x v="6"/>
    <n v="23"/>
    <x v="0"/>
    <x v="7"/>
    <n v="11"/>
    <x v="1"/>
    <x v="37"/>
    <x v="0"/>
    <x v="14"/>
    <x v="18"/>
    <x v="20"/>
    <m/>
    <x v="0"/>
    <x v="0"/>
    <m/>
    <m/>
    <m/>
    <m/>
    <x v="0"/>
    <m/>
    <m/>
    <x v="0"/>
    <x v="0"/>
    <m/>
    <x v="0"/>
    <m/>
    <n v="0"/>
    <x v="5"/>
    <x v="0"/>
    <x v="0"/>
    <m/>
    <x v="0"/>
    <x v="0"/>
    <x v="0"/>
    <x v="0"/>
    <x v="0"/>
    <x v="0"/>
    <x v="0"/>
    <x v="0"/>
    <x v="0"/>
    <x v="0"/>
    <x v="0"/>
    <x v="0"/>
    <x v="0"/>
    <x v="0"/>
    <m/>
    <n v="100000"/>
    <n v="100000"/>
    <x v="0"/>
    <x v="0"/>
    <n v="96000"/>
    <n v="100000"/>
    <n v="2683"/>
    <m/>
    <m/>
    <x v="0"/>
    <x v="0"/>
  </r>
  <r>
    <m/>
    <n v="74"/>
    <s v="Nicaragua  Floods"/>
    <d v="2002-06-01T00:00:00"/>
    <x v="6"/>
    <n v="24"/>
    <x v="0"/>
    <x v="7"/>
    <n v="12"/>
    <x v="2"/>
    <x v="6"/>
    <x v="0"/>
    <x v="2"/>
    <x v="2"/>
    <x v="2"/>
    <m/>
    <x v="0"/>
    <x v="0"/>
    <m/>
    <m/>
    <m/>
    <m/>
    <x v="0"/>
    <m/>
    <m/>
    <x v="0"/>
    <x v="0"/>
    <m/>
    <x v="0"/>
    <m/>
    <n v="0"/>
    <x v="2"/>
    <x v="0"/>
    <x v="0"/>
    <m/>
    <x v="0"/>
    <x v="0"/>
    <x v="0"/>
    <x v="0"/>
    <x v="0"/>
    <x v="0"/>
    <x v="0"/>
    <x v="0"/>
    <x v="0"/>
    <x v="0"/>
    <x v="0"/>
    <x v="0"/>
    <x v="0"/>
    <x v="0"/>
    <m/>
    <m/>
    <n v="0"/>
    <x v="0"/>
    <x v="0"/>
    <n v="0"/>
    <n v="0"/>
    <n v="2821"/>
    <m/>
    <s v="supervised dist. of $50,000 of supplies given to NRC by USAID"/>
    <x v="0"/>
    <x v="0"/>
  </r>
  <r>
    <m/>
    <n v="75"/>
    <s v="Syria Miscellaneous"/>
    <d v="2002-06-01T00:00:00"/>
    <x v="6"/>
    <n v="25"/>
    <x v="0"/>
    <x v="7"/>
    <n v="13"/>
    <x v="3"/>
    <x v="59"/>
    <x v="0"/>
    <x v="10"/>
    <x v="19"/>
    <x v="21"/>
    <m/>
    <x v="0"/>
    <x v="0"/>
    <m/>
    <m/>
    <m/>
    <m/>
    <x v="0"/>
    <m/>
    <m/>
    <x v="0"/>
    <x v="2"/>
    <n v="10000"/>
    <x v="0"/>
    <m/>
    <n v="10000"/>
    <x v="0"/>
    <x v="0"/>
    <x v="0"/>
    <m/>
    <x v="0"/>
    <x v="0"/>
    <x v="0"/>
    <x v="0"/>
    <x v="0"/>
    <x v="0"/>
    <x v="0"/>
    <x v="0"/>
    <x v="0"/>
    <x v="0"/>
    <x v="0"/>
    <x v="0"/>
    <x v="0"/>
    <x v="0"/>
    <m/>
    <m/>
    <n v="10000"/>
    <x v="0"/>
    <x v="0"/>
    <n v="216.21621621621622"/>
    <n v="10000"/>
    <n v="2898"/>
    <s v="Dam Burst"/>
    <s v="Federation appeal15/2002 - Zeyzoun Dam Collapse"/>
    <x v="0"/>
    <x v="0"/>
  </r>
  <r>
    <m/>
    <n v="76"/>
    <s v="China Floods"/>
    <d v="2002-06-01T00:00:00"/>
    <x v="6"/>
    <n v="26"/>
    <x v="0"/>
    <x v="7"/>
    <n v="14"/>
    <x v="3"/>
    <x v="4"/>
    <x v="0"/>
    <x v="2"/>
    <x v="2"/>
    <x v="2"/>
    <m/>
    <x v="0"/>
    <x v="0"/>
    <m/>
    <m/>
    <m/>
    <m/>
    <x v="0"/>
    <m/>
    <m/>
    <x v="0"/>
    <x v="0"/>
    <m/>
    <x v="0"/>
    <n v="75000"/>
    <n v="75000"/>
    <x v="0"/>
    <x v="0"/>
    <x v="0"/>
    <m/>
    <x v="0"/>
    <x v="0"/>
    <x v="0"/>
    <x v="0"/>
    <x v="0"/>
    <x v="0"/>
    <x v="0"/>
    <x v="0"/>
    <x v="0"/>
    <x v="0"/>
    <x v="0"/>
    <x v="0"/>
    <x v="0"/>
    <x v="0"/>
    <m/>
    <m/>
    <n v="75000"/>
    <x v="0"/>
    <x v="0"/>
    <n v="2243.493867783428"/>
    <n v="75000"/>
    <n v="2060"/>
    <m/>
    <s v="Federation appeal 16/2002; $75,000 from Region"/>
    <x v="0"/>
    <x v="0"/>
  </r>
  <r>
    <m/>
    <n v="76"/>
    <s v="China Floods"/>
    <d v="2002-06-01T00:00:00"/>
    <x v="6"/>
    <n v="26"/>
    <x v="0"/>
    <x v="7"/>
    <n v="14"/>
    <x v="3"/>
    <x v="4"/>
    <x v="0"/>
    <x v="2"/>
    <x v="2"/>
    <x v="2"/>
    <m/>
    <x v="0"/>
    <x v="0"/>
    <m/>
    <m/>
    <m/>
    <m/>
    <x v="0"/>
    <m/>
    <m/>
    <x v="0"/>
    <x v="0"/>
    <m/>
    <x v="0"/>
    <n v="25000"/>
    <n v="25000"/>
    <x v="0"/>
    <x v="0"/>
    <x v="0"/>
    <m/>
    <x v="0"/>
    <x v="0"/>
    <x v="0"/>
    <x v="0"/>
    <x v="0"/>
    <x v="0"/>
    <x v="0"/>
    <x v="0"/>
    <x v="0"/>
    <x v="0"/>
    <x v="0"/>
    <x v="0"/>
    <x v="0"/>
    <x v="0"/>
    <m/>
    <m/>
    <n v="25000"/>
    <x v="0"/>
    <x v="0"/>
    <m/>
    <n v="25000"/>
    <n v="2898"/>
    <m/>
    <m/>
    <x v="0"/>
    <x v="0"/>
  </r>
  <r>
    <m/>
    <n v="76"/>
    <s v="China Floods"/>
    <d v="2002-06-01T00:00:00"/>
    <x v="6"/>
    <n v="26"/>
    <x v="0"/>
    <x v="7"/>
    <n v="14"/>
    <x v="3"/>
    <x v="4"/>
    <x v="0"/>
    <x v="2"/>
    <x v="2"/>
    <x v="2"/>
    <m/>
    <x v="0"/>
    <x v="0"/>
    <m/>
    <m/>
    <m/>
    <m/>
    <x v="0"/>
    <m/>
    <m/>
    <x v="0"/>
    <x v="0"/>
    <m/>
    <x v="0"/>
    <n v="100000"/>
    <n v="100000"/>
    <x v="0"/>
    <x v="0"/>
    <x v="0"/>
    <m/>
    <x v="0"/>
    <x v="0"/>
    <x v="0"/>
    <x v="0"/>
    <x v="0"/>
    <x v="0"/>
    <x v="0"/>
    <x v="0"/>
    <x v="0"/>
    <x v="0"/>
    <x v="0"/>
    <x v="0"/>
    <x v="0"/>
    <x v="0"/>
    <m/>
    <m/>
    <n v="100000"/>
    <x v="0"/>
    <x v="0"/>
    <m/>
    <n v="100000"/>
    <n v="2099"/>
    <m/>
    <s v="$100,000 from Phillip Morris (AP 2099) in October 2002"/>
    <x v="0"/>
    <x v="0"/>
  </r>
  <r>
    <m/>
    <n v="77"/>
    <s v="Russian Fed. Floods"/>
    <d v="2002-07-01T00:00:00"/>
    <x v="7"/>
    <n v="1"/>
    <x v="0"/>
    <x v="7"/>
    <n v="15"/>
    <x v="3"/>
    <x v="12"/>
    <x v="0"/>
    <x v="2"/>
    <x v="2"/>
    <x v="2"/>
    <m/>
    <x v="0"/>
    <x v="0"/>
    <m/>
    <m/>
    <m/>
    <m/>
    <x v="0"/>
    <m/>
    <m/>
    <x v="0"/>
    <x v="0"/>
    <m/>
    <x v="0"/>
    <n v="50000"/>
    <n v="50000"/>
    <x v="2"/>
    <x v="0"/>
    <x v="0"/>
    <m/>
    <x v="0"/>
    <x v="0"/>
    <x v="0"/>
    <x v="0"/>
    <x v="0"/>
    <x v="0"/>
    <x v="0"/>
    <x v="0"/>
    <x v="0"/>
    <x v="0"/>
    <x v="0"/>
    <x v="0"/>
    <x v="0"/>
    <x v="0"/>
    <m/>
    <m/>
    <n v="50000"/>
    <x v="0"/>
    <x v="0"/>
    <n v="5000"/>
    <n v="50000"/>
    <n v="2664"/>
    <m/>
    <s v="Dagestan:  IRT Ramsey Rayyis; Federation Appeal 20/2002; grant from US Embassy in Moscow"/>
    <x v="0"/>
    <x v="0"/>
  </r>
  <r>
    <m/>
    <n v="78"/>
    <s v="FS Micronesia Storm"/>
    <d v="2002-07-01T00:00:00"/>
    <x v="7"/>
    <n v="2"/>
    <x v="0"/>
    <x v="7"/>
    <n v="16"/>
    <x v="3"/>
    <x v="60"/>
    <x v="0"/>
    <x v="5"/>
    <x v="5"/>
    <x v="22"/>
    <m/>
    <x v="0"/>
    <x v="0"/>
    <m/>
    <m/>
    <m/>
    <m/>
    <x v="0"/>
    <m/>
    <m/>
    <x v="0"/>
    <x v="0"/>
    <m/>
    <x v="0"/>
    <m/>
    <n v="0"/>
    <x v="0"/>
    <x v="0"/>
    <x v="0"/>
    <m/>
    <x v="0"/>
    <x v="0"/>
    <x v="0"/>
    <x v="0"/>
    <x v="0"/>
    <x v="0"/>
    <x v="0"/>
    <x v="0"/>
    <x v="0"/>
    <x v="0"/>
    <x v="0"/>
    <x v="0"/>
    <x v="0"/>
    <x v="0"/>
    <n v="10000"/>
    <m/>
    <n v="10000"/>
    <x v="0"/>
    <x v="0"/>
    <n v="1000"/>
    <n v="10000"/>
    <n v="2898"/>
    <s v="Chata'an"/>
    <s v="Replenished Supplies sent from ARC/Saipan"/>
    <x v="0"/>
    <x v="0"/>
  </r>
  <r>
    <m/>
    <n v="79"/>
    <s v="Peru Storm"/>
    <d v="2002-07-01T00:00:00"/>
    <x v="7"/>
    <n v="3"/>
    <x v="0"/>
    <x v="7"/>
    <n v="17"/>
    <x v="2"/>
    <x v="39"/>
    <x v="0"/>
    <x v="5"/>
    <x v="12"/>
    <x v="13"/>
    <m/>
    <x v="0"/>
    <x v="0"/>
    <m/>
    <m/>
    <m/>
    <m/>
    <x v="0"/>
    <m/>
    <m/>
    <x v="0"/>
    <x v="2"/>
    <n v="5000"/>
    <x v="0"/>
    <m/>
    <n v="5000"/>
    <x v="0"/>
    <x v="0"/>
    <x v="0"/>
    <m/>
    <x v="0"/>
    <x v="0"/>
    <x v="0"/>
    <x v="0"/>
    <x v="0"/>
    <x v="0"/>
    <x v="0"/>
    <x v="0"/>
    <x v="0"/>
    <x v="0"/>
    <x v="0"/>
    <x v="0"/>
    <x v="0"/>
    <x v="0"/>
    <m/>
    <m/>
    <n v="5000"/>
    <x v="0"/>
    <x v="0"/>
    <m/>
    <n v="5000"/>
    <n v="2898"/>
    <m/>
    <s v="DREF Replenishment"/>
    <x v="0"/>
    <x v="0"/>
  </r>
  <r>
    <m/>
    <n v="80"/>
    <s v="Bolivia Storm"/>
    <d v="2002-07-01T00:00:00"/>
    <x v="7"/>
    <n v="4"/>
    <x v="0"/>
    <x v="7"/>
    <n v="18"/>
    <x v="2"/>
    <x v="38"/>
    <x v="0"/>
    <x v="5"/>
    <x v="12"/>
    <x v="13"/>
    <m/>
    <x v="0"/>
    <x v="0"/>
    <m/>
    <m/>
    <m/>
    <m/>
    <x v="0"/>
    <m/>
    <m/>
    <x v="0"/>
    <x v="2"/>
    <n v="5000"/>
    <x v="0"/>
    <m/>
    <n v="5000"/>
    <x v="0"/>
    <x v="0"/>
    <x v="0"/>
    <m/>
    <x v="0"/>
    <x v="0"/>
    <x v="0"/>
    <x v="0"/>
    <x v="0"/>
    <x v="0"/>
    <x v="0"/>
    <x v="0"/>
    <x v="0"/>
    <x v="0"/>
    <x v="0"/>
    <x v="0"/>
    <x v="0"/>
    <x v="0"/>
    <m/>
    <m/>
    <n v="5000"/>
    <x v="0"/>
    <x v="0"/>
    <m/>
    <n v="5000"/>
    <n v="2898"/>
    <m/>
    <s v="DREF Replenishment"/>
    <x v="0"/>
    <x v="0"/>
  </r>
  <r>
    <m/>
    <n v="81"/>
    <s v="Venezuela Floods"/>
    <d v="2002-07-01T00:00:00"/>
    <x v="7"/>
    <n v="5"/>
    <x v="0"/>
    <x v="7"/>
    <n v="19"/>
    <x v="2"/>
    <x v="22"/>
    <x v="0"/>
    <x v="2"/>
    <x v="2"/>
    <x v="2"/>
    <m/>
    <x v="0"/>
    <x v="0"/>
    <m/>
    <m/>
    <m/>
    <m/>
    <x v="0"/>
    <m/>
    <m/>
    <x v="0"/>
    <x v="0"/>
    <m/>
    <x v="0"/>
    <n v="50000"/>
    <n v="50000"/>
    <x v="2"/>
    <x v="0"/>
    <x v="0"/>
    <m/>
    <x v="0"/>
    <x v="0"/>
    <x v="0"/>
    <x v="0"/>
    <x v="0"/>
    <x v="0"/>
    <x v="0"/>
    <x v="0"/>
    <x v="0"/>
    <x v="0"/>
    <x v="0"/>
    <x v="0"/>
    <x v="0"/>
    <x v="0"/>
    <m/>
    <m/>
    <n v="50000"/>
    <x v="0"/>
    <x v="0"/>
    <n v="3840"/>
    <n v="50000"/>
    <n v="2912"/>
    <m/>
    <s v="Funds provided by US Embassy; program implemented by Delegates/IRT members based in Caracas"/>
    <x v="0"/>
    <x v="0"/>
  </r>
  <r>
    <m/>
    <n v="82"/>
    <s v="India Floods"/>
    <d v="2002-08-01T00:00:00"/>
    <x v="7"/>
    <n v="6"/>
    <x v="0"/>
    <x v="7"/>
    <n v="20"/>
    <x v="3"/>
    <x v="15"/>
    <x v="0"/>
    <x v="2"/>
    <x v="2"/>
    <x v="2"/>
    <m/>
    <x v="0"/>
    <x v="0"/>
    <m/>
    <m/>
    <m/>
    <m/>
    <x v="0"/>
    <m/>
    <m/>
    <x v="0"/>
    <x v="1"/>
    <n v="66918.959999999992"/>
    <x v="0"/>
    <m/>
    <n v="66918.959999999992"/>
    <x v="15"/>
    <x v="0"/>
    <x v="0"/>
    <n v="2900"/>
    <x v="0"/>
    <x v="0"/>
    <x v="0"/>
    <x v="0"/>
    <x v="0"/>
    <x v="0"/>
    <x v="0"/>
    <x v="0"/>
    <x v="0"/>
    <x v="0"/>
    <x v="0"/>
    <x v="0"/>
    <x v="0"/>
    <x v="0"/>
    <n v="122911.16"/>
    <n v="42422.75"/>
    <n v="232252.87"/>
    <x v="0"/>
    <x v="0"/>
    <n v="36500"/>
    <n v="232252.87"/>
    <n v="2954"/>
    <m/>
    <s v="2,900 Family Kits @ $35.88 each; 2 WHO NEHK; 2 WHO Cholera Kits; Flood Mitigation in Assam and Bihar thru Appeal."/>
    <x v="0"/>
    <x v="0"/>
  </r>
  <r>
    <m/>
    <n v="83"/>
    <s v="Romania Floods"/>
    <d v="2002-08-01T00:00:00"/>
    <x v="7"/>
    <n v="7"/>
    <x v="0"/>
    <x v="7"/>
    <n v="21"/>
    <x v="3"/>
    <x v="61"/>
    <x v="0"/>
    <x v="2"/>
    <x v="2"/>
    <x v="2"/>
    <m/>
    <x v="0"/>
    <x v="0"/>
    <m/>
    <m/>
    <m/>
    <m/>
    <x v="0"/>
    <m/>
    <m/>
    <x v="0"/>
    <x v="0"/>
    <m/>
    <x v="0"/>
    <m/>
    <n v="0"/>
    <x v="5"/>
    <x v="0"/>
    <x v="0"/>
    <n v="14500"/>
    <x v="0"/>
    <x v="0"/>
    <x v="0"/>
    <x v="0"/>
    <x v="0"/>
    <x v="0"/>
    <x v="0"/>
    <x v="0"/>
    <x v="0"/>
    <x v="4"/>
    <x v="0"/>
    <x v="0"/>
    <x v="0"/>
    <x v="0"/>
    <n v="102950"/>
    <n v="12189.84"/>
    <n v="115139.84"/>
    <x v="0"/>
    <x v="0"/>
    <n v="58000"/>
    <n v="115139.84"/>
    <n v="2685"/>
    <m/>
    <s v="ex Sofia"/>
    <x v="0"/>
    <x v="0"/>
  </r>
  <r>
    <m/>
    <n v="83"/>
    <s v="Germany Floods"/>
    <d v="2002-08-01T00:00:00"/>
    <x v="7"/>
    <n v="7"/>
    <x v="0"/>
    <x v="7"/>
    <n v="21"/>
    <x v="3"/>
    <x v="62"/>
    <x v="0"/>
    <x v="2"/>
    <x v="2"/>
    <x v="2"/>
    <m/>
    <x v="0"/>
    <x v="0"/>
    <m/>
    <m/>
    <m/>
    <m/>
    <x v="0"/>
    <m/>
    <m/>
    <x v="0"/>
    <x v="0"/>
    <m/>
    <x v="0"/>
    <n v="75000"/>
    <n v="75000"/>
    <x v="0"/>
    <x v="0"/>
    <x v="0"/>
    <m/>
    <x v="0"/>
    <x v="0"/>
    <x v="0"/>
    <x v="0"/>
    <x v="0"/>
    <x v="0"/>
    <x v="0"/>
    <x v="0"/>
    <x v="0"/>
    <x v="0"/>
    <x v="0"/>
    <x v="0"/>
    <x v="0"/>
    <x v="0"/>
    <m/>
    <m/>
    <n v="75000"/>
    <x v="0"/>
    <x v="0"/>
    <n v="7500"/>
    <n v="75000"/>
    <n v="2099"/>
    <m/>
    <s v="Pass throughs from  Alcoa, AmEx, Citigroup, Levi Strauss"/>
    <x v="0"/>
    <x v="0"/>
  </r>
  <r>
    <m/>
    <n v="83"/>
    <s v="Czech Republic Floods"/>
    <d v="2002-08-01T00:00:00"/>
    <x v="7"/>
    <n v="7"/>
    <x v="0"/>
    <x v="7"/>
    <n v="21"/>
    <x v="3"/>
    <x v="63"/>
    <x v="0"/>
    <x v="2"/>
    <x v="2"/>
    <x v="2"/>
    <m/>
    <x v="0"/>
    <x v="0"/>
    <m/>
    <m/>
    <m/>
    <m/>
    <x v="0"/>
    <m/>
    <m/>
    <x v="0"/>
    <x v="0"/>
    <m/>
    <x v="0"/>
    <n v="90000"/>
    <n v="90000"/>
    <x v="0"/>
    <x v="0"/>
    <x v="0"/>
    <m/>
    <x v="0"/>
    <x v="0"/>
    <x v="0"/>
    <x v="0"/>
    <x v="0"/>
    <x v="0"/>
    <x v="0"/>
    <x v="0"/>
    <x v="0"/>
    <x v="0"/>
    <x v="0"/>
    <x v="0"/>
    <x v="0"/>
    <x v="0"/>
    <m/>
    <m/>
    <n v="90000"/>
    <x v="0"/>
    <x v="0"/>
    <n v="9000"/>
    <n v="90000"/>
    <n v="2099"/>
    <m/>
    <s v="Pass throughs from  AmEx (2099), Levi Strauss (2099) and JP Morgan (2608)"/>
    <x v="0"/>
    <x v="0"/>
  </r>
  <r>
    <m/>
    <n v="83"/>
    <s v="Slovakia Floods"/>
    <d v="2002-08-01T00:00:00"/>
    <x v="7"/>
    <n v="7"/>
    <x v="0"/>
    <x v="7"/>
    <n v="21"/>
    <x v="3"/>
    <x v="64"/>
    <x v="0"/>
    <x v="2"/>
    <x v="2"/>
    <x v="2"/>
    <m/>
    <x v="0"/>
    <x v="0"/>
    <m/>
    <m/>
    <m/>
    <m/>
    <x v="0"/>
    <m/>
    <m/>
    <x v="0"/>
    <x v="0"/>
    <m/>
    <x v="0"/>
    <n v="10000"/>
    <n v="10000"/>
    <x v="0"/>
    <x v="0"/>
    <x v="0"/>
    <m/>
    <x v="0"/>
    <x v="0"/>
    <x v="0"/>
    <x v="0"/>
    <x v="0"/>
    <x v="0"/>
    <x v="0"/>
    <x v="0"/>
    <x v="0"/>
    <x v="0"/>
    <x v="0"/>
    <x v="0"/>
    <x v="0"/>
    <x v="0"/>
    <m/>
    <m/>
    <n v="10000"/>
    <x v="0"/>
    <x v="0"/>
    <n v="1000"/>
    <n v="10000"/>
    <n v="2608"/>
    <m/>
    <s v="Pass through from JP Morgan / Chase"/>
    <x v="0"/>
    <x v="0"/>
  </r>
  <r>
    <m/>
    <n v="83"/>
    <s v="Hungary Floods"/>
    <d v="2002-08-01T00:00:00"/>
    <x v="7"/>
    <n v="7"/>
    <x v="0"/>
    <x v="7"/>
    <n v="21"/>
    <x v="3"/>
    <x v="65"/>
    <x v="0"/>
    <x v="2"/>
    <x v="2"/>
    <x v="2"/>
    <m/>
    <x v="0"/>
    <x v="0"/>
    <m/>
    <m/>
    <m/>
    <m/>
    <x v="0"/>
    <m/>
    <m/>
    <x v="0"/>
    <x v="0"/>
    <m/>
    <x v="0"/>
    <n v="35000"/>
    <n v="35000"/>
    <x v="0"/>
    <x v="0"/>
    <x v="0"/>
    <m/>
    <x v="0"/>
    <x v="0"/>
    <x v="0"/>
    <x v="0"/>
    <x v="0"/>
    <x v="0"/>
    <x v="0"/>
    <x v="0"/>
    <x v="0"/>
    <x v="0"/>
    <x v="0"/>
    <x v="0"/>
    <x v="0"/>
    <x v="0"/>
    <m/>
    <m/>
    <n v="35000"/>
    <x v="0"/>
    <x v="0"/>
    <n v="3500"/>
    <n v="35000"/>
    <n v="2099"/>
    <m/>
    <s v="Pass through from  Citigroup (2099) &amp; JP Morgan (2608)"/>
    <x v="0"/>
    <x v="0"/>
  </r>
  <r>
    <m/>
    <n v="83"/>
    <s v="Austria Floods"/>
    <d v="2002-08-01T00:00:00"/>
    <x v="7"/>
    <n v="7"/>
    <x v="0"/>
    <x v="7"/>
    <n v="21"/>
    <x v="3"/>
    <x v="32"/>
    <x v="0"/>
    <x v="2"/>
    <x v="2"/>
    <x v="2"/>
    <m/>
    <x v="0"/>
    <x v="0"/>
    <m/>
    <m/>
    <m/>
    <m/>
    <x v="0"/>
    <m/>
    <m/>
    <x v="0"/>
    <x v="0"/>
    <m/>
    <x v="0"/>
    <n v="25000"/>
    <n v="25000"/>
    <x v="0"/>
    <x v="0"/>
    <x v="0"/>
    <m/>
    <x v="0"/>
    <x v="0"/>
    <x v="0"/>
    <x v="0"/>
    <x v="0"/>
    <x v="0"/>
    <x v="0"/>
    <x v="0"/>
    <x v="0"/>
    <x v="0"/>
    <x v="0"/>
    <x v="0"/>
    <x v="0"/>
    <x v="0"/>
    <m/>
    <m/>
    <n v="25000"/>
    <x v="0"/>
    <x v="0"/>
    <n v="2500"/>
    <n v="25000"/>
    <n v="2608"/>
    <m/>
    <s v="AMEX re-directed funds from their ADGP"/>
    <x v="0"/>
    <x v="0"/>
  </r>
  <r>
    <m/>
    <n v="84"/>
    <s v="Mexico Storm"/>
    <d v="2002-09-01T00:00:00"/>
    <x v="7"/>
    <n v="8"/>
    <x v="0"/>
    <x v="7"/>
    <n v="22"/>
    <x v="2"/>
    <x v="2"/>
    <x v="0"/>
    <x v="5"/>
    <x v="5"/>
    <x v="5"/>
    <m/>
    <x v="0"/>
    <x v="0"/>
    <m/>
    <m/>
    <m/>
    <m/>
    <x v="0"/>
    <m/>
    <m/>
    <x v="0"/>
    <x v="0"/>
    <m/>
    <x v="0"/>
    <m/>
    <n v="0"/>
    <x v="4"/>
    <x v="0"/>
    <x v="0"/>
    <m/>
    <x v="0"/>
    <x v="0"/>
    <x v="0"/>
    <x v="0"/>
    <x v="0"/>
    <x v="0"/>
    <x v="0"/>
    <x v="0"/>
    <x v="0"/>
    <x v="0"/>
    <x v="0"/>
    <x v="0"/>
    <x v="0"/>
    <x v="0"/>
    <m/>
    <n v="60000"/>
    <n v="60000"/>
    <x v="0"/>
    <x v="0"/>
    <n v="20000"/>
    <n v="60000"/>
    <n v="2687"/>
    <s v="Isidore"/>
    <s v="$50,000 from OFDA; 4,000 hygiene parcels"/>
    <x v="0"/>
    <x v="0"/>
  </r>
  <r>
    <m/>
    <n v="85"/>
    <s v="Paraguay Drought"/>
    <d v="2002-10-01T00:00:00"/>
    <x v="7"/>
    <n v="9"/>
    <x v="0"/>
    <x v="7"/>
    <n v="23"/>
    <x v="2"/>
    <x v="66"/>
    <x v="0"/>
    <x v="1"/>
    <x v="1"/>
    <x v="1"/>
    <m/>
    <x v="0"/>
    <x v="0"/>
    <m/>
    <m/>
    <m/>
    <m/>
    <x v="0"/>
    <m/>
    <m/>
    <x v="0"/>
    <x v="0"/>
    <m/>
    <x v="0"/>
    <m/>
    <n v="0"/>
    <x v="4"/>
    <x v="0"/>
    <x v="0"/>
    <m/>
    <x v="0"/>
    <x v="0"/>
    <x v="0"/>
    <x v="0"/>
    <x v="0"/>
    <x v="0"/>
    <x v="0"/>
    <x v="0"/>
    <x v="0"/>
    <x v="0"/>
    <x v="0"/>
    <x v="0"/>
    <x v="0"/>
    <x v="0"/>
    <m/>
    <m/>
    <n v="0"/>
    <x v="0"/>
    <x v="0"/>
    <n v="8165"/>
    <n v="0"/>
    <n v="2898"/>
    <m/>
    <s v="$50,000 from OFDA money given directly to the Paraguay RC for relief food distributions"/>
    <x v="0"/>
    <x v="0"/>
  </r>
  <r>
    <m/>
    <n v="86"/>
    <s v="Mexico Storm"/>
    <d v="2002-10-01T00:00:00"/>
    <x v="7"/>
    <n v="10"/>
    <x v="0"/>
    <x v="7"/>
    <n v="24"/>
    <x v="2"/>
    <x v="2"/>
    <x v="0"/>
    <x v="5"/>
    <x v="5"/>
    <x v="5"/>
    <m/>
    <x v="0"/>
    <x v="0"/>
    <m/>
    <m/>
    <m/>
    <m/>
    <x v="0"/>
    <m/>
    <m/>
    <x v="0"/>
    <x v="0"/>
    <m/>
    <x v="0"/>
    <m/>
    <n v="0"/>
    <x v="2"/>
    <x v="0"/>
    <x v="0"/>
    <m/>
    <x v="0"/>
    <x v="0"/>
    <x v="0"/>
    <x v="0"/>
    <x v="0"/>
    <x v="0"/>
    <x v="0"/>
    <x v="0"/>
    <x v="0"/>
    <x v="0"/>
    <x v="0"/>
    <x v="0"/>
    <x v="0"/>
    <x v="0"/>
    <m/>
    <m/>
    <n v="0"/>
    <x v="0"/>
    <x v="0"/>
    <m/>
    <n v="0"/>
    <n v="2688"/>
    <s v="Kenna"/>
    <m/>
    <x v="0"/>
    <x v="0"/>
  </r>
  <r>
    <m/>
    <n v="87"/>
    <s v="South Korea Storm"/>
    <d v="2002-10-01T00:00:00"/>
    <x v="7"/>
    <n v="11"/>
    <x v="0"/>
    <x v="7"/>
    <n v="25"/>
    <x v="3"/>
    <x v="67"/>
    <x v="0"/>
    <x v="5"/>
    <x v="5"/>
    <x v="22"/>
    <m/>
    <x v="0"/>
    <x v="0"/>
    <m/>
    <m/>
    <m/>
    <m/>
    <x v="0"/>
    <m/>
    <m/>
    <x v="0"/>
    <x v="0"/>
    <m/>
    <x v="0"/>
    <n v="120000"/>
    <n v="120000"/>
    <x v="0"/>
    <x v="0"/>
    <x v="0"/>
    <m/>
    <x v="0"/>
    <x v="0"/>
    <x v="0"/>
    <x v="0"/>
    <x v="0"/>
    <x v="0"/>
    <x v="0"/>
    <x v="0"/>
    <x v="0"/>
    <x v="0"/>
    <x v="0"/>
    <x v="0"/>
    <x v="0"/>
    <x v="0"/>
    <m/>
    <n v="10000"/>
    <n v="130000"/>
    <x v="0"/>
    <x v="0"/>
    <n v="5775"/>
    <n v="130000"/>
    <n v="2686"/>
    <s v="Rusa"/>
    <s v="$10,000 from Alcoa for winter clothing in donor-specified province; $110,000 from CISCO &amp; Lucent for DPP training."/>
    <x v="0"/>
    <x v="0"/>
  </r>
  <r>
    <m/>
    <n v="88"/>
    <s v="Italy Earthquake"/>
    <d v="2002-10-01T00:00:00"/>
    <x v="7"/>
    <n v="12"/>
    <x v="0"/>
    <x v="7"/>
    <n v="26"/>
    <x v="3"/>
    <x v="68"/>
    <x v="0"/>
    <x v="3"/>
    <x v="3"/>
    <x v="3"/>
    <m/>
    <x v="0"/>
    <x v="0"/>
    <m/>
    <m/>
    <m/>
    <m/>
    <x v="0"/>
    <m/>
    <m/>
    <x v="0"/>
    <x v="0"/>
    <m/>
    <x v="0"/>
    <n v="10000"/>
    <n v="10000"/>
    <x v="0"/>
    <x v="0"/>
    <x v="0"/>
    <m/>
    <x v="0"/>
    <x v="0"/>
    <x v="0"/>
    <x v="0"/>
    <x v="0"/>
    <x v="0"/>
    <x v="0"/>
    <x v="0"/>
    <x v="0"/>
    <x v="0"/>
    <x v="0"/>
    <x v="0"/>
    <x v="0"/>
    <x v="0"/>
    <m/>
    <m/>
    <n v="10000"/>
    <x v="0"/>
    <x v="0"/>
    <m/>
    <n v="10000"/>
    <n v="2608"/>
    <m/>
    <s v="Verizon Pass through"/>
    <x v="0"/>
    <x v="0"/>
  </r>
  <r>
    <m/>
    <n v="89"/>
    <s v="Indonesia Terrorism"/>
    <d v="2002-10-01T00:00:00"/>
    <x v="7"/>
    <n v="13"/>
    <x v="0"/>
    <x v="7"/>
    <n v="27"/>
    <x v="3"/>
    <x v="27"/>
    <x v="0"/>
    <x v="12"/>
    <x v="14"/>
    <x v="15"/>
    <m/>
    <x v="0"/>
    <x v="0"/>
    <m/>
    <m/>
    <m/>
    <m/>
    <x v="0"/>
    <m/>
    <m/>
    <x v="0"/>
    <x v="0"/>
    <m/>
    <x v="0"/>
    <n v="46670"/>
    <n v="46670"/>
    <x v="0"/>
    <x v="0"/>
    <x v="0"/>
    <m/>
    <x v="0"/>
    <x v="0"/>
    <x v="0"/>
    <x v="0"/>
    <x v="0"/>
    <x v="0"/>
    <x v="0"/>
    <x v="0"/>
    <x v="0"/>
    <x v="0"/>
    <x v="0"/>
    <x v="0"/>
    <x v="0"/>
    <x v="0"/>
    <m/>
    <m/>
    <n v="46670"/>
    <x v="0"/>
    <x v="0"/>
    <m/>
    <n v="46670"/>
    <n v="2613"/>
    <s v="Bali"/>
    <s v="Exxon/Mobil provided  $30,000 for Indonesia (to be programmed by AusCross); Citigroup provided $10,000 (2099), G.E provided $5,000 (2898) and Assoc. of Chartered Accountants provided $1,670"/>
    <x v="0"/>
    <x v="0"/>
  </r>
  <r>
    <m/>
    <n v="89"/>
    <s v="Australia Terrorism"/>
    <d v="2002-10-01T00:00:00"/>
    <x v="7"/>
    <n v="13"/>
    <x v="0"/>
    <x v="7"/>
    <n v="27"/>
    <x v="3"/>
    <x v="69"/>
    <x v="0"/>
    <x v="12"/>
    <x v="14"/>
    <x v="15"/>
    <m/>
    <x v="0"/>
    <x v="0"/>
    <m/>
    <m/>
    <m/>
    <m/>
    <x v="0"/>
    <m/>
    <m/>
    <x v="0"/>
    <x v="0"/>
    <m/>
    <x v="0"/>
    <n v="237898.78"/>
    <n v="237898.78"/>
    <x v="2"/>
    <x v="0"/>
    <x v="0"/>
    <m/>
    <x v="0"/>
    <x v="0"/>
    <x v="0"/>
    <x v="0"/>
    <x v="0"/>
    <x v="0"/>
    <x v="0"/>
    <x v="0"/>
    <x v="0"/>
    <x v="0"/>
    <x v="0"/>
    <x v="0"/>
    <x v="0"/>
    <x v="0"/>
    <m/>
    <m/>
    <n v="237898.78"/>
    <x v="0"/>
    <x v="0"/>
    <m/>
    <n v="237898.78"/>
    <n v="2613"/>
    <s v="Bali"/>
    <s v="includes $151,228.89 from AP 2613 (estab. Oct 2002). Exxon/Mobil provided  $70,000; Anne Bike sent to Australia."/>
    <x v="0"/>
    <x v="0"/>
  </r>
  <r>
    <m/>
    <n v="90"/>
    <s v="Vietnam Miscellaneous"/>
    <d v="2002-10-01T00:00:00"/>
    <x v="7"/>
    <n v="14"/>
    <x v="0"/>
    <x v="7"/>
    <n v="28"/>
    <x v="3"/>
    <x v="16"/>
    <x v="0"/>
    <x v="10"/>
    <x v="10"/>
    <x v="18"/>
    <m/>
    <x v="0"/>
    <x v="0"/>
    <m/>
    <m/>
    <m/>
    <m/>
    <x v="0"/>
    <m/>
    <m/>
    <x v="0"/>
    <x v="0"/>
    <m/>
    <x v="0"/>
    <n v="100000"/>
    <n v="100000"/>
    <x v="0"/>
    <x v="0"/>
    <x v="0"/>
    <m/>
    <x v="0"/>
    <x v="0"/>
    <x v="0"/>
    <x v="0"/>
    <x v="0"/>
    <x v="0"/>
    <x v="0"/>
    <x v="0"/>
    <x v="0"/>
    <x v="0"/>
    <x v="0"/>
    <x v="0"/>
    <x v="0"/>
    <x v="0"/>
    <m/>
    <m/>
    <n v="100000"/>
    <x v="0"/>
    <x v="0"/>
    <n v="1000"/>
    <n v="100000"/>
    <n v="2608"/>
    <s v="International Trade Center - HCM City"/>
    <s v="SDP developed for Starr Foundation contribution for $100,000"/>
    <x v="0"/>
    <x v="0"/>
  </r>
  <r>
    <m/>
    <n v="91"/>
    <s v="Cuba Storm"/>
    <d v="2002-10-01T00:00:00"/>
    <x v="7"/>
    <n v="15"/>
    <x v="0"/>
    <x v="7"/>
    <n v="29"/>
    <x v="2"/>
    <x v="52"/>
    <x v="0"/>
    <x v="5"/>
    <x v="5"/>
    <x v="5"/>
    <m/>
    <x v="0"/>
    <x v="0"/>
    <m/>
    <m/>
    <m/>
    <m/>
    <x v="0"/>
    <m/>
    <m/>
    <x v="0"/>
    <x v="2"/>
    <n v="10000"/>
    <x v="0"/>
    <m/>
    <n v="10000"/>
    <x v="0"/>
    <x v="0"/>
    <x v="0"/>
    <m/>
    <x v="0"/>
    <x v="0"/>
    <x v="0"/>
    <x v="0"/>
    <x v="0"/>
    <x v="0"/>
    <x v="0"/>
    <x v="0"/>
    <x v="0"/>
    <x v="0"/>
    <x v="0"/>
    <x v="0"/>
    <x v="0"/>
    <x v="0"/>
    <m/>
    <m/>
    <n v="10000"/>
    <x v="0"/>
    <x v="0"/>
    <n v="1000"/>
    <n v="10000"/>
    <n v="2898"/>
    <s v="Isidore / Lili"/>
    <s v="Toward the Federation Appeal"/>
    <x v="0"/>
    <x v="0"/>
  </r>
  <r>
    <m/>
    <n v="92"/>
    <s v="Lesotho Food Insecurity"/>
    <d v="2002-10-01T00:00:00"/>
    <x v="7"/>
    <n v="16"/>
    <x v="0"/>
    <x v="7"/>
    <n v="30"/>
    <x v="1"/>
    <x v="70"/>
    <x v="0"/>
    <x v="14"/>
    <x v="18"/>
    <x v="20"/>
    <m/>
    <x v="0"/>
    <x v="0"/>
    <m/>
    <m/>
    <m/>
    <m/>
    <x v="0"/>
    <m/>
    <m/>
    <x v="0"/>
    <x v="2"/>
    <n v="25000"/>
    <x v="0"/>
    <m/>
    <n v="25000"/>
    <x v="0"/>
    <x v="0"/>
    <x v="0"/>
    <m/>
    <x v="0"/>
    <x v="0"/>
    <x v="0"/>
    <x v="0"/>
    <x v="0"/>
    <x v="0"/>
    <x v="0"/>
    <x v="0"/>
    <x v="0"/>
    <x v="0"/>
    <x v="0"/>
    <x v="0"/>
    <x v="0"/>
    <x v="0"/>
    <m/>
    <m/>
    <n v="25000"/>
    <x v="0"/>
    <x v="0"/>
    <n v="2500"/>
    <n v="25000"/>
    <n v="2898"/>
    <m/>
    <s v="Toward the Federation Appeal for Southern Africa"/>
    <x v="0"/>
    <x v="0"/>
  </r>
  <r>
    <m/>
    <n v="93"/>
    <s v="Costa Rica Floods"/>
    <d v="2002-12-01T00:00:00"/>
    <x v="7"/>
    <n v="17"/>
    <x v="0"/>
    <x v="7"/>
    <n v="31"/>
    <x v="2"/>
    <x v="3"/>
    <x v="0"/>
    <x v="2"/>
    <x v="2"/>
    <x v="2"/>
    <m/>
    <x v="0"/>
    <x v="0"/>
    <m/>
    <m/>
    <m/>
    <m/>
    <x v="0"/>
    <m/>
    <m/>
    <x v="0"/>
    <x v="0"/>
    <m/>
    <x v="0"/>
    <n v="1000"/>
    <n v="1000"/>
    <x v="0"/>
    <x v="0"/>
    <x v="0"/>
    <m/>
    <x v="0"/>
    <x v="0"/>
    <x v="0"/>
    <x v="0"/>
    <x v="0"/>
    <x v="0"/>
    <x v="0"/>
    <x v="0"/>
    <x v="0"/>
    <x v="0"/>
    <x v="0"/>
    <x v="0"/>
    <x v="0"/>
    <x v="0"/>
    <m/>
    <m/>
    <n v="1000"/>
    <x v="0"/>
    <x v="0"/>
    <m/>
    <n v="1000"/>
    <n v="2898"/>
    <m/>
    <s v="Cash donation to National Society"/>
    <x v="0"/>
    <x v="0"/>
  </r>
  <r>
    <m/>
    <n v="94"/>
    <s v="Panama Floods"/>
    <d v="2002-12-01T00:00:00"/>
    <x v="7"/>
    <n v="18"/>
    <x v="0"/>
    <x v="7"/>
    <n v="32"/>
    <x v="2"/>
    <x v="57"/>
    <x v="0"/>
    <x v="2"/>
    <x v="2"/>
    <x v="2"/>
    <m/>
    <x v="0"/>
    <x v="0"/>
    <m/>
    <m/>
    <m/>
    <m/>
    <x v="0"/>
    <m/>
    <m/>
    <x v="0"/>
    <x v="0"/>
    <m/>
    <x v="0"/>
    <n v="1345"/>
    <n v="1345"/>
    <x v="0"/>
    <x v="0"/>
    <x v="0"/>
    <n v="675"/>
    <x v="0"/>
    <x v="0"/>
    <x v="0"/>
    <x v="0"/>
    <x v="0"/>
    <x v="0"/>
    <x v="0"/>
    <x v="0"/>
    <x v="0"/>
    <x v="0"/>
    <x v="0"/>
    <x v="0"/>
    <x v="0"/>
    <x v="0"/>
    <m/>
    <m/>
    <n v="1345"/>
    <x v="0"/>
    <x v="0"/>
    <n v="675"/>
    <n v="1345"/>
    <n v="2898"/>
    <m/>
    <s v="675 jerry cans from pre-positioned stocks"/>
    <x v="0"/>
    <x v="0"/>
  </r>
  <r>
    <m/>
    <n v="95"/>
    <s v="Kenya Epidemic"/>
    <d v="2002-12-01T00:00:00"/>
    <x v="7"/>
    <n v="19"/>
    <x v="0"/>
    <x v="7"/>
    <n v="33"/>
    <x v="1"/>
    <x v="58"/>
    <x v="0"/>
    <x v="11"/>
    <x v="20"/>
    <x v="23"/>
    <m/>
    <x v="0"/>
    <x v="0"/>
    <m/>
    <m/>
    <m/>
    <m/>
    <x v="0"/>
    <m/>
    <m/>
    <x v="0"/>
    <x v="0"/>
    <m/>
    <x v="0"/>
    <n v="5000"/>
    <n v="5000"/>
    <x v="0"/>
    <x v="0"/>
    <x v="0"/>
    <m/>
    <x v="0"/>
    <x v="0"/>
    <x v="0"/>
    <x v="0"/>
    <x v="0"/>
    <x v="0"/>
    <x v="0"/>
    <x v="0"/>
    <x v="0"/>
    <x v="0"/>
    <x v="0"/>
    <x v="0"/>
    <x v="0"/>
    <x v="0"/>
    <m/>
    <m/>
    <n v="5000"/>
    <x v="0"/>
    <x v="0"/>
    <n v="500"/>
    <n v="5000"/>
    <n v="2898"/>
    <s v="Malaria"/>
    <s v="Africa Region also donated $5,000 to KRC for a total of $10,000"/>
    <x v="0"/>
    <x v="0"/>
  </r>
  <r>
    <m/>
    <n v="96"/>
    <s v="Solomon Islands Storm"/>
    <d v="2003-01-01T00:00:00"/>
    <x v="7"/>
    <n v="20"/>
    <x v="0"/>
    <x v="8"/>
    <n v="1"/>
    <x v="3"/>
    <x v="71"/>
    <x v="0"/>
    <x v="5"/>
    <x v="5"/>
    <x v="8"/>
    <m/>
    <x v="0"/>
    <x v="0"/>
    <m/>
    <m/>
    <m/>
    <m/>
    <x v="0"/>
    <m/>
    <m/>
    <x v="0"/>
    <x v="2"/>
    <n v="7242.1372799999999"/>
    <x v="0"/>
    <m/>
    <n v="7242.1372799999999"/>
    <x v="0"/>
    <x v="0"/>
    <x v="0"/>
    <m/>
    <x v="0"/>
    <x v="0"/>
    <x v="0"/>
    <x v="0"/>
    <x v="0"/>
    <x v="0"/>
    <x v="0"/>
    <x v="0"/>
    <x v="0"/>
    <x v="0"/>
    <x v="0"/>
    <x v="0"/>
    <x v="0"/>
    <x v="0"/>
    <m/>
    <m/>
    <n v="7242.1372799999999"/>
    <x v="0"/>
    <x v="0"/>
    <m/>
    <n v="7242.1372799999999"/>
    <n v="2881"/>
    <s v="Zoe"/>
    <s v="FJD 14,369.32 for re-stocking Solomon Islands RC"/>
    <x v="0"/>
    <x v="0"/>
  </r>
  <r>
    <m/>
    <n v="97"/>
    <s v="Mexico Earthquake"/>
    <d v="2003-01-01T00:00:00"/>
    <x v="7"/>
    <n v="21"/>
    <x v="0"/>
    <x v="8"/>
    <n v="2"/>
    <x v="2"/>
    <x v="2"/>
    <x v="0"/>
    <x v="3"/>
    <x v="3"/>
    <x v="3"/>
    <m/>
    <x v="0"/>
    <x v="0"/>
    <m/>
    <m/>
    <m/>
    <m/>
    <x v="0"/>
    <m/>
    <m/>
    <x v="0"/>
    <x v="0"/>
    <m/>
    <x v="0"/>
    <n v="350000"/>
    <n v="350000"/>
    <x v="5"/>
    <x v="0"/>
    <x v="0"/>
    <m/>
    <x v="0"/>
    <x v="0"/>
    <x v="0"/>
    <x v="0"/>
    <x v="0"/>
    <x v="0"/>
    <x v="0"/>
    <x v="0"/>
    <x v="0"/>
    <x v="0"/>
    <x v="0"/>
    <x v="0"/>
    <x v="0"/>
    <x v="0"/>
    <m/>
    <m/>
    <n v="350000"/>
    <x v="0"/>
    <x v="0"/>
    <n v="2000"/>
    <n v="350000"/>
    <n v="2690"/>
    <m/>
    <s v="$100,000 donation from Wells Fargo was programmed by ARC in partnership with Mexican Red Cross (MRC). Steve McAndrew responded and 2 IRT members (Jerry Lisenby and M-C Brien) were subsequently deployed to manage the operation. Toyota donated $250,000 to t"/>
    <x v="0"/>
    <x v="0"/>
  </r>
  <r>
    <m/>
    <n v="97"/>
    <s v="Mexico Earthquake"/>
    <d v="2003-01-01T00:00:00"/>
    <x v="7"/>
    <n v="21"/>
    <x v="0"/>
    <x v="8"/>
    <n v="2"/>
    <x v="2"/>
    <x v="2"/>
    <x v="0"/>
    <x v="3"/>
    <x v="3"/>
    <x v="3"/>
    <m/>
    <x v="0"/>
    <x v="0"/>
    <m/>
    <m/>
    <m/>
    <m/>
    <x v="0"/>
    <m/>
    <m/>
    <x v="0"/>
    <x v="0"/>
    <m/>
    <x v="0"/>
    <n v="100000"/>
    <n v="100000"/>
    <x v="0"/>
    <x v="0"/>
    <x v="0"/>
    <m/>
    <x v="0"/>
    <x v="0"/>
    <x v="0"/>
    <x v="0"/>
    <x v="0"/>
    <x v="0"/>
    <x v="0"/>
    <x v="0"/>
    <x v="0"/>
    <x v="0"/>
    <x v="0"/>
    <x v="0"/>
    <x v="0"/>
    <x v="0"/>
    <m/>
    <m/>
    <n v="100000"/>
    <x v="0"/>
    <x v="0"/>
    <m/>
    <n v="100000"/>
    <n v="2642"/>
    <m/>
    <s v="$100,000 from OFDA was programmed by ARC in partnership with Mexican Red Cross (MRC)."/>
    <x v="0"/>
    <x v="0"/>
  </r>
  <r>
    <m/>
    <n v="98"/>
    <s v="South Korea Transport"/>
    <d v="2003-02-01T00:00:00"/>
    <x v="7"/>
    <n v="22"/>
    <x v="0"/>
    <x v="8"/>
    <n v="3"/>
    <x v="3"/>
    <x v="67"/>
    <x v="0"/>
    <x v="9"/>
    <x v="21"/>
    <x v="11"/>
    <m/>
    <x v="0"/>
    <x v="0"/>
    <m/>
    <m/>
    <m/>
    <m/>
    <x v="0"/>
    <m/>
    <m/>
    <x v="0"/>
    <x v="0"/>
    <m/>
    <x v="0"/>
    <n v="10000"/>
    <n v="10000"/>
    <x v="0"/>
    <x v="0"/>
    <x v="0"/>
    <m/>
    <x v="0"/>
    <x v="0"/>
    <x v="0"/>
    <x v="0"/>
    <x v="0"/>
    <x v="0"/>
    <x v="0"/>
    <x v="0"/>
    <x v="0"/>
    <x v="0"/>
    <x v="0"/>
    <x v="0"/>
    <x v="0"/>
    <x v="0"/>
    <m/>
    <m/>
    <n v="10000"/>
    <x v="0"/>
    <x v="0"/>
    <n v="1000"/>
    <n v="10000"/>
    <n v="2608"/>
    <s v="Taegu Subway fire"/>
    <s v="Alcoa passthrough"/>
    <x v="0"/>
    <x v="0"/>
  </r>
  <r>
    <m/>
    <n v="99"/>
    <s v="China Earthquake"/>
    <d v="2003-02-01T00:00:00"/>
    <x v="7"/>
    <n v="23"/>
    <x v="0"/>
    <x v="8"/>
    <n v="4"/>
    <x v="3"/>
    <x v="4"/>
    <x v="0"/>
    <x v="3"/>
    <x v="3"/>
    <x v="3"/>
    <m/>
    <x v="0"/>
    <x v="0"/>
    <m/>
    <m/>
    <m/>
    <m/>
    <x v="0"/>
    <m/>
    <m/>
    <x v="0"/>
    <x v="0"/>
    <m/>
    <x v="0"/>
    <n v="50000"/>
    <n v="50000"/>
    <x v="0"/>
    <x v="0"/>
    <x v="0"/>
    <m/>
    <x v="0"/>
    <x v="0"/>
    <x v="0"/>
    <x v="0"/>
    <x v="0"/>
    <x v="0"/>
    <x v="0"/>
    <x v="0"/>
    <x v="0"/>
    <x v="0"/>
    <x v="0"/>
    <x v="0"/>
    <x v="0"/>
    <x v="0"/>
    <m/>
    <m/>
    <n v="50000"/>
    <x v="0"/>
    <x v="0"/>
    <n v="1350"/>
    <n v="50000"/>
    <s v="0000"/>
    <m/>
    <s v="Altria passthrough"/>
    <x v="0"/>
    <x v="0"/>
  </r>
  <r>
    <m/>
    <n v="100"/>
    <s v="Iraq Conflict"/>
    <d v="2003-03-01T00:00:00"/>
    <x v="7"/>
    <n v="24"/>
    <x v="0"/>
    <x v="8"/>
    <n v="5"/>
    <x v="3"/>
    <x v="72"/>
    <x v="0"/>
    <x v="8"/>
    <x v="7"/>
    <x v="7"/>
    <m/>
    <x v="0"/>
    <x v="0"/>
    <m/>
    <m/>
    <m/>
    <m/>
    <x v="0"/>
    <m/>
    <m/>
    <x v="0"/>
    <x v="1"/>
    <n v="100000"/>
    <x v="2"/>
    <m/>
    <n v="200000"/>
    <x v="0"/>
    <x v="0"/>
    <x v="0"/>
    <n v="64200"/>
    <x v="0"/>
    <x v="0"/>
    <x v="5"/>
    <x v="3"/>
    <x v="0"/>
    <x v="0"/>
    <x v="0"/>
    <x v="0"/>
    <x v="0"/>
    <x v="0"/>
    <x v="0"/>
    <x v="0"/>
    <x v="0"/>
    <x v="0"/>
    <n v="221694"/>
    <m/>
    <n v="421694"/>
    <x v="0"/>
    <x v="0"/>
    <n v="54200"/>
    <n v="421694"/>
    <n v="2689"/>
    <s v="Iraq"/>
    <m/>
    <x v="0"/>
    <x v="0"/>
  </r>
  <r>
    <m/>
    <n v="100"/>
    <s v="Syria Conflict"/>
    <d v="2003-03-01T00:00:00"/>
    <x v="7"/>
    <n v="24"/>
    <x v="0"/>
    <x v="8"/>
    <n v="5"/>
    <x v="3"/>
    <x v="59"/>
    <x v="0"/>
    <x v="8"/>
    <x v="7"/>
    <x v="7"/>
    <m/>
    <x v="0"/>
    <x v="0"/>
    <m/>
    <m/>
    <m/>
    <m/>
    <x v="0"/>
    <m/>
    <m/>
    <x v="0"/>
    <x v="0"/>
    <m/>
    <x v="0"/>
    <n v="15000"/>
    <n v="15000"/>
    <x v="0"/>
    <x v="0"/>
    <x v="0"/>
    <m/>
    <x v="0"/>
    <x v="0"/>
    <x v="0"/>
    <x v="0"/>
    <x v="0"/>
    <x v="0"/>
    <x v="0"/>
    <x v="0"/>
    <x v="0"/>
    <x v="0"/>
    <x v="0"/>
    <x v="0"/>
    <x v="0"/>
    <x v="0"/>
    <m/>
    <m/>
    <n v="15000"/>
    <x v="0"/>
    <x v="0"/>
    <n v="1000"/>
    <n v="15000"/>
    <n v="2689"/>
    <s v="Iraq"/>
    <s v="PMN for SARC"/>
    <x v="0"/>
    <x v="0"/>
  </r>
  <r>
    <m/>
    <n v="100"/>
    <s v="Jordan Conflict"/>
    <d v="2003-03-01T00:00:00"/>
    <x v="7"/>
    <n v="24"/>
    <x v="0"/>
    <x v="8"/>
    <n v="5"/>
    <x v="3"/>
    <x v="30"/>
    <x v="0"/>
    <x v="8"/>
    <x v="7"/>
    <x v="7"/>
    <m/>
    <x v="0"/>
    <x v="0"/>
    <m/>
    <m/>
    <m/>
    <m/>
    <x v="0"/>
    <m/>
    <m/>
    <x v="0"/>
    <x v="0"/>
    <m/>
    <x v="0"/>
    <n v="15000"/>
    <n v="15000"/>
    <x v="4"/>
    <x v="0"/>
    <x v="0"/>
    <m/>
    <x v="0"/>
    <x v="0"/>
    <x v="0"/>
    <x v="0"/>
    <x v="0"/>
    <x v="0"/>
    <x v="0"/>
    <x v="0"/>
    <x v="0"/>
    <x v="0"/>
    <x v="0"/>
    <x v="0"/>
    <x v="0"/>
    <x v="0"/>
    <m/>
    <n v="17812"/>
    <n v="32812"/>
    <x v="0"/>
    <x v="0"/>
    <n v="1000"/>
    <n v="32812"/>
    <n v="2689"/>
    <s v="Iraq"/>
    <s v="PMN for JRCS; Jensen &amp; Dmitryuk in Amman"/>
    <x v="0"/>
    <x v="0"/>
  </r>
  <r>
    <m/>
    <n v="100"/>
    <s v="Turkey Conflict"/>
    <d v="2003-03-01T00:00:00"/>
    <x v="7"/>
    <n v="24"/>
    <x v="0"/>
    <x v="8"/>
    <n v="5"/>
    <x v="3"/>
    <x v="5"/>
    <x v="0"/>
    <x v="8"/>
    <x v="7"/>
    <x v="7"/>
    <m/>
    <x v="0"/>
    <x v="0"/>
    <m/>
    <m/>
    <m/>
    <m/>
    <x v="0"/>
    <m/>
    <m/>
    <x v="0"/>
    <x v="0"/>
    <m/>
    <x v="0"/>
    <m/>
    <n v="0"/>
    <x v="2"/>
    <x v="0"/>
    <x v="0"/>
    <m/>
    <x v="0"/>
    <x v="0"/>
    <x v="0"/>
    <x v="0"/>
    <x v="0"/>
    <x v="0"/>
    <x v="0"/>
    <x v="0"/>
    <x v="0"/>
    <x v="0"/>
    <x v="0"/>
    <x v="0"/>
    <x v="0"/>
    <x v="0"/>
    <m/>
    <n v="17812"/>
    <n v="17812"/>
    <x v="0"/>
    <x v="0"/>
    <m/>
    <n v="17812"/>
    <n v="2689"/>
    <s v="Iraq"/>
    <s v="McAndrew in Ankara"/>
    <x v="0"/>
    <x v="0"/>
  </r>
  <r>
    <m/>
    <n v="101"/>
    <s v="Argentina Floods"/>
    <d v="2003-05-01T00:00:00"/>
    <x v="7"/>
    <n v="25"/>
    <x v="0"/>
    <x v="8"/>
    <n v="6"/>
    <x v="2"/>
    <x v="73"/>
    <x v="0"/>
    <x v="2"/>
    <x v="2"/>
    <x v="2"/>
    <m/>
    <x v="0"/>
    <x v="0"/>
    <m/>
    <m/>
    <m/>
    <m/>
    <x v="0"/>
    <m/>
    <m/>
    <x v="0"/>
    <x v="2"/>
    <n v="15000"/>
    <x v="0"/>
    <m/>
    <n v="15000"/>
    <x v="2"/>
    <x v="0"/>
    <x v="0"/>
    <m/>
    <x v="0"/>
    <x v="0"/>
    <x v="0"/>
    <x v="0"/>
    <x v="0"/>
    <x v="0"/>
    <x v="0"/>
    <x v="0"/>
    <x v="0"/>
    <x v="0"/>
    <x v="0"/>
    <x v="0"/>
    <x v="0"/>
    <x v="0"/>
    <m/>
    <m/>
    <n v="15000"/>
    <x v="0"/>
    <x v="0"/>
    <n v="1500"/>
    <n v="15000"/>
    <n v="2898"/>
    <m/>
    <s v="Rob McKenney from PADRU"/>
    <x v="0"/>
    <x v="0"/>
  </r>
  <r>
    <m/>
    <n v="102"/>
    <s v="Turkey Earthquake"/>
    <d v="2003-05-01T00:00:00"/>
    <x v="7"/>
    <n v="26"/>
    <x v="0"/>
    <x v="8"/>
    <n v="7"/>
    <x v="3"/>
    <x v="5"/>
    <x v="0"/>
    <x v="3"/>
    <x v="3"/>
    <x v="3"/>
    <m/>
    <x v="0"/>
    <x v="0"/>
    <m/>
    <m/>
    <m/>
    <m/>
    <x v="0"/>
    <m/>
    <m/>
    <x v="0"/>
    <x v="0"/>
    <m/>
    <x v="0"/>
    <m/>
    <n v="0"/>
    <x v="4"/>
    <x v="0"/>
    <x v="0"/>
    <n v="9000"/>
    <x v="0"/>
    <x v="0"/>
    <x v="0"/>
    <x v="0"/>
    <x v="0"/>
    <x v="0"/>
    <x v="0"/>
    <x v="0"/>
    <x v="0"/>
    <x v="5"/>
    <x v="0"/>
    <x v="0"/>
    <x v="0"/>
    <x v="0"/>
    <n v="331380"/>
    <m/>
    <n v="331380"/>
    <x v="0"/>
    <x v="0"/>
    <n v="45000"/>
    <n v="331380"/>
    <n v="2898"/>
    <s v="Bingol"/>
    <s v="Food Parcels paid for by Region; IRT Kelly Hurd sent to support TRCS distribution; IRT R. Chapman deployed to support TRCS"/>
    <x v="0"/>
    <x v="0"/>
  </r>
  <r>
    <m/>
    <n v="103"/>
    <s v="China Epidemic"/>
    <d v="2003-05-01T00:00:00"/>
    <x v="7"/>
    <n v="27"/>
    <x v="0"/>
    <x v="8"/>
    <n v="8"/>
    <x v="3"/>
    <x v="4"/>
    <x v="0"/>
    <x v="11"/>
    <x v="22"/>
    <x v="24"/>
    <m/>
    <x v="0"/>
    <x v="0"/>
    <m/>
    <m/>
    <m/>
    <m/>
    <x v="0"/>
    <m/>
    <m/>
    <x v="0"/>
    <x v="0"/>
    <m/>
    <x v="0"/>
    <n v="32500"/>
    <n v="32500"/>
    <x v="0"/>
    <x v="0"/>
    <x v="0"/>
    <m/>
    <x v="0"/>
    <x v="0"/>
    <x v="0"/>
    <x v="0"/>
    <x v="0"/>
    <x v="0"/>
    <x v="0"/>
    <x v="0"/>
    <x v="0"/>
    <x v="0"/>
    <x v="0"/>
    <x v="0"/>
    <x v="0"/>
    <x v="0"/>
    <m/>
    <m/>
    <n v="32500"/>
    <x v="0"/>
    <x v="0"/>
    <n v="59000"/>
    <n v="32500"/>
    <n v="2691"/>
    <s v="SARS"/>
    <s v="AMEX: $25,000 + $7,500"/>
    <x v="0"/>
    <x v="0"/>
  </r>
  <r>
    <m/>
    <n v="103"/>
    <s v="China Epidemic"/>
    <d v="2003-05-01T00:00:00"/>
    <x v="7"/>
    <n v="27"/>
    <x v="0"/>
    <x v="8"/>
    <n v="8"/>
    <x v="3"/>
    <x v="4"/>
    <x v="0"/>
    <x v="11"/>
    <x v="22"/>
    <x v="24"/>
    <m/>
    <x v="0"/>
    <x v="0"/>
    <m/>
    <m/>
    <m/>
    <m/>
    <x v="0"/>
    <m/>
    <m/>
    <x v="0"/>
    <x v="0"/>
    <m/>
    <x v="0"/>
    <n v="370642"/>
    <n v="370642"/>
    <x v="0"/>
    <x v="0"/>
    <x v="0"/>
    <m/>
    <x v="0"/>
    <x v="0"/>
    <x v="0"/>
    <x v="0"/>
    <x v="0"/>
    <x v="0"/>
    <x v="0"/>
    <x v="0"/>
    <x v="0"/>
    <x v="0"/>
    <x v="0"/>
    <x v="0"/>
    <x v="0"/>
    <x v="0"/>
    <m/>
    <m/>
    <n v="370642"/>
    <x v="0"/>
    <x v="0"/>
    <n v="15000"/>
    <n v="370642"/>
    <s v="0000"/>
    <s v="SARS"/>
    <s v="Pfizer: $200,000; JP Morgan/Chase: $128,000; Microsoft: $42,642"/>
    <x v="0"/>
    <x v="0"/>
  </r>
  <r>
    <m/>
    <n v="103"/>
    <s v="Hong Kong Epidemic"/>
    <d v="2003-05-01T00:00:00"/>
    <x v="7"/>
    <n v="27"/>
    <x v="0"/>
    <x v="8"/>
    <n v="8"/>
    <x v="3"/>
    <x v="74"/>
    <x v="0"/>
    <x v="11"/>
    <x v="22"/>
    <x v="24"/>
    <m/>
    <x v="0"/>
    <x v="0"/>
    <m/>
    <m/>
    <m/>
    <m/>
    <x v="0"/>
    <m/>
    <m/>
    <x v="0"/>
    <x v="0"/>
    <m/>
    <x v="0"/>
    <n v="60000"/>
    <n v="60000"/>
    <x v="0"/>
    <x v="0"/>
    <x v="0"/>
    <m/>
    <x v="0"/>
    <x v="0"/>
    <x v="0"/>
    <x v="0"/>
    <x v="0"/>
    <x v="0"/>
    <x v="0"/>
    <x v="0"/>
    <x v="0"/>
    <x v="0"/>
    <x v="0"/>
    <x v="0"/>
    <x v="0"/>
    <x v="0"/>
    <m/>
    <m/>
    <n v="60000"/>
    <x v="0"/>
    <x v="0"/>
    <n v="72500"/>
    <n v="60000"/>
    <n v="2060"/>
    <s v="SARS"/>
    <s v="$25,000 from AMEX and $35,000 from JP Morgan Chase (both) programmed against total invoice of $97,923.15 for 1.2 million alcohol swabs and 435,000 surgical masks"/>
    <x v="0"/>
    <x v="0"/>
  </r>
  <r>
    <m/>
    <n v="104"/>
    <s v="Sri Lanka Floods"/>
    <d v="2003-05-01T00:00:00"/>
    <x v="7"/>
    <n v="28"/>
    <x v="0"/>
    <x v="8"/>
    <n v="9"/>
    <x v="3"/>
    <x v="34"/>
    <x v="0"/>
    <x v="2"/>
    <x v="2"/>
    <x v="2"/>
    <m/>
    <x v="0"/>
    <x v="0"/>
    <m/>
    <m/>
    <m/>
    <m/>
    <x v="0"/>
    <m/>
    <m/>
    <x v="0"/>
    <x v="2"/>
    <n v="21400"/>
    <x v="0"/>
    <m/>
    <n v="21400"/>
    <x v="0"/>
    <x v="0"/>
    <x v="0"/>
    <m/>
    <x v="0"/>
    <x v="0"/>
    <x v="0"/>
    <x v="0"/>
    <x v="0"/>
    <x v="0"/>
    <x v="0"/>
    <x v="0"/>
    <x v="0"/>
    <x v="0"/>
    <x v="0"/>
    <x v="0"/>
    <x v="0"/>
    <x v="0"/>
    <m/>
    <m/>
    <n v="21400"/>
    <x v="0"/>
    <x v="0"/>
    <n v="2862.1931568439049"/>
    <n v="21400"/>
    <n v="2692"/>
    <m/>
    <s v="Funds provided through Citigroup's ADGP; Federation Appeal for $934,598 / 125,000 beneficiaries / 3 months"/>
    <x v="0"/>
    <x v="0"/>
  </r>
  <r>
    <m/>
    <n v="105"/>
    <s v="Panama Floods"/>
    <d v="2003-07-01T00:00:00"/>
    <x v="8"/>
    <n v="1"/>
    <x v="0"/>
    <x v="8"/>
    <n v="10"/>
    <x v="2"/>
    <x v="57"/>
    <x v="0"/>
    <x v="2"/>
    <x v="2"/>
    <x v="2"/>
    <m/>
    <x v="0"/>
    <x v="0"/>
    <m/>
    <m/>
    <m/>
    <m/>
    <x v="0"/>
    <m/>
    <m/>
    <x v="0"/>
    <x v="0"/>
    <m/>
    <x v="0"/>
    <m/>
    <n v="0"/>
    <x v="2"/>
    <x v="0"/>
    <x v="0"/>
    <n v="6500"/>
    <x v="0"/>
    <x v="3"/>
    <x v="0"/>
    <x v="0"/>
    <x v="0"/>
    <x v="0"/>
    <x v="0"/>
    <x v="2"/>
    <x v="0"/>
    <x v="0"/>
    <x v="0"/>
    <x v="0"/>
    <x v="0"/>
    <x v="0"/>
    <n v="16700"/>
    <m/>
    <n v="16700"/>
    <x v="0"/>
    <x v="0"/>
    <n v="3000"/>
    <n v="16700"/>
    <n v="2898"/>
    <m/>
    <s v="hygiene kits (value $1,770) and bedsheets (500 packets of 12 at a total value of $15,000) from PADRU as part of a joint ARC/Federation/Panamanian Red Cross operation. Steve McAndrew was deployed from PADRU to oversee the distributions"/>
    <x v="0"/>
    <x v="0"/>
  </r>
  <r>
    <m/>
    <n v="106"/>
    <s v="Canada Wildfire"/>
    <d v="2003-09-01T00:00:00"/>
    <x v="8"/>
    <n v="2"/>
    <x v="0"/>
    <x v="8"/>
    <n v="11"/>
    <x v="4"/>
    <x v="40"/>
    <x v="0"/>
    <x v="15"/>
    <x v="23"/>
    <x v="11"/>
    <m/>
    <x v="0"/>
    <x v="0"/>
    <m/>
    <m/>
    <m/>
    <m/>
    <x v="0"/>
    <m/>
    <m/>
    <x v="0"/>
    <x v="0"/>
    <m/>
    <x v="0"/>
    <n v="10000"/>
    <n v="10000"/>
    <x v="0"/>
    <x v="0"/>
    <x v="0"/>
    <m/>
    <x v="0"/>
    <x v="0"/>
    <x v="0"/>
    <x v="0"/>
    <x v="0"/>
    <x v="0"/>
    <x v="0"/>
    <x v="0"/>
    <x v="0"/>
    <x v="0"/>
    <x v="0"/>
    <x v="0"/>
    <x v="0"/>
    <x v="0"/>
    <m/>
    <m/>
    <n v="10000"/>
    <x v="0"/>
    <x v="0"/>
    <n v="250"/>
    <n v="10000"/>
    <n v="2099"/>
    <m/>
    <s v="$10,000 donation from Citigroup for forest fires in British Columbia (Citigroup $ kept in 2099 per a prior agreement)"/>
    <x v="0"/>
    <x v="0"/>
  </r>
  <r>
    <m/>
    <n v="107"/>
    <s v="Dominican Republic Earthquake"/>
    <d v="2003-10-01T00:00:00"/>
    <x v="8"/>
    <n v="3"/>
    <x v="0"/>
    <x v="8"/>
    <n v="12"/>
    <x v="2"/>
    <x v="75"/>
    <x v="0"/>
    <x v="3"/>
    <x v="3"/>
    <x v="3"/>
    <m/>
    <x v="0"/>
    <x v="0"/>
    <m/>
    <m/>
    <m/>
    <m/>
    <x v="0"/>
    <m/>
    <m/>
    <x v="0"/>
    <x v="0"/>
    <m/>
    <x v="0"/>
    <m/>
    <n v="0"/>
    <x v="0"/>
    <x v="0"/>
    <x v="0"/>
    <m/>
    <x v="0"/>
    <x v="0"/>
    <x v="0"/>
    <x v="0"/>
    <x v="0"/>
    <x v="0"/>
    <x v="0"/>
    <x v="0"/>
    <x v="0"/>
    <x v="0"/>
    <x v="0"/>
    <x v="0"/>
    <x v="0"/>
    <x v="0"/>
    <n v="25000"/>
    <m/>
    <n v="25000"/>
    <x v="0"/>
    <x v="0"/>
    <n v="100"/>
    <n v="25000"/>
    <n v="2694"/>
    <s v="Puerto Plata"/>
    <s v="$25,000 from Verizon (AP is shared with November 2003 floods in Cibao / Montecristi)"/>
    <x v="0"/>
    <x v="0"/>
  </r>
  <r>
    <m/>
    <n v="108"/>
    <s v="Algeria Earthquake"/>
    <d v="2003-05-01T00:00:00"/>
    <x v="8"/>
    <n v="4"/>
    <x v="0"/>
    <x v="8"/>
    <n v="13"/>
    <x v="1"/>
    <x v="76"/>
    <x v="0"/>
    <x v="3"/>
    <x v="3"/>
    <x v="3"/>
    <m/>
    <x v="0"/>
    <x v="0"/>
    <m/>
    <m/>
    <m/>
    <m/>
    <x v="0"/>
    <m/>
    <m/>
    <x v="0"/>
    <x v="0"/>
    <m/>
    <x v="0"/>
    <m/>
    <n v="0"/>
    <x v="0"/>
    <x v="0"/>
    <x v="0"/>
    <n v="10000"/>
    <x v="0"/>
    <x v="4"/>
    <x v="0"/>
    <x v="0"/>
    <x v="0"/>
    <x v="0"/>
    <x v="0"/>
    <x v="0"/>
    <x v="0"/>
    <x v="0"/>
    <x v="0"/>
    <x v="0"/>
    <x v="0"/>
    <x v="0"/>
    <n v="37200"/>
    <n v="28670"/>
    <n v="65870"/>
    <x v="0"/>
    <x v="0"/>
    <n v="50000"/>
    <n v="65870"/>
    <n v="2693"/>
    <s v="RESPONSE IN FY 04"/>
    <s v="hygiene kits ($3.72 each) ex Bulgaria; $8,470 for transport, $1,200 demurrage, $19,000 to remove washing powder in Greece"/>
    <x v="0"/>
    <x v="0"/>
  </r>
  <r>
    <m/>
    <n v="109"/>
    <s v="Liberia Conflict"/>
    <d v="2003-08-01T00:00:00"/>
    <x v="8"/>
    <n v="5"/>
    <x v="0"/>
    <x v="8"/>
    <n v="14"/>
    <x v="1"/>
    <x v="77"/>
    <x v="0"/>
    <x v="8"/>
    <x v="7"/>
    <x v="7"/>
    <m/>
    <x v="0"/>
    <x v="0"/>
    <m/>
    <m/>
    <m/>
    <m/>
    <x v="0"/>
    <m/>
    <m/>
    <x v="0"/>
    <x v="2"/>
    <n v="35027"/>
    <x v="0"/>
    <m/>
    <n v="35027"/>
    <x v="0"/>
    <x v="0"/>
    <x v="0"/>
    <m/>
    <x v="0"/>
    <x v="0"/>
    <x v="0"/>
    <x v="0"/>
    <x v="0"/>
    <x v="0"/>
    <x v="0"/>
    <x v="0"/>
    <x v="0"/>
    <x v="0"/>
    <x v="0"/>
    <x v="0"/>
    <x v="0"/>
    <x v="0"/>
    <m/>
    <m/>
    <n v="35027"/>
    <x v="0"/>
    <x v="0"/>
    <n v="2500"/>
    <n v="35027"/>
    <n v="2631"/>
    <m/>
    <s v="Funds from Region's budget previously sent to Geneva re-allocated  - signed PMN returned to IDRU in October 2003"/>
    <x v="0"/>
    <x v="0"/>
  </r>
  <r>
    <m/>
    <n v="110"/>
    <s v="Mexico Floods"/>
    <d v="2003-09-01T00:00:00"/>
    <x v="8"/>
    <n v="6"/>
    <x v="0"/>
    <x v="8"/>
    <n v="15"/>
    <x v="2"/>
    <x v="2"/>
    <x v="0"/>
    <x v="2"/>
    <x v="2"/>
    <x v="2"/>
    <m/>
    <x v="0"/>
    <x v="0"/>
    <m/>
    <m/>
    <m/>
    <m/>
    <x v="0"/>
    <m/>
    <m/>
    <x v="0"/>
    <x v="0"/>
    <m/>
    <x v="0"/>
    <n v="10500"/>
    <n v="10500"/>
    <x v="4"/>
    <x v="0"/>
    <x v="0"/>
    <m/>
    <x v="0"/>
    <x v="0"/>
    <x v="0"/>
    <x v="0"/>
    <x v="0"/>
    <x v="0"/>
    <x v="0"/>
    <x v="0"/>
    <x v="0"/>
    <x v="0"/>
    <x v="0"/>
    <x v="0"/>
    <x v="0"/>
    <x v="0"/>
    <m/>
    <m/>
    <n v="10500"/>
    <x v="0"/>
    <x v="0"/>
    <n v="3000"/>
    <n v="10500"/>
    <n v="2688"/>
    <m/>
    <s v="Hurricane Kenna funds ($11,636.16 minus 11.15%); Christine Strater and Nate Cooper deployed 5 October 2003"/>
    <x v="0"/>
    <x v="0"/>
  </r>
  <r>
    <m/>
    <n v="111"/>
    <s v="South Korea Storm"/>
    <d v="2003-10-01T00:00:00"/>
    <x v="8"/>
    <n v="7"/>
    <x v="0"/>
    <x v="8"/>
    <n v="16"/>
    <x v="3"/>
    <x v="67"/>
    <x v="0"/>
    <x v="5"/>
    <x v="5"/>
    <x v="22"/>
    <m/>
    <x v="0"/>
    <x v="0"/>
    <m/>
    <m/>
    <m/>
    <m/>
    <x v="0"/>
    <m/>
    <m/>
    <x v="0"/>
    <x v="0"/>
    <m/>
    <x v="0"/>
    <n v="10000"/>
    <n v="10000"/>
    <x v="0"/>
    <x v="0"/>
    <x v="0"/>
    <m/>
    <x v="0"/>
    <x v="0"/>
    <x v="0"/>
    <x v="0"/>
    <x v="0"/>
    <x v="0"/>
    <x v="0"/>
    <x v="0"/>
    <x v="0"/>
    <x v="0"/>
    <x v="0"/>
    <x v="0"/>
    <x v="0"/>
    <x v="0"/>
    <m/>
    <m/>
    <n v="10000"/>
    <x v="0"/>
    <x v="0"/>
    <m/>
    <n v="10000"/>
    <n v="2647"/>
    <s v="Maemi"/>
    <s v="Alcoa funds for re-stocking KNRC warehouse"/>
    <x v="0"/>
    <x v="0"/>
  </r>
  <r>
    <m/>
    <n v="112"/>
    <s v="Dominican Republic Floods"/>
    <d v="2003-11-01T00:00:00"/>
    <x v="8"/>
    <n v="8"/>
    <x v="0"/>
    <x v="8"/>
    <n v="17"/>
    <x v="2"/>
    <x v="75"/>
    <x v="0"/>
    <x v="2"/>
    <x v="2"/>
    <x v="2"/>
    <m/>
    <x v="0"/>
    <x v="0"/>
    <m/>
    <m/>
    <m/>
    <m/>
    <x v="0"/>
    <m/>
    <m/>
    <x v="0"/>
    <x v="0"/>
    <m/>
    <x v="0"/>
    <m/>
    <n v="0"/>
    <x v="5"/>
    <x v="1"/>
    <x v="0"/>
    <m/>
    <x v="0"/>
    <x v="0"/>
    <x v="0"/>
    <x v="0"/>
    <x v="0"/>
    <x v="0"/>
    <x v="0"/>
    <x v="0"/>
    <x v="0"/>
    <x v="0"/>
    <x v="0"/>
    <x v="0"/>
    <x v="0"/>
    <x v="0"/>
    <n v="50000"/>
    <m/>
    <n v="50000"/>
    <x v="0"/>
    <x v="0"/>
    <n v="500"/>
    <n v="50000"/>
    <n v="2618"/>
    <s v="Cibao / Montecristi"/>
    <s v="$50,000 from OFDA; Greenhalgh, McAndrew and Chapman deployed in November 2003 on Relief ERU Pilot"/>
    <x v="0"/>
    <x v="0"/>
  </r>
  <r>
    <m/>
    <n v="112"/>
    <s v="Dominican Republic Floods"/>
    <d v="2003-11-01T00:00:00"/>
    <x v="8"/>
    <n v="8"/>
    <x v="0"/>
    <x v="8"/>
    <n v="17"/>
    <x v="2"/>
    <x v="75"/>
    <x v="0"/>
    <x v="2"/>
    <x v="2"/>
    <x v="2"/>
    <m/>
    <x v="0"/>
    <x v="0"/>
    <m/>
    <m/>
    <m/>
    <m/>
    <x v="0"/>
    <m/>
    <m/>
    <x v="0"/>
    <x v="0"/>
    <m/>
    <x v="0"/>
    <m/>
    <n v="0"/>
    <x v="0"/>
    <x v="0"/>
    <x v="0"/>
    <m/>
    <x v="0"/>
    <x v="0"/>
    <x v="0"/>
    <x v="0"/>
    <x v="0"/>
    <x v="0"/>
    <x v="0"/>
    <x v="0"/>
    <x v="0"/>
    <x v="0"/>
    <x v="0"/>
    <x v="0"/>
    <x v="0"/>
    <x v="0"/>
    <m/>
    <m/>
    <n v="0"/>
    <x v="0"/>
    <x v="0"/>
    <m/>
    <n v="0"/>
    <n v="2694"/>
    <s v="Cibao / Montecristi"/>
    <s v="(AP is shared with October 2003 Earthquake in Puerto Plata)"/>
    <x v="0"/>
    <x v="0"/>
  </r>
  <r>
    <m/>
    <n v="113"/>
    <s v="Iran Earthquake"/>
    <d v="2003-12-01T00:00:00"/>
    <x v="8"/>
    <n v="9"/>
    <x v="0"/>
    <x v="8"/>
    <n v="18"/>
    <x v="3"/>
    <x v="49"/>
    <x v="0"/>
    <x v="3"/>
    <x v="3"/>
    <x v="3"/>
    <m/>
    <x v="0"/>
    <x v="0"/>
    <m/>
    <m/>
    <m/>
    <m/>
    <x v="0"/>
    <m/>
    <m/>
    <x v="0"/>
    <x v="1"/>
    <n v="200000"/>
    <x v="0"/>
    <m/>
    <n v="200000"/>
    <x v="16"/>
    <x v="1"/>
    <x v="0"/>
    <n v="115560"/>
    <x v="0"/>
    <x v="5"/>
    <x v="6"/>
    <x v="0"/>
    <x v="0"/>
    <x v="4"/>
    <x v="0"/>
    <x v="0"/>
    <x v="0"/>
    <x v="0"/>
    <x v="0"/>
    <x v="0"/>
    <x v="0"/>
    <x v="0"/>
    <n v="825763"/>
    <n v="150038.97999999998"/>
    <n v="1175801.98"/>
    <x v="0"/>
    <x v="0"/>
    <n v="225000"/>
    <n v="1175801.98"/>
    <n v="2019"/>
    <s v="Bam"/>
    <s v="Relief ERU deployed: McAndrew (TL), Stephenson, Stops, Parry, Strater &amp; Swadzka.  $200,000 PMN sent to Federation; Commodities provide: 10,000 towels and 20,000 nail clippers"/>
    <x v="0"/>
    <x v="0"/>
  </r>
  <r>
    <m/>
    <n v="113"/>
    <s v="Iran Earthquake"/>
    <d v="2003-12-01T00:00:00"/>
    <x v="8"/>
    <n v="9"/>
    <x v="0"/>
    <x v="8"/>
    <n v="18"/>
    <x v="3"/>
    <x v="49"/>
    <x v="0"/>
    <x v="3"/>
    <x v="3"/>
    <x v="3"/>
    <m/>
    <x v="0"/>
    <x v="0"/>
    <m/>
    <m/>
    <m/>
    <m/>
    <x v="0"/>
    <m/>
    <m/>
    <x v="0"/>
    <x v="0"/>
    <m/>
    <x v="0"/>
    <m/>
    <n v="0"/>
    <x v="0"/>
    <x v="0"/>
    <x v="0"/>
    <n v="11"/>
    <x v="0"/>
    <x v="0"/>
    <x v="0"/>
    <x v="0"/>
    <x v="0"/>
    <x v="5"/>
    <x v="0"/>
    <x v="0"/>
    <x v="0"/>
    <x v="0"/>
    <x v="0"/>
    <x v="0"/>
    <x v="0"/>
    <x v="0"/>
    <n v="19975"/>
    <m/>
    <n v="19975"/>
    <x v="0"/>
    <x v="0"/>
    <n v="440"/>
    <n v="19975"/>
    <n v="2616"/>
    <s v="Bam"/>
    <s v="Grant from Reuters / AlertNet"/>
    <x v="0"/>
    <x v="0"/>
  </r>
  <r>
    <m/>
    <n v="113"/>
    <s v="Iran Earthquake"/>
    <d v="2003-12-01T00:00:00"/>
    <x v="8"/>
    <n v="9"/>
    <x v="0"/>
    <x v="8"/>
    <n v="18"/>
    <x v="3"/>
    <x v="49"/>
    <x v="0"/>
    <x v="3"/>
    <x v="3"/>
    <x v="3"/>
    <m/>
    <x v="0"/>
    <x v="0"/>
    <m/>
    <m/>
    <m/>
    <m/>
    <x v="0"/>
    <m/>
    <m/>
    <x v="0"/>
    <x v="0"/>
    <m/>
    <x v="0"/>
    <m/>
    <n v="0"/>
    <x v="0"/>
    <x v="0"/>
    <x v="0"/>
    <m/>
    <x v="0"/>
    <x v="0"/>
    <x v="0"/>
    <x v="0"/>
    <x v="0"/>
    <x v="0"/>
    <x v="0"/>
    <x v="0"/>
    <x v="0"/>
    <x v="0"/>
    <x v="0"/>
    <x v="0"/>
    <x v="0"/>
    <x v="0"/>
    <n v="60000"/>
    <m/>
    <n v="60000"/>
    <x v="0"/>
    <x v="0"/>
    <m/>
    <n v="60000"/>
    <n v="2793"/>
    <s v="Bam"/>
    <s v="Grant from Semnani Foundation."/>
    <x v="0"/>
    <x v="0"/>
  </r>
  <r>
    <m/>
    <n v="114"/>
    <s v="Panama Earthquake"/>
    <d v="2003-12-01T00:00:00"/>
    <x v="8"/>
    <n v="10"/>
    <x v="0"/>
    <x v="8"/>
    <n v="19"/>
    <x v="2"/>
    <x v="57"/>
    <x v="0"/>
    <x v="3"/>
    <x v="3"/>
    <x v="3"/>
    <m/>
    <x v="0"/>
    <x v="0"/>
    <m/>
    <m/>
    <m/>
    <m/>
    <x v="0"/>
    <m/>
    <m/>
    <x v="0"/>
    <x v="0"/>
    <m/>
    <x v="0"/>
    <m/>
    <n v="0"/>
    <x v="0"/>
    <x v="0"/>
    <x v="0"/>
    <n v="2300"/>
    <x v="0"/>
    <x v="0"/>
    <x v="7"/>
    <x v="0"/>
    <x v="0"/>
    <x v="0"/>
    <x v="0"/>
    <x v="3"/>
    <x v="0"/>
    <x v="0"/>
    <x v="0"/>
    <x v="0"/>
    <x v="0"/>
    <x v="0"/>
    <n v="6178"/>
    <m/>
    <n v="6178"/>
    <x v="0"/>
    <x v="0"/>
    <n v="550"/>
    <n v="6178"/>
    <n v="2898"/>
    <m/>
    <s v="Supplies to Panama RC"/>
    <x v="0"/>
    <x v="0"/>
  </r>
  <r>
    <m/>
    <n v="115"/>
    <s v="North Korea Transport"/>
    <d v="2004-04-01T00:00:00"/>
    <x v="8"/>
    <n v="11"/>
    <x v="0"/>
    <x v="9"/>
    <n v="1"/>
    <x v="3"/>
    <x v="78"/>
    <x v="0"/>
    <x v="9"/>
    <x v="21"/>
    <x v="19"/>
    <m/>
    <x v="0"/>
    <x v="0"/>
    <m/>
    <m/>
    <m/>
    <m/>
    <x v="0"/>
    <m/>
    <m/>
    <x v="0"/>
    <x v="1"/>
    <n v="110000"/>
    <x v="0"/>
    <m/>
    <n v="110000"/>
    <x v="0"/>
    <x v="0"/>
    <x v="0"/>
    <m/>
    <x v="0"/>
    <x v="0"/>
    <x v="0"/>
    <x v="0"/>
    <x v="0"/>
    <x v="0"/>
    <x v="0"/>
    <x v="0"/>
    <x v="0"/>
    <x v="0"/>
    <x v="0"/>
    <x v="0"/>
    <x v="0"/>
    <x v="0"/>
    <m/>
    <m/>
    <n v="110000"/>
    <x v="0"/>
    <x v="0"/>
    <n v="3300"/>
    <n v="110000"/>
    <s v="2861 / 2790"/>
    <s v="Ryongchon"/>
    <s v="CASH: $10,000  from 2861 funds from Asia Region ; $100,000 from OFDA / 2790;"/>
    <x v="0"/>
    <x v="0"/>
  </r>
  <r>
    <m/>
    <n v="116"/>
    <s v="Dominican Republic Floods"/>
    <d v="2004-05-01T00:00:00"/>
    <x v="8"/>
    <n v="12"/>
    <x v="0"/>
    <x v="9"/>
    <n v="2"/>
    <x v="2"/>
    <x v="75"/>
    <x v="0"/>
    <x v="2"/>
    <x v="2"/>
    <x v="2"/>
    <m/>
    <x v="0"/>
    <x v="0"/>
    <m/>
    <m/>
    <m/>
    <m/>
    <x v="0"/>
    <m/>
    <m/>
    <x v="0"/>
    <x v="0"/>
    <m/>
    <x v="0"/>
    <m/>
    <n v="0"/>
    <x v="2"/>
    <x v="0"/>
    <x v="0"/>
    <n v="10930"/>
    <x v="0"/>
    <x v="0"/>
    <x v="0"/>
    <x v="4"/>
    <x v="0"/>
    <x v="6"/>
    <x v="0"/>
    <x v="4"/>
    <x v="0"/>
    <x v="0"/>
    <x v="2"/>
    <x v="0"/>
    <x v="0"/>
    <x v="0"/>
    <n v="205334.81245"/>
    <n v="14800"/>
    <n v="220134.81245"/>
    <x v="0"/>
    <x v="0"/>
    <n v="2500"/>
    <n v="220134.81245"/>
    <n v="2694"/>
    <s v="Jimani &amp; Duarte"/>
    <s v="Nate Cooper deployed to DR with PADRU; stocks deployed ($74,526.50) from PADRU includes 2,430 school kits; $89,000 worth of generators"/>
    <x v="0"/>
    <x v="0"/>
  </r>
  <r>
    <m/>
    <n v="116"/>
    <s v="Haiti Floods"/>
    <d v="2004-05-01T00:00:00"/>
    <x v="8"/>
    <n v="12"/>
    <x v="0"/>
    <x v="9"/>
    <n v="2"/>
    <x v="2"/>
    <x v="79"/>
    <x v="0"/>
    <x v="2"/>
    <x v="2"/>
    <x v="2"/>
    <m/>
    <x v="0"/>
    <x v="0"/>
    <m/>
    <m/>
    <m/>
    <m/>
    <x v="0"/>
    <m/>
    <m/>
    <x v="0"/>
    <x v="2"/>
    <n v="20007"/>
    <x v="0"/>
    <m/>
    <n v="20007"/>
    <x v="0"/>
    <x v="0"/>
    <x v="0"/>
    <m/>
    <x v="0"/>
    <x v="0"/>
    <x v="0"/>
    <x v="0"/>
    <x v="0"/>
    <x v="0"/>
    <x v="0"/>
    <x v="0"/>
    <x v="0"/>
    <x v="0"/>
    <x v="0"/>
    <x v="4"/>
    <x v="0"/>
    <x v="0"/>
    <n v="16885.856"/>
    <n v="7665"/>
    <n v="44557.856"/>
    <x v="0"/>
    <x v="0"/>
    <n v="3000"/>
    <n v="44557.856"/>
    <n v="2614"/>
    <s v="Eastern"/>
    <s v="PMN 0407052 ($18,000 + PSR) dated 7 July 2004; rental of two vehicles to be used in Haiti for 3 months each"/>
    <x v="0"/>
    <x v="0"/>
  </r>
  <r>
    <m/>
    <n v="116"/>
    <s v="Malawi Epidemic"/>
    <d v="2004-05-01T00:00:00"/>
    <x v="8"/>
    <n v="13"/>
    <x v="0"/>
    <x v="9"/>
    <n v="3"/>
    <x v="1"/>
    <x v="37"/>
    <x v="0"/>
    <x v="11"/>
    <x v="22"/>
    <x v="24"/>
    <m/>
    <x v="0"/>
    <x v="0"/>
    <m/>
    <m/>
    <m/>
    <m/>
    <x v="0"/>
    <m/>
    <m/>
    <x v="0"/>
    <x v="0"/>
    <m/>
    <x v="0"/>
    <m/>
    <n v="0"/>
    <x v="0"/>
    <x v="0"/>
    <x v="0"/>
    <n v="12380"/>
    <x v="0"/>
    <x v="0"/>
    <x v="0"/>
    <x v="0"/>
    <x v="0"/>
    <x v="0"/>
    <x v="0"/>
    <x v="5"/>
    <x v="0"/>
    <x v="0"/>
    <x v="3"/>
    <x v="0"/>
    <x v="0"/>
    <x v="0"/>
    <n v="61220"/>
    <m/>
    <n v="61220"/>
    <x v="0"/>
    <x v="0"/>
    <n v="6180"/>
    <n v="61220"/>
    <n v="2898"/>
    <s v="HIV/AIDS - Home Care"/>
    <s v="ex London"/>
    <x v="0"/>
    <x v="0"/>
  </r>
  <r>
    <m/>
    <n v="116"/>
    <s v="Dominican Republic Floods"/>
    <d v="2004-07-01T00:00:00"/>
    <x v="8"/>
    <n v="12"/>
    <x v="0"/>
    <x v="9"/>
    <n v="2"/>
    <x v="2"/>
    <x v="75"/>
    <x v="0"/>
    <x v="2"/>
    <x v="2"/>
    <x v="2"/>
    <m/>
    <x v="0"/>
    <x v="0"/>
    <m/>
    <m/>
    <m/>
    <m/>
    <x v="0"/>
    <m/>
    <m/>
    <x v="0"/>
    <x v="0"/>
    <m/>
    <x v="0"/>
    <m/>
    <n v="0"/>
    <x v="2"/>
    <x v="0"/>
    <x v="0"/>
    <m/>
    <x v="0"/>
    <x v="0"/>
    <x v="0"/>
    <x v="0"/>
    <x v="0"/>
    <x v="0"/>
    <x v="0"/>
    <x v="0"/>
    <x v="0"/>
    <x v="0"/>
    <x v="0"/>
    <x v="0"/>
    <x v="0"/>
    <x v="0"/>
    <n v="110266.26"/>
    <m/>
    <n v="110266.26"/>
    <x v="0"/>
    <x v="0"/>
    <n v="2500"/>
    <n v="110266.26"/>
    <n v="2788"/>
    <s v="Jimani &amp; Duarte"/>
    <s v="Ricardo Caivano - Gates Foundation funds ($233,780 - 11.15% = $207,713.53 available - - 60% for DR)"/>
    <x v="0"/>
    <x v="0"/>
  </r>
  <r>
    <m/>
    <n v="116"/>
    <s v="Haiti Floods"/>
    <d v="2004-07-01T00:00:00"/>
    <x v="8"/>
    <n v="12"/>
    <x v="0"/>
    <x v="9"/>
    <n v="2"/>
    <x v="2"/>
    <x v="79"/>
    <x v="0"/>
    <x v="2"/>
    <x v="2"/>
    <x v="2"/>
    <m/>
    <x v="0"/>
    <x v="0"/>
    <m/>
    <m/>
    <m/>
    <m/>
    <x v="0"/>
    <m/>
    <m/>
    <x v="0"/>
    <x v="0"/>
    <m/>
    <x v="0"/>
    <m/>
    <n v="0"/>
    <x v="0"/>
    <x v="0"/>
    <x v="0"/>
    <m/>
    <x v="0"/>
    <x v="0"/>
    <x v="0"/>
    <x v="0"/>
    <x v="0"/>
    <x v="0"/>
    <x v="0"/>
    <x v="0"/>
    <x v="0"/>
    <x v="0"/>
    <x v="0"/>
    <x v="0"/>
    <x v="0"/>
    <x v="0"/>
    <n v="97442.48"/>
    <m/>
    <n v="97442.48"/>
    <x v="0"/>
    <x v="0"/>
    <n v="3000"/>
    <n v="97442.48"/>
    <n v="2788"/>
    <s v="Eastern"/>
    <s v="Ricardo Caivano - Gates Foundation funds ($233,780 - 11.15% = $207,713.53 available - - 40% for Haiti)"/>
    <x v="0"/>
    <x v="0"/>
  </r>
  <r>
    <m/>
    <n v="117"/>
    <s v="Jamaica Conflict"/>
    <d v="2004-05-01T00:00:00"/>
    <x v="8"/>
    <n v="14"/>
    <x v="0"/>
    <x v="9"/>
    <n v="4"/>
    <x v="2"/>
    <x v="53"/>
    <x v="0"/>
    <x v="8"/>
    <x v="7"/>
    <x v="7"/>
    <m/>
    <x v="0"/>
    <x v="0"/>
    <m/>
    <m/>
    <m/>
    <m/>
    <x v="0"/>
    <m/>
    <m/>
    <x v="0"/>
    <x v="0"/>
    <m/>
    <x v="0"/>
    <m/>
    <n v="0"/>
    <x v="1"/>
    <x v="0"/>
    <x v="0"/>
    <n v="1000"/>
    <x v="0"/>
    <x v="3"/>
    <x v="0"/>
    <x v="0"/>
    <x v="0"/>
    <x v="0"/>
    <x v="0"/>
    <x v="6"/>
    <x v="0"/>
    <x v="0"/>
    <x v="0"/>
    <x v="0"/>
    <x v="0"/>
    <x v="0"/>
    <n v="3000"/>
    <m/>
    <n v="3000"/>
    <x v="0"/>
    <x v="0"/>
    <n v="500"/>
    <n v="3000"/>
    <n v="2898"/>
    <s v="Haiti - Refugee"/>
    <s v="PADRU stocks"/>
    <x v="0"/>
    <x v="0"/>
  </r>
  <r>
    <m/>
    <n v="119"/>
    <s v="Paraguay Miscellaneous"/>
    <d v="2004-08-01T00:00:00"/>
    <x v="9"/>
    <n v="1"/>
    <x v="0"/>
    <x v="9"/>
    <n v="5"/>
    <x v="2"/>
    <x v="66"/>
    <x v="0"/>
    <x v="10"/>
    <x v="10"/>
    <x v="18"/>
    <m/>
    <x v="0"/>
    <x v="0"/>
    <m/>
    <m/>
    <m/>
    <m/>
    <x v="0"/>
    <m/>
    <m/>
    <x v="0"/>
    <x v="0"/>
    <m/>
    <x v="0"/>
    <n v="18675"/>
    <n v="18675"/>
    <x v="0"/>
    <x v="0"/>
    <x v="0"/>
    <m/>
    <x v="0"/>
    <x v="0"/>
    <x v="0"/>
    <x v="0"/>
    <x v="0"/>
    <x v="0"/>
    <x v="0"/>
    <x v="0"/>
    <x v="0"/>
    <x v="0"/>
    <x v="0"/>
    <x v="0"/>
    <x v="0"/>
    <x v="0"/>
    <m/>
    <m/>
    <n v="18675"/>
    <x v="0"/>
    <x v="0"/>
    <m/>
    <n v="18675"/>
    <n v="2816"/>
    <s v="Asuncion Supermarket"/>
    <s v="World Bank Employees; money arrived Oct 2004"/>
    <x v="0"/>
    <x v="0"/>
  </r>
  <r>
    <m/>
    <n v="120"/>
    <s v="Chad Conflict"/>
    <d v="2004-08-01T00:00:00"/>
    <x v="9"/>
    <n v="2"/>
    <x v="0"/>
    <x v="9"/>
    <n v="6"/>
    <x v="1"/>
    <x v="80"/>
    <x v="0"/>
    <x v="8"/>
    <x v="7"/>
    <x v="7"/>
    <m/>
    <x v="0"/>
    <x v="0"/>
    <m/>
    <m/>
    <m/>
    <m/>
    <x v="0"/>
    <m/>
    <m/>
    <x v="0"/>
    <x v="1"/>
    <n v="100000"/>
    <x v="0"/>
    <m/>
    <n v="100000"/>
    <x v="0"/>
    <x v="0"/>
    <x v="0"/>
    <m/>
    <x v="0"/>
    <x v="0"/>
    <x v="0"/>
    <x v="0"/>
    <x v="0"/>
    <x v="0"/>
    <x v="0"/>
    <x v="0"/>
    <x v="0"/>
    <x v="0"/>
    <x v="0"/>
    <x v="0"/>
    <x v="0"/>
    <x v="0"/>
    <m/>
    <m/>
    <n v="100000"/>
    <x v="0"/>
    <x v="0"/>
    <m/>
    <n v="100000"/>
    <n v="9306"/>
    <s v="Darfur / Sudan"/>
    <s v="PMN Contribution to support Fed Appeal - Chad: Sudanese Refugees (from LDS)"/>
    <x v="0"/>
    <x v="0"/>
  </r>
  <r>
    <m/>
    <n v="120"/>
    <s v="Sudan Conflict"/>
    <d v="2004-08-01T00:00:00"/>
    <x v="9"/>
    <n v="2"/>
    <x v="0"/>
    <x v="9"/>
    <n v="6"/>
    <x v="1"/>
    <x v="81"/>
    <x v="0"/>
    <x v="8"/>
    <x v="7"/>
    <x v="7"/>
    <m/>
    <x v="0"/>
    <x v="0"/>
    <m/>
    <m/>
    <m/>
    <m/>
    <x v="0"/>
    <m/>
    <m/>
    <x v="0"/>
    <x v="0"/>
    <m/>
    <x v="3"/>
    <m/>
    <n v="242000"/>
    <x v="2"/>
    <x v="0"/>
    <x v="0"/>
    <m/>
    <x v="0"/>
    <x v="0"/>
    <x v="0"/>
    <x v="0"/>
    <x v="0"/>
    <x v="0"/>
    <x v="0"/>
    <x v="0"/>
    <x v="0"/>
    <x v="0"/>
    <x v="0"/>
    <x v="0"/>
    <x v="0"/>
    <x v="0"/>
    <m/>
    <n v="5400"/>
    <n v="247400"/>
    <x v="0"/>
    <x v="0"/>
    <m/>
    <n v="247400"/>
    <n v="2802"/>
    <s v="Darfur / Sudan"/>
    <s v="1. 2004 - L. Greenhalgh seconded to Fed, expenses $5400 2. 2006 - Pledge to ICRC Sudan Appeal, $242,000"/>
    <x v="0"/>
    <x v="0"/>
  </r>
  <r>
    <m/>
    <n v="121"/>
    <s v="Bangladesh Floods"/>
    <d v="2004-08-01T00:00:00"/>
    <x v="9"/>
    <n v="3"/>
    <x v="0"/>
    <x v="9"/>
    <n v="7"/>
    <x v="3"/>
    <x v="14"/>
    <x v="0"/>
    <x v="2"/>
    <x v="2"/>
    <x v="2"/>
    <m/>
    <x v="0"/>
    <x v="0"/>
    <m/>
    <m/>
    <m/>
    <m/>
    <x v="0"/>
    <m/>
    <m/>
    <x v="0"/>
    <x v="2"/>
    <n v="35975"/>
    <x v="0"/>
    <m/>
    <n v="35975"/>
    <x v="0"/>
    <x v="0"/>
    <x v="0"/>
    <m/>
    <x v="0"/>
    <x v="0"/>
    <x v="0"/>
    <x v="0"/>
    <x v="0"/>
    <x v="0"/>
    <x v="0"/>
    <x v="0"/>
    <x v="0"/>
    <x v="0"/>
    <x v="0"/>
    <x v="0"/>
    <x v="0"/>
    <x v="0"/>
    <m/>
    <m/>
    <n v="35975"/>
    <x v="0"/>
    <x v="0"/>
    <m/>
    <n v="35975"/>
    <n v="2017"/>
    <s v="Country-wide"/>
    <s v="PMN: $15,975 from Citigroup and $20,000 from AMEX"/>
    <x v="0"/>
    <x v="0"/>
  </r>
  <r>
    <m/>
    <n v="122"/>
    <s v="Taiwan Storm"/>
    <d v="2004-08-01T00:00:00"/>
    <x v="9"/>
    <n v="4"/>
    <x v="0"/>
    <x v="9"/>
    <n v="8"/>
    <x v="3"/>
    <x v="10"/>
    <x v="0"/>
    <x v="5"/>
    <x v="5"/>
    <x v="22"/>
    <m/>
    <x v="0"/>
    <x v="0"/>
    <m/>
    <m/>
    <m/>
    <m/>
    <x v="0"/>
    <m/>
    <m/>
    <x v="0"/>
    <x v="0"/>
    <m/>
    <x v="0"/>
    <n v="59896.536212325685"/>
    <n v="59896.536212325685"/>
    <x v="0"/>
    <x v="0"/>
    <x v="0"/>
    <m/>
    <x v="0"/>
    <x v="0"/>
    <x v="0"/>
    <x v="0"/>
    <x v="0"/>
    <x v="0"/>
    <x v="0"/>
    <x v="0"/>
    <x v="0"/>
    <x v="0"/>
    <x v="0"/>
    <x v="0"/>
    <x v="0"/>
    <x v="0"/>
    <m/>
    <m/>
    <n v="59896.536212325685"/>
    <x v="0"/>
    <x v="0"/>
    <m/>
    <n v="59896.536212325685"/>
    <n v="2824"/>
    <s v="Mindulle"/>
    <s v="Pass through from Intel ($50,000), Synopsys Community Foundation ($10,000 - 11.15%) and San Gabriel Valley Chapter ($1,000 - 11.15%)"/>
    <x v="0"/>
    <x v="0"/>
  </r>
  <r>
    <m/>
    <n v="123"/>
    <s v="Grenada Storm"/>
    <d v="2004-09-01T00:00:00"/>
    <x v="9"/>
    <n v="5"/>
    <x v="0"/>
    <x v="9"/>
    <n v="9"/>
    <x v="2"/>
    <x v="20"/>
    <x v="0"/>
    <x v="5"/>
    <x v="5"/>
    <x v="5"/>
    <m/>
    <x v="0"/>
    <x v="0"/>
    <m/>
    <m/>
    <m/>
    <m/>
    <x v="0"/>
    <m/>
    <m/>
    <x v="0"/>
    <x v="1"/>
    <n v="300000"/>
    <x v="0"/>
    <m/>
    <n v="300000"/>
    <x v="4"/>
    <x v="0"/>
    <x v="0"/>
    <n v="486"/>
    <x v="0"/>
    <x v="0"/>
    <x v="0"/>
    <x v="5"/>
    <x v="0"/>
    <x v="7"/>
    <x v="0"/>
    <x v="0"/>
    <x v="0"/>
    <x v="0"/>
    <x v="0"/>
    <x v="0"/>
    <x v="0"/>
    <x v="0"/>
    <n v="2452.19"/>
    <m/>
    <n v="302452.19"/>
    <x v="0"/>
    <x v="0"/>
    <m/>
    <n v="302452.19"/>
    <n v="2024"/>
    <s v="Ivan"/>
    <s v="PMN - March 05; N. Cooper deployed to Grenada and Bahamas w/ PADRU; T. Reines deployed to Grenada.  5 Tents @ $299 each; Jerry Cans @ $1.99 each"/>
    <x v="0"/>
    <x v="0"/>
  </r>
  <r>
    <m/>
    <n v="123"/>
    <s v="Jamaica Storm"/>
    <d v="2004-09-01T00:00:00"/>
    <x v="9"/>
    <n v="5"/>
    <x v="0"/>
    <x v="9"/>
    <n v="9"/>
    <x v="2"/>
    <x v="53"/>
    <x v="0"/>
    <x v="5"/>
    <x v="5"/>
    <x v="5"/>
    <m/>
    <x v="0"/>
    <x v="0"/>
    <m/>
    <m/>
    <m/>
    <m/>
    <x v="0"/>
    <m/>
    <m/>
    <x v="0"/>
    <x v="1"/>
    <n v="100000"/>
    <x v="0"/>
    <m/>
    <n v="100000"/>
    <x v="2"/>
    <x v="0"/>
    <x v="0"/>
    <n v="7314"/>
    <x v="0"/>
    <x v="0"/>
    <x v="8"/>
    <x v="6"/>
    <x v="0"/>
    <x v="0"/>
    <x v="0"/>
    <x v="0"/>
    <x v="0"/>
    <x v="0"/>
    <x v="4"/>
    <x v="0"/>
    <x v="0"/>
    <x v="0"/>
    <n v="31046.880000000001"/>
    <m/>
    <n v="131046.88"/>
    <x v="0"/>
    <x v="0"/>
    <m/>
    <n v="131046.88"/>
    <n v="2024"/>
    <s v="Ivan"/>
    <s v="PMN - March 05; M. Parry deployed with FACT; Jerry Cans @ $1.99 each, blankets @ $3.03 each, 407 flashlights @ $1.20 each,  tarpaulins @ $12.50 each"/>
    <x v="0"/>
    <x v="0"/>
  </r>
  <r>
    <m/>
    <n v="123"/>
    <s v="Cayman Islands Storm"/>
    <d v="2004-09-01T00:00:00"/>
    <x v="9"/>
    <n v="5"/>
    <x v="0"/>
    <x v="9"/>
    <n v="9"/>
    <x v="2"/>
    <x v="82"/>
    <x v="0"/>
    <x v="5"/>
    <x v="5"/>
    <x v="5"/>
    <m/>
    <x v="0"/>
    <x v="0"/>
    <m/>
    <m/>
    <m/>
    <m/>
    <x v="0"/>
    <m/>
    <m/>
    <x v="0"/>
    <x v="1"/>
    <n v="100000"/>
    <x v="0"/>
    <m/>
    <n v="100000"/>
    <x v="2"/>
    <x v="0"/>
    <x v="0"/>
    <n v="2346"/>
    <x v="0"/>
    <x v="6"/>
    <x v="0"/>
    <x v="7"/>
    <x v="0"/>
    <x v="8"/>
    <x v="0"/>
    <x v="0"/>
    <x v="0"/>
    <x v="0"/>
    <x v="0"/>
    <x v="0"/>
    <x v="0"/>
    <x v="0"/>
    <n v="12853.79"/>
    <m/>
    <n v="112853.79"/>
    <x v="0"/>
    <x v="0"/>
    <m/>
    <n v="112853.79"/>
    <n v="2024"/>
    <s v="Ivan"/>
    <s v="PMN - March 05; tents @ $299 each; Jerrry Cans @$1.99 each; 1,000 flashlights @ $1.20 each; Hygiene Kits @ $3.54 loaned to British Red Cross"/>
    <x v="0"/>
    <x v="0"/>
  </r>
  <r>
    <m/>
    <n v="123"/>
    <s v="Bahamas Storm"/>
    <d v="2004-09-01T00:00:00"/>
    <x v="9"/>
    <n v="5"/>
    <x v="0"/>
    <x v="9"/>
    <n v="9"/>
    <x v="2"/>
    <x v="83"/>
    <x v="0"/>
    <x v="5"/>
    <x v="5"/>
    <x v="5"/>
    <m/>
    <x v="0"/>
    <x v="0"/>
    <m/>
    <m/>
    <m/>
    <m/>
    <x v="0"/>
    <m/>
    <m/>
    <x v="0"/>
    <x v="1"/>
    <n v="100000"/>
    <x v="0"/>
    <m/>
    <n v="100000"/>
    <x v="6"/>
    <x v="0"/>
    <x v="0"/>
    <m/>
    <x v="0"/>
    <x v="0"/>
    <x v="0"/>
    <x v="0"/>
    <x v="0"/>
    <x v="0"/>
    <x v="0"/>
    <x v="0"/>
    <x v="0"/>
    <x v="0"/>
    <x v="0"/>
    <x v="0"/>
    <x v="0"/>
    <x v="0"/>
    <m/>
    <m/>
    <n v="100000"/>
    <x v="0"/>
    <x v="0"/>
    <m/>
    <n v="100000"/>
    <n v="2024"/>
    <s v="Ivan"/>
    <s v="PMN - Jan 05; C. Garrison, S. Schaefer deployed 1 month; N. Cooper deployed several times"/>
    <x v="0"/>
    <x v="0"/>
  </r>
  <r>
    <m/>
    <n v="124"/>
    <s v="Haiti Floods"/>
    <d v="2004-09-01T00:00:00"/>
    <x v="9"/>
    <n v="6"/>
    <x v="0"/>
    <x v="9"/>
    <n v="10"/>
    <x v="2"/>
    <x v="79"/>
    <x v="0"/>
    <x v="2"/>
    <x v="8"/>
    <x v="9"/>
    <m/>
    <x v="0"/>
    <x v="0"/>
    <m/>
    <m/>
    <m/>
    <m/>
    <x v="0"/>
    <m/>
    <m/>
    <x v="0"/>
    <x v="1"/>
    <n v="400000"/>
    <x v="0"/>
    <m/>
    <n v="400000"/>
    <x v="2"/>
    <x v="0"/>
    <x v="0"/>
    <n v="110"/>
    <x v="0"/>
    <x v="0"/>
    <x v="0"/>
    <x v="0"/>
    <x v="0"/>
    <x v="0"/>
    <x v="0"/>
    <x v="0"/>
    <x v="0"/>
    <x v="0"/>
    <x v="5"/>
    <x v="0"/>
    <x v="0"/>
    <x v="0"/>
    <n v="1375"/>
    <m/>
    <n v="401375"/>
    <x v="0"/>
    <x v="0"/>
    <m/>
    <n v="401375"/>
    <n v="2614"/>
    <s v="TS Jeanne"/>
    <s v="Brigitte Gallis deployed; tarpaulins @ $12.50 each; PMN 400K out of AP 2024 Jan 05"/>
    <x v="0"/>
    <x v="0"/>
  </r>
  <r>
    <m/>
    <n v="125"/>
    <s v="Costa Rica Floods"/>
    <d v="2004-11-01T00:00:00"/>
    <x v="9"/>
    <n v="7"/>
    <x v="0"/>
    <x v="9"/>
    <n v="11"/>
    <x v="2"/>
    <x v="3"/>
    <x v="0"/>
    <x v="2"/>
    <x v="2"/>
    <x v="2"/>
    <m/>
    <x v="0"/>
    <x v="0"/>
    <m/>
    <m/>
    <m/>
    <m/>
    <x v="0"/>
    <m/>
    <m/>
    <x v="0"/>
    <x v="0"/>
    <m/>
    <x v="0"/>
    <m/>
    <n v="0"/>
    <x v="0"/>
    <x v="0"/>
    <x v="0"/>
    <n v="750"/>
    <x v="0"/>
    <x v="7"/>
    <x v="0"/>
    <x v="0"/>
    <x v="0"/>
    <x v="0"/>
    <x v="0"/>
    <x v="0"/>
    <x v="0"/>
    <x v="0"/>
    <x v="0"/>
    <x v="0"/>
    <x v="0"/>
    <x v="0"/>
    <n v="2655"/>
    <m/>
    <n v="2655"/>
    <x v="0"/>
    <x v="0"/>
    <m/>
    <n v="2655"/>
    <n v="2898"/>
    <m/>
    <s v="from PADRU @ $3.54 each"/>
    <x v="0"/>
    <x v="0"/>
  </r>
  <r>
    <m/>
    <n v="126"/>
    <s v="Panama Floods"/>
    <d v="2004-12-01T00:00:00"/>
    <x v="9"/>
    <n v="8"/>
    <x v="0"/>
    <x v="9"/>
    <n v="12"/>
    <x v="2"/>
    <x v="57"/>
    <x v="1"/>
    <x v="2"/>
    <x v="2"/>
    <x v="2"/>
    <m/>
    <x v="0"/>
    <x v="0"/>
    <m/>
    <m/>
    <m/>
    <m/>
    <x v="0"/>
    <m/>
    <m/>
    <x v="0"/>
    <x v="0"/>
    <m/>
    <x v="0"/>
    <m/>
    <n v="0"/>
    <x v="0"/>
    <x v="0"/>
    <x v="0"/>
    <m/>
    <x v="0"/>
    <x v="0"/>
    <x v="0"/>
    <x v="0"/>
    <x v="0"/>
    <x v="0"/>
    <x v="0"/>
    <x v="0"/>
    <x v="0"/>
    <x v="0"/>
    <x v="0"/>
    <x v="0"/>
    <x v="0"/>
    <x v="0"/>
    <m/>
    <m/>
    <n v="0"/>
    <x v="0"/>
    <x v="0"/>
    <m/>
    <n v="0"/>
    <n v="2898"/>
    <s v="Darien"/>
    <s v="CANCELLED: 100 cases of laundry soap (5,000 bars = $7,200) and 5,000 bars of bath soap ($1,475)"/>
    <x v="0"/>
    <x v="0"/>
  </r>
  <r>
    <m/>
    <n v="127"/>
    <s v="Sri Lanka Tsunami"/>
    <d v="2004-12-01T00:00:00"/>
    <x v="9"/>
    <n v="9"/>
    <x v="0"/>
    <x v="9"/>
    <n v="13"/>
    <x v="3"/>
    <x v="34"/>
    <x v="1"/>
    <x v="16"/>
    <x v="24"/>
    <x v="25"/>
    <m/>
    <x v="0"/>
    <x v="0"/>
    <m/>
    <m/>
    <m/>
    <m/>
    <x v="0"/>
    <m/>
    <m/>
    <x v="0"/>
    <x v="1"/>
    <n v="1837066.6666666667"/>
    <x v="0"/>
    <m/>
    <n v="1837066.6666666667"/>
    <x v="17"/>
    <x v="1"/>
    <x v="0"/>
    <m/>
    <x v="0"/>
    <x v="0"/>
    <x v="0"/>
    <x v="0"/>
    <x v="0"/>
    <x v="0"/>
    <x v="0"/>
    <x v="0"/>
    <x v="0"/>
    <x v="0"/>
    <x v="0"/>
    <x v="0"/>
    <x v="0"/>
    <x v="0"/>
    <n v="2011842.86"/>
    <n v="100000000"/>
    <n v="103848909.52666667"/>
    <x v="0"/>
    <x v="0"/>
    <m/>
    <n v="103848909.52666667"/>
    <n v="2695"/>
    <s v="S &amp; E Provinces"/>
    <s v="Parry, Ragan, Courville, Matthews, Caivano, Blake, Garrison, Szwadzka, Hurd, Chinn, Gaver, Brien, Reines, Thornton, Cummings, deployed with Relief ERU. Stephenson and Cooper deployed with British RC; Hagos deployed for 2 weeks in Feb 2005; L. Wilkinson (D"/>
    <x v="0"/>
    <x v="0"/>
  </r>
  <r>
    <m/>
    <n v="127"/>
    <s v="Indonesia Tsunami"/>
    <d v="2004-12-01T00:00:00"/>
    <x v="9"/>
    <n v="9"/>
    <x v="0"/>
    <x v="9"/>
    <n v="13"/>
    <x v="3"/>
    <x v="27"/>
    <x v="1"/>
    <x v="16"/>
    <x v="24"/>
    <x v="25"/>
    <m/>
    <x v="0"/>
    <x v="0"/>
    <m/>
    <m/>
    <m/>
    <m/>
    <x v="0"/>
    <m/>
    <m/>
    <x v="0"/>
    <x v="1"/>
    <n v="1666666.6666666667"/>
    <x v="0"/>
    <m/>
    <n v="1666666.6666666667"/>
    <x v="10"/>
    <x v="1"/>
    <x v="0"/>
    <m/>
    <x v="0"/>
    <x v="0"/>
    <x v="0"/>
    <x v="0"/>
    <x v="0"/>
    <x v="0"/>
    <x v="0"/>
    <x v="0"/>
    <x v="0"/>
    <x v="0"/>
    <x v="0"/>
    <x v="0"/>
    <x v="0"/>
    <x v="0"/>
    <n v="2300506.4"/>
    <m/>
    <n v="3967173.0666666664"/>
    <x v="0"/>
    <x v="0"/>
    <m/>
    <n v="477328823.80666667"/>
    <n v="2695"/>
    <s v="N. Sumatra"/>
    <s v="O'Donnell, Michaud and Card deployed as w/ Relief ERU in Northern Sumatra; Greenhalgh on FACT.   $5 million PMN sent to Federation for Appeal; Caivano transferred from Sri Lanka to Indo; Karnes deployed as IRT (logs/ops) "/>
    <x v="0"/>
    <x v="0"/>
  </r>
  <r>
    <m/>
    <n v="127"/>
    <s v="Maldives Tsunami"/>
    <d v="2004-12-01T00:00:00"/>
    <x v="9"/>
    <n v="9"/>
    <x v="0"/>
    <x v="9"/>
    <n v="13"/>
    <x v="3"/>
    <x v="84"/>
    <x v="1"/>
    <x v="16"/>
    <x v="24"/>
    <x v="25"/>
    <m/>
    <x v="0"/>
    <x v="0"/>
    <m/>
    <m/>
    <m/>
    <m/>
    <x v="0"/>
    <m/>
    <m/>
    <x v="0"/>
    <x v="1"/>
    <n v="1666666.6666666667"/>
    <x v="0"/>
    <m/>
    <n v="1666666.6666666667"/>
    <x v="4"/>
    <x v="0"/>
    <x v="0"/>
    <m/>
    <x v="0"/>
    <x v="0"/>
    <x v="0"/>
    <x v="0"/>
    <x v="0"/>
    <x v="0"/>
    <x v="0"/>
    <x v="0"/>
    <x v="0"/>
    <x v="0"/>
    <x v="0"/>
    <x v="0"/>
    <x v="0"/>
    <x v="0"/>
    <n v="155600"/>
    <m/>
    <n v="1822266.6666666667"/>
    <x v="0"/>
    <x v="0"/>
    <m/>
    <n v="1822266.6666666667"/>
    <n v="2695"/>
    <s v="Country-wide"/>
    <s v="Hagos on FACT; $5 million PMN sent to Federation for Appeal; Gould wat/san IRT"/>
    <x v="0"/>
    <x v="0"/>
  </r>
  <r>
    <m/>
    <n v="128"/>
    <s v="Guyana Floods"/>
    <d v="2005-01-01T00:00:00"/>
    <x v="9"/>
    <n v="10"/>
    <x v="0"/>
    <x v="10"/>
    <n v="1"/>
    <x v="2"/>
    <x v="85"/>
    <x v="1"/>
    <x v="2"/>
    <x v="2"/>
    <x v="2"/>
    <m/>
    <x v="0"/>
    <x v="0"/>
    <m/>
    <m/>
    <m/>
    <m/>
    <x v="0"/>
    <m/>
    <m/>
    <x v="0"/>
    <x v="0"/>
    <m/>
    <x v="0"/>
    <m/>
    <n v="0"/>
    <x v="4"/>
    <x v="0"/>
    <x v="0"/>
    <m/>
    <x v="0"/>
    <x v="0"/>
    <x v="0"/>
    <x v="0"/>
    <x v="0"/>
    <x v="0"/>
    <x v="0"/>
    <x v="0"/>
    <x v="0"/>
    <x v="0"/>
    <x v="0"/>
    <x v="0"/>
    <x v="0"/>
    <x v="0"/>
    <n v="10000"/>
    <n v="3100"/>
    <n v="13100"/>
    <x v="0"/>
    <x v="0"/>
    <m/>
    <n v="13100"/>
    <n v="2774"/>
    <s v="Georgetown"/>
    <s v="Jim Gould and Jeffery Weiss deployed and purchased and shipped to the GRC $10,000 worth of individual and family First Aid Kits."/>
    <x v="0"/>
    <x v="0"/>
  </r>
  <r>
    <m/>
    <n v="129"/>
    <s v="Canada Floods"/>
    <d v="2005-06-01T00:00:00"/>
    <x v="9"/>
    <n v="11"/>
    <x v="0"/>
    <x v="10"/>
    <n v="2"/>
    <x v="4"/>
    <x v="40"/>
    <x v="1"/>
    <x v="2"/>
    <x v="2"/>
    <x v="2"/>
    <m/>
    <x v="0"/>
    <x v="0"/>
    <m/>
    <m/>
    <m/>
    <m/>
    <x v="0"/>
    <m/>
    <m/>
    <x v="0"/>
    <x v="0"/>
    <m/>
    <x v="0"/>
    <n v="5000"/>
    <n v="5000"/>
    <x v="0"/>
    <x v="0"/>
    <x v="0"/>
    <m/>
    <x v="0"/>
    <x v="0"/>
    <x v="0"/>
    <x v="0"/>
    <x v="0"/>
    <x v="0"/>
    <x v="0"/>
    <x v="0"/>
    <x v="0"/>
    <x v="0"/>
    <x v="0"/>
    <x v="0"/>
    <x v="0"/>
    <x v="0"/>
    <m/>
    <m/>
    <n v="5000"/>
    <x v="0"/>
    <x v="0"/>
    <m/>
    <n v="5000"/>
    <s v="N/A"/>
    <s v="Alberta Floods"/>
    <s v="Contribution from AmEx for the Alberta Floods (GID direct to CRC)."/>
    <x v="0"/>
    <x v="0"/>
  </r>
  <r>
    <m/>
    <n v="130"/>
    <s v="Hurricane Dennis - Jamaica "/>
    <d v="2005-07-01T00:00:00"/>
    <x v="10"/>
    <n v="1"/>
    <x v="0"/>
    <x v="10"/>
    <n v="3"/>
    <x v="2"/>
    <x v="53"/>
    <x v="1"/>
    <x v="5"/>
    <x v="5"/>
    <x v="5"/>
    <m/>
    <x v="1"/>
    <x v="1"/>
    <n v="587000"/>
    <s v="05EA14"/>
    <m/>
    <m/>
    <x v="0"/>
    <m/>
    <n v="35000"/>
    <x v="0"/>
    <x v="2"/>
    <n v="25000"/>
    <x v="0"/>
    <m/>
    <n v="25000"/>
    <x v="0"/>
    <x v="0"/>
    <x v="0"/>
    <n v="25"/>
    <x v="0"/>
    <x v="0"/>
    <x v="0"/>
    <x v="0"/>
    <x v="0"/>
    <x v="8"/>
    <x v="0"/>
    <x v="0"/>
    <x v="0"/>
    <x v="0"/>
    <x v="0"/>
    <x v="0"/>
    <x v="0"/>
    <x v="0"/>
    <n v="7475"/>
    <m/>
    <n v="32475"/>
    <x v="0"/>
    <x v="0"/>
    <n v="100"/>
    <n v="32475"/>
    <n v="2024"/>
    <s v="Dennis / Emily"/>
    <s v="Ex PADRU"/>
    <x v="0"/>
    <x v="0"/>
  </r>
  <r>
    <m/>
    <n v="130"/>
    <s v="Hurricane Dennis - Grenada"/>
    <d v="2005-07-01T00:00:00"/>
    <x v="10"/>
    <n v="1"/>
    <x v="0"/>
    <x v="10"/>
    <n v="3"/>
    <x v="2"/>
    <x v="20"/>
    <x v="1"/>
    <x v="5"/>
    <x v="5"/>
    <x v="5"/>
    <m/>
    <x v="0"/>
    <x v="0"/>
    <m/>
    <m/>
    <m/>
    <m/>
    <x v="0"/>
    <m/>
    <m/>
    <x v="0"/>
    <x v="1"/>
    <n v="75000"/>
    <x v="0"/>
    <m/>
    <n v="75000"/>
    <x v="0"/>
    <x v="0"/>
    <x v="0"/>
    <m/>
    <x v="0"/>
    <x v="0"/>
    <x v="0"/>
    <x v="0"/>
    <x v="0"/>
    <x v="0"/>
    <x v="0"/>
    <x v="0"/>
    <x v="0"/>
    <x v="0"/>
    <x v="0"/>
    <x v="0"/>
    <x v="0"/>
    <x v="0"/>
    <m/>
    <m/>
    <n v="75000"/>
    <x v="0"/>
    <x v="0"/>
    <m/>
    <n v="75000"/>
    <n v="2024"/>
    <s v="Dennis / Emily"/>
    <s v="$200,000 PMN sent: $100,000 to be divided between Jamaica and Grenada at Federation's discretion."/>
    <x v="0"/>
    <x v="0"/>
  </r>
  <r>
    <m/>
    <n v="130"/>
    <s v="Hurricane Dennis - Haiti"/>
    <d v="2005-07-01T00:00:00"/>
    <x v="10"/>
    <n v="1"/>
    <x v="0"/>
    <x v="10"/>
    <n v="3"/>
    <x v="2"/>
    <x v="79"/>
    <x v="1"/>
    <x v="5"/>
    <x v="5"/>
    <x v="5"/>
    <m/>
    <x v="0"/>
    <x v="0"/>
    <m/>
    <m/>
    <m/>
    <m/>
    <x v="0"/>
    <m/>
    <m/>
    <x v="0"/>
    <x v="1"/>
    <n v="100000"/>
    <x v="0"/>
    <m/>
    <n v="100000"/>
    <x v="0"/>
    <x v="0"/>
    <x v="0"/>
    <n v="9995"/>
    <x v="0"/>
    <x v="0"/>
    <x v="0"/>
    <x v="0"/>
    <x v="0"/>
    <x v="0"/>
    <x v="0"/>
    <x v="0"/>
    <x v="0"/>
    <x v="0"/>
    <x v="0"/>
    <x v="0"/>
    <x v="0"/>
    <x v="0"/>
    <n v="8693"/>
    <m/>
    <n v="108693"/>
    <x v="0"/>
    <x v="0"/>
    <m/>
    <n v="108693"/>
    <n v="2614"/>
    <s v="Dennis / Emily"/>
    <s v="4,995 pcs laundry soap &amp; 5,000 pcs bath soap sent from PADRU; $200,000 PMN sent with $100,000 for Haiti"/>
    <x v="0"/>
    <x v="0"/>
  </r>
  <r>
    <m/>
    <n v="131"/>
    <s v="Sahel Food Crisis"/>
    <d v="2005-07-01T00:00:00"/>
    <x v="10"/>
    <n v="2"/>
    <x v="0"/>
    <x v="10"/>
    <n v="4"/>
    <x v="1"/>
    <x v="86"/>
    <x v="2"/>
    <x v="14"/>
    <x v="18"/>
    <x v="20"/>
    <m/>
    <x v="1"/>
    <x v="1"/>
    <n v="14211607"/>
    <s v="05EA015"/>
    <m/>
    <m/>
    <x v="0"/>
    <m/>
    <n v="222000"/>
    <x v="0"/>
    <x v="0"/>
    <m/>
    <x v="0"/>
    <m/>
    <n v="0"/>
    <x v="5"/>
    <x v="0"/>
    <x v="0"/>
    <m/>
    <x v="0"/>
    <x v="0"/>
    <x v="0"/>
    <x v="0"/>
    <x v="0"/>
    <x v="0"/>
    <x v="0"/>
    <x v="0"/>
    <x v="0"/>
    <x v="0"/>
    <x v="0"/>
    <x v="0"/>
    <x v="0"/>
    <x v="0"/>
    <m/>
    <n v="36200"/>
    <n v="36200"/>
    <x v="0"/>
    <x v="0"/>
    <m/>
    <n v="36200"/>
    <n v="2949"/>
    <s v="Sahel"/>
    <s v="Paying for secondments of Langdon Greenhalgh, Brigitte Gaillis and Tim Cummings to IFRC"/>
    <x v="0"/>
    <x v="0"/>
  </r>
  <r>
    <m/>
    <n v="132"/>
    <s v="Hurricane Katrina"/>
    <d v="2005-08-01T00:00:00"/>
    <x v="10"/>
    <n v="3"/>
    <x v="0"/>
    <x v="10"/>
    <n v="5"/>
    <x v="4"/>
    <x v="51"/>
    <x v="1"/>
    <x v="17"/>
    <x v="5"/>
    <x v="5"/>
    <m/>
    <x v="0"/>
    <x v="0"/>
    <m/>
    <m/>
    <m/>
    <m/>
    <x v="0"/>
    <m/>
    <m/>
    <x v="0"/>
    <x v="0"/>
    <m/>
    <x v="0"/>
    <m/>
    <n v="0"/>
    <x v="5"/>
    <x v="0"/>
    <x v="0"/>
    <m/>
    <x v="0"/>
    <x v="0"/>
    <x v="0"/>
    <x v="0"/>
    <x v="0"/>
    <x v="0"/>
    <x v="0"/>
    <x v="0"/>
    <x v="0"/>
    <x v="0"/>
    <x v="0"/>
    <x v="0"/>
    <x v="0"/>
    <x v="0"/>
    <m/>
    <m/>
    <n v="0"/>
    <x v="0"/>
    <x v="0"/>
    <m/>
    <n v="0"/>
    <m/>
    <s v="Katrina"/>
    <s v="Nate Cooper, Mark Smith and Lance Leverenz deployed to Mississippi, Lousiana and Alabama."/>
    <x v="0"/>
    <x v="0"/>
  </r>
  <r>
    <m/>
    <n v="133"/>
    <s v="Pakistan Earthquake"/>
    <d v="2005-10-01T00:00:00"/>
    <x v="10"/>
    <n v="4"/>
    <x v="0"/>
    <x v="10"/>
    <n v="6"/>
    <x v="3"/>
    <x v="47"/>
    <x v="3"/>
    <x v="3"/>
    <x v="3"/>
    <x v="3"/>
    <n v="3500000"/>
    <x v="1"/>
    <x v="1"/>
    <n v="117000000"/>
    <s v="05EA022"/>
    <m/>
    <m/>
    <x v="0"/>
    <m/>
    <n v="575000"/>
    <x v="0"/>
    <x v="1"/>
    <n v="6750000"/>
    <x v="4"/>
    <m/>
    <n v="7750000"/>
    <x v="6"/>
    <x v="0"/>
    <x v="0"/>
    <n v="325618"/>
    <x v="0"/>
    <x v="8"/>
    <x v="9"/>
    <x v="0"/>
    <x v="1"/>
    <x v="9"/>
    <x v="1"/>
    <x v="7"/>
    <x v="0"/>
    <x v="0"/>
    <x v="6"/>
    <x v="0"/>
    <x v="0"/>
    <x v="0"/>
    <n v="4808310"/>
    <m/>
    <n v="12558310"/>
    <x v="0"/>
    <x v="0"/>
    <n v="120000"/>
    <n v="12558310"/>
    <s v="2897/2771/2769"/>
    <s v="North West Frontier Province (NWFP) and Pakistan Administered Kashmir (PAK)"/>
    <s v="CASH: Non-designated PMN to the Fed $1,850,000; PMN to the Fed designated for one month cost of helicopter relief operations for $400,000; PMN to the Fed designated for corrugated iron sheeting (~73,000 pc) for $1,500,000. SUPPLIES:  Shawls at $50,000. (C"/>
    <x v="0"/>
    <x v="1"/>
  </r>
  <r>
    <m/>
    <n v="134"/>
    <s v="Hurricane Stan - Guatemala"/>
    <d v="2005-10-01T00:00:00"/>
    <x v="10"/>
    <n v="5"/>
    <x v="0"/>
    <x v="10"/>
    <n v="7"/>
    <x v="2"/>
    <x v="44"/>
    <x v="1"/>
    <x v="17"/>
    <x v="5"/>
    <x v="5"/>
    <m/>
    <x v="0"/>
    <x v="0"/>
    <m/>
    <m/>
    <m/>
    <m/>
    <x v="0"/>
    <m/>
    <m/>
    <x v="0"/>
    <x v="2"/>
    <n v="47581"/>
    <x v="0"/>
    <m/>
    <n v="47581"/>
    <x v="0"/>
    <x v="0"/>
    <x v="0"/>
    <m/>
    <x v="0"/>
    <x v="0"/>
    <x v="0"/>
    <x v="0"/>
    <x v="0"/>
    <x v="0"/>
    <x v="0"/>
    <x v="0"/>
    <x v="0"/>
    <x v="0"/>
    <x v="0"/>
    <x v="0"/>
    <x v="0"/>
    <x v="0"/>
    <m/>
    <m/>
    <n v="47581"/>
    <x v="0"/>
    <x v="0"/>
    <m/>
    <n v="47581"/>
    <n v="2759"/>
    <s v="Stan"/>
    <s v="PMN contribution to support Federation's appeal relief operations."/>
    <x v="0"/>
    <x v="0"/>
  </r>
  <r>
    <m/>
    <n v="134"/>
    <s v="Hurricane Stan - Mexico"/>
    <d v="2005-10-01T00:00:00"/>
    <x v="10"/>
    <n v="5"/>
    <x v="0"/>
    <x v="10"/>
    <n v="7"/>
    <x v="2"/>
    <x v="2"/>
    <x v="1"/>
    <x v="17"/>
    <x v="5"/>
    <x v="5"/>
    <m/>
    <x v="0"/>
    <x v="0"/>
    <m/>
    <m/>
    <m/>
    <m/>
    <x v="0"/>
    <m/>
    <m/>
    <x v="0"/>
    <x v="1"/>
    <n v="257378"/>
    <x v="0"/>
    <n v="85000"/>
    <n v="342378"/>
    <x v="0"/>
    <x v="0"/>
    <x v="0"/>
    <m/>
    <x v="0"/>
    <x v="0"/>
    <x v="0"/>
    <x v="0"/>
    <x v="0"/>
    <x v="0"/>
    <x v="0"/>
    <x v="0"/>
    <x v="0"/>
    <x v="0"/>
    <x v="0"/>
    <x v="0"/>
    <x v="0"/>
    <x v="0"/>
    <m/>
    <m/>
    <n v="342378"/>
    <x v="0"/>
    <x v="0"/>
    <m/>
    <n v="342378"/>
    <n v="2020"/>
    <s v="Stan"/>
    <s v="CASH: Initial PMN contribution for $25,000 from IRF 2099 for Federation's Hurricane Stan Appeal.Additional PMN contribution for $83,568 from AP2760 for Federation's Hurricane Stan Appeal relief operations. Additional $124,453 PMN contribution from AP 2020"/>
    <x v="0"/>
    <x v="0"/>
  </r>
  <r>
    <s v="TC-2005-000173-SLV"/>
    <n v="135"/>
    <s v="El Salvador Hurricane Stan &amp; Volcano Eruption"/>
    <d v="2005-10-01T00:00:00"/>
    <x v="10"/>
    <n v="6"/>
    <x v="0"/>
    <x v="10"/>
    <n v="8"/>
    <x v="2"/>
    <x v="35"/>
    <x v="3"/>
    <x v="4"/>
    <x v="4"/>
    <x v="4"/>
    <m/>
    <x v="0"/>
    <x v="0"/>
    <n v="1098045"/>
    <s v="05EA020"/>
    <m/>
    <m/>
    <x v="0"/>
    <m/>
    <n v="21000"/>
    <x v="0"/>
    <x v="2"/>
    <n v="7034"/>
    <x v="0"/>
    <m/>
    <n v="7034"/>
    <x v="2"/>
    <x v="0"/>
    <x v="0"/>
    <m/>
    <x v="0"/>
    <x v="0"/>
    <x v="0"/>
    <x v="0"/>
    <x v="0"/>
    <x v="0"/>
    <x v="0"/>
    <x v="0"/>
    <x v="0"/>
    <x v="0"/>
    <x v="0"/>
    <x v="0"/>
    <x v="0"/>
    <x v="0"/>
    <m/>
    <m/>
    <n v="7034"/>
    <x v="0"/>
    <x v="0"/>
    <m/>
    <n v="7034"/>
    <n v="2690"/>
    <s v="Also: Floods"/>
    <s v="Nate Cooper deployed on PADRU team and PMN contribution to support Federation's appeal  relief operation in response of floods and volcanic eruption in El Salvador."/>
    <x v="0"/>
    <x v="0"/>
  </r>
  <r>
    <s v="TC-2005-000178-BHS"/>
    <n v="136"/>
    <s v="Hurricane Wilma - Bahamas"/>
    <d v="2005-10-01T00:00:00"/>
    <x v="10"/>
    <n v="7"/>
    <x v="0"/>
    <x v="10"/>
    <n v="9"/>
    <x v="2"/>
    <x v="9"/>
    <x v="1"/>
    <x v="5"/>
    <x v="5"/>
    <x v="5"/>
    <m/>
    <x v="0"/>
    <x v="0"/>
    <n v="1634707"/>
    <s v="05EA024"/>
    <m/>
    <m/>
    <x v="0"/>
    <m/>
    <m/>
    <x v="0"/>
    <x v="0"/>
    <m/>
    <x v="0"/>
    <m/>
    <n v="0"/>
    <x v="0"/>
    <x v="0"/>
    <x v="0"/>
    <n v="2371.9999999999995"/>
    <x v="0"/>
    <x v="9"/>
    <x v="0"/>
    <x v="0"/>
    <x v="0"/>
    <x v="0"/>
    <x v="0"/>
    <x v="0"/>
    <x v="0"/>
    <x v="0"/>
    <x v="0"/>
    <x v="0"/>
    <x v="0"/>
    <x v="0"/>
    <n v="20597"/>
    <m/>
    <n v="20597"/>
    <x v="0"/>
    <x v="0"/>
    <n v="4000"/>
    <n v="20597"/>
    <n v="2024"/>
    <s v="Wilma"/>
    <s v="$3.54 each + 6,200 (transport) = $14,596.88  plus shipping and handling"/>
    <x v="0"/>
    <x v="0"/>
  </r>
  <r>
    <s v="TC-2005-000178-MEX"/>
    <n v="136"/>
    <s v="Hurricane Wilma - Mexico"/>
    <d v="2005-10-01T00:00:00"/>
    <x v="10"/>
    <n v="7"/>
    <x v="0"/>
    <x v="10"/>
    <n v="9"/>
    <x v="2"/>
    <x v="2"/>
    <x v="1"/>
    <x v="5"/>
    <x v="5"/>
    <x v="5"/>
    <n v="300000"/>
    <x v="0"/>
    <x v="0"/>
    <n v="1918000"/>
    <s v="05EA024"/>
    <m/>
    <m/>
    <x v="0"/>
    <m/>
    <m/>
    <x v="0"/>
    <x v="1"/>
    <n v="128869"/>
    <x v="0"/>
    <n v="325000"/>
    <n v="453869"/>
    <x v="0"/>
    <x v="0"/>
    <x v="0"/>
    <n v="4500"/>
    <x v="0"/>
    <x v="10"/>
    <x v="0"/>
    <x v="0"/>
    <x v="0"/>
    <x v="0"/>
    <x v="0"/>
    <x v="0"/>
    <x v="0"/>
    <x v="0"/>
    <x v="0"/>
    <x v="0"/>
    <x v="0"/>
    <x v="0"/>
    <n v="43875"/>
    <m/>
    <n v="497744"/>
    <x v="0"/>
    <x v="0"/>
    <m/>
    <n v="497744"/>
    <n v="2757"/>
    <s v="Wilma"/>
    <s v="CASH: $250,000 -Initital direct contribution from AP 2757 to the MexRC to support their relief operation in Cozumel, gift from Carnival Cruise Lines. 2) $75,000 additional direct contribution from AP 2020 to the MexRC to support their relief operations, g"/>
    <x v="0"/>
    <x v="0"/>
  </r>
  <r>
    <m/>
    <n v="137"/>
    <s v="Vietnam Typhoon Damrey"/>
    <d v="2005-10-01T00:00:00"/>
    <x v="10"/>
    <n v="8"/>
    <x v="0"/>
    <x v="10"/>
    <n v="10"/>
    <x v="3"/>
    <x v="16"/>
    <x v="1"/>
    <x v="5"/>
    <x v="5"/>
    <x v="22"/>
    <m/>
    <x v="1"/>
    <x v="1"/>
    <n v="628813"/>
    <s v="05EA019"/>
    <n v="3.3504396378573595E-2"/>
    <m/>
    <x v="0"/>
    <m/>
    <n v="25000"/>
    <x v="0"/>
    <x v="2"/>
    <n v="21068"/>
    <x v="0"/>
    <m/>
    <n v="21068"/>
    <x v="0"/>
    <x v="0"/>
    <x v="0"/>
    <m/>
    <x v="0"/>
    <x v="0"/>
    <x v="0"/>
    <x v="0"/>
    <x v="0"/>
    <x v="0"/>
    <x v="0"/>
    <x v="0"/>
    <x v="0"/>
    <x v="0"/>
    <x v="0"/>
    <x v="0"/>
    <x v="0"/>
    <x v="0"/>
    <m/>
    <m/>
    <n v="21068"/>
    <x v="0"/>
    <x v="0"/>
    <m/>
    <n v="21068"/>
    <n v="2870"/>
    <s v="Central Vietnam"/>
    <s v="PMN to the Federtion to support Vietnam: Typhoon Damrey Emergency Appeal. The funds were from Boejing and the PMN was handled by the region."/>
    <x v="0"/>
    <x v="0"/>
  </r>
  <r>
    <m/>
    <n v="138"/>
    <s v="Colombia Volcano"/>
    <d v="2005-11-01T00:00:00"/>
    <x v="10"/>
    <n v="9"/>
    <x v="0"/>
    <x v="10"/>
    <n v="11"/>
    <x v="2"/>
    <x v="87"/>
    <x v="3"/>
    <x v="4"/>
    <x v="4"/>
    <x v="4"/>
    <m/>
    <x v="0"/>
    <x v="0"/>
    <m/>
    <m/>
    <m/>
    <m/>
    <x v="0"/>
    <m/>
    <m/>
    <x v="0"/>
    <x v="0"/>
    <m/>
    <x v="0"/>
    <m/>
    <n v="0"/>
    <x v="0"/>
    <x v="0"/>
    <x v="0"/>
    <n v="45"/>
    <x v="0"/>
    <x v="0"/>
    <x v="0"/>
    <x v="0"/>
    <x v="0"/>
    <x v="10"/>
    <x v="0"/>
    <x v="0"/>
    <x v="0"/>
    <x v="0"/>
    <x v="0"/>
    <x v="0"/>
    <x v="0"/>
    <x v="0"/>
    <n v="17402"/>
    <m/>
    <n v="17402"/>
    <x v="0"/>
    <x v="0"/>
    <m/>
    <n v="17402"/>
    <n v="2898"/>
    <s v="Galeras Volcano"/>
    <s v="tents to the CRC - cost of shipping charged to 2099."/>
    <x v="0"/>
    <x v="0"/>
  </r>
  <r>
    <m/>
    <n v="139"/>
    <s v="Southern Africa Food Security Crisis - Lesotho"/>
    <d v="2006-01-01T00:00:00"/>
    <x v="10"/>
    <n v="10"/>
    <x v="0"/>
    <x v="11"/>
    <n v="1"/>
    <x v="1"/>
    <x v="70"/>
    <x v="1"/>
    <x v="1"/>
    <x v="1"/>
    <x v="1"/>
    <m/>
    <x v="1"/>
    <x v="1"/>
    <m/>
    <s v="05EA023"/>
    <m/>
    <m/>
    <x v="0"/>
    <m/>
    <n v="1500000"/>
    <x v="0"/>
    <x v="1"/>
    <n v="100000"/>
    <x v="0"/>
    <m/>
    <n v="100000"/>
    <x v="5"/>
    <x v="0"/>
    <x v="0"/>
    <m/>
    <x v="0"/>
    <x v="0"/>
    <x v="0"/>
    <x v="0"/>
    <x v="0"/>
    <x v="0"/>
    <x v="0"/>
    <x v="0"/>
    <x v="0"/>
    <x v="0"/>
    <x v="0"/>
    <x v="0"/>
    <x v="0"/>
    <x v="0"/>
    <m/>
    <m/>
    <n v="100000"/>
    <x v="0"/>
    <x v="0"/>
    <m/>
    <n v="100000"/>
    <n v="2099"/>
    <s v="Food Crisis"/>
    <s v="PMN contribution to support Federation's appeal relief operations in Lesotho."/>
    <x v="0"/>
    <x v="0"/>
  </r>
  <r>
    <m/>
    <n v="139"/>
    <s v="Southern Africa Food Security Crisis - Malawi"/>
    <d v="2006-01-01T00:00:00"/>
    <x v="10"/>
    <n v="10"/>
    <x v="0"/>
    <x v="11"/>
    <n v="1"/>
    <x v="1"/>
    <x v="37"/>
    <x v="1"/>
    <x v="1"/>
    <x v="1"/>
    <x v="1"/>
    <m/>
    <x v="0"/>
    <x v="0"/>
    <m/>
    <s v="05EA023"/>
    <m/>
    <m/>
    <x v="0"/>
    <m/>
    <m/>
    <x v="0"/>
    <x v="1"/>
    <n v="150000"/>
    <x v="0"/>
    <m/>
    <n v="150000"/>
    <x v="0"/>
    <x v="0"/>
    <x v="0"/>
    <m/>
    <x v="0"/>
    <x v="0"/>
    <x v="0"/>
    <x v="0"/>
    <x v="0"/>
    <x v="0"/>
    <x v="0"/>
    <x v="0"/>
    <x v="0"/>
    <x v="0"/>
    <x v="0"/>
    <x v="0"/>
    <x v="0"/>
    <x v="0"/>
    <m/>
    <m/>
    <n v="150000"/>
    <x v="0"/>
    <x v="0"/>
    <m/>
    <n v="150000"/>
    <n v="2099"/>
    <s v="Food Crisis"/>
    <s v="PMN contribution to support Federation's appeal earmarked for Community Base Health Care Program to leverage NLRC funding."/>
    <x v="0"/>
    <x v="0"/>
  </r>
  <r>
    <m/>
    <n v="139"/>
    <s v="Southern Africa Food Security Crisis - Zimbabwe"/>
    <d v="2006-01-01T00:00:00"/>
    <x v="10"/>
    <n v="10"/>
    <x v="0"/>
    <x v="11"/>
    <n v="1"/>
    <x v="1"/>
    <x v="25"/>
    <x v="1"/>
    <x v="1"/>
    <x v="1"/>
    <x v="1"/>
    <m/>
    <x v="0"/>
    <x v="0"/>
    <m/>
    <s v="05EA023"/>
    <m/>
    <m/>
    <x v="0"/>
    <m/>
    <m/>
    <x v="0"/>
    <x v="1"/>
    <n v="250000"/>
    <x v="0"/>
    <m/>
    <n v="250000"/>
    <x v="0"/>
    <x v="0"/>
    <x v="0"/>
    <m/>
    <x v="0"/>
    <x v="0"/>
    <x v="0"/>
    <x v="0"/>
    <x v="0"/>
    <x v="0"/>
    <x v="0"/>
    <x v="0"/>
    <x v="0"/>
    <x v="0"/>
    <x v="0"/>
    <x v="0"/>
    <x v="0"/>
    <x v="0"/>
    <m/>
    <m/>
    <n v="250000"/>
    <x v="0"/>
    <x v="0"/>
    <m/>
    <n v="250000"/>
    <n v="2099"/>
    <s v="Food Crisis"/>
    <s v="PMN contribution to support Federation's appeal relief operations in Zimbabwe."/>
    <x v="0"/>
    <x v="0"/>
  </r>
  <r>
    <m/>
    <n v="139"/>
    <s v="Southern Africa Food Security Crisis - Zambia"/>
    <d v="2006-01-01T00:00:00"/>
    <x v="10"/>
    <n v="10"/>
    <x v="0"/>
    <x v="11"/>
    <n v="1"/>
    <x v="1"/>
    <x v="88"/>
    <x v="1"/>
    <x v="1"/>
    <x v="1"/>
    <x v="1"/>
    <m/>
    <x v="0"/>
    <x v="0"/>
    <s v="`"/>
    <s v="05EA023"/>
    <m/>
    <m/>
    <x v="0"/>
    <m/>
    <m/>
    <x v="0"/>
    <x v="1"/>
    <n v="400000"/>
    <x v="0"/>
    <m/>
    <n v="400000"/>
    <x v="0"/>
    <x v="0"/>
    <x v="0"/>
    <m/>
    <x v="0"/>
    <x v="0"/>
    <x v="0"/>
    <x v="0"/>
    <x v="0"/>
    <x v="0"/>
    <x v="0"/>
    <x v="0"/>
    <x v="0"/>
    <x v="0"/>
    <x v="0"/>
    <x v="0"/>
    <x v="0"/>
    <x v="0"/>
    <m/>
    <m/>
    <n v="400000"/>
    <x v="0"/>
    <x v="0"/>
    <m/>
    <n v="400000"/>
    <n v="2099"/>
    <s v="Food Crisis"/>
    <s v="$400K &amp; $100K PMN contribution to support Federation's appeal relief operations in Zambia."/>
    <x v="0"/>
    <x v="0"/>
  </r>
  <r>
    <m/>
    <n v="140"/>
    <s v="Eastern Africa Drought"/>
    <d v="2006-03-01T00:00:00"/>
    <x v="10"/>
    <n v="11"/>
    <x v="0"/>
    <x v="11"/>
    <n v="2"/>
    <x v="1"/>
    <x v="58"/>
    <x v="1"/>
    <x v="1"/>
    <x v="1"/>
    <x v="1"/>
    <m/>
    <x v="1"/>
    <x v="1"/>
    <n v="10500000"/>
    <s v="MDRKE001"/>
    <n v="1.4285714285714285E-2"/>
    <m/>
    <x v="0"/>
    <m/>
    <n v="329000"/>
    <x v="0"/>
    <x v="1"/>
    <n v="150000"/>
    <x v="0"/>
    <m/>
    <n v="150000"/>
    <x v="0"/>
    <x v="0"/>
    <x v="0"/>
    <m/>
    <x v="0"/>
    <x v="0"/>
    <x v="0"/>
    <x v="0"/>
    <x v="0"/>
    <x v="0"/>
    <x v="0"/>
    <x v="0"/>
    <x v="0"/>
    <x v="0"/>
    <x v="0"/>
    <x v="0"/>
    <x v="0"/>
    <x v="0"/>
    <m/>
    <m/>
    <n v="150000"/>
    <x v="0"/>
    <x v="0"/>
    <m/>
    <n v="150000"/>
    <n v="2099"/>
    <s v="E. Africa Appeal"/>
    <s v="PMN contribution to support Federation's appeal relief operations."/>
    <x v="0"/>
    <x v="0"/>
  </r>
  <r>
    <m/>
    <n v="141"/>
    <s v="Iraq Humanitarian Emergency"/>
    <d v="2006-03-01T00:00:00"/>
    <x v="10"/>
    <n v="12"/>
    <x v="0"/>
    <x v="11"/>
    <n v="3"/>
    <x v="3"/>
    <x v="72"/>
    <x v="2"/>
    <x v="8"/>
    <x v="7"/>
    <x v="7"/>
    <m/>
    <x v="1"/>
    <x v="2"/>
    <m/>
    <s v="MDRIQ001 / 05EA026 / REX 07/346"/>
    <m/>
    <m/>
    <x v="0"/>
    <m/>
    <n v="455000"/>
    <x v="0"/>
    <x v="1"/>
    <n v="88443"/>
    <x v="2"/>
    <m/>
    <n v="188443"/>
    <x v="0"/>
    <x v="0"/>
    <x v="0"/>
    <m/>
    <x v="0"/>
    <x v="0"/>
    <x v="0"/>
    <x v="0"/>
    <x v="0"/>
    <x v="0"/>
    <x v="0"/>
    <x v="0"/>
    <x v="0"/>
    <x v="0"/>
    <x v="0"/>
    <x v="0"/>
    <x v="0"/>
    <x v="0"/>
    <m/>
    <m/>
    <n v="188443"/>
    <x v="0"/>
    <x v="0"/>
    <n v="455000"/>
    <n v="188443"/>
    <n v="2689"/>
    <s v="Humanitarian Emergency"/>
    <s v="19,170 PMN to IFRC Iraq: Floods Appeal No. MDRIQ001 for 25,000 beneficiaries; 69,272.96 PMN to IFRC Iraq: Humanitarian Emergency Appeal No. 05 EA026 for 350,000 beneficiaries; 100,000 Cash Contribution to ICRC's emergency appeal for Iraq activities relate"/>
    <x v="0"/>
    <x v="0"/>
  </r>
  <r>
    <s v="-2006-000022-TMP"/>
    <n v="142"/>
    <s v="Timor-Leste Floods"/>
    <d v="2006-02-01T00:00:00"/>
    <x v="10"/>
    <n v="13"/>
    <x v="0"/>
    <x v="11"/>
    <n v="4"/>
    <x v="3"/>
    <x v="13"/>
    <x v="1"/>
    <x v="2"/>
    <x v="2"/>
    <x v="2"/>
    <m/>
    <x v="1"/>
    <x v="1"/>
    <n v="485000"/>
    <s v="MDRTP001"/>
    <n v="0.10309278350515463"/>
    <m/>
    <x v="0"/>
    <m/>
    <n v="8400"/>
    <x v="0"/>
    <x v="1"/>
    <n v="50000"/>
    <x v="0"/>
    <m/>
    <n v="50000"/>
    <x v="0"/>
    <x v="0"/>
    <x v="0"/>
    <m/>
    <x v="0"/>
    <x v="0"/>
    <x v="0"/>
    <x v="0"/>
    <x v="0"/>
    <x v="0"/>
    <x v="0"/>
    <x v="0"/>
    <x v="0"/>
    <x v="0"/>
    <x v="0"/>
    <x v="0"/>
    <x v="0"/>
    <x v="0"/>
    <m/>
    <m/>
    <n v="50000"/>
    <x v="0"/>
    <x v="0"/>
    <n v="8400"/>
    <n v="50000"/>
    <n v="2799"/>
    <s v="Oecusse, Ainaro, Viqueque, Bobonaro and Baucau Districts"/>
    <s v="PMN contribution to support the Federation's operation in response to the Timor-Leste: Storms and Floods Emergency Appeal No. MDRTP001."/>
    <x v="0"/>
    <x v="0"/>
  </r>
  <r>
    <s v="MS-2006-000179-PHL"/>
    <n v="143"/>
    <s v="Philippines Mudslides"/>
    <d v="2006-02-01T00:00:00"/>
    <x v="10"/>
    <n v="14"/>
    <x v="0"/>
    <x v="11"/>
    <n v="5"/>
    <x v="3"/>
    <x v="89"/>
    <x v="1"/>
    <x v="18"/>
    <x v="25"/>
    <x v="26"/>
    <m/>
    <x v="1"/>
    <x v="1"/>
    <n v="2000000"/>
    <s v="MDRPH001"/>
    <n v="2.5000000000000001E-2"/>
    <m/>
    <x v="0"/>
    <m/>
    <n v="8000"/>
    <x v="0"/>
    <x v="1"/>
    <n v="50000"/>
    <x v="0"/>
    <n v="5000"/>
    <n v="55000"/>
    <x v="0"/>
    <x v="0"/>
    <x v="0"/>
    <m/>
    <x v="0"/>
    <x v="0"/>
    <x v="0"/>
    <x v="0"/>
    <x v="0"/>
    <x v="0"/>
    <x v="0"/>
    <x v="0"/>
    <x v="0"/>
    <x v="0"/>
    <x v="0"/>
    <x v="0"/>
    <x v="0"/>
    <x v="0"/>
    <m/>
    <m/>
    <n v="55000"/>
    <x v="0"/>
    <x v="0"/>
    <n v="8000"/>
    <n v="55000"/>
    <n v="2032"/>
    <s v="Southern Leyte"/>
    <s v="PMN contribution to support the Federation's operation in the Philippines: Landslides and Floods Emergency Appeal No. MDRPH001 in the amount of 50,000 USD; Amex donation to Philippines National Red Cross for their emergency operations in the amount of 5,0"/>
    <x v="0"/>
    <x v="0"/>
  </r>
  <r>
    <m/>
    <n v="144"/>
    <s v="Angola Cholera Epidemic"/>
    <d v="2006-05-01T00:00:00"/>
    <x v="10"/>
    <n v="15"/>
    <x v="0"/>
    <x v="11"/>
    <n v="6"/>
    <x v="1"/>
    <x v="90"/>
    <x v="4"/>
    <x v="11"/>
    <x v="11"/>
    <x v="12"/>
    <m/>
    <x v="0"/>
    <x v="0"/>
    <m/>
    <m/>
    <m/>
    <m/>
    <x v="0"/>
    <m/>
    <m/>
    <x v="0"/>
    <x v="0"/>
    <m/>
    <x v="0"/>
    <m/>
    <n v="0"/>
    <x v="2"/>
    <x v="0"/>
    <x v="0"/>
    <m/>
    <x v="0"/>
    <x v="0"/>
    <x v="0"/>
    <x v="0"/>
    <x v="0"/>
    <x v="0"/>
    <x v="0"/>
    <x v="0"/>
    <x v="0"/>
    <x v="0"/>
    <x v="0"/>
    <x v="0"/>
    <x v="0"/>
    <x v="0"/>
    <m/>
    <n v="5000"/>
    <n v="5000"/>
    <x v="0"/>
    <x v="0"/>
    <m/>
    <n v="5000"/>
    <n v="2799"/>
    <s v="Cholera Outbreak"/>
    <s v="J. Koepsell as FACT Health"/>
    <x v="0"/>
    <x v="0"/>
  </r>
  <r>
    <m/>
    <n v="145"/>
    <s v="Ethiopia Drought"/>
    <d v="2006-04-01T00:00:00"/>
    <x v="10"/>
    <n v="16"/>
    <x v="0"/>
    <x v="11"/>
    <n v="7"/>
    <x v="1"/>
    <x v="1"/>
    <x v="1"/>
    <x v="1"/>
    <x v="1"/>
    <x v="1"/>
    <m/>
    <x v="1"/>
    <x v="1"/>
    <n v="1129750"/>
    <s v="MDRET001"/>
    <n v="8.3612303606992691E-2"/>
    <m/>
    <x v="0"/>
    <m/>
    <n v="36341"/>
    <x v="0"/>
    <x v="1"/>
    <n v="94461"/>
    <x v="0"/>
    <m/>
    <n v="94461"/>
    <x v="0"/>
    <x v="0"/>
    <x v="0"/>
    <m/>
    <x v="0"/>
    <x v="0"/>
    <x v="0"/>
    <x v="0"/>
    <x v="0"/>
    <x v="0"/>
    <x v="0"/>
    <x v="0"/>
    <x v="0"/>
    <x v="0"/>
    <x v="0"/>
    <x v="0"/>
    <x v="0"/>
    <x v="0"/>
    <m/>
    <m/>
    <n v="94461"/>
    <x v="0"/>
    <x v="0"/>
    <m/>
    <n v="94461"/>
    <n v="2099"/>
    <m/>
    <s v="PMN contribution to support Ethiopa: Drought Appeal"/>
    <x v="0"/>
    <x v="0"/>
  </r>
  <r>
    <m/>
    <n v="146"/>
    <s v="Somalia Drought"/>
    <d v="2006-04-01T00:00:00"/>
    <x v="10"/>
    <n v="17"/>
    <x v="0"/>
    <x v="11"/>
    <n v="8"/>
    <x v="1"/>
    <x v="91"/>
    <x v="1"/>
    <x v="1"/>
    <x v="1"/>
    <x v="1"/>
    <m/>
    <x v="1"/>
    <x v="3"/>
    <m/>
    <m/>
    <m/>
    <m/>
    <x v="0"/>
    <m/>
    <m/>
    <x v="0"/>
    <x v="1"/>
    <m/>
    <x v="5"/>
    <m/>
    <n v="250000"/>
    <x v="0"/>
    <x v="0"/>
    <x v="0"/>
    <m/>
    <x v="0"/>
    <x v="0"/>
    <x v="0"/>
    <x v="0"/>
    <x v="0"/>
    <x v="0"/>
    <x v="0"/>
    <x v="0"/>
    <x v="0"/>
    <x v="0"/>
    <x v="0"/>
    <x v="0"/>
    <x v="0"/>
    <x v="0"/>
    <m/>
    <m/>
    <n v="250000"/>
    <x v="0"/>
    <x v="0"/>
    <m/>
    <n v="250000"/>
    <n v="2099"/>
    <m/>
    <s v="Pledge Letter to ICRC for Somalia Emergency Appeal"/>
    <x v="0"/>
    <x v="0"/>
  </r>
  <r>
    <m/>
    <n v="147"/>
    <s v="Spain Terrorism"/>
    <d v="2006-04-01T00:00:00"/>
    <x v="10"/>
    <n v="18"/>
    <x v="0"/>
    <x v="11"/>
    <n v="9"/>
    <x v="3"/>
    <x v="92"/>
    <x v="2"/>
    <x v="12"/>
    <x v="14"/>
    <x v="15"/>
    <m/>
    <x v="0"/>
    <x v="0"/>
    <m/>
    <m/>
    <m/>
    <m/>
    <x v="0"/>
    <m/>
    <m/>
    <x v="0"/>
    <x v="0"/>
    <m/>
    <x v="0"/>
    <n v="20000"/>
    <n v="20000"/>
    <x v="0"/>
    <x v="0"/>
    <x v="0"/>
    <m/>
    <x v="0"/>
    <x v="0"/>
    <x v="0"/>
    <x v="0"/>
    <x v="0"/>
    <x v="0"/>
    <x v="0"/>
    <x v="0"/>
    <x v="0"/>
    <x v="0"/>
    <x v="0"/>
    <x v="0"/>
    <x v="0"/>
    <x v="0"/>
    <m/>
    <m/>
    <n v="20000"/>
    <x v="0"/>
    <x v="0"/>
    <m/>
    <n v="20000"/>
    <n v="2903"/>
    <s v="April 2004 MadridTrain Bombing"/>
    <s v="Suspense acct contribution following April 2004 bombing. Grant to Spain RC for DPP"/>
    <x v="0"/>
    <x v="0"/>
  </r>
  <r>
    <m/>
    <n v="148"/>
    <s v="Colombia Floods"/>
    <d v="2006-05-01T00:00:00"/>
    <x v="10"/>
    <n v="19"/>
    <x v="0"/>
    <x v="11"/>
    <n v="10"/>
    <x v="2"/>
    <x v="87"/>
    <x v="1"/>
    <x v="2"/>
    <x v="2"/>
    <x v="0"/>
    <m/>
    <x v="0"/>
    <x v="0"/>
    <m/>
    <m/>
    <m/>
    <m/>
    <x v="0"/>
    <m/>
    <m/>
    <x v="1"/>
    <x v="0"/>
    <m/>
    <x v="0"/>
    <n v="50000"/>
    <n v="50000"/>
    <x v="0"/>
    <x v="0"/>
    <x v="0"/>
    <m/>
    <x v="0"/>
    <x v="0"/>
    <x v="0"/>
    <x v="0"/>
    <x v="0"/>
    <x v="0"/>
    <x v="0"/>
    <x v="0"/>
    <x v="0"/>
    <x v="0"/>
    <x v="0"/>
    <x v="0"/>
    <x v="0"/>
    <x v="0"/>
    <m/>
    <m/>
    <n v="50000"/>
    <x v="0"/>
    <x v="0"/>
    <m/>
    <n v="50000"/>
    <n v="2799"/>
    <m/>
    <s v="OFDA award in support of ARC's proposal &quot;Colombia Floods 2006&quot; to support CRC emergency relief response."/>
    <x v="0"/>
    <x v="0"/>
  </r>
  <r>
    <s v="EQ-2006-000064-IDN"/>
    <n v="149"/>
    <s v="Indonesia Yogyakarta Earthquake"/>
    <d v="2006-05-01T00:00:00"/>
    <x v="10"/>
    <n v="20"/>
    <x v="0"/>
    <x v="11"/>
    <n v="11"/>
    <x v="3"/>
    <x v="27"/>
    <x v="3"/>
    <x v="3"/>
    <x v="3"/>
    <x v="3"/>
    <m/>
    <x v="1"/>
    <x v="1"/>
    <n v="31000000"/>
    <s v="MDRID001"/>
    <m/>
    <m/>
    <x v="0"/>
    <m/>
    <n v="325000"/>
    <x v="0"/>
    <x v="1"/>
    <n v="1398250"/>
    <x v="0"/>
    <m/>
    <n v="1398250"/>
    <x v="15"/>
    <x v="1"/>
    <x v="0"/>
    <m/>
    <x v="0"/>
    <x v="0"/>
    <x v="0"/>
    <x v="0"/>
    <x v="0"/>
    <x v="0"/>
    <x v="0"/>
    <x v="0"/>
    <x v="0"/>
    <x v="0"/>
    <x v="0"/>
    <x v="0"/>
    <x v="0"/>
    <x v="0"/>
    <m/>
    <n v="87500"/>
    <n v="1485750"/>
    <x v="0"/>
    <x v="0"/>
    <n v="13000"/>
    <n v="1485750"/>
    <s v="2930 / 2799"/>
    <s v="Yogyakarta"/>
    <s v="CASH: 1. PMN to Fed 119,000 from AP2930  2. PMN to Fed 179,250 from AP2930 earmarked for 80K sleeping mats 3. PMN from AP2930 to Fed 1 million earmarked for tarps (600K), PSP (100K), DM (300K); PMN contribution to support Fed appeal relief operations - jo"/>
    <x v="0"/>
    <x v="0"/>
  </r>
  <r>
    <m/>
    <n v="150"/>
    <s v="Romania Floods"/>
    <d v="2006-07-01T00:00:00"/>
    <x v="11"/>
    <n v="1"/>
    <x v="0"/>
    <x v="11"/>
    <n v="12"/>
    <x v="3"/>
    <x v="61"/>
    <x v="1"/>
    <x v="2"/>
    <x v="2"/>
    <x v="2"/>
    <m/>
    <x v="1"/>
    <x v="1"/>
    <n v="1900000"/>
    <s v="MDRRO001"/>
    <n v="2.631578947368421E-3"/>
    <m/>
    <x v="0"/>
    <m/>
    <n v="13000"/>
    <x v="0"/>
    <x v="2"/>
    <n v="5000"/>
    <x v="0"/>
    <m/>
    <n v="5000"/>
    <x v="0"/>
    <x v="0"/>
    <x v="0"/>
    <m/>
    <x v="0"/>
    <x v="0"/>
    <x v="0"/>
    <x v="0"/>
    <x v="0"/>
    <x v="0"/>
    <x v="0"/>
    <x v="0"/>
    <x v="0"/>
    <x v="0"/>
    <x v="0"/>
    <x v="0"/>
    <x v="0"/>
    <x v="0"/>
    <m/>
    <m/>
    <n v="5000"/>
    <x v="0"/>
    <x v="0"/>
    <m/>
    <n v="5000"/>
    <n v="2685"/>
    <s v="Country-Wide"/>
    <s v="PMN contribution to support Federation's Emergency Appeal - AmEx contribution - from suspense acct"/>
    <x v="0"/>
    <x v="0"/>
  </r>
  <r>
    <m/>
    <n v="151"/>
    <s v="Middle East Humanitarian Crisis"/>
    <d v="2006-07-01T00:00:00"/>
    <x v="11"/>
    <n v="2"/>
    <x v="0"/>
    <x v="11"/>
    <n v="13"/>
    <x v="3"/>
    <x v="93"/>
    <x v="2"/>
    <x v="8"/>
    <x v="7"/>
    <x v="7"/>
    <m/>
    <x v="1"/>
    <x v="4"/>
    <n v="83131000"/>
    <s v="MDR81001 /REX 06/575"/>
    <m/>
    <m/>
    <x v="0"/>
    <m/>
    <n v="2000000"/>
    <x v="0"/>
    <x v="1"/>
    <n v="475000"/>
    <x v="6"/>
    <n v="356000"/>
    <n v="1889600"/>
    <x v="0"/>
    <x v="0"/>
    <x v="0"/>
    <m/>
    <x v="0"/>
    <x v="0"/>
    <x v="0"/>
    <x v="0"/>
    <x v="0"/>
    <x v="0"/>
    <x v="0"/>
    <x v="0"/>
    <x v="0"/>
    <x v="0"/>
    <x v="0"/>
    <x v="0"/>
    <x v="0"/>
    <x v="0"/>
    <m/>
    <m/>
    <n v="1889600"/>
    <x v="0"/>
    <x v="0"/>
    <m/>
    <n v="1889600"/>
    <s v="2099 /2649"/>
    <s v="Humanitarian Crisis"/>
    <s v="CASH: Contributions to ICRC - 1. $500,000 2. $150,000 3. $211,136 to MDA specifically from AP2099; Contributions to ICRC - 1. $150,000 2. 47,500 (Dow Chemical Com from AP2649 pany), Contribution to Fed $475,000 (Coca Cola) from AP2649; $200,000 grant to P"/>
    <x v="0"/>
    <x v="0"/>
  </r>
  <r>
    <m/>
    <n v="152"/>
    <s v="China Floods"/>
    <d v="2006-08-01T00:00:00"/>
    <x v="11"/>
    <n v="3"/>
    <x v="0"/>
    <x v="11"/>
    <n v="14"/>
    <x v="3"/>
    <x v="4"/>
    <x v="1"/>
    <x v="2"/>
    <x v="2"/>
    <x v="2"/>
    <m/>
    <x v="1"/>
    <x v="1"/>
    <n v="4825791"/>
    <s v="MDRCN001"/>
    <n v="1.036099574142353E-2"/>
    <m/>
    <x v="0"/>
    <m/>
    <n v="240000"/>
    <x v="0"/>
    <x v="1"/>
    <n v="50000"/>
    <x v="0"/>
    <m/>
    <n v="50000"/>
    <x v="0"/>
    <x v="0"/>
    <x v="0"/>
    <m/>
    <x v="0"/>
    <x v="0"/>
    <x v="0"/>
    <x v="0"/>
    <x v="0"/>
    <x v="0"/>
    <x v="0"/>
    <x v="0"/>
    <x v="0"/>
    <x v="0"/>
    <x v="0"/>
    <x v="0"/>
    <x v="0"/>
    <x v="0"/>
    <m/>
    <m/>
    <n v="50000"/>
    <x v="0"/>
    <x v="0"/>
    <m/>
    <n v="50000"/>
    <n v="2799"/>
    <m/>
    <s v="PMN contribution earmarked for procurement of rice to support Fed's China: Floods Appeal"/>
    <x v="0"/>
    <x v="0"/>
  </r>
  <r>
    <s v="VO-2006-"/>
    <n v="153"/>
    <s v="Ecuador Volanic Eruption"/>
    <d v="2006-08-01T00:00:00"/>
    <x v="11"/>
    <n v="4"/>
    <x v="0"/>
    <x v="11"/>
    <n v="15"/>
    <x v="2"/>
    <x v="45"/>
    <x v="3"/>
    <x v="4"/>
    <x v="4"/>
    <x v="4"/>
    <m/>
    <x v="1"/>
    <x v="1"/>
    <n v="514753"/>
    <s v="MDREC002"/>
    <n v="0"/>
    <n v="1"/>
    <x v="0"/>
    <m/>
    <n v="5475"/>
    <x v="0"/>
    <x v="0"/>
    <m/>
    <x v="0"/>
    <n v="50000"/>
    <n v="50000"/>
    <x v="0"/>
    <x v="0"/>
    <x v="0"/>
    <m/>
    <x v="0"/>
    <x v="0"/>
    <x v="0"/>
    <x v="0"/>
    <x v="0"/>
    <x v="0"/>
    <x v="0"/>
    <x v="0"/>
    <x v="0"/>
    <x v="0"/>
    <x v="0"/>
    <x v="0"/>
    <x v="0"/>
    <x v="0"/>
    <m/>
    <m/>
    <n v="50000"/>
    <x v="0"/>
    <x v="0"/>
    <m/>
    <n v="50000"/>
    <n v="2799"/>
    <s v="Tungurahua"/>
    <s v="OFDA award in support of ARC's proposal &quot;Tungurahua Volcano eruption&quot; to support the ERC emergency relief response."/>
    <x v="0"/>
    <x v="0"/>
  </r>
  <r>
    <s v="FL-2006-000122-ETH"/>
    <n v="154"/>
    <s v="Ethiopia Floods"/>
    <d v="2006-08-01T00:00:00"/>
    <x v="11"/>
    <n v="5"/>
    <x v="0"/>
    <x v="11"/>
    <n v="16"/>
    <x v="1"/>
    <x v="1"/>
    <x v="1"/>
    <x v="2"/>
    <x v="2"/>
    <x v="2"/>
    <m/>
    <x v="1"/>
    <x v="1"/>
    <n v="4225070"/>
    <s v="MDRET003"/>
    <n v="2.0118009879126264E-2"/>
    <m/>
    <x v="0"/>
    <m/>
    <n v="25000"/>
    <x v="0"/>
    <x v="1"/>
    <n v="85000"/>
    <x v="0"/>
    <m/>
    <n v="85000"/>
    <x v="4"/>
    <x v="0"/>
    <x v="0"/>
    <m/>
    <x v="0"/>
    <x v="0"/>
    <x v="0"/>
    <x v="0"/>
    <x v="0"/>
    <x v="0"/>
    <x v="0"/>
    <x v="0"/>
    <x v="0"/>
    <x v="0"/>
    <x v="0"/>
    <x v="0"/>
    <x v="0"/>
    <x v="0"/>
    <m/>
    <m/>
    <n v="85000"/>
    <x v="0"/>
    <x v="0"/>
    <m/>
    <n v="85000"/>
    <s v="2099 / 2648"/>
    <s v="Amhara"/>
    <s v="CASH: PMN from 2099 contribution to Fed Appeal earmarked for tarps, blankets, sleeping mats PEOPLE: Deployed J. Manley, Prog Coordinator, 2 mo. AND K.White, Prog Delegate, 2 mo. From AP 2648."/>
    <x v="0"/>
    <x v="0"/>
  </r>
  <r>
    <s v="FL-2006-000123-SDN"/>
    <n v="155"/>
    <s v="Sudan Floods"/>
    <d v="2006-09-01T00:00:00"/>
    <x v="11"/>
    <n v="6"/>
    <x v="0"/>
    <x v="11"/>
    <n v="17"/>
    <x v="1"/>
    <x v="81"/>
    <x v="1"/>
    <x v="2"/>
    <x v="2"/>
    <x v="2"/>
    <m/>
    <x v="1"/>
    <x v="1"/>
    <n v="492625"/>
    <s v="MDRSD002"/>
    <n v="2.0299416391778735E-2"/>
    <m/>
    <x v="0"/>
    <m/>
    <n v="15000"/>
    <x v="0"/>
    <x v="2"/>
    <n v="10000"/>
    <x v="0"/>
    <m/>
    <n v="10000"/>
    <x v="0"/>
    <x v="0"/>
    <x v="0"/>
    <n v="10000"/>
    <x v="0"/>
    <x v="0"/>
    <x v="0"/>
    <x v="0"/>
    <x v="0"/>
    <x v="0"/>
    <x v="0"/>
    <x v="0"/>
    <x v="1"/>
    <x v="0"/>
    <x v="0"/>
    <x v="0"/>
    <x v="0"/>
    <x v="0"/>
    <n v="36900"/>
    <m/>
    <n v="46900"/>
    <x v="0"/>
    <x v="0"/>
    <m/>
    <n v="46900"/>
    <n v="2802"/>
    <m/>
    <s v="Nets @ $3.69 each + $10,000 (transport) = $46,900"/>
    <x v="0"/>
    <x v="0"/>
  </r>
  <r>
    <s v="TC-2006-000175-PHL"/>
    <n v="156"/>
    <s v="Philippines Typhoons"/>
    <d v="2006-10-01T00:00:00"/>
    <x v="11"/>
    <n v="7"/>
    <x v="0"/>
    <x v="11"/>
    <n v="18"/>
    <x v="3"/>
    <x v="89"/>
    <x v="1"/>
    <x v="5"/>
    <x v="5"/>
    <x v="22"/>
    <m/>
    <x v="1"/>
    <x v="1"/>
    <n v="8637057"/>
    <s v="MDRPH002"/>
    <n v="9.1119000372464828E-2"/>
    <m/>
    <x v="0"/>
    <m/>
    <n v="1030000"/>
    <x v="0"/>
    <x v="1"/>
    <n v="787000"/>
    <x v="0"/>
    <m/>
    <n v="787000"/>
    <x v="4"/>
    <x v="0"/>
    <x v="0"/>
    <m/>
    <x v="0"/>
    <x v="0"/>
    <x v="0"/>
    <x v="0"/>
    <x v="0"/>
    <x v="0"/>
    <x v="0"/>
    <x v="0"/>
    <x v="0"/>
    <x v="0"/>
    <x v="0"/>
    <x v="0"/>
    <x v="0"/>
    <x v="0"/>
    <m/>
    <n v="6500"/>
    <n v="793500"/>
    <x v="0"/>
    <x v="0"/>
    <m/>
    <n v="793500"/>
    <n v="2032"/>
    <s v="Xangsane / Durian"/>
    <s v="PEOPLE: Deployed B. Gaillis, Ops Coordinator, 5 wks; Deployed C. Blake, FACT Relief, 3 wks. CASH: 2. PMN Fed Philippines: Typhoons $237,000 from AP2032; PMN Fed Philippines: Typhoon Xangsane Appeal $200,000 from AP2099;  3. PMN Fed Philippines: Typhoons $"/>
    <x v="0"/>
    <x v="0"/>
  </r>
  <r>
    <s v="TC-2006-000144-VNM; TC-2006-000175-VNM"/>
    <n v="157"/>
    <s v="Vietnam Typhoons"/>
    <d v="2006-10-01T00:00:00"/>
    <x v="11"/>
    <n v="8"/>
    <x v="0"/>
    <x v="11"/>
    <n v="19"/>
    <x v="3"/>
    <x v="16"/>
    <x v="1"/>
    <x v="5"/>
    <x v="5"/>
    <x v="22"/>
    <m/>
    <x v="1"/>
    <x v="1"/>
    <n v="1340000"/>
    <s v="MDRVN001"/>
    <n v="4.7014925373134328E-2"/>
    <m/>
    <x v="0"/>
    <m/>
    <n v="60400"/>
    <x v="0"/>
    <x v="1"/>
    <n v="63000"/>
    <x v="0"/>
    <m/>
    <n v="63000"/>
    <x v="0"/>
    <x v="0"/>
    <x v="0"/>
    <m/>
    <x v="0"/>
    <x v="0"/>
    <x v="0"/>
    <x v="0"/>
    <x v="0"/>
    <x v="0"/>
    <x v="0"/>
    <x v="0"/>
    <x v="0"/>
    <x v="0"/>
    <x v="0"/>
    <x v="0"/>
    <x v="0"/>
    <x v="0"/>
    <m/>
    <m/>
    <n v="63000"/>
    <x v="0"/>
    <x v="0"/>
    <m/>
    <n v="63000"/>
    <n v="2799"/>
    <s v="Xangsane"/>
    <s v="PMN Fed Vietnam from AP2799: Typhoon Xangsane Appeal $25,000; PMN Fed Vietnam from AP2870: Typhoon Xangsane $38,000"/>
    <x v="0"/>
    <x v="0"/>
  </r>
  <r>
    <m/>
    <n v="158"/>
    <s v="Somalia Conflict"/>
    <d v="2006-11-01T00:00:00"/>
    <x v="11"/>
    <n v="9"/>
    <x v="0"/>
    <x v="11"/>
    <n v="20"/>
    <x v="1"/>
    <x v="91"/>
    <x v="2"/>
    <x v="8"/>
    <x v="7"/>
    <x v="7"/>
    <m/>
    <x v="0"/>
    <x v="0"/>
    <m/>
    <m/>
    <m/>
    <m/>
    <x v="0"/>
    <m/>
    <m/>
    <x v="0"/>
    <x v="0"/>
    <m/>
    <x v="7"/>
    <m/>
    <n v="50000"/>
    <x v="0"/>
    <x v="0"/>
    <x v="0"/>
    <m/>
    <x v="0"/>
    <x v="0"/>
    <x v="0"/>
    <x v="0"/>
    <x v="0"/>
    <x v="0"/>
    <x v="0"/>
    <x v="0"/>
    <x v="0"/>
    <x v="0"/>
    <x v="0"/>
    <x v="0"/>
    <x v="0"/>
    <x v="0"/>
    <m/>
    <m/>
    <n v="50000"/>
    <x v="0"/>
    <x v="0"/>
    <m/>
    <n v="50000"/>
    <n v="2799"/>
    <s v="IDP"/>
    <s v="Contribution to ICRC 2006 Somalia Emergency Appeal - spec IDPs"/>
    <x v="0"/>
    <x v="0"/>
  </r>
  <r>
    <s v="FL-2006-000159-KEN"/>
    <n v="159"/>
    <s v="Kenya Floods"/>
    <d v="2006-11-01T00:00:00"/>
    <x v="11"/>
    <n v="10"/>
    <x v="0"/>
    <x v="11"/>
    <n v="21"/>
    <x v="1"/>
    <x v="58"/>
    <x v="1"/>
    <x v="2"/>
    <x v="2"/>
    <x v="2"/>
    <m/>
    <x v="1"/>
    <x v="1"/>
    <n v="21832647"/>
    <s v="MDRKE003"/>
    <n v="2.290148326952751E-3"/>
    <m/>
    <x v="0"/>
    <m/>
    <n v="563000"/>
    <x v="0"/>
    <x v="1"/>
    <n v="50000"/>
    <x v="0"/>
    <n v="30000"/>
    <n v="80000"/>
    <x v="0"/>
    <x v="0"/>
    <x v="0"/>
    <n v="20000"/>
    <x v="0"/>
    <x v="0"/>
    <x v="0"/>
    <x v="0"/>
    <x v="0"/>
    <x v="0"/>
    <x v="0"/>
    <x v="0"/>
    <x v="2"/>
    <x v="0"/>
    <x v="0"/>
    <x v="0"/>
    <x v="0"/>
    <x v="0"/>
    <n v="120000"/>
    <m/>
    <n v="200000"/>
    <x v="0"/>
    <x v="0"/>
    <m/>
    <n v="200000"/>
    <s v="2925 / 2099"/>
    <m/>
    <s v="CASH: From AP2925: 30K - IDR/IP grant directly to Kenya Red Cross; PMN to Fed - 50k from LDS; SUPPLIES: 20,000 (mosquito nets) @ $4.44 each + PSR, etc + $20,000 (transport) = $120,000 from AP2099"/>
    <x v="0"/>
    <x v="0"/>
  </r>
  <r>
    <m/>
    <n v="160"/>
    <s v="Somalia Floods"/>
    <d v="2006-11-01T00:00:00"/>
    <x v="11"/>
    <n v="11"/>
    <x v="0"/>
    <x v="11"/>
    <n v="22"/>
    <x v="1"/>
    <x v="91"/>
    <x v="1"/>
    <x v="2"/>
    <x v="2"/>
    <x v="2"/>
    <m/>
    <x v="1"/>
    <x v="3"/>
    <n v="33508000"/>
    <s v="REX 06/813"/>
    <m/>
    <m/>
    <x v="0"/>
    <m/>
    <n v="324000"/>
    <x v="0"/>
    <x v="0"/>
    <m/>
    <x v="2"/>
    <m/>
    <n v="100000"/>
    <x v="0"/>
    <x v="0"/>
    <x v="0"/>
    <m/>
    <x v="0"/>
    <x v="0"/>
    <x v="0"/>
    <x v="0"/>
    <x v="0"/>
    <x v="0"/>
    <x v="0"/>
    <x v="0"/>
    <x v="0"/>
    <x v="0"/>
    <x v="0"/>
    <x v="0"/>
    <x v="0"/>
    <x v="0"/>
    <m/>
    <m/>
    <n v="100000"/>
    <x v="0"/>
    <x v="0"/>
    <m/>
    <n v="100000"/>
    <n v="2099"/>
    <m/>
    <s v="Contribution to ICRC 2006 Somalia Emergency Appeal - spec those affected by floods"/>
    <x v="0"/>
    <x v="0"/>
  </r>
  <r>
    <s v="FL-2006-000198-MOZ"/>
    <n v="161"/>
    <s v="Mozambique Floods"/>
    <d v="2007-02-01T00:00:00"/>
    <x v="11"/>
    <n v="12"/>
    <x v="0"/>
    <x v="12"/>
    <n v="1"/>
    <x v="1"/>
    <x v="36"/>
    <x v="1"/>
    <x v="2"/>
    <x v="2"/>
    <x v="2"/>
    <m/>
    <x v="1"/>
    <x v="1"/>
    <n v="5971938"/>
    <s v="MDRMZ002"/>
    <m/>
    <m/>
    <x v="0"/>
    <m/>
    <n v="100000"/>
    <x v="0"/>
    <x v="0"/>
    <m/>
    <x v="0"/>
    <m/>
    <n v="0"/>
    <x v="4"/>
    <x v="1"/>
    <x v="0"/>
    <n v="26950"/>
    <x v="0"/>
    <x v="0"/>
    <x v="10"/>
    <x v="0"/>
    <x v="0"/>
    <x v="0"/>
    <x v="0"/>
    <x v="0"/>
    <x v="0"/>
    <x v="0"/>
    <x v="7"/>
    <x v="0"/>
    <x v="0"/>
    <x v="0"/>
    <n v="200000"/>
    <n v="45000"/>
    <n v="245000"/>
    <x v="0"/>
    <x v="0"/>
    <m/>
    <n v="245000"/>
    <s v="2099 /2936"/>
    <s v="Caia"/>
    <s v="SUPPLIES: 7050 blankets @ $3.75, 3900 tarps @ $14.20, 16,000 sleeping mats @ $1.70; PEOPLE: Relief ERU deployment - T. Reines, G. Guinta, 1 month, 2nd team rotation from  AP2936"/>
    <x v="0"/>
    <x v="0"/>
  </r>
  <r>
    <s v="FL-2007-000012-BOL"/>
    <n v="162"/>
    <s v="Bolivia Floods"/>
    <d v="2007-02-01T00:00:00"/>
    <x v="11"/>
    <n v="13"/>
    <x v="0"/>
    <x v="12"/>
    <n v="2"/>
    <x v="2"/>
    <x v="38"/>
    <x v="1"/>
    <x v="2"/>
    <x v="2"/>
    <x v="2"/>
    <m/>
    <x v="1"/>
    <x v="1"/>
    <n v="484360"/>
    <s v="MDRBO002"/>
    <m/>
    <m/>
    <x v="0"/>
    <m/>
    <n v="35940"/>
    <x v="0"/>
    <x v="1"/>
    <n v="150000"/>
    <x v="0"/>
    <m/>
    <n v="150000"/>
    <x v="0"/>
    <x v="0"/>
    <x v="0"/>
    <m/>
    <x v="0"/>
    <x v="0"/>
    <x v="0"/>
    <x v="0"/>
    <x v="0"/>
    <x v="0"/>
    <x v="0"/>
    <x v="0"/>
    <x v="0"/>
    <x v="0"/>
    <x v="0"/>
    <x v="0"/>
    <x v="0"/>
    <x v="0"/>
    <m/>
    <m/>
    <n v="150000"/>
    <x v="0"/>
    <x v="0"/>
    <m/>
    <n v="150000"/>
    <s v="2099 / 2666"/>
    <m/>
    <s v="$50,000 PMN to Fed - unearmarked from 2099; $100,000  from 2666 - OFDA grant to Fed via PMN. Earmarked for 1500 food parcels, 1500 tool kits and remaining goes to transport costs."/>
    <x v="0"/>
    <x v="0"/>
  </r>
  <r>
    <m/>
    <n v="163"/>
    <s v="Sri Lanka Conflict"/>
    <d v="2007-03-01T00:00:00"/>
    <x v="11"/>
    <n v="14"/>
    <x v="0"/>
    <x v="12"/>
    <n v="3"/>
    <x v="3"/>
    <x v="34"/>
    <x v="2"/>
    <x v="8"/>
    <x v="7"/>
    <x v="7"/>
    <m/>
    <x v="1"/>
    <x v="3"/>
    <n v="32018000"/>
    <s v="REX 07/376"/>
    <m/>
    <m/>
    <x v="0"/>
    <m/>
    <n v="150000"/>
    <x v="0"/>
    <x v="0"/>
    <m/>
    <x v="8"/>
    <m/>
    <n v="2000000"/>
    <x v="0"/>
    <x v="0"/>
    <x v="0"/>
    <m/>
    <x v="0"/>
    <x v="0"/>
    <x v="0"/>
    <x v="0"/>
    <x v="0"/>
    <x v="0"/>
    <x v="0"/>
    <x v="0"/>
    <x v="0"/>
    <x v="0"/>
    <x v="0"/>
    <x v="0"/>
    <x v="0"/>
    <x v="0"/>
    <m/>
    <m/>
    <n v="2000000"/>
    <x v="0"/>
    <x v="0"/>
    <m/>
    <n v="2000000"/>
    <s v="2695 /2692"/>
    <m/>
    <s v="Contribution to ICRC 2007 Sri Lanka Emergency Appeal - to build the capacity of the SLRCS in disaster relief, IHL and overall cooperation. $320K earmarked to support ICRC HQ ops"/>
    <x v="0"/>
    <x v="0"/>
  </r>
  <r>
    <m/>
    <n v="164"/>
    <s v="Madagascar Cyclones"/>
    <d v="2007-03-01T00:00:00"/>
    <x v="11"/>
    <n v="15"/>
    <x v="0"/>
    <x v="12"/>
    <n v="4"/>
    <x v="1"/>
    <x v="26"/>
    <x v="1"/>
    <x v="5"/>
    <x v="5"/>
    <x v="8"/>
    <m/>
    <x v="1"/>
    <x v="1"/>
    <n v="1649430"/>
    <s v="MDRMG002"/>
    <m/>
    <m/>
    <x v="0"/>
    <m/>
    <n v="60000"/>
    <x v="0"/>
    <x v="0"/>
    <m/>
    <x v="0"/>
    <m/>
    <n v="0"/>
    <x v="10"/>
    <x v="1"/>
    <x v="0"/>
    <n v="10000"/>
    <x v="0"/>
    <x v="0"/>
    <x v="0"/>
    <x v="0"/>
    <x v="0"/>
    <x v="0"/>
    <x v="0"/>
    <x v="0"/>
    <x v="3"/>
    <x v="0"/>
    <x v="0"/>
    <x v="0"/>
    <x v="0"/>
    <x v="0"/>
    <n v="74000"/>
    <n v="28000"/>
    <n v="102000"/>
    <x v="0"/>
    <x v="0"/>
    <m/>
    <n v="102000"/>
    <s v="2936 / 2799"/>
    <s v="Indlala / Jaya"/>
    <s v="SUPPLIES: 1000 Mosquito Nets - $74,000 from 2799; PEOPLE: Deployed B. Gaillis, FACT, 3 wks; Deployed Relief ERU - C. Chaperon, G. Matthews 4 wks; Deployed 2nd rotation of Relief ERU - J. Manley, S. Hagerich, 4 wks - $18,000 cost from 2936"/>
    <x v="0"/>
    <x v="0"/>
  </r>
  <r>
    <s v="TS-2007-000042-SLB"/>
    <n v="165"/>
    <s v="Solomon Islands Tsunami/ Earthquake"/>
    <d v="2007-04-01T00:00:00"/>
    <x v="11"/>
    <n v="16"/>
    <x v="0"/>
    <x v="12"/>
    <n v="5"/>
    <x v="3"/>
    <x v="71"/>
    <x v="3"/>
    <x v="3"/>
    <x v="24"/>
    <x v="25"/>
    <m/>
    <x v="1"/>
    <x v="1"/>
    <n v="1405645"/>
    <s v="MDRSB001"/>
    <m/>
    <m/>
    <x v="0"/>
    <m/>
    <n v="9000"/>
    <x v="0"/>
    <x v="1"/>
    <n v="50000"/>
    <x v="0"/>
    <m/>
    <n v="50000"/>
    <x v="0"/>
    <x v="0"/>
    <x v="0"/>
    <m/>
    <x v="0"/>
    <x v="0"/>
    <x v="0"/>
    <x v="0"/>
    <x v="0"/>
    <x v="0"/>
    <x v="0"/>
    <x v="0"/>
    <x v="0"/>
    <x v="0"/>
    <x v="0"/>
    <x v="0"/>
    <x v="0"/>
    <x v="0"/>
    <m/>
    <m/>
    <n v="50000"/>
    <x v="0"/>
    <x v="0"/>
    <m/>
    <n v="50000"/>
    <n v="2881"/>
    <m/>
    <s v="PMN to Fed - unearmarked"/>
    <x v="0"/>
    <x v="0"/>
  </r>
  <r>
    <m/>
    <n v="166"/>
    <s v="Colombia Tolima Floods"/>
    <d v="2007-05-01T00:00:00"/>
    <x v="11"/>
    <n v="17"/>
    <x v="0"/>
    <x v="12"/>
    <n v="6"/>
    <x v="2"/>
    <x v="87"/>
    <x v="1"/>
    <x v="2"/>
    <x v="2"/>
    <x v="2"/>
    <m/>
    <x v="0"/>
    <x v="0"/>
    <m/>
    <m/>
    <m/>
    <m/>
    <x v="0"/>
    <m/>
    <m/>
    <x v="2"/>
    <x v="0"/>
    <m/>
    <x v="0"/>
    <n v="5000"/>
    <n v="5000"/>
    <x v="0"/>
    <x v="0"/>
    <x v="0"/>
    <m/>
    <x v="0"/>
    <x v="0"/>
    <x v="0"/>
    <x v="0"/>
    <x v="0"/>
    <x v="0"/>
    <x v="0"/>
    <x v="0"/>
    <x v="0"/>
    <x v="0"/>
    <x v="0"/>
    <x v="0"/>
    <x v="0"/>
    <x v="0"/>
    <m/>
    <m/>
    <n v="5000"/>
    <x v="0"/>
    <x v="0"/>
    <m/>
    <n v="5000"/>
    <n v="2799"/>
    <s v="Tolima"/>
    <s v="Grant to NS for NFIs, health team visits, general admin costs"/>
    <x v="0"/>
    <x v="0"/>
  </r>
  <r>
    <m/>
    <n v="167"/>
    <s v="Mexico Coahuila Tornado"/>
    <d v="2007-05-01T00:00:00"/>
    <x v="11"/>
    <n v="18"/>
    <x v="0"/>
    <x v="12"/>
    <n v="7"/>
    <x v="2"/>
    <x v="2"/>
    <x v="1"/>
    <x v="5"/>
    <x v="26"/>
    <x v="27"/>
    <m/>
    <x v="0"/>
    <x v="5"/>
    <m/>
    <m/>
    <m/>
    <m/>
    <x v="0"/>
    <m/>
    <m/>
    <x v="3"/>
    <x v="0"/>
    <m/>
    <x v="0"/>
    <n v="20000"/>
    <n v="20000"/>
    <x v="0"/>
    <x v="0"/>
    <x v="0"/>
    <m/>
    <x v="0"/>
    <x v="0"/>
    <x v="0"/>
    <x v="0"/>
    <x v="0"/>
    <x v="0"/>
    <x v="0"/>
    <x v="0"/>
    <x v="0"/>
    <x v="0"/>
    <x v="0"/>
    <x v="0"/>
    <x v="0"/>
    <x v="0"/>
    <m/>
    <m/>
    <n v="20000"/>
    <x v="0"/>
    <x v="0"/>
    <m/>
    <n v="20000"/>
    <n v="2690"/>
    <s v="Coahuila"/>
    <s v="Grant to NS for NFIs - kitchen, hygiene, baby kits; laterns w/ radios"/>
    <x v="0"/>
    <x v="0"/>
  </r>
  <r>
    <m/>
    <n v="168"/>
    <s v="Somalia Conflict"/>
    <d v="2007-06-01T00:00:00"/>
    <x v="11"/>
    <n v="19"/>
    <x v="0"/>
    <x v="12"/>
    <n v="8"/>
    <x v="1"/>
    <x v="91"/>
    <x v="2"/>
    <x v="8"/>
    <x v="7"/>
    <x v="7"/>
    <m/>
    <x v="1"/>
    <x v="3"/>
    <n v="38292000"/>
    <s v="REX 07/347"/>
    <m/>
    <m/>
    <x v="0"/>
    <m/>
    <n v="612000"/>
    <x v="0"/>
    <x v="1"/>
    <m/>
    <x v="2"/>
    <m/>
    <n v="100000"/>
    <x v="0"/>
    <x v="0"/>
    <x v="0"/>
    <m/>
    <x v="0"/>
    <x v="0"/>
    <x v="0"/>
    <x v="0"/>
    <x v="0"/>
    <x v="0"/>
    <x v="0"/>
    <x v="0"/>
    <x v="0"/>
    <x v="0"/>
    <x v="0"/>
    <x v="0"/>
    <x v="0"/>
    <x v="0"/>
    <m/>
    <m/>
    <n v="100000"/>
    <x v="0"/>
    <x v="0"/>
    <m/>
    <n v="100000"/>
    <n v="2817"/>
    <m/>
    <s v="Contribution to ICRC 2007 Somalia Emergency Appeal: Budget Extension - support for capacity bldg."/>
    <x v="0"/>
    <x v="0"/>
  </r>
  <r>
    <m/>
    <n v="169"/>
    <s v="Sudan Conflict"/>
    <d v="2007-06-01T00:00:00"/>
    <x v="11"/>
    <n v="20"/>
    <x v="0"/>
    <x v="12"/>
    <n v="9"/>
    <x v="1"/>
    <x v="81"/>
    <x v="2"/>
    <x v="8"/>
    <x v="7"/>
    <x v="7"/>
    <m/>
    <x v="1"/>
    <x v="3"/>
    <n v="86239000"/>
    <s v="REX 07/207"/>
    <m/>
    <m/>
    <x v="0"/>
    <m/>
    <n v="125000"/>
    <x v="0"/>
    <x v="0"/>
    <m/>
    <x v="9"/>
    <m/>
    <n v="200000"/>
    <x v="0"/>
    <x v="0"/>
    <x v="0"/>
    <m/>
    <x v="0"/>
    <x v="0"/>
    <x v="0"/>
    <x v="0"/>
    <x v="0"/>
    <x v="0"/>
    <x v="0"/>
    <x v="0"/>
    <x v="0"/>
    <x v="0"/>
    <x v="0"/>
    <x v="0"/>
    <x v="0"/>
    <x v="0"/>
    <m/>
    <m/>
    <n v="200000"/>
    <x v="0"/>
    <x v="0"/>
    <m/>
    <n v="200000"/>
    <n v="2661"/>
    <m/>
    <s v="Contribution to ICRC 2007 Sudan Emergency Appeal: Budget Extension - support for capacity bldg."/>
    <x v="0"/>
    <x v="0"/>
  </r>
  <r>
    <s v="FF-2007-000082-PAK; and TC-2007-000084-PAK"/>
    <n v="170"/>
    <s v="Pakistan Cyclone Yemyin"/>
    <d v="2007-07-01T00:00:00"/>
    <x v="12"/>
    <n v="1"/>
    <x v="0"/>
    <x v="12"/>
    <n v="10"/>
    <x v="3"/>
    <x v="47"/>
    <x v="1"/>
    <x v="5"/>
    <x v="5"/>
    <x v="8"/>
    <n v="1500000"/>
    <x v="1"/>
    <x v="1"/>
    <n v="17000000"/>
    <s v="MDRPK001"/>
    <m/>
    <m/>
    <x v="0"/>
    <m/>
    <n v="257500"/>
    <x v="0"/>
    <x v="1"/>
    <n v="285000"/>
    <x v="0"/>
    <m/>
    <n v="285000"/>
    <x v="2"/>
    <x v="0"/>
    <x v="0"/>
    <m/>
    <x v="0"/>
    <x v="0"/>
    <x v="0"/>
    <x v="0"/>
    <x v="0"/>
    <x v="0"/>
    <x v="0"/>
    <x v="0"/>
    <x v="0"/>
    <x v="0"/>
    <x v="0"/>
    <x v="0"/>
    <x v="0"/>
    <x v="0"/>
    <m/>
    <n v="10000"/>
    <n v="295000"/>
    <x v="0"/>
    <x v="0"/>
    <m/>
    <n v="295000"/>
    <s v="2099/2897"/>
    <s v="Yemyin"/>
    <s v="CASH: PMN to Fed - unearmarked; PEOPLE: T. Betz deployed on FACT as Relief/Logs Ap2897"/>
    <x v="0"/>
    <x v="0"/>
  </r>
  <r>
    <s v="FF-2007-000080-BGD"/>
    <n v="171"/>
    <s v="Bangladesh Floods"/>
    <d v="2007-07-01T00:00:00"/>
    <x v="12"/>
    <n v="2"/>
    <x v="0"/>
    <x v="12"/>
    <n v="11"/>
    <x v="3"/>
    <x v="14"/>
    <x v="1"/>
    <x v="2"/>
    <x v="2"/>
    <x v="2"/>
    <n v="2300000"/>
    <x v="1"/>
    <x v="1"/>
    <n v="4850000"/>
    <s v="MDRBD002"/>
    <n v="2.5670103092783506E-2"/>
    <n v="0.95"/>
    <x v="0"/>
    <m/>
    <n v="1200000"/>
    <x v="0"/>
    <x v="1"/>
    <n v="124500"/>
    <x v="0"/>
    <m/>
    <n v="124500"/>
    <x v="0"/>
    <x v="0"/>
    <x v="0"/>
    <m/>
    <x v="0"/>
    <x v="0"/>
    <x v="0"/>
    <x v="0"/>
    <x v="0"/>
    <x v="0"/>
    <x v="0"/>
    <x v="0"/>
    <x v="0"/>
    <x v="0"/>
    <x v="0"/>
    <x v="0"/>
    <x v="0"/>
    <x v="0"/>
    <m/>
    <m/>
    <n v="124500"/>
    <x v="0"/>
    <x v="0"/>
    <m/>
    <n v="124500"/>
    <s v="2017 / 2099"/>
    <m/>
    <s v="CASH: $24,500 PMN to Fed - unearmarked from 2017; $100,000 PMN to Fed - unearmarked from 2099;"/>
    <x v="0"/>
    <x v="0"/>
  </r>
  <r>
    <m/>
    <n v="172"/>
    <s v="Iraq Conflict"/>
    <d v="2007-07-01T00:00:00"/>
    <x v="12"/>
    <n v="3"/>
    <x v="0"/>
    <x v="12"/>
    <n v="12"/>
    <x v="3"/>
    <x v="72"/>
    <x v="2"/>
    <x v="8"/>
    <x v="7"/>
    <x v="7"/>
    <n v="2000000"/>
    <x v="1"/>
    <x v="1"/>
    <n v="15000000"/>
    <s v="MDR81002"/>
    <n v="1.6666666666666666E-2"/>
    <m/>
    <x v="0"/>
    <m/>
    <n v="250000"/>
    <x v="0"/>
    <x v="1"/>
    <n v="250000"/>
    <x v="0"/>
    <m/>
    <n v="250000"/>
    <x v="0"/>
    <x v="0"/>
    <x v="0"/>
    <m/>
    <x v="0"/>
    <x v="0"/>
    <x v="0"/>
    <x v="0"/>
    <x v="0"/>
    <x v="0"/>
    <x v="0"/>
    <x v="0"/>
    <x v="0"/>
    <x v="0"/>
    <x v="0"/>
    <x v="0"/>
    <x v="0"/>
    <x v="0"/>
    <m/>
    <m/>
    <n v="250000"/>
    <x v="0"/>
    <x v="0"/>
    <m/>
    <n v="250000"/>
    <n v="2099"/>
    <s v="Refugees from Iraq in Syria and Jordan"/>
    <s v="PMN to Fed - unearmarked"/>
    <x v="0"/>
    <x v="0"/>
  </r>
  <r>
    <s v="FL-2007-00093-SDN"/>
    <n v="173"/>
    <s v="Sudan Floods"/>
    <d v="2007-07-01T00:00:00"/>
    <x v="12"/>
    <n v="4"/>
    <x v="0"/>
    <x v="12"/>
    <n v="13"/>
    <x v="1"/>
    <x v="81"/>
    <x v="1"/>
    <x v="2"/>
    <x v="2"/>
    <x v="2"/>
    <n v="365000"/>
    <x v="1"/>
    <x v="1"/>
    <n v="6800000"/>
    <s v="MDRSD004"/>
    <m/>
    <m/>
    <x v="0"/>
    <m/>
    <n v="200000"/>
    <x v="0"/>
    <x v="1"/>
    <n v="100000"/>
    <x v="0"/>
    <m/>
    <n v="100000"/>
    <x v="2"/>
    <x v="0"/>
    <x v="0"/>
    <n v="10000"/>
    <x v="0"/>
    <x v="0"/>
    <x v="0"/>
    <x v="0"/>
    <x v="0"/>
    <x v="0"/>
    <x v="0"/>
    <x v="0"/>
    <x v="1"/>
    <x v="0"/>
    <x v="0"/>
    <x v="0"/>
    <x v="0"/>
    <x v="0"/>
    <n v="44400"/>
    <n v="9000"/>
    <n v="153400"/>
    <x v="0"/>
    <x v="0"/>
    <m/>
    <n v="153400"/>
    <s v="2802 /2099"/>
    <m/>
    <s v="CASH: $100,000 PMN to Fed earmarked for improved emergency shelters (Appeal obj 1) and tree saplings (obj 4) for 500 families from AP 2099; PEOPLE: N.Cooper deployed on FACT as Relief/Shelter"/>
    <x v="0"/>
    <x v="0"/>
  </r>
  <r>
    <s v="FL-2007-000111-GBR"/>
    <n v="174"/>
    <s v="United Kingdom Floods"/>
    <d v="2007-07-01T00:00:00"/>
    <x v="12"/>
    <n v="5"/>
    <x v="0"/>
    <x v="12"/>
    <n v="15"/>
    <x v="3"/>
    <x v="94"/>
    <x v="1"/>
    <x v="2"/>
    <x v="2"/>
    <x v="2"/>
    <n v="1000000"/>
    <x v="0"/>
    <x v="0"/>
    <m/>
    <m/>
    <m/>
    <m/>
    <x v="0"/>
    <m/>
    <m/>
    <x v="0"/>
    <x v="0"/>
    <m/>
    <x v="0"/>
    <n v="20188"/>
    <n v="20188"/>
    <x v="0"/>
    <x v="0"/>
    <x v="0"/>
    <m/>
    <x v="0"/>
    <x v="0"/>
    <x v="0"/>
    <x v="0"/>
    <x v="0"/>
    <x v="0"/>
    <x v="0"/>
    <x v="0"/>
    <x v="0"/>
    <x v="0"/>
    <x v="0"/>
    <x v="0"/>
    <x v="0"/>
    <x v="0"/>
    <m/>
    <m/>
    <n v="20188"/>
    <x v="0"/>
    <x v="0"/>
    <m/>
    <n v="20188"/>
    <n v="2605"/>
    <m/>
    <s v="Grant letter to British Red Cross; 10,000 GBP donation from Cargill + individual donations"/>
    <x v="0"/>
    <x v="0"/>
  </r>
  <r>
    <s v="FF-2007-000117-NPL"/>
    <n v="175"/>
    <s v="Nepal Floods"/>
    <d v="2007-08-01T00:00:00"/>
    <x v="12"/>
    <n v="6"/>
    <x v="0"/>
    <x v="12"/>
    <n v="16"/>
    <x v="3"/>
    <x v="95"/>
    <x v="1"/>
    <x v="2"/>
    <x v="2"/>
    <x v="2"/>
    <n v="645000"/>
    <x v="1"/>
    <x v="1"/>
    <n v="2340000"/>
    <m/>
    <n v="2.1367521367521368E-2"/>
    <m/>
    <x v="1"/>
    <m/>
    <n v="150000"/>
    <x v="0"/>
    <x v="1"/>
    <n v="50000"/>
    <x v="0"/>
    <m/>
    <n v="50000"/>
    <x v="0"/>
    <x v="0"/>
    <x v="0"/>
    <m/>
    <x v="0"/>
    <x v="0"/>
    <x v="0"/>
    <x v="0"/>
    <x v="0"/>
    <x v="0"/>
    <x v="0"/>
    <x v="0"/>
    <x v="0"/>
    <x v="0"/>
    <x v="0"/>
    <x v="0"/>
    <x v="0"/>
    <x v="0"/>
    <m/>
    <m/>
    <n v="50000"/>
    <x v="0"/>
    <x v="0"/>
    <m/>
    <n v="50000"/>
    <n v="2099"/>
    <m/>
    <s v="PMN to Fed - unearmarked"/>
    <x v="0"/>
    <x v="0"/>
  </r>
  <r>
    <s v="EQ-2007-000133-PER"/>
    <n v="176"/>
    <s v="Peru Earthquake"/>
    <d v="2007-08-01T00:00:00"/>
    <x v="12"/>
    <n v="7"/>
    <x v="0"/>
    <x v="12"/>
    <n v="17"/>
    <x v="2"/>
    <x v="39"/>
    <x v="3"/>
    <x v="3"/>
    <x v="3"/>
    <x v="3"/>
    <n v="655000"/>
    <x v="1"/>
    <x v="1"/>
    <n v="9600000"/>
    <s v="MDRPE003"/>
    <n v="3.125E-2"/>
    <n v="0.93"/>
    <x v="0"/>
    <m/>
    <n v="37500"/>
    <x v="0"/>
    <x v="1"/>
    <n v="300000"/>
    <x v="0"/>
    <m/>
    <n v="300000"/>
    <x v="16"/>
    <x v="0"/>
    <x v="0"/>
    <n v="16500"/>
    <x v="0"/>
    <x v="11"/>
    <x v="0"/>
    <x v="0"/>
    <x v="0"/>
    <x v="0"/>
    <x v="2"/>
    <x v="0"/>
    <x v="0"/>
    <x v="0"/>
    <x v="8"/>
    <x v="0"/>
    <x v="0"/>
    <x v="0"/>
    <n v="214800"/>
    <n v="5000"/>
    <n v="519800"/>
    <x v="0"/>
    <x v="0"/>
    <m/>
    <n v="3400000"/>
    <n v="2816"/>
    <m/>
    <s v="CASH: 100K PMN Unearmarked, 200K PMN earmarked for hygiene kits, jerry cans and shelter kits + ops costs; SUPPLIES: hygiene kits @ $13.55; tarps @ $11.30; kitchen sets @ $14.55 + PSR; PEOPLE: C Michaud deployed on Relief ERU (2 days) replaced by L Aceves "/>
    <x v="0"/>
    <x v="1"/>
  </r>
  <r>
    <s v="TC-2007-000135"/>
    <n v="177"/>
    <s v="Hurricane Dean"/>
    <d v="2007-08-01T00:00:00"/>
    <x v="12"/>
    <n v="8"/>
    <x v="0"/>
    <x v="12"/>
    <n v="18"/>
    <x v="2"/>
    <x v="53"/>
    <x v="1"/>
    <x v="5"/>
    <x v="5"/>
    <x v="5"/>
    <n v="210000"/>
    <x v="1"/>
    <x v="1"/>
    <n v="2927000"/>
    <s v="MDR49001"/>
    <m/>
    <m/>
    <x v="0"/>
    <m/>
    <n v="108550"/>
    <x v="4"/>
    <x v="0"/>
    <m/>
    <x v="0"/>
    <m/>
    <n v="0"/>
    <x v="0"/>
    <x v="0"/>
    <x v="0"/>
    <n v="2350"/>
    <x v="0"/>
    <x v="6"/>
    <x v="0"/>
    <x v="0"/>
    <x v="0"/>
    <x v="0"/>
    <x v="3"/>
    <x v="0"/>
    <x v="0"/>
    <x v="0"/>
    <x v="9"/>
    <x v="0"/>
    <x v="0"/>
    <x v="0"/>
    <n v="34565"/>
    <m/>
    <n v="34565"/>
    <x v="0"/>
    <x v="0"/>
    <m/>
    <n v="34565"/>
    <n v="2837"/>
    <s v="Dean"/>
    <m/>
    <x v="0"/>
    <x v="0"/>
  </r>
  <r>
    <s v="TC-2007-000135"/>
    <n v="177"/>
    <s v="Hurricane Dean"/>
    <d v="2007-08-01T00:00:00"/>
    <x v="12"/>
    <n v="8"/>
    <x v="0"/>
    <x v="12"/>
    <n v="18"/>
    <x v="2"/>
    <x v="2"/>
    <x v="1"/>
    <x v="5"/>
    <x v="5"/>
    <x v="5"/>
    <m/>
    <x v="0"/>
    <x v="0"/>
    <m/>
    <m/>
    <m/>
    <m/>
    <x v="0"/>
    <m/>
    <m/>
    <x v="5"/>
    <x v="0"/>
    <m/>
    <x v="0"/>
    <n v="298680"/>
    <n v="298680"/>
    <x v="2"/>
    <x v="0"/>
    <x v="0"/>
    <m/>
    <x v="0"/>
    <x v="0"/>
    <x v="0"/>
    <x v="0"/>
    <x v="0"/>
    <x v="0"/>
    <x v="0"/>
    <x v="0"/>
    <x v="0"/>
    <x v="0"/>
    <x v="0"/>
    <x v="0"/>
    <x v="0"/>
    <x v="0"/>
    <m/>
    <m/>
    <n v="298680"/>
    <x v="0"/>
    <x v="0"/>
    <m/>
    <n v="298680"/>
    <s v="2868 / 2099"/>
    <s v="Dean"/>
    <s v="CASH:  ARC grant ($76k) to MRC for hygiene kits, kitchen sets, and roofing materials for 670 families; ARC/OFDA subgrant to MRC ($222k) for 1,830 families; PEOPLE: Shelley Cheatham (Monitoring)"/>
    <x v="0"/>
    <x v="0"/>
  </r>
  <r>
    <s v="TC-2007-000135"/>
    <n v="177"/>
    <s v="Hurricane Dean"/>
    <d v="2007-08-01T00:00:00"/>
    <x v="12"/>
    <n v="8"/>
    <x v="0"/>
    <x v="12"/>
    <n v="18"/>
    <x v="2"/>
    <x v="79"/>
    <x v="1"/>
    <x v="5"/>
    <x v="5"/>
    <x v="5"/>
    <m/>
    <x v="0"/>
    <x v="0"/>
    <m/>
    <m/>
    <m/>
    <m/>
    <x v="0"/>
    <m/>
    <m/>
    <x v="0"/>
    <x v="0"/>
    <m/>
    <x v="0"/>
    <n v="2500"/>
    <n v="2500"/>
    <x v="2"/>
    <x v="0"/>
    <x v="0"/>
    <m/>
    <x v="0"/>
    <x v="0"/>
    <x v="0"/>
    <x v="0"/>
    <x v="0"/>
    <x v="0"/>
    <x v="0"/>
    <x v="0"/>
    <x v="0"/>
    <x v="0"/>
    <x v="0"/>
    <x v="0"/>
    <x v="0"/>
    <x v="0"/>
    <m/>
    <m/>
    <n v="2500"/>
    <x v="0"/>
    <x v="0"/>
    <m/>
    <n v="2500"/>
    <n v="2837"/>
    <s v="Dean"/>
    <s v="CASH: Grant to Haitian Red Cross - restock relief supplies; PEOPLE: Brigitte Gaillis (Contingency Planning)"/>
    <x v="0"/>
    <x v="0"/>
  </r>
  <r>
    <s v="WF-2007-000148-GRC"/>
    <n v="178"/>
    <s v="Greece Wildfire"/>
    <d v="2007-09-01T00:00:00"/>
    <x v="12"/>
    <n v="9"/>
    <x v="0"/>
    <x v="12"/>
    <n v="19"/>
    <x v="3"/>
    <x v="8"/>
    <x v="1"/>
    <x v="15"/>
    <x v="23"/>
    <x v="11"/>
    <m/>
    <x v="0"/>
    <x v="0"/>
    <m/>
    <m/>
    <m/>
    <m/>
    <x v="0"/>
    <m/>
    <m/>
    <x v="0"/>
    <x v="0"/>
    <m/>
    <x v="0"/>
    <n v="40000"/>
    <n v="40000"/>
    <x v="0"/>
    <x v="0"/>
    <x v="0"/>
    <m/>
    <x v="0"/>
    <x v="0"/>
    <x v="0"/>
    <x v="0"/>
    <x v="0"/>
    <x v="0"/>
    <x v="0"/>
    <x v="0"/>
    <x v="0"/>
    <x v="0"/>
    <x v="0"/>
    <x v="0"/>
    <x v="0"/>
    <x v="0"/>
    <m/>
    <m/>
    <n v="40000"/>
    <x v="0"/>
    <x v="0"/>
    <m/>
    <n v="40000"/>
    <n v="2099"/>
    <m/>
    <s v="UPS 25k, Gen Mills 15k - Grant letter"/>
    <x v="0"/>
    <x v="0"/>
  </r>
  <r>
    <s v="TC-2007-000157"/>
    <n v="179"/>
    <s v="Hurricane Felix"/>
    <d v="2007-09-01T00:00:00"/>
    <x v="12"/>
    <n v="10"/>
    <x v="0"/>
    <x v="12"/>
    <n v="20"/>
    <x v="2"/>
    <x v="6"/>
    <x v="1"/>
    <x v="5"/>
    <x v="5"/>
    <x v="5"/>
    <n v="175000"/>
    <x v="1"/>
    <x v="1"/>
    <n v="1300000"/>
    <s v="MDR43002"/>
    <n v="3.8461538461538464E-2"/>
    <m/>
    <x v="0"/>
    <m/>
    <n v="31658"/>
    <x v="0"/>
    <x v="1"/>
    <n v="50000"/>
    <x v="0"/>
    <m/>
    <n v="50000"/>
    <x v="0"/>
    <x v="0"/>
    <x v="0"/>
    <m/>
    <x v="0"/>
    <x v="0"/>
    <x v="0"/>
    <x v="0"/>
    <x v="0"/>
    <x v="0"/>
    <x v="0"/>
    <x v="0"/>
    <x v="0"/>
    <x v="0"/>
    <x v="0"/>
    <x v="0"/>
    <x v="0"/>
    <x v="0"/>
    <m/>
    <m/>
    <n v="50000"/>
    <x v="0"/>
    <x v="0"/>
    <m/>
    <n v="50000"/>
    <n v="2099"/>
    <s v="Felix"/>
    <s v="PMN to Fed - earmarked $50,000 for Nicaragua and $22,500 for Honduras (includes $25,000 from Exxon for Honduras); "/>
    <x v="0"/>
    <x v="0"/>
  </r>
  <r>
    <s v="TC-2007-000157"/>
    <n v="179"/>
    <s v="Hurricane Felix"/>
    <d v="2007-09-01T00:00:00"/>
    <x v="12"/>
    <n v="10"/>
    <x v="0"/>
    <x v="12"/>
    <n v="20"/>
    <x v="2"/>
    <x v="43"/>
    <x v="1"/>
    <x v="5"/>
    <x v="5"/>
    <x v="5"/>
    <m/>
    <x v="0"/>
    <x v="0"/>
    <m/>
    <m/>
    <m/>
    <m/>
    <x v="0"/>
    <m/>
    <m/>
    <x v="0"/>
    <x v="2"/>
    <n v="22500"/>
    <x v="0"/>
    <m/>
    <n v="22500"/>
    <x v="0"/>
    <x v="0"/>
    <x v="0"/>
    <m/>
    <x v="0"/>
    <x v="0"/>
    <x v="0"/>
    <x v="0"/>
    <x v="0"/>
    <x v="0"/>
    <x v="0"/>
    <x v="0"/>
    <x v="0"/>
    <x v="0"/>
    <x v="0"/>
    <x v="0"/>
    <x v="0"/>
    <x v="0"/>
    <m/>
    <m/>
    <n v="22500"/>
    <x v="0"/>
    <x v="0"/>
    <m/>
    <n v="22500"/>
    <n v="2099"/>
    <s v="Felix"/>
    <m/>
    <x v="0"/>
    <x v="0"/>
  </r>
  <r>
    <s v="TC-2007-000157"/>
    <n v="179"/>
    <s v="Hurricane Felix"/>
    <d v="2007-09-01T00:00:00"/>
    <x v="12"/>
    <n v="10"/>
    <x v="0"/>
    <x v="12"/>
    <n v="20"/>
    <x v="2"/>
    <x v="43"/>
    <x v="1"/>
    <x v="5"/>
    <x v="5"/>
    <x v="5"/>
    <m/>
    <x v="0"/>
    <x v="0"/>
    <m/>
    <m/>
    <m/>
    <m/>
    <x v="0"/>
    <m/>
    <m/>
    <x v="0"/>
    <x v="2"/>
    <n v="47500"/>
    <x v="0"/>
    <m/>
    <n v="47500"/>
    <x v="0"/>
    <x v="0"/>
    <x v="0"/>
    <m/>
    <x v="0"/>
    <x v="0"/>
    <x v="0"/>
    <x v="0"/>
    <x v="0"/>
    <x v="0"/>
    <x v="0"/>
    <x v="0"/>
    <x v="0"/>
    <x v="0"/>
    <x v="0"/>
    <x v="0"/>
    <x v="0"/>
    <x v="0"/>
    <m/>
    <m/>
    <n v="47500"/>
    <x v="0"/>
    <x v="0"/>
    <m/>
    <n v="47500"/>
    <n v="2696"/>
    <s v="Felix"/>
    <s v="CASH: PMN to Fed - unearmarked"/>
    <x v="0"/>
    <x v="0"/>
  </r>
  <r>
    <s v="EQ-2007-000157-IDN"/>
    <n v="180"/>
    <s v="Indonesia Bengkulu Earthquake"/>
    <d v="2007-09-01T00:00:00"/>
    <x v="12"/>
    <n v="11"/>
    <x v="0"/>
    <x v="12"/>
    <n v="21"/>
    <x v="3"/>
    <x v="27"/>
    <x v="3"/>
    <x v="3"/>
    <x v="3"/>
    <x v="3"/>
    <m/>
    <x v="0"/>
    <x v="0"/>
    <m/>
    <m/>
    <m/>
    <m/>
    <x v="0"/>
    <m/>
    <m/>
    <x v="0"/>
    <x v="0"/>
    <m/>
    <x v="0"/>
    <n v="3000"/>
    <n v="3000"/>
    <x v="0"/>
    <x v="0"/>
    <x v="0"/>
    <m/>
    <x v="0"/>
    <x v="0"/>
    <x v="0"/>
    <x v="0"/>
    <x v="0"/>
    <x v="0"/>
    <x v="0"/>
    <x v="0"/>
    <x v="0"/>
    <x v="0"/>
    <x v="0"/>
    <x v="0"/>
    <x v="0"/>
    <x v="0"/>
    <m/>
    <m/>
    <n v="3000"/>
    <x v="0"/>
    <x v="0"/>
    <m/>
    <n v="3000"/>
    <n v="2799"/>
    <s v="Bengkulu"/>
    <s v="Per diem for PMI response team"/>
    <x v="0"/>
    <x v="0"/>
  </r>
  <r>
    <s v="FL-2007-000138-UGA"/>
    <n v="181"/>
    <s v="Uganda Floods"/>
    <d v="2007-09-01T00:00:00"/>
    <x v="12"/>
    <n v="12"/>
    <x v="0"/>
    <x v="12"/>
    <n v="22"/>
    <x v="1"/>
    <x v="96"/>
    <x v="1"/>
    <x v="2"/>
    <x v="2"/>
    <x v="2"/>
    <n v="450000"/>
    <x v="1"/>
    <x v="1"/>
    <n v="9511366"/>
    <s v="MDRUG006"/>
    <m/>
    <n v="0.64"/>
    <x v="0"/>
    <m/>
    <n v="125000"/>
    <x v="0"/>
    <x v="0"/>
    <m/>
    <x v="0"/>
    <m/>
    <n v="0"/>
    <x v="5"/>
    <x v="2"/>
    <x v="0"/>
    <m/>
    <x v="0"/>
    <x v="0"/>
    <x v="0"/>
    <x v="0"/>
    <x v="0"/>
    <x v="0"/>
    <x v="0"/>
    <x v="0"/>
    <x v="0"/>
    <x v="0"/>
    <x v="0"/>
    <x v="0"/>
    <x v="0"/>
    <x v="0"/>
    <m/>
    <n v="17400"/>
    <n v="17400"/>
    <x v="0"/>
    <x v="0"/>
    <m/>
    <n v="17400"/>
    <n v="2799"/>
    <m/>
    <s v="C Chaperon (relief) and B Nandiga (wat/san) deployed on FACT.  M Million deployed on joint Danish-American IT/Telecom ERU."/>
    <x v="0"/>
    <x v="0"/>
  </r>
  <r>
    <s v="FL-2007-000158-TGO; FL-2007-000132-BFA;FL-2007-000153-GHA"/>
    <n v="182"/>
    <s v="Togo Floods"/>
    <d v="2007-09-01T00:00:00"/>
    <x v="12"/>
    <n v="13"/>
    <x v="0"/>
    <x v="12"/>
    <n v="23"/>
    <x v="1"/>
    <x v="97"/>
    <x v="1"/>
    <x v="2"/>
    <x v="2"/>
    <x v="2"/>
    <n v="185000"/>
    <x v="1"/>
    <x v="1"/>
    <n v="3200000"/>
    <s v="MDR61002"/>
    <n v="6.2406249999999996E-3"/>
    <n v="0.95"/>
    <x v="0"/>
    <m/>
    <n v="94825"/>
    <x v="0"/>
    <x v="2"/>
    <n v="19970"/>
    <x v="0"/>
    <m/>
    <n v="19970"/>
    <x v="0"/>
    <x v="0"/>
    <x v="0"/>
    <m/>
    <x v="0"/>
    <x v="0"/>
    <x v="0"/>
    <x v="0"/>
    <x v="0"/>
    <x v="0"/>
    <x v="0"/>
    <x v="0"/>
    <x v="0"/>
    <x v="0"/>
    <x v="0"/>
    <x v="0"/>
    <x v="0"/>
    <x v="0"/>
    <m/>
    <m/>
    <n v="19970"/>
    <x v="0"/>
    <x v="0"/>
    <m/>
    <n v="19970"/>
    <n v="2799"/>
    <m/>
    <s v="PMN (CHF 10,300) to cover delegate costs for Youssouff Langui on FACT to Togo.  PMN (CHF 13,102) to cover costs for 3 RDRTs for one month."/>
    <x v="0"/>
    <x v="0"/>
  </r>
  <r>
    <s v="TC-000198-DOM/HTI;"/>
    <n v="183"/>
    <s v="Tropical Storm Noel"/>
    <d v="2007-10-01T00:00:00"/>
    <x v="12"/>
    <n v="14"/>
    <x v="0"/>
    <x v="12"/>
    <n v="24"/>
    <x v="2"/>
    <x v="75"/>
    <x v="1"/>
    <x v="5"/>
    <x v="5"/>
    <x v="17"/>
    <n v="200000"/>
    <x v="1"/>
    <x v="1"/>
    <n v="1544000"/>
    <s v="MDR49002"/>
    <n v="2.266839378238342E-2"/>
    <m/>
    <x v="0"/>
    <m/>
    <n v="52995"/>
    <x v="0"/>
    <x v="2"/>
    <n v="35000"/>
    <x v="0"/>
    <m/>
    <n v="35000"/>
    <x v="0"/>
    <x v="0"/>
    <x v="0"/>
    <n v="4000"/>
    <x v="0"/>
    <x v="6"/>
    <x v="0"/>
    <x v="0"/>
    <x v="0"/>
    <x v="0"/>
    <x v="3"/>
    <x v="0"/>
    <x v="0"/>
    <x v="0"/>
    <x v="10"/>
    <x v="0"/>
    <x v="0"/>
    <x v="0"/>
    <n v="69055"/>
    <m/>
    <n v="104055"/>
    <x v="0"/>
    <x v="0"/>
    <m/>
    <n v="104055"/>
    <n v="2694"/>
    <s v="Noel"/>
    <s v="PSR"/>
    <x v="0"/>
    <x v="0"/>
  </r>
  <r>
    <s v="TC-000198-DOM/HTI;"/>
    <n v="183"/>
    <s v="Tropical Storm Noel"/>
    <d v="2007-11-01T00:00:00"/>
    <x v="12"/>
    <n v="14"/>
    <x v="0"/>
    <x v="12"/>
    <n v="24"/>
    <x v="2"/>
    <x v="79"/>
    <x v="1"/>
    <x v="5"/>
    <x v="5"/>
    <x v="17"/>
    <m/>
    <x v="0"/>
    <x v="0"/>
    <m/>
    <s v="MDR49002"/>
    <m/>
    <m/>
    <x v="0"/>
    <m/>
    <m/>
    <x v="0"/>
    <x v="1"/>
    <n v="50000"/>
    <x v="0"/>
    <m/>
    <n v="50000"/>
    <x v="0"/>
    <x v="0"/>
    <x v="0"/>
    <n v="2000"/>
    <x v="0"/>
    <x v="0"/>
    <x v="11"/>
    <x v="0"/>
    <x v="0"/>
    <x v="0"/>
    <x v="0"/>
    <x v="0"/>
    <x v="0"/>
    <x v="0"/>
    <x v="0"/>
    <x v="0"/>
    <x v="0"/>
    <x v="0"/>
    <n v="8073"/>
    <m/>
    <n v="58073"/>
    <x v="0"/>
    <x v="0"/>
    <m/>
    <n v="58073"/>
    <n v="2024"/>
    <s v="Noel"/>
    <s v="PSR"/>
    <x v="0"/>
    <x v="0"/>
  </r>
  <r>
    <s v="TC-000198-DOM/HTI;"/>
    <n v="183"/>
    <s v="Tropical Storm Noel"/>
    <d v="2007-11-01T00:00:00"/>
    <x v="12"/>
    <n v="14"/>
    <x v="0"/>
    <x v="12"/>
    <n v="24"/>
    <x v="2"/>
    <x v="9"/>
    <x v="1"/>
    <x v="5"/>
    <x v="5"/>
    <x v="17"/>
    <m/>
    <x v="0"/>
    <x v="0"/>
    <m/>
    <s v="MDR49002"/>
    <m/>
    <m/>
    <x v="0"/>
    <m/>
    <m/>
    <x v="0"/>
    <x v="2"/>
    <n v="30000"/>
    <x v="0"/>
    <m/>
    <n v="30000"/>
    <x v="4"/>
    <x v="0"/>
    <x v="0"/>
    <m/>
    <x v="0"/>
    <x v="0"/>
    <x v="0"/>
    <x v="0"/>
    <x v="0"/>
    <x v="0"/>
    <x v="0"/>
    <x v="0"/>
    <x v="0"/>
    <x v="0"/>
    <x v="0"/>
    <x v="0"/>
    <x v="0"/>
    <x v="0"/>
    <m/>
    <n v="7440"/>
    <n v="37440"/>
    <x v="0"/>
    <x v="0"/>
    <m/>
    <n v="37440"/>
    <n v="2024"/>
    <s v="Noel"/>
    <s v="PEOPLE: O Abou-Samra, J Ferguson (cash/livelihoods); CASH: PMN to Fed ($10k for cash distribution project, $20k operational costs)"/>
    <x v="0"/>
    <x v="0"/>
  </r>
  <r>
    <s v="FL-2007-000200-MEX"/>
    <n v="184"/>
    <s v="Mexico Floods"/>
    <d v="2007-11-01T00:00:00"/>
    <x v="12"/>
    <n v="15"/>
    <x v="0"/>
    <x v="12"/>
    <n v="25"/>
    <x v="2"/>
    <x v="2"/>
    <x v="1"/>
    <x v="2"/>
    <x v="2"/>
    <x v="2"/>
    <n v="1000000"/>
    <x v="1"/>
    <x v="1"/>
    <n v="1800000"/>
    <s v="MDRMX002"/>
    <n v="9.2820555555555559E-2"/>
    <n v="1"/>
    <x v="0"/>
    <m/>
    <n v="44380"/>
    <x v="6"/>
    <x v="1"/>
    <n v="167077"/>
    <x v="0"/>
    <n v="350000"/>
    <n v="517077"/>
    <x v="2"/>
    <x v="0"/>
    <x v="0"/>
    <n v="15500"/>
    <x v="0"/>
    <x v="11"/>
    <x v="0"/>
    <x v="0"/>
    <x v="0"/>
    <x v="0"/>
    <x v="2"/>
    <x v="0"/>
    <x v="1"/>
    <x v="0"/>
    <x v="0"/>
    <x v="0"/>
    <x v="0"/>
    <x v="0"/>
    <n v="143415"/>
    <n v="357"/>
    <n v="660849"/>
    <x v="0"/>
    <x v="0"/>
    <m/>
    <n v="1900000"/>
    <s v="2690/OFDA/2799 "/>
    <s v="Tabasco"/>
    <s v="CASH: Grants to MxRC ($50k from 2799 + $300k from 2690), PMN to Fed $167k (earmarked for 4,000 hygiene kits, 4,000 jerry cans, 4,000 buckets);  OFDA Grant; PEOPLE: W Romeril (info)"/>
    <x v="0"/>
    <x v="0"/>
  </r>
  <r>
    <s v="TC-2007-00178-VNM"/>
    <n v="185"/>
    <s v="Vietnam Typhoon Lekima"/>
    <d v="2007-11-01T00:00:00"/>
    <x v="12"/>
    <n v="16"/>
    <x v="0"/>
    <x v="12"/>
    <n v="26"/>
    <x v="3"/>
    <x v="16"/>
    <x v="1"/>
    <x v="5"/>
    <x v="5"/>
    <x v="22"/>
    <n v="600000"/>
    <x v="1"/>
    <x v="1"/>
    <n v="2700000"/>
    <s v="MDRVN002"/>
    <n v="4.2592592592592592E-2"/>
    <n v="0.77"/>
    <x v="0"/>
    <m/>
    <n v="180000"/>
    <x v="0"/>
    <x v="1"/>
    <n v="115000"/>
    <x v="0"/>
    <m/>
    <n v="115000"/>
    <x v="0"/>
    <x v="0"/>
    <x v="0"/>
    <m/>
    <x v="0"/>
    <x v="0"/>
    <x v="0"/>
    <x v="0"/>
    <x v="0"/>
    <x v="0"/>
    <x v="0"/>
    <x v="0"/>
    <x v="0"/>
    <x v="0"/>
    <x v="0"/>
    <x v="0"/>
    <x v="0"/>
    <x v="0"/>
    <m/>
    <m/>
    <n v="115000"/>
    <x v="0"/>
    <x v="0"/>
    <m/>
    <n v="115000"/>
    <s v="2099/ 2869"/>
    <s v="Lekima"/>
    <s v="CASH: PMN  from AP 2099 to Fed unearmarked; PMN from AP 2869 to Fed earmarked purchase/dist household kits;  $100,000 from ARCT for shelter to Federation"/>
    <x v="1"/>
    <x v="0"/>
  </r>
  <r>
    <s v="FF-2007-000080-BGD"/>
    <n v="186"/>
    <s v="Bangladesh Cyclone Sidr"/>
    <d v="2007-11-01T00:00:00"/>
    <x v="12"/>
    <n v="17"/>
    <x v="0"/>
    <x v="12"/>
    <n v="27"/>
    <x v="3"/>
    <x v="14"/>
    <x v="1"/>
    <x v="5"/>
    <x v="5"/>
    <x v="8"/>
    <n v="8500000"/>
    <x v="1"/>
    <x v="1"/>
    <n v="22000000"/>
    <s v="MDRBD002"/>
    <n v="4.926618181818182E-2"/>
    <n v="0.66"/>
    <x v="0"/>
    <m/>
    <n v="1215000"/>
    <x v="0"/>
    <x v="1"/>
    <n v="1083856"/>
    <x v="0"/>
    <m/>
    <n v="1083856"/>
    <x v="5"/>
    <x v="0"/>
    <x v="0"/>
    <n v="39000"/>
    <x v="0"/>
    <x v="12"/>
    <x v="12"/>
    <x v="0"/>
    <x v="0"/>
    <x v="0"/>
    <x v="0"/>
    <x v="0"/>
    <x v="0"/>
    <x v="0"/>
    <x v="11"/>
    <x v="0"/>
    <x v="0"/>
    <x v="0"/>
    <n v="260798"/>
    <n v="12000"/>
    <n v="1356654"/>
    <x v="0"/>
    <x v="0"/>
    <m/>
    <n v="1356654"/>
    <s v="2017/OFDA"/>
    <s v="Sidr"/>
    <s v="CASH:  1st PMN ($100k unearmarked from AP 2099), 2nd PMN ($100k earmarked to tsunami affected areas from AP 2546), 3rd PMN ($300k earmarked for shelter and wat/san from OFDA), 4th PMN ($583k earmarked for shelter and wat/san from OFDA); SUPPLIES: + PSR; P"/>
    <x v="0"/>
    <x v="0"/>
  </r>
  <r>
    <s v="FL-2007-000209-PNG"/>
    <n v="187"/>
    <s v="Papua New Guinea Storm"/>
    <d v="2007-11-01T00:00:00"/>
    <x v="12"/>
    <n v="18"/>
    <x v="0"/>
    <x v="12"/>
    <n v="28"/>
    <x v="3"/>
    <x v="98"/>
    <x v="1"/>
    <x v="5"/>
    <x v="5"/>
    <x v="8"/>
    <n v="162000"/>
    <x v="1"/>
    <x v="1"/>
    <n v="672000"/>
    <s v="MDRPG002"/>
    <n v="3.5342261904761904E-2"/>
    <n v="0.76"/>
    <x v="0"/>
    <m/>
    <n v="13000"/>
    <x v="0"/>
    <x v="2"/>
    <n v="23750"/>
    <x v="0"/>
    <m/>
    <n v="23750"/>
    <x v="0"/>
    <x v="0"/>
    <x v="0"/>
    <m/>
    <x v="0"/>
    <x v="0"/>
    <x v="0"/>
    <x v="0"/>
    <x v="0"/>
    <x v="0"/>
    <x v="0"/>
    <x v="0"/>
    <x v="0"/>
    <x v="0"/>
    <x v="0"/>
    <x v="0"/>
    <x v="0"/>
    <x v="0"/>
    <m/>
    <m/>
    <n v="23750"/>
    <x v="0"/>
    <x v="0"/>
    <m/>
    <n v="23750"/>
    <n v="2881"/>
    <s v="Guba"/>
    <s v="CASH: PMN to Fed unearmarked"/>
    <x v="0"/>
    <x v="0"/>
  </r>
  <r>
    <m/>
    <n v="188"/>
    <s v="Kenya Election Civil Unrest"/>
    <d v="2008-01-01T00:00:00"/>
    <x v="12"/>
    <n v="19"/>
    <x v="0"/>
    <x v="13"/>
    <n v="1"/>
    <x v="1"/>
    <x v="58"/>
    <x v="2"/>
    <x v="19"/>
    <x v="27"/>
    <x v="28"/>
    <n v="500000"/>
    <x v="1"/>
    <x v="3"/>
    <n v="14200000"/>
    <m/>
    <n v="1.7605633802816902E-2"/>
    <m/>
    <x v="0"/>
    <m/>
    <n v="500000"/>
    <x v="0"/>
    <x v="1"/>
    <m/>
    <x v="5"/>
    <n v="50000"/>
    <n v="300000"/>
    <x v="0"/>
    <x v="0"/>
    <x v="0"/>
    <m/>
    <x v="0"/>
    <x v="0"/>
    <x v="0"/>
    <x v="0"/>
    <x v="0"/>
    <x v="0"/>
    <x v="0"/>
    <x v="0"/>
    <x v="0"/>
    <x v="0"/>
    <x v="0"/>
    <x v="0"/>
    <x v="0"/>
    <x v="0"/>
    <m/>
    <m/>
    <n v="300000"/>
    <x v="0"/>
    <x v="0"/>
    <m/>
    <n v="300000"/>
    <s v="2002 / 2099"/>
    <s v="Elections"/>
    <s v="CASH: 50k to KRCS  from 2799 and 50k to ICRC from 2002; CASH from 2099: 200k to ICRC"/>
    <x v="0"/>
    <x v="0"/>
  </r>
  <r>
    <s v="CW-2008-000013-CHN"/>
    <n v="189"/>
    <s v="China Snow Disaster"/>
    <d v="2008-02-01T00:00:00"/>
    <x v="12"/>
    <n v="20"/>
    <x v="0"/>
    <x v="13"/>
    <n v="2"/>
    <x v="3"/>
    <x v="4"/>
    <x v="1"/>
    <x v="5"/>
    <x v="12"/>
    <x v="13"/>
    <n v="7800000"/>
    <x v="0"/>
    <x v="0"/>
    <s v="n/a"/>
    <m/>
    <m/>
    <m/>
    <x v="0"/>
    <m/>
    <s v="n/a"/>
    <x v="7"/>
    <x v="0"/>
    <m/>
    <x v="0"/>
    <n v="867000"/>
    <n v="867000"/>
    <x v="0"/>
    <x v="0"/>
    <x v="0"/>
    <m/>
    <x v="0"/>
    <x v="0"/>
    <x v="0"/>
    <x v="0"/>
    <x v="0"/>
    <x v="0"/>
    <x v="0"/>
    <x v="0"/>
    <x v="0"/>
    <x v="0"/>
    <x v="0"/>
    <x v="0"/>
    <x v="0"/>
    <x v="0"/>
    <m/>
    <m/>
    <n v="867000"/>
    <x v="0"/>
    <x v="0"/>
    <m/>
    <n v="867000"/>
    <n v="2060"/>
    <m/>
    <s v="CASH: Bilateral to RCSC"/>
    <x v="0"/>
    <x v="1"/>
  </r>
  <r>
    <m/>
    <n v="190"/>
    <s v="Guyana Civil Unrest"/>
    <d v="2008-02-01T00:00:00"/>
    <x v="12"/>
    <n v="21"/>
    <x v="0"/>
    <x v="13"/>
    <n v="3"/>
    <x v="1"/>
    <x v="85"/>
    <x v="2"/>
    <x v="19"/>
    <x v="27"/>
    <x v="28"/>
    <m/>
    <x v="0"/>
    <x v="0"/>
    <s v="n/a"/>
    <m/>
    <m/>
    <m/>
    <x v="0"/>
    <m/>
    <n v="0"/>
    <x v="8"/>
    <x v="0"/>
    <m/>
    <x v="0"/>
    <n v="2400"/>
    <n v="2400"/>
    <x v="4"/>
    <x v="0"/>
    <x v="0"/>
    <m/>
    <x v="0"/>
    <x v="0"/>
    <x v="0"/>
    <x v="0"/>
    <x v="0"/>
    <x v="0"/>
    <x v="0"/>
    <x v="0"/>
    <x v="0"/>
    <x v="0"/>
    <x v="0"/>
    <x v="0"/>
    <x v="0"/>
    <x v="0"/>
    <m/>
    <n v="10000"/>
    <n v="12400"/>
    <x v="0"/>
    <x v="0"/>
    <m/>
    <n v="12400"/>
    <n v="2799"/>
    <s v="Violence"/>
    <s v="PEOPLE: G. Dodge, V. Vibhakar to Guyana for PSP ($10k) CASH: cash to NS $2,400 - total both $12,400"/>
    <x v="0"/>
    <x v="0"/>
  </r>
  <r>
    <m/>
    <n v="191"/>
    <s v="Sudan Conflict"/>
    <d v="2008-02-01T00:00:00"/>
    <x v="12"/>
    <n v="22"/>
    <x v="0"/>
    <x v="13"/>
    <n v="4"/>
    <x v="1"/>
    <x v="81"/>
    <x v="2"/>
    <x v="8"/>
    <x v="7"/>
    <x v="7"/>
    <n v="2000000"/>
    <x v="1"/>
    <x v="3"/>
    <n v="94000000"/>
    <m/>
    <n v="7.5957446808510637E-3"/>
    <m/>
    <x v="0"/>
    <m/>
    <n v="600000"/>
    <x v="0"/>
    <x v="1"/>
    <m/>
    <x v="10"/>
    <m/>
    <n v="714000"/>
    <x v="0"/>
    <x v="0"/>
    <x v="0"/>
    <m/>
    <x v="0"/>
    <x v="0"/>
    <x v="0"/>
    <x v="0"/>
    <x v="0"/>
    <x v="0"/>
    <x v="0"/>
    <x v="0"/>
    <x v="0"/>
    <x v="0"/>
    <x v="0"/>
    <x v="0"/>
    <x v="0"/>
    <x v="0"/>
    <m/>
    <m/>
    <n v="714000"/>
    <x v="0"/>
    <x v="0"/>
    <m/>
    <n v="714000"/>
    <n v="2661"/>
    <m/>
    <s v="CASH: 714k to ICRC from Coca Cola"/>
    <x v="0"/>
    <x v="0"/>
  </r>
  <r>
    <s v="FL-2008-000018-ECU"/>
    <n v="192"/>
    <s v="Ecuador Floods"/>
    <d v="2008-02-01T00:00:00"/>
    <x v="12"/>
    <n v="23"/>
    <x v="0"/>
    <x v="13"/>
    <n v="5"/>
    <x v="2"/>
    <x v="45"/>
    <x v="1"/>
    <x v="2"/>
    <x v="2"/>
    <x v="2"/>
    <n v="315000"/>
    <x v="0"/>
    <x v="6"/>
    <n v="700000"/>
    <m/>
    <n v="0"/>
    <m/>
    <x v="0"/>
    <m/>
    <n v="15220"/>
    <x v="9"/>
    <x v="0"/>
    <m/>
    <x v="0"/>
    <n v="245000"/>
    <n v="245000"/>
    <x v="0"/>
    <x v="0"/>
    <x v="0"/>
    <m/>
    <x v="0"/>
    <x v="0"/>
    <x v="0"/>
    <x v="0"/>
    <x v="0"/>
    <x v="0"/>
    <x v="0"/>
    <x v="0"/>
    <x v="0"/>
    <x v="0"/>
    <x v="0"/>
    <x v="0"/>
    <x v="0"/>
    <x v="0"/>
    <m/>
    <m/>
    <n v="245000"/>
    <x v="0"/>
    <x v="0"/>
    <m/>
    <n v="245000"/>
    <s v="2597 / 2099"/>
    <s v="Pacific Coast"/>
    <s v="CASH from 2597: OFDA grant for procurement of NFIs - nets, clean-up kits, kitchen sets;  CASH from 2099: To ERC for purchase of food parcels "/>
    <x v="0"/>
    <x v="0"/>
  </r>
  <r>
    <m/>
    <n v="193"/>
    <s v="Iraq Conflict"/>
    <d v="2008-03-08T00:00:00"/>
    <x v="12"/>
    <n v="24"/>
    <x v="0"/>
    <x v="13"/>
    <n v="6"/>
    <x v="3"/>
    <x v="72"/>
    <x v="2"/>
    <x v="8"/>
    <x v="7"/>
    <x v="7"/>
    <n v="4000000"/>
    <x v="1"/>
    <x v="1"/>
    <n v="18900000"/>
    <m/>
    <n v="1.4232804232804232E-2"/>
    <m/>
    <x v="0"/>
    <m/>
    <n v="900000"/>
    <x v="0"/>
    <x v="1"/>
    <n v="269000"/>
    <x v="0"/>
    <m/>
    <n v="269000"/>
    <x v="0"/>
    <x v="0"/>
    <x v="0"/>
    <m/>
    <x v="0"/>
    <x v="0"/>
    <x v="0"/>
    <x v="0"/>
    <x v="0"/>
    <x v="0"/>
    <x v="0"/>
    <x v="0"/>
    <x v="0"/>
    <x v="0"/>
    <x v="0"/>
    <x v="0"/>
    <x v="0"/>
    <x v="0"/>
    <m/>
    <m/>
    <n v="269000"/>
    <x v="0"/>
    <x v="0"/>
    <m/>
    <n v="269000"/>
    <s v="2099/2689"/>
    <s v="Country-wide"/>
    <s v="CASH from 2099: $250k Earmarked for OD and M&amp;E; CASH from 2689: $19k Earmarked for OD and M&amp;E;"/>
    <x v="0"/>
    <x v="0"/>
  </r>
  <r>
    <s v="TC-2008-000023-MDG"/>
    <n v="194"/>
    <s v="Madagascar Cyclone Ivan"/>
    <d v="2008-03-08T00:00:00"/>
    <x v="12"/>
    <n v="25"/>
    <x v="0"/>
    <x v="13"/>
    <n v="7"/>
    <x v="1"/>
    <x v="26"/>
    <x v="1"/>
    <x v="5"/>
    <x v="5"/>
    <x v="8"/>
    <n v="322000"/>
    <x v="1"/>
    <x v="1"/>
    <n v="1000000"/>
    <s v="MDRMG003"/>
    <n v="0"/>
    <m/>
    <x v="0"/>
    <m/>
    <n v="50000"/>
    <x v="0"/>
    <x v="0"/>
    <m/>
    <x v="0"/>
    <m/>
    <n v="0"/>
    <x v="0"/>
    <x v="0"/>
    <x v="0"/>
    <n v="10000"/>
    <x v="0"/>
    <x v="0"/>
    <x v="0"/>
    <x v="0"/>
    <x v="0"/>
    <x v="0"/>
    <x v="0"/>
    <x v="0"/>
    <x v="1"/>
    <x v="0"/>
    <x v="0"/>
    <x v="0"/>
    <x v="0"/>
    <x v="0"/>
    <n v="50000"/>
    <m/>
    <n v="50000"/>
    <x v="0"/>
    <x v="0"/>
    <m/>
    <n v="50000"/>
    <n v="2799"/>
    <s v="Ivan"/>
    <m/>
    <x v="0"/>
    <x v="0"/>
  </r>
  <r>
    <s v="TC-2008-000033-MOZ"/>
    <n v="195"/>
    <s v="Southern Africa Floods - Cyclone Jokwe"/>
    <d v="2008-03-08T00:00:00"/>
    <x v="12"/>
    <n v="26"/>
    <x v="0"/>
    <x v="13"/>
    <n v="8"/>
    <x v="1"/>
    <x v="36"/>
    <x v="1"/>
    <x v="2"/>
    <x v="2"/>
    <x v="2"/>
    <n v="400000"/>
    <x v="1"/>
    <x v="0"/>
    <n v="8400000"/>
    <m/>
    <n v="3.5714285714285712E-2"/>
    <m/>
    <x v="0"/>
    <m/>
    <n v="97550"/>
    <x v="10"/>
    <x v="1"/>
    <n v="300000"/>
    <x v="0"/>
    <m/>
    <n v="300000"/>
    <x v="0"/>
    <x v="0"/>
    <x v="0"/>
    <m/>
    <x v="0"/>
    <x v="0"/>
    <x v="0"/>
    <x v="0"/>
    <x v="0"/>
    <x v="0"/>
    <x v="0"/>
    <x v="0"/>
    <x v="0"/>
    <x v="0"/>
    <x v="0"/>
    <x v="0"/>
    <x v="0"/>
    <x v="0"/>
    <m/>
    <m/>
    <n v="300000"/>
    <x v="0"/>
    <x v="0"/>
    <m/>
    <n v="300000"/>
    <s v="2099/($200k)/2869 ($100k)"/>
    <s v="Southern Africa"/>
    <s v="CASH: 285k earmarked shelter/relief activities, 15k earmarked for RDRT costs x3; 2099 = $200k/ 2869 = $100k. Note ARCT funds used - $100,000 to Federation for shelter, see ARCT 2008 report."/>
    <x v="1"/>
    <x v="0"/>
  </r>
  <r>
    <s v="TC-2008-000033-MOZ"/>
    <n v="196"/>
    <s v="Southern Africa Floods - Cyclone Jokwe"/>
    <d v="2008-03-08T00:00:00"/>
    <x v="12"/>
    <n v="27"/>
    <x v="0"/>
    <x v="13"/>
    <n v="9"/>
    <x v="1"/>
    <x v="99"/>
    <x v="1"/>
    <x v="2"/>
    <x v="2"/>
    <x v="2"/>
    <n v="2700"/>
    <x v="0"/>
    <x v="0"/>
    <s v="n/a"/>
    <m/>
    <m/>
    <m/>
    <x v="0"/>
    <m/>
    <n v="2700"/>
    <x v="0"/>
    <x v="0"/>
    <m/>
    <x v="0"/>
    <n v="48500"/>
    <n v="48500"/>
    <x v="0"/>
    <x v="0"/>
    <x v="0"/>
    <m/>
    <x v="0"/>
    <x v="0"/>
    <x v="0"/>
    <x v="0"/>
    <x v="0"/>
    <x v="0"/>
    <x v="0"/>
    <x v="0"/>
    <x v="0"/>
    <x v="0"/>
    <x v="0"/>
    <x v="0"/>
    <x v="0"/>
    <x v="0"/>
    <m/>
    <m/>
    <n v="48500"/>
    <x v="0"/>
    <x v="0"/>
    <m/>
    <n v="48500"/>
    <n v="2002"/>
    <s v="Flood/Mine"/>
    <s v="CASH: Grant letter to TRCS, relief/shelter"/>
    <x v="0"/>
    <x v="0"/>
  </r>
  <r>
    <s v="TC-2008-000057-MMR"/>
    <n v="197"/>
    <s v="Myanmar Cyclone Nargis"/>
    <d v="2008-05-08T00:00:00"/>
    <x v="12"/>
    <n v="28"/>
    <x v="0"/>
    <x v="13"/>
    <n v="10"/>
    <x v="3"/>
    <x v="100"/>
    <x v="1"/>
    <x v="5"/>
    <x v="5"/>
    <x v="8"/>
    <n v="2400000"/>
    <x v="1"/>
    <x v="1"/>
    <n v="72537164"/>
    <s v="MDRMM002"/>
    <n v="3.446509157705697E-3"/>
    <n v="0.9"/>
    <x v="0"/>
    <m/>
    <n v="500000"/>
    <x v="0"/>
    <x v="1"/>
    <n v="250000"/>
    <x v="0"/>
    <m/>
    <n v="250000"/>
    <x v="2"/>
    <x v="0"/>
    <x v="1"/>
    <n v="205000"/>
    <x v="0"/>
    <x v="0"/>
    <x v="12"/>
    <x v="0"/>
    <x v="0"/>
    <x v="0"/>
    <x v="4"/>
    <x v="0"/>
    <x v="2"/>
    <x v="0"/>
    <x v="12"/>
    <x v="0"/>
    <x v="0"/>
    <x v="0"/>
    <n v="900000"/>
    <m/>
    <n v="1150000"/>
    <x v="0"/>
    <x v="0"/>
    <m/>
    <n v="3400000"/>
    <s v="2594 / 2875"/>
    <s v="Nargis"/>
    <s v="SUPPLIES from 2594: OFDA  jerry cans, plus roughly 60k transport and associated costs; SUPPLIES from 2875: $1,150,000 plus transport"/>
    <x v="0"/>
    <x v="1"/>
  </r>
  <r>
    <s v="EQ-2008-000062-CHN"/>
    <n v="198"/>
    <s v="China Sichuan Earthquake"/>
    <d v="2008-05-08T00:00:00"/>
    <x v="12"/>
    <n v="29"/>
    <x v="0"/>
    <x v="13"/>
    <n v="11"/>
    <x v="3"/>
    <x v="4"/>
    <x v="3"/>
    <x v="3"/>
    <x v="3"/>
    <x v="3"/>
    <n v="10000000"/>
    <x v="1"/>
    <x v="1"/>
    <n v="92700000"/>
    <s v="MDRCN003"/>
    <n v="0.10787486515641856"/>
    <n v="0.65"/>
    <x v="0"/>
    <m/>
    <n v="500000"/>
    <x v="0"/>
    <x v="1"/>
    <n v="10000000"/>
    <x v="0"/>
    <m/>
    <n v="10000000"/>
    <x v="5"/>
    <x v="0"/>
    <x v="0"/>
    <m/>
    <x v="0"/>
    <x v="0"/>
    <x v="0"/>
    <x v="0"/>
    <x v="0"/>
    <x v="0"/>
    <x v="0"/>
    <x v="0"/>
    <x v="0"/>
    <x v="0"/>
    <x v="0"/>
    <x v="0"/>
    <x v="0"/>
    <x v="0"/>
    <m/>
    <m/>
    <n v="10000000"/>
    <x v="0"/>
    <x v="0"/>
    <m/>
    <n v="55000000"/>
    <n v="2060"/>
    <s v="Sichuan"/>
    <s v="CASH: Unearmarked PMN; PEOPLE: R. Rayyis 1 wk info gathering, T. Betz 3 wk relief/logs/monitoring del; S. Thornton 6 mo relief del"/>
    <x v="0"/>
    <x v="1"/>
  </r>
  <r>
    <s v="DR-2008-000043-ETH"/>
    <n v="199"/>
    <s v="Ethiopia Food Insecurity"/>
    <d v="2008-06-08T00:00:00"/>
    <x v="12"/>
    <n v="32"/>
    <x v="0"/>
    <x v="13"/>
    <n v="14"/>
    <x v="1"/>
    <x v="1"/>
    <x v="2"/>
    <x v="14"/>
    <x v="18"/>
    <x v="20"/>
    <n v="4500000"/>
    <x v="1"/>
    <x v="1"/>
    <n v="7920006"/>
    <s v="MDRET005"/>
    <n v="1.2626253060919398E-2"/>
    <m/>
    <x v="0"/>
    <m/>
    <n v="76075"/>
    <x v="0"/>
    <x v="1"/>
    <n v="100000"/>
    <x v="0"/>
    <m/>
    <n v="100000"/>
    <x v="0"/>
    <x v="0"/>
    <x v="0"/>
    <m/>
    <x v="0"/>
    <x v="0"/>
    <x v="0"/>
    <x v="0"/>
    <x v="0"/>
    <x v="0"/>
    <x v="0"/>
    <x v="0"/>
    <x v="0"/>
    <x v="0"/>
    <x v="0"/>
    <x v="0"/>
    <x v="0"/>
    <x v="0"/>
    <m/>
    <m/>
    <n v="100000"/>
    <x v="0"/>
    <x v="0"/>
    <m/>
    <n v="100000"/>
    <n v="2949"/>
    <m/>
    <s v="CASH: PMN earmarked for procurement, transport, distribution of food"/>
    <x v="0"/>
    <x v="0"/>
  </r>
  <r>
    <m/>
    <n v="200"/>
    <s v="South Africa Civil Unrest"/>
    <d v="2008-06-08T00:00:00"/>
    <x v="12"/>
    <n v="30"/>
    <x v="0"/>
    <x v="13"/>
    <n v="12"/>
    <x v="1"/>
    <x v="23"/>
    <x v="2"/>
    <x v="19"/>
    <x v="27"/>
    <x v="28"/>
    <n v="50000"/>
    <x v="0"/>
    <x v="0"/>
    <s v="n/a"/>
    <m/>
    <m/>
    <m/>
    <x v="0"/>
    <m/>
    <n v="30000"/>
    <x v="8"/>
    <x v="0"/>
    <m/>
    <x v="0"/>
    <m/>
    <n v="0"/>
    <x v="2"/>
    <x v="0"/>
    <x v="0"/>
    <m/>
    <x v="0"/>
    <x v="0"/>
    <x v="0"/>
    <x v="0"/>
    <x v="0"/>
    <x v="0"/>
    <x v="0"/>
    <x v="0"/>
    <x v="0"/>
    <x v="0"/>
    <x v="0"/>
    <x v="0"/>
    <x v="0"/>
    <x v="0"/>
    <m/>
    <n v="10000"/>
    <n v="10000"/>
    <x v="0"/>
    <x v="0"/>
    <m/>
    <n v="10000"/>
    <n v="2799"/>
    <s v="Urban Violence"/>
    <s v="PEOPLE: C. Bell bilateral - dev systems/tracking"/>
    <x v="0"/>
    <x v="0"/>
  </r>
  <r>
    <s v="FL-2008-000069-CHL"/>
    <n v="201"/>
    <s v="Chile Floods"/>
    <d v="2008-06-08T00:00:00"/>
    <x v="12"/>
    <n v="31"/>
    <x v="0"/>
    <x v="13"/>
    <n v="13"/>
    <x v="2"/>
    <x v="101"/>
    <x v="1"/>
    <x v="2"/>
    <x v="2"/>
    <x v="2"/>
    <n v="50000"/>
    <x v="0"/>
    <x v="0"/>
    <s v="n/a"/>
    <m/>
    <m/>
    <m/>
    <x v="0"/>
    <m/>
    <n v="4000"/>
    <x v="11"/>
    <x v="2"/>
    <n v="2000"/>
    <x v="0"/>
    <m/>
    <n v="2000"/>
    <x v="2"/>
    <x v="0"/>
    <x v="0"/>
    <m/>
    <x v="0"/>
    <x v="0"/>
    <x v="0"/>
    <x v="0"/>
    <x v="0"/>
    <x v="0"/>
    <x v="0"/>
    <x v="0"/>
    <x v="0"/>
    <x v="0"/>
    <x v="0"/>
    <x v="0"/>
    <x v="0"/>
    <x v="0"/>
    <m/>
    <m/>
    <n v="2000"/>
    <x v="0"/>
    <x v="0"/>
    <m/>
    <n v="2000"/>
    <n v="2799"/>
    <m/>
    <s v="PEOPLE: S. DiPretoro, w/RIT, cash voucher/market assessment"/>
    <x v="0"/>
    <x v="0"/>
  </r>
  <r>
    <s v="TC-2008-000093-PHL"/>
    <n v="202"/>
    <s v="Philippines – Typhoon Fengshen"/>
    <d v="2008-06-08T00:00:00"/>
    <x v="12"/>
    <n v="33"/>
    <x v="0"/>
    <x v="13"/>
    <n v="15"/>
    <x v="3"/>
    <x v="89"/>
    <x v="1"/>
    <x v="5"/>
    <x v="5"/>
    <x v="22"/>
    <n v="4800000"/>
    <x v="1"/>
    <x v="1"/>
    <n v="8000000"/>
    <s v="MDRPH004"/>
    <n v="2.3125E-2"/>
    <n v="1"/>
    <x v="0"/>
    <m/>
    <n v="30000"/>
    <x v="0"/>
    <x v="1"/>
    <n v="185000"/>
    <x v="0"/>
    <m/>
    <n v="185000"/>
    <x v="2"/>
    <x v="0"/>
    <x v="0"/>
    <m/>
    <x v="0"/>
    <x v="0"/>
    <x v="0"/>
    <x v="0"/>
    <x v="0"/>
    <x v="0"/>
    <x v="0"/>
    <x v="0"/>
    <x v="0"/>
    <x v="0"/>
    <x v="0"/>
    <x v="0"/>
    <x v="0"/>
    <x v="0"/>
    <m/>
    <m/>
    <n v="185000"/>
    <x v="0"/>
    <x v="0"/>
    <m/>
    <n v="185000"/>
    <s v="2032/2799/2869"/>
    <s v="Fengshen"/>
    <s v="CASH: 1st PMN (135K)earmarked for typhoon-resistant shelter construction, and DP programs, 2nd (50k) earmarked for shelters after IFRC reported severe underfunding; 1st PMN: AP 2869 - $80,938.17, AP 2799 - $45,211.83. AP 2032 - $8,850.00 / 2nd PMN: AP 279"/>
    <x v="1"/>
    <x v="0"/>
  </r>
  <r>
    <m/>
    <n v="203"/>
    <s v="Yemen Conflict"/>
    <d v="2008-07-08T00:00:00"/>
    <x v="13"/>
    <n v="1"/>
    <x v="0"/>
    <x v="13"/>
    <n v="16"/>
    <x v="3"/>
    <x v="102"/>
    <x v="2"/>
    <x v="8"/>
    <x v="7"/>
    <x v="7"/>
    <n v="77000"/>
    <x v="1"/>
    <x v="3"/>
    <n v="13707000"/>
    <m/>
    <n v="3.6477712117895965E-3"/>
    <m/>
    <x v="0"/>
    <m/>
    <n v="80500"/>
    <x v="0"/>
    <x v="1"/>
    <m/>
    <x v="7"/>
    <m/>
    <n v="50000"/>
    <x v="0"/>
    <x v="0"/>
    <x v="0"/>
    <s v="-"/>
    <x v="0"/>
    <x v="0"/>
    <x v="0"/>
    <x v="0"/>
    <x v="0"/>
    <x v="0"/>
    <x v="0"/>
    <x v="0"/>
    <x v="0"/>
    <x v="0"/>
    <x v="0"/>
    <x v="0"/>
    <x v="0"/>
    <x v="0"/>
    <m/>
    <m/>
    <n v="50000"/>
    <x v="0"/>
    <x v="0"/>
    <m/>
    <n v="50000"/>
    <n v="2799"/>
    <s v="Believing Youth"/>
    <s v="CASH: $50,000 Pledge Letter to ICRC"/>
    <x v="0"/>
    <x v="0"/>
  </r>
  <r>
    <s v="FL-2008-000095-SUR"/>
    <n v="204"/>
    <s v="Suriname Floods"/>
    <d v="2008-07-01T00:00:00"/>
    <x v="13"/>
    <n v="2"/>
    <x v="0"/>
    <x v="13"/>
    <n v="17"/>
    <x v="2"/>
    <x v="103"/>
    <x v="1"/>
    <x v="2"/>
    <x v="2"/>
    <x v="2"/>
    <n v="49090"/>
    <x v="1"/>
    <x v="1"/>
    <n v="861000"/>
    <s v="MDRSR002"/>
    <m/>
    <m/>
    <x v="0"/>
    <m/>
    <n v="3000"/>
    <x v="0"/>
    <x v="0"/>
    <m/>
    <x v="0"/>
    <m/>
    <s v="-"/>
    <x v="4"/>
    <x v="2"/>
    <x v="2"/>
    <s v="-"/>
    <x v="0"/>
    <x v="0"/>
    <x v="0"/>
    <x v="0"/>
    <x v="0"/>
    <x v="0"/>
    <x v="0"/>
    <x v="0"/>
    <x v="0"/>
    <x v="0"/>
    <x v="0"/>
    <x v="0"/>
    <x v="0"/>
    <x v="0"/>
    <s v="-"/>
    <s v="-"/>
    <n v="0"/>
    <x v="0"/>
    <x v="0"/>
    <m/>
    <n v="0"/>
    <n v="2799"/>
    <m/>
    <s v="PEOPLE: M. Million, R. Palmer IT capacity bldg"/>
    <x v="0"/>
    <x v="0"/>
  </r>
  <r>
    <s v="FL-2008-000122-UKR/MDA"/>
    <n v="205"/>
    <s v="Moldova and Ukraine Floods"/>
    <d v="2008-08-01T00:00:00"/>
    <x v="13"/>
    <n v="3"/>
    <x v="0"/>
    <x v="13"/>
    <n v="18"/>
    <x v="3"/>
    <x v="104"/>
    <x v="1"/>
    <x v="2"/>
    <x v="2"/>
    <x v="2"/>
    <n v="30000"/>
    <x v="1"/>
    <x v="1"/>
    <n v="1193000"/>
    <s v="MDR67003"/>
    <n v="3.7091366303436714E-2"/>
    <n v="0.54"/>
    <x v="0"/>
    <m/>
    <n v="60000"/>
    <x v="0"/>
    <x v="1"/>
    <n v="44250"/>
    <x v="0"/>
    <m/>
    <n v="44250"/>
    <x v="0"/>
    <x v="0"/>
    <x v="0"/>
    <s v="-"/>
    <x v="0"/>
    <x v="0"/>
    <x v="0"/>
    <x v="0"/>
    <x v="0"/>
    <x v="0"/>
    <x v="0"/>
    <x v="0"/>
    <x v="0"/>
    <x v="0"/>
    <x v="0"/>
    <x v="0"/>
    <x v="0"/>
    <x v="0"/>
    <m/>
    <m/>
    <n v="44250"/>
    <x v="0"/>
    <x v="0"/>
    <m/>
    <n v="44250"/>
    <n v="2048"/>
    <m/>
    <s v="CASH: $44,280 PMN unearmarked, Boeing donation"/>
    <x v="0"/>
    <x v="0"/>
  </r>
  <r>
    <m/>
    <n v="206"/>
    <s v="Georgia Conflict"/>
    <d v="2008-08-01T00:00:00"/>
    <x v="13"/>
    <n v="4"/>
    <x v="0"/>
    <x v="13"/>
    <n v="19"/>
    <x v="3"/>
    <x v="105"/>
    <x v="2"/>
    <x v="8"/>
    <x v="7"/>
    <x v="7"/>
    <n v="72000"/>
    <x v="1"/>
    <x v="3"/>
    <n v="7395000"/>
    <s v="REX08/555"/>
    <m/>
    <m/>
    <x v="0"/>
    <m/>
    <n v="50000"/>
    <x v="0"/>
    <x v="1"/>
    <m/>
    <x v="2"/>
    <m/>
    <n v="100000"/>
    <x v="0"/>
    <x v="0"/>
    <x v="0"/>
    <s v="-"/>
    <x v="0"/>
    <x v="0"/>
    <x v="0"/>
    <x v="0"/>
    <x v="0"/>
    <x v="0"/>
    <x v="0"/>
    <x v="0"/>
    <x v="0"/>
    <x v="0"/>
    <x v="0"/>
    <x v="0"/>
    <x v="0"/>
    <x v="0"/>
    <m/>
    <m/>
    <n v="100000"/>
    <x v="0"/>
    <x v="0"/>
    <m/>
    <n v="100000"/>
    <n v="2799"/>
    <s v="S. Ossetia"/>
    <s v="CASH: $100,000 Pledge Letter to ICRC"/>
    <x v="0"/>
    <x v="0"/>
  </r>
  <r>
    <s v="FL-2008-000104-NPL"/>
    <n v="207"/>
    <s v="Nepal Floods"/>
    <d v="2008-09-08T00:00:00"/>
    <x v="13"/>
    <n v="5"/>
    <x v="0"/>
    <x v="13"/>
    <n v="20"/>
    <x v="3"/>
    <x v="95"/>
    <x v="1"/>
    <x v="2"/>
    <x v="2"/>
    <x v="2"/>
    <n v="70000"/>
    <x v="1"/>
    <x v="1"/>
    <n v="2647699"/>
    <s v="MDRNP002"/>
    <n v="1.8884321820569483E-2"/>
    <n v="0.72"/>
    <x v="0"/>
    <m/>
    <n v="150000"/>
    <x v="0"/>
    <x v="1"/>
    <n v="50000"/>
    <x v="0"/>
    <m/>
    <n v="50000"/>
    <x v="0"/>
    <x v="0"/>
    <x v="0"/>
    <s v="-"/>
    <x v="0"/>
    <x v="0"/>
    <x v="0"/>
    <x v="0"/>
    <x v="0"/>
    <x v="0"/>
    <x v="0"/>
    <x v="0"/>
    <x v="0"/>
    <x v="0"/>
    <x v="0"/>
    <x v="0"/>
    <x v="0"/>
    <x v="0"/>
    <m/>
    <m/>
    <n v="50000"/>
    <x v="0"/>
    <x v="0"/>
    <m/>
    <n v="50000"/>
    <n v="2799"/>
    <s v="Koshi River Embankment Breach"/>
    <s v="CASH: PMN $50,000 unearmarked to Fed"/>
    <x v="0"/>
    <x v="0"/>
  </r>
  <r>
    <s v="TC-2008-000147-HTI"/>
    <n v="208"/>
    <s v="Haiti Hurricane Season 2008"/>
    <d v="2008-09-08T00:00:00"/>
    <x v="13"/>
    <n v="6"/>
    <x v="0"/>
    <x v="13"/>
    <n v="21"/>
    <x v="2"/>
    <x v="79"/>
    <x v="1"/>
    <x v="5"/>
    <x v="5"/>
    <x v="5"/>
    <n v="800000"/>
    <x v="1"/>
    <x v="1"/>
    <n v="7600000"/>
    <s v="MDRHT005"/>
    <n v="3.7326578947368419E-2"/>
    <n v="1.04"/>
    <x v="0"/>
    <m/>
    <n v="50000"/>
    <x v="0"/>
    <x v="1"/>
    <n v="283682"/>
    <x v="0"/>
    <m/>
    <n v="283682"/>
    <x v="10"/>
    <x v="1"/>
    <x v="3"/>
    <n v="19100"/>
    <x v="0"/>
    <x v="12"/>
    <x v="0"/>
    <x v="0"/>
    <x v="2"/>
    <x v="0"/>
    <x v="5"/>
    <x v="0"/>
    <x v="4"/>
    <x v="0"/>
    <x v="13"/>
    <x v="0"/>
    <x v="0"/>
    <x v="0"/>
    <n v="340000"/>
    <m/>
    <n v="1532876"/>
    <x v="0"/>
    <x v="0"/>
    <m/>
    <n v="1532876"/>
    <s v="2869/2885/ 2591"/>
    <s v="Gustav, Hanna, Ike"/>
    <s v="CASH: $100K PMN from AP 2885 earmarked for shelter kits from ARCT; PEOPLE: B. Gaillis (FACT TL), Relief ERU - C. Chaperon (TL), M. Marek, 2nd round - M. Marek (TL), J. Manley, G. Matthews, value at 50k to Fed;  OFDA grant for $500,000. SUPPLIES plus trans"/>
    <x v="2"/>
    <x v="1"/>
  </r>
  <r>
    <s v="TC-2008-000143"/>
    <n v="209"/>
    <s v="Carribean Hurricane Season 2008 - Bahamas"/>
    <d v="2008-09-08T00:00:00"/>
    <x v="13"/>
    <n v="7"/>
    <x v="0"/>
    <x v="13"/>
    <n v="22"/>
    <x v="2"/>
    <x v="9"/>
    <x v="1"/>
    <x v="5"/>
    <x v="5"/>
    <x v="5"/>
    <n v="9750"/>
    <x v="1"/>
    <x v="1"/>
    <n v="1638300"/>
    <s v="MDR49003"/>
    <n v="7.3883904046877863E-2"/>
    <n v="0.77"/>
    <x v="0"/>
    <m/>
    <n v="20000"/>
    <x v="0"/>
    <x v="1"/>
    <n v="121044"/>
    <x v="0"/>
    <m/>
    <n v="121044"/>
    <x v="2"/>
    <x v="0"/>
    <x v="1"/>
    <s v="-"/>
    <x v="0"/>
    <x v="0"/>
    <x v="0"/>
    <x v="0"/>
    <x v="0"/>
    <x v="0"/>
    <x v="0"/>
    <x v="0"/>
    <x v="0"/>
    <x v="0"/>
    <x v="0"/>
    <x v="0"/>
    <x v="0"/>
    <x v="0"/>
    <m/>
    <m/>
    <n v="121044"/>
    <x v="0"/>
    <x v="0"/>
    <m/>
    <n v="121044"/>
    <n v="2799"/>
    <s v="Bahamas, Jamaica"/>
    <s v="CASH: PMN $100,000 earmarked for Bahamas and Jamaica; PEOPLE: C. Hammond (RIT)"/>
    <x v="0"/>
    <x v="1"/>
  </r>
  <r>
    <s v="TC-2008-000143"/>
    <n v="209"/>
    <s v="Carribean Hurricane Season 2008 -  Jamaica"/>
    <d v="2008-09-08T00:00:00"/>
    <x v="13"/>
    <n v="7"/>
    <x v="0"/>
    <x v="13"/>
    <n v="22"/>
    <x v="2"/>
    <x v="53"/>
    <x v="1"/>
    <x v="5"/>
    <x v="5"/>
    <x v="5"/>
    <n v="4000"/>
    <x v="0"/>
    <x v="0"/>
    <s v="-"/>
    <s v="MDR49003"/>
    <m/>
    <m/>
    <x v="0"/>
    <m/>
    <s v="-"/>
    <x v="12"/>
    <x v="0"/>
    <m/>
    <x v="0"/>
    <m/>
    <m/>
    <x v="0"/>
    <x v="0"/>
    <x v="0"/>
    <s v="-"/>
    <x v="0"/>
    <x v="0"/>
    <x v="0"/>
    <x v="0"/>
    <x v="0"/>
    <x v="0"/>
    <x v="0"/>
    <x v="0"/>
    <x v="0"/>
    <x v="0"/>
    <x v="0"/>
    <x v="0"/>
    <x v="0"/>
    <x v="0"/>
    <m/>
    <m/>
    <s v="-"/>
    <x v="0"/>
    <x v="0"/>
    <m/>
    <s v="-"/>
    <m/>
    <s v="Bahamas, Jamaica"/>
    <s v="CASH: PMN earmarked for Bahamas and Jamaica"/>
    <x v="0"/>
    <x v="1"/>
  </r>
  <r>
    <s v="TC-2008-000143"/>
    <n v="210"/>
    <s v="Cuba Hurricane Season 2008"/>
    <d v="2008-09-08T00:00:00"/>
    <x v="13"/>
    <n v="8"/>
    <x v="0"/>
    <x v="13"/>
    <n v="23"/>
    <x v="2"/>
    <x v="52"/>
    <x v="1"/>
    <x v="5"/>
    <x v="5"/>
    <x v="5"/>
    <n v="2900000"/>
    <x v="1"/>
    <x v="1"/>
    <n v="8811345"/>
    <s v="MDRCU001"/>
    <n v="0.12823728953979216"/>
    <n v="0.66"/>
    <x v="0"/>
    <m/>
    <n v="60000"/>
    <x v="13"/>
    <x v="1"/>
    <n v="1129943"/>
    <x v="0"/>
    <m/>
    <n v="1129943"/>
    <x v="0"/>
    <x v="0"/>
    <x v="0"/>
    <s v="-"/>
    <x v="0"/>
    <x v="0"/>
    <x v="0"/>
    <x v="0"/>
    <x v="0"/>
    <x v="0"/>
    <x v="0"/>
    <x v="0"/>
    <x v="0"/>
    <x v="0"/>
    <x v="0"/>
    <x v="0"/>
    <x v="0"/>
    <x v="0"/>
    <m/>
    <m/>
    <n v="1129943"/>
    <x v="0"/>
    <x v="0"/>
    <m/>
    <n v="1129943"/>
    <n v="2099"/>
    <s v="Gustav, Ike"/>
    <s v="CASH: PMN unearmarked - OFAC license received"/>
    <x v="0"/>
    <x v="1"/>
  </r>
  <r>
    <s v="FL-2008-000198"/>
    <n v="211"/>
    <s v="Central America Floods"/>
    <d v="2008-10-01T00:00:00"/>
    <x v="13"/>
    <n v="9"/>
    <x v="0"/>
    <x v="13"/>
    <n v="24"/>
    <x v="2"/>
    <x v="6"/>
    <x v="1"/>
    <x v="2"/>
    <x v="8"/>
    <x v="9"/>
    <s v="-"/>
    <x v="0"/>
    <x v="0"/>
    <s v="-"/>
    <m/>
    <m/>
    <m/>
    <x v="0"/>
    <m/>
    <s v="-"/>
    <x v="12"/>
    <x v="0"/>
    <m/>
    <x v="0"/>
    <m/>
    <m/>
    <x v="0"/>
    <x v="0"/>
    <x v="0"/>
    <s v="-"/>
    <x v="0"/>
    <x v="0"/>
    <x v="0"/>
    <x v="0"/>
    <x v="0"/>
    <x v="0"/>
    <x v="0"/>
    <x v="0"/>
    <x v="0"/>
    <x v="0"/>
    <x v="0"/>
    <x v="0"/>
    <x v="0"/>
    <x v="0"/>
    <m/>
    <m/>
    <s v="-"/>
    <x v="0"/>
    <x v="0"/>
    <m/>
    <s v="-"/>
    <m/>
    <m/>
    <m/>
    <x v="0"/>
    <x v="1"/>
  </r>
  <r>
    <s v="FL-2008-000198"/>
    <n v="211"/>
    <s v="Central America Floods"/>
    <d v="2008-10-01T00:00:00"/>
    <x v="13"/>
    <n v="9"/>
    <x v="0"/>
    <x v="13"/>
    <n v="24"/>
    <x v="2"/>
    <x v="43"/>
    <x v="1"/>
    <x v="2"/>
    <x v="8"/>
    <x v="9"/>
    <s v="-"/>
    <x v="0"/>
    <x v="0"/>
    <s v="-"/>
    <m/>
    <m/>
    <m/>
    <x v="0"/>
    <m/>
    <s v="-"/>
    <x v="12"/>
    <x v="2"/>
    <n v="25000"/>
    <x v="0"/>
    <m/>
    <m/>
    <x v="0"/>
    <x v="0"/>
    <x v="0"/>
    <s v="-"/>
    <x v="0"/>
    <x v="0"/>
    <x v="0"/>
    <x v="0"/>
    <x v="0"/>
    <x v="0"/>
    <x v="0"/>
    <x v="0"/>
    <x v="0"/>
    <x v="0"/>
    <x v="0"/>
    <x v="0"/>
    <x v="0"/>
    <x v="0"/>
    <m/>
    <m/>
    <s v="-"/>
    <x v="0"/>
    <x v="0"/>
    <m/>
    <s v="-"/>
    <n v="2882"/>
    <m/>
    <s v="CASH: PMN 25k earmarked to Honduras from 2882"/>
    <x v="0"/>
    <x v="1"/>
  </r>
  <r>
    <s v="FL-2008-000198"/>
    <n v="211"/>
    <s v="Central America Floods"/>
    <d v="2008-10-01T00:00:00"/>
    <x v="13"/>
    <n v="9"/>
    <x v="0"/>
    <x v="13"/>
    <n v="24"/>
    <x v="2"/>
    <x v="106"/>
    <x v="1"/>
    <x v="2"/>
    <x v="8"/>
    <x v="9"/>
    <n v="328000"/>
    <x v="1"/>
    <x v="1"/>
    <n v="1388924"/>
    <s v="MDR43004"/>
    <n v="0.17760727008821217"/>
    <n v="0.67"/>
    <x v="0"/>
    <m/>
    <n v="32000"/>
    <x v="0"/>
    <x v="1"/>
    <n v="246683"/>
    <x v="0"/>
    <m/>
    <n v="246683"/>
    <x v="0"/>
    <x v="0"/>
    <x v="0"/>
    <s v="-"/>
    <x v="0"/>
    <x v="0"/>
    <x v="0"/>
    <x v="0"/>
    <x v="0"/>
    <x v="0"/>
    <x v="0"/>
    <x v="0"/>
    <x v="0"/>
    <x v="0"/>
    <x v="0"/>
    <x v="0"/>
    <x v="0"/>
    <x v="0"/>
    <m/>
    <m/>
    <n v="246683"/>
    <x v="0"/>
    <x v="0"/>
    <m/>
    <n v="246683"/>
    <s v="2799 /2882 /2869"/>
    <m/>
    <s v="CASH: PMN 100k from 2799 unearmarked; PMN 91k - ( $88,500 from 2869 ARCT and $2,500 from 2799); $25,000 from 2882 earmarked for Honduras"/>
    <x v="3"/>
    <x v="1"/>
  </r>
  <r>
    <s v="FL-2008-000198"/>
    <n v="211"/>
    <s v="Central America Floods"/>
    <d v="2008-10-01T00:00:00"/>
    <x v="13"/>
    <n v="9"/>
    <x v="0"/>
    <x v="13"/>
    <n v="24"/>
    <x v="2"/>
    <x v="44"/>
    <x v="1"/>
    <x v="2"/>
    <x v="8"/>
    <x v="9"/>
    <m/>
    <x v="0"/>
    <x v="0"/>
    <m/>
    <m/>
    <m/>
    <m/>
    <x v="0"/>
    <m/>
    <m/>
    <x v="0"/>
    <x v="0"/>
    <m/>
    <x v="0"/>
    <m/>
    <m/>
    <x v="0"/>
    <x v="0"/>
    <x v="0"/>
    <s v="-"/>
    <x v="0"/>
    <x v="0"/>
    <x v="0"/>
    <x v="0"/>
    <x v="0"/>
    <x v="0"/>
    <x v="0"/>
    <x v="0"/>
    <x v="0"/>
    <x v="0"/>
    <x v="0"/>
    <x v="0"/>
    <x v="0"/>
    <x v="0"/>
    <m/>
    <m/>
    <m/>
    <x v="0"/>
    <x v="0"/>
    <m/>
    <n v="0"/>
    <m/>
    <m/>
    <m/>
    <x v="0"/>
    <x v="1"/>
  </r>
  <r>
    <s v="EQ-2008-000206-PAK"/>
    <n v="212"/>
    <s v="Pakistan Baluchistan Earthquake"/>
    <d v="2008-11-08T00:00:00"/>
    <x v="13"/>
    <n v="10"/>
    <x v="0"/>
    <x v="13"/>
    <n v="25"/>
    <x v="3"/>
    <x v="47"/>
    <x v="3"/>
    <x v="3"/>
    <x v="3"/>
    <x v="3"/>
    <n v="366000"/>
    <x v="1"/>
    <x v="7"/>
    <n v="9880000"/>
    <s v="REX08/722 &amp; MDRPK002"/>
    <m/>
    <m/>
    <x v="0"/>
    <m/>
    <n v="37930"/>
    <x v="0"/>
    <x v="0"/>
    <m/>
    <x v="0"/>
    <n v="100000"/>
    <n v="100000"/>
    <x v="0"/>
    <x v="0"/>
    <x v="0"/>
    <s v="-"/>
    <x v="0"/>
    <x v="0"/>
    <x v="0"/>
    <x v="0"/>
    <x v="0"/>
    <x v="0"/>
    <x v="0"/>
    <x v="0"/>
    <x v="0"/>
    <x v="0"/>
    <x v="0"/>
    <x v="0"/>
    <x v="0"/>
    <x v="0"/>
    <m/>
    <m/>
    <n v="100000"/>
    <x v="0"/>
    <x v="0"/>
    <n v="37930"/>
    <n v="100000"/>
    <n v="2799"/>
    <s v="Baluchistan"/>
    <s v="CASH: $100,000 to purchase relief supplies."/>
    <x v="0"/>
    <x v="0"/>
  </r>
  <r>
    <s v="FF-2008-000211-VNM"/>
    <n v="213"/>
    <s v="Vietnam Floods"/>
    <d v="2008-11-08T00:00:00"/>
    <x v="13"/>
    <n v="11"/>
    <x v="0"/>
    <x v="13"/>
    <n v="26"/>
    <x v="3"/>
    <x v="16"/>
    <x v="1"/>
    <x v="2"/>
    <x v="2"/>
    <x v="2"/>
    <n v="600000"/>
    <x v="1"/>
    <x v="1"/>
    <n v="4000000"/>
    <s v="MDRVN005"/>
    <n v="1.2500000000000001E-2"/>
    <n v="0.47"/>
    <x v="0"/>
    <m/>
    <n v="300000"/>
    <x v="0"/>
    <x v="1"/>
    <n v="50000"/>
    <x v="0"/>
    <m/>
    <n v="50000"/>
    <x v="0"/>
    <x v="0"/>
    <x v="0"/>
    <s v="-"/>
    <x v="0"/>
    <x v="0"/>
    <x v="0"/>
    <x v="0"/>
    <x v="0"/>
    <x v="0"/>
    <x v="0"/>
    <x v="0"/>
    <x v="0"/>
    <x v="0"/>
    <x v="0"/>
    <x v="0"/>
    <x v="0"/>
    <x v="0"/>
    <m/>
    <m/>
    <n v="50000"/>
    <x v="0"/>
    <x v="0"/>
    <m/>
    <n v="50000"/>
    <n v="2799"/>
    <s v="North and Central Regions"/>
    <s v="CASH: PMN 50k unearmarked "/>
    <x v="0"/>
    <x v="0"/>
  </r>
  <r>
    <s v="FL-2008-000232-CRI"/>
    <n v="214"/>
    <s v="Panama &amp; Costa Rica Floods"/>
    <d v="2008-12-09T00:00:00"/>
    <x v="13"/>
    <n v="12"/>
    <x v="0"/>
    <x v="13"/>
    <n v="27"/>
    <x v="2"/>
    <x v="3"/>
    <x v="1"/>
    <x v="2"/>
    <x v="2"/>
    <x v="0"/>
    <s v="-"/>
    <x v="0"/>
    <x v="0"/>
    <s v="-"/>
    <m/>
    <m/>
    <m/>
    <x v="0"/>
    <m/>
    <s v="-"/>
    <x v="12"/>
    <x v="0"/>
    <m/>
    <x v="0"/>
    <m/>
    <m/>
    <x v="0"/>
    <x v="0"/>
    <x v="0"/>
    <s v="-"/>
    <x v="0"/>
    <x v="0"/>
    <x v="0"/>
    <x v="0"/>
    <x v="0"/>
    <x v="0"/>
    <x v="0"/>
    <x v="0"/>
    <x v="0"/>
    <x v="0"/>
    <x v="0"/>
    <x v="0"/>
    <x v="0"/>
    <x v="0"/>
    <m/>
    <m/>
    <s v="-"/>
    <x v="0"/>
    <x v="0"/>
    <m/>
    <s v="-"/>
    <m/>
    <m/>
    <m/>
    <x v="0"/>
    <x v="0"/>
  </r>
  <r>
    <s v="FL-2008-000158-PAN"/>
    <n v="214"/>
    <s v="Panama &amp; Costa Rica Floods"/>
    <d v="2008-12-08T00:00:00"/>
    <x v="13"/>
    <n v="12"/>
    <x v="0"/>
    <x v="13"/>
    <n v="27"/>
    <x v="2"/>
    <x v="57"/>
    <x v="1"/>
    <x v="2"/>
    <x v="2"/>
    <x v="0"/>
    <n v="40158"/>
    <x v="1"/>
    <x v="1"/>
    <n v="571953"/>
    <s v="MDR43005"/>
    <n v="0.17483954101123694"/>
    <n v="0.39"/>
    <x v="0"/>
    <m/>
    <n v="15000"/>
    <x v="0"/>
    <x v="1"/>
    <n v="100000"/>
    <x v="0"/>
    <m/>
    <n v="100000"/>
    <x v="0"/>
    <x v="0"/>
    <x v="0"/>
    <s v="-"/>
    <x v="0"/>
    <x v="0"/>
    <x v="0"/>
    <x v="0"/>
    <x v="0"/>
    <x v="0"/>
    <x v="0"/>
    <x v="0"/>
    <x v="0"/>
    <x v="0"/>
    <x v="0"/>
    <x v="0"/>
    <x v="0"/>
    <x v="0"/>
    <m/>
    <m/>
    <n v="100000"/>
    <x v="0"/>
    <x v="0"/>
    <m/>
    <n v="100000"/>
    <n v="2799"/>
    <m/>
    <s v="CASH: PMN $100,000 for Fed Appeal"/>
    <x v="0"/>
    <x v="0"/>
  </r>
  <r>
    <m/>
    <n v="215"/>
    <s v="Horn of Africa Food Insecurity Crisis"/>
    <d v="2008-12-11T00:00:00"/>
    <x v="13"/>
    <n v="13"/>
    <x v="0"/>
    <x v="13"/>
    <n v="28"/>
    <x v="1"/>
    <x v="1"/>
    <x v="2"/>
    <x v="14"/>
    <x v="18"/>
    <x v="0"/>
    <s v="-"/>
    <x v="0"/>
    <x v="0"/>
    <s v="-"/>
    <m/>
    <m/>
    <m/>
    <x v="0"/>
    <m/>
    <s v="-"/>
    <x v="12"/>
    <x v="0"/>
    <m/>
    <x v="0"/>
    <m/>
    <m/>
    <x v="0"/>
    <x v="0"/>
    <x v="0"/>
    <s v="-"/>
    <x v="0"/>
    <x v="0"/>
    <x v="0"/>
    <x v="0"/>
    <x v="0"/>
    <x v="0"/>
    <x v="0"/>
    <x v="0"/>
    <x v="0"/>
    <x v="0"/>
    <x v="0"/>
    <x v="0"/>
    <x v="0"/>
    <x v="0"/>
    <m/>
    <m/>
    <s v="-"/>
    <x v="0"/>
    <x v="0"/>
    <m/>
    <s v="-"/>
    <m/>
    <m/>
    <m/>
    <x v="0"/>
    <x v="0"/>
  </r>
  <r>
    <m/>
    <n v="215"/>
    <s v="Horn of Africa Food Insecurity Crisis"/>
    <d v="2008-12-12T00:00:00"/>
    <x v="13"/>
    <n v="13"/>
    <x v="0"/>
    <x v="13"/>
    <n v="28"/>
    <x v="1"/>
    <x v="58"/>
    <x v="2"/>
    <x v="14"/>
    <x v="18"/>
    <x v="0"/>
    <s v="-"/>
    <x v="0"/>
    <x v="0"/>
    <s v="-"/>
    <m/>
    <m/>
    <m/>
    <x v="0"/>
    <m/>
    <s v="-"/>
    <x v="12"/>
    <x v="0"/>
    <m/>
    <x v="0"/>
    <m/>
    <m/>
    <x v="0"/>
    <x v="0"/>
    <x v="0"/>
    <s v="-"/>
    <x v="0"/>
    <x v="0"/>
    <x v="0"/>
    <x v="0"/>
    <x v="0"/>
    <x v="0"/>
    <x v="0"/>
    <x v="0"/>
    <x v="0"/>
    <x v="0"/>
    <x v="0"/>
    <x v="0"/>
    <x v="0"/>
    <x v="0"/>
    <m/>
    <m/>
    <s v="-"/>
    <x v="0"/>
    <x v="0"/>
    <m/>
    <s v="-"/>
    <m/>
    <m/>
    <m/>
    <x v="0"/>
    <x v="0"/>
  </r>
  <r>
    <m/>
    <n v="215"/>
    <s v="Horn of Africa Food Insecurity Crisis"/>
    <d v="2008-12-13T00:00:00"/>
    <x v="13"/>
    <n v="13"/>
    <x v="0"/>
    <x v="13"/>
    <n v="28"/>
    <x v="1"/>
    <x v="91"/>
    <x v="2"/>
    <x v="14"/>
    <x v="18"/>
    <x v="0"/>
    <s v="-"/>
    <x v="0"/>
    <x v="0"/>
    <s v="-"/>
    <m/>
    <m/>
    <m/>
    <x v="0"/>
    <m/>
    <s v="-"/>
    <x v="12"/>
    <x v="0"/>
    <m/>
    <x v="0"/>
    <m/>
    <m/>
    <x v="0"/>
    <x v="0"/>
    <x v="0"/>
    <s v="-"/>
    <x v="0"/>
    <x v="0"/>
    <x v="0"/>
    <x v="0"/>
    <x v="0"/>
    <x v="0"/>
    <x v="0"/>
    <x v="0"/>
    <x v="0"/>
    <x v="0"/>
    <x v="0"/>
    <x v="0"/>
    <x v="0"/>
    <x v="0"/>
    <m/>
    <m/>
    <s v="-"/>
    <x v="0"/>
    <x v="0"/>
    <m/>
    <s v="-"/>
    <m/>
    <m/>
    <m/>
    <x v="0"/>
    <x v="0"/>
  </r>
  <r>
    <s v="OT-2008-000196-DJI/ERI/ETH/KEN/SOM"/>
    <n v="215"/>
    <s v="Horn of Africa Food Insecurity Crisis"/>
    <d v="2008-12-10T00:00:00"/>
    <x v="13"/>
    <n v="13"/>
    <x v="0"/>
    <x v="13"/>
    <n v="28"/>
    <x v="1"/>
    <x v="107"/>
    <x v="2"/>
    <x v="14"/>
    <x v="18"/>
    <x v="0"/>
    <n v="16800000"/>
    <x v="1"/>
    <x v="1"/>
    <n v="66586679"/>
    <s v="MDR64003"/>
    <n v="0"/>
    <n v="0.09"/>
    <x v="1"/>
    <n v="118830"/>
    <n v="2488500"/>
    <x v="0"/>
    <x v="0"/>
    <m/>
    <x v="0"/>
    <n v="500000"/>
    <m/>
    <x v="2"/>
    <x v="0"/>
    <x v="1"/>
    <s v="-"/>
    <x v="0"/>
    <x v="0"/>
    <x v="0"/>
    <x v="0"/>
    <x v="0"/>
    <x v="0"/>
    <x v="0"/>
    <x v="0"/>
    <x v="0"/>
    <x v="0"/>
    <x v="0"/>
    <x v="0"/>
    <x v="0"/>
    <x v="0"/>
    <m/>
    <m/>
    <n v="0"/>
    <x v="0"/>
    <x v="0"/>
    <m/>
    <n v="0"/>
    <n v="2799"/>
    <m/>
    <s v="PEOPLE: T. Reines, relief del on Fed assessment team x3 wks (entire Horn of Africa); CASH: Intially $500,000 was approved but issues related to the programming and the appeal kept these funds from being disbursed to IFRC appeal. Eventually appeal was canc"/>
    <x v="0"/>
    <x v="0"/>
  </r>
  <r>
    <m/>
    <n v="216"/>
    <s v="Uganda, Rwanda, Burundi Population Movement"/>
    <d v="2008-12-14T00:00:00"/>
    <x v="13"/>
    <n v="14"/>
    <x v="0"/>
    <x v="13"/>
    <n v="29"/>
    <x v="1"/>
    <x v="96"/>
    <x v="2"/>
    <x v="8"/>
    <x v="7"/>
    <x v="7"/>
    <n v="280000"/>
    <x v="1"/>
    <x v="1"/>
    <n v="1437632"/>
    <s v="MDR64004"/>
    <n v="3.4779415038062589E-2"/>
    <n v="0.62"/>
    <x v="1"/>
    <n v="201571"/>
    <n v="60000"/>
    <x v="0"/>
    <x v="1"/>
    <n v="50000"/>
    <x v="0"/>
    <m/>
    <n v="50000"/>
    <x v="2"/>
    <x v="0"/>
    <x v="1"/>
    <s v="-"/>
    <x v="0"/>
    <x v="0"/>
    <x v="0"/>
    <x v="0"/>
    <x v="0"/>
    <x v="0"/>
    <x v="0"/>
    <x v="0"/>
    <x v="0"/>
    <x v="0"/>
    <x v="0"/>
    <x v="0"/>
    <x v="0"/>
    <x v="0"/>
    <m/>
    <m/>
    <n v="50000"/>
    <x v="0"/>
    <x v="0"/>
    <m/>
    <n v="50000"/>
    <n v="2799"/>
    <m/>
    <s v="CASH: $50,000 PMN to Appeal earmarked to Uganda. PEOPLE: B. Banks, seconded to NBO as backfill DM coordinator deployed to Uganda on Fed assessment"/>
    <x v="0"/>
    <x v="0"/>
  </r>
  <r>
    <s v="EP-2008-000218-ZWE"/>
    <n v="217"/>
    <s v="Zimbabwe Cholera Epidemic"/>
    <d v="2008-12-17T00:00:00"/>
    <x v="13"/>
    <n v="15"/>
    <x v="0"/>
    <x v="13"/>
    <n v="30"/>
    <x v="1"/>
    <x v="25"/>
    <x v="4"/>
    <x v="11"/>
    <x v="28"/>
    <x v="29"/>
    <n v="50000"/>
    <x v="1"/>
    <x v="1"/>
    <n v="9200000"/>
    <s v="MDRZW004"/>
    <n v="1.0869565217391304E-2"/>
    <n v="0.64"/>
    <x v="1"/>
    <n v="359374"/>
    <n v="1500000"/>
    <x v="0"/>
    <x v="1"/>
    <n v="100000"/>
    <x v="0"/>
    <m/>
    <n v="100000"/>
    <x v="0"/>
    <x v="0"/>
    <x v="0"/>
    <s v="-"/>
    <x v="0"/>
    <x v="0"/>
    <x v="0"/>
    <x v="0"/>
    <x v="0"/>
    <x v="0"/>
    <x v="0"/>
    <x v="0"/>
    <x v="0"/>
    <x v="0"/>
    <x v="0"/>
    <x v="0"/>
    <x v="0"/>
    <x v="0"/>
    <m/>
    <m/>
    <n v="100000"/>
    <x v="0"/>
    <x v="0"/>
    <m/>
    <n v="100000"/>
    <n v="2799"/>
    <m/>
    <s v="CASH: PMN $100k to IFRC from 2799 - 75% operational needs, 25% support costs."/>
    <x v="0"/>
    <x v="0"/>
  </r>
  <r>
    <m/>
    <n v="218"/>
    <s v="Gaza Conflict - Israel"/>
    <d v="2008-12-17T00:00:00"/>
    <x v="13"/>
    <n v="16"/>
    <x v="0"/>
    <x v="13"/>
    <n v="31"/>
    <x v="3"/>
    <x v="29"/>
    <x v="2"/>
    <x v="8"/>
    <x v="7"/>
    <x v="7"/>
    <s v="-"/>
    <x v="1"/>
    <x v="8"/>
    <s v="-"/>
    <m/>
    <m/>
    <m/>
    <x v="0"/>
    <m/>
    <s v="-"/>
    <x v="12"/>
    <x v="0"/>
    <m/>
    <x v="11"/>
    <n v="200000"/>
    <m/>
    <x v="0"/>
    <x v="0"/>
    <x v="0"/>
    <s v="-"/>
    <x v="0"/>
    <x v="0"/>
    <x v="0"/>
    <x v="0"/>
    <x v="0"/>
    <x v="0"/>
    <x v="0"/>
    <x v="0"/>
    <x v="0"/>
    <x v="0"/>
    <x v="0"/>
    <x v="0"/>
    <x v="0"/>
    <x v="0"/>
    <m/>
    <m/>
    <s v="-"/>
    <x v="0"/>
    <x v="0"/>
    <m/>
    <s v="-"/>
    <n v="2099"/>
    <m/>
    <s v="CASH: 5 Jan 09 - $250,000 from 2799 RRF to ICRC;  9 Jan 09 $250,000 from 2799 RRF, to PRCS;  30 Jan 09 $200,000 from 2099 IRF to MDA;  5 Feb 09: $110,625 from 2010 Middle East, to PRCS appeal, and $110,625, 2010 Middle East to ICRC appeal."/>
    <x v="0"/>
    <x v="0"/>
  </r>
  <r>
    <m/>
    <n v="218"/>
    <s v="Gaza Conflict - Palestine"/>
    <d v="2008-12-17T00:00:00"/>
    <x v="13"/>
    <n v="16"/>
    <x v="0"/>
    <x v="13"/>
    <n v="31"/>
    <x v="3"/>
    <x v="31"/>
    <x v="2"/>
    <x v="8"/>
    <x v="7"/>
    <x v="7"/>
    <n v="90000"/>
    <x v="1"/>
    <x v="8"/>
    <m/>
    <m/>
    <m/>
    <m/>
    <x v="1"/>
    <n v="310244"/>
    <n v="50000"/>
    <x v="0"/>
    <x v="1"/>
    <m/>
    <x v="12"/>
    <n v="560625"/>
    <n v="921250"/>
    <x v="0"/>
    <x v="0"/>
    <x v="0"/>
    <s v="-"/>
    <x v="0"/>
    <x v="0"/>
    <x v="0"/>
    <x v="0"/>
    <x v="0"/>
    <x v="0"/>
    <x v="0"/>
    <x v="0"/>
    <x v="0"/>
    <x v="0"/>
    <x v="0"/>
    <x v="0"/>
    <x v="0"/>
    <x v="0"/>
    <m/>
    <m/>
    <n v="921250"/>
    <x v="0"/>
    <x v="0"/>
    <m/>
    <n v="921250"/>
    <s v="2799/2099/2010"/>
    <m/>
    <s v="CASH: 5 Jan 09 - $250,000 from 2799 RRF to ICRC;  9 Jan 09 $250,000 from 2799 RRF, to PRCS;  30 Jan 09 $200,000 from 2099 IRF to MDA;  5 Feb 09: $110,625 from 2010 Middle East, to PRCS appeal, and $110,625, 2010 Middle East to ICRC appeal."/>
    <x v="0"/>
    <x v="0"/>
  </r>
  <r>
    <s v="EQ-2009-000009-CRI"/>
    <n v="219"/>
    <s v="Costa Rica Earthquake"/>
    <d v="2009-01-08T00:00:00"/>
    <x v="13"/>
    <n v="17"/>
    <x v="1"/>
    <x v="14"/>
    <n v="2"/>
    <x v="2"/>
    <x v="3"/>
    <x v="3"/>
    <x v="3"/>
    <x v="3"/>
    <x v="3"/>
    <n v="2943"/>
    <x v="2"/>
    <x v="0"/>
    <s v="-"/>
    <m/>
    <m/>
    <m/>
    <x v="1"/>
    <n v="49273"/>
    <s v="-"/>
    <x v="14"/>
    <x v="0"/>
    <m/>
    <x v="0"/>
    <n v="62250"/>
    <n v="62250"/>
    <x v="4"/>
    <x v="0"/>
    <x v="2"/>
    <m/>
    <x v="0"/>
    <x v="0"/>
    <x v="0"/>
    <x v="0"/>
    <x v="0"/>
    <x v="0"/>
    <x v="0"/>
    <x v="0"/>
    <x v="0"/>
    <x v="0"/>
    <x v="0"/>
    <x v="0"/>
    <x v="0"/>
    <x v="0"/>
    <m/>
    <n v="11950"/>
    <n v="74200"/>
    <x v="0"/>
    <x v="0"/>
    <m/>
    <n v="74200"/>
    <n v="2882"/>
    <s v="Earthquake"/>
    <s v="CASH: Bilateral to CRRC; PEOPLE: S. DiPretoro, A. Vargas"/>
    <x v="0"/>
    <x v="0"/>
  </r>
  <r>
    <s v="WF-2009-000035-AUS"/>
    <n v="220"/>
    <s v="Australia Wildfires"/>
    <d v="2009-02-07T00:00:00"/>
    <x v="13"/>
    <n v="18"/>
    <x v="1"/>
    <x v="14"/>
    <n v="3"/>
    <x v="3"/>
    <x v="69"/>
    <x v="1"/>
    <x v="15"/>
    <x v="0"/>
    <x v="0"/>
    <n v="22000"/>
    <x v="2"/>
    <x v="0"/>
    <m/>
    <m/>
    <m/>
    <m/>
    <x v="0"/>
    <m/>
    <m/>
    <x v="0"/>
    <x v="0"/>
    <m/>
    <x v="0"/>
    <n v="1520000"/>
    <n v="1520000"/>
    <x v="0"/>
    <x v="0"/>
    <x v="0"/>
    <m/>
    <x v="0"/>
    <x v="0"/>
    <x v="0"/>
    <x v="0"/>
    <x v="0"/>
    <x v="0"/>
    <x v="0"/>
    <x v="0"/>
    <x v="0"/>
    <x v="0"/>
    <x v="0"/>
    <x v="0"/>
    <x v="0"/>
    <x v="0"/>
    <m/>
    <m/>
    <n v="1520000"/>
    <x v="0"/>
    <x v="0"/>
    <m/>
    <n v="1520000"/>
    <n v="2881"/>
    <m/>
    <s v="CASH: ARC coordinated US corporate donations to joint domestic AusRC &amp; Ntl Govt appeal -  totaled $1,250,000 - sent August 2009"/>
    <x v="0"/>
    <x v="0"/>
  </r>
  <r>
    <m/>
    <n v="221"/>
    <s v="Sri Lanka Conflict"/>
    <d v="2009-03-05T00:00:00"/>
    <x v="13"/>
    <n v="19"/>
    <x v="1"/>
    <x v="14"/>
    <n v="4"/>
    <x v="3"/>
    <x v="34"/>
    <x v="2"/>
    <x v="8"/>
    <x v="0"/>
    <x v="0"/>
    <n v="250000"/>
    <x v="1"/>
    <x v="3"/>
    <m/>
    <m/>
    <m/>
    <m/>
    <x v="0"/>
    <m/>
    <m/>
    <x v="15"/>
    <x v="1"/>
    <m/>
    <x v="13"/>
    <m/>
    <n v="500000"/>
    <x v="2"/>
    <x v="0"/>
    <x v="1"/>
    <m/>
    <x v="0"/>
    <x v="0"/>
    <x v="0"/>
    <x v="0"/>
    <x v="0"/>
    <x v="0"/>
    <x v="0"/>
    <x v="0"/>
    <x v="0"/>
    <x v="0"/>
    <x v="0"/>
    <x v="0"/>
    <x v="0"/>
    <x v="0"/>
    <m/>
    <m/>
    <n v="500000"/>
    <x v="0"/>
    <x v="0"/>
    <m/>
    <n v="500000"/>
    <s v="TRP"/>
    <s v="Sri Lanka Conflict"/>
    <s v="CASH: $500,000 to ICRC for baby kits to IDPs in camps. PEOPLE: Gina Guinta ICRC volunteer to work in IDP camps doing relief distribution, 30 days."/>
    <x v="0"/>
    <x v="0"/>
  </r>
  <r>
    <s v="FL-2009-000052-COL"/>
    <n v="222"/>
    <s v="Colombia Floods"/>
    <d v="2009-03-19T00:00:00"/>
    <x v="13"/>
    <n v="20"/>
    <x v="1"/>
    <x v="14"/>
    <n v="5"/>
    <x v="2"/>
    <x v="87"/>
    <x v="1"/>
    <x v="2"/>
    <x v="0"/>
    <x v="0"/>
    <n v="31250"/>
    <x v="1"/>
    <x v="1"/>
    <n v="957924"/>
    <s v="MDRCO006"/>
    <m/>
    <n v="0.99"/>
    <x v="1"/>
    <n v="152369"/>
    <n v="25000"/>
    <x v="0"/>
    <x v="0"/>
    <m/>
    <x v="0"/>
    <m/>
    <m/>
    <x v="0"/>
    <x v="0"/>
    <x v="0"/>
    <n v="8000"/>
    <x v="0"/>
    <x v="0"/>
    <x v="0"/>
    <x v="8"/>
    <x v="0"/>
    <x v="0"/>
    <x v="0"/>
    <x v="0"/>
    <x v="0"/>
    <x v="0"/>
    <x v="0"/>
    <x v="0"/>
    <x v="0"/>
    <x v="0"/>
    <n v="30000"/>
    <m/>
    <n v="30000"/>
    <x v="0"/>
    <x v="0"/>
    <m/>
    <n v="30000"/>
    <n v="2799"/>
    <s v="Colombia Floods"/>
    <s v="SUPPLIES: 8,000 ARC Jerry Cans from stock at PADRU shipped to IFRC in Colombia."/>
    <x v="0"/>
    <x v="0"/>
  </r>
  <r>
    <s v="EQ-2009-000072-ITA"/>
    <n v="223"/>
    <s v="Italy Earthquake"/>
    <d v="2009-04-07T00:00:00"/>
    <x v="13"/>
    <n v="21"/>
    <x v="2"/>
    <x v="14"/>
    <n v="6"/>
    <x v="3"/>
    <x v="68"/>
    <x v="3"/>
    <x v="3"/>
    <x v="0"/>
    <x v="0"/>
    <n v="48000"/>
    <x v="2"/>
    <x v="0"/>
    <m/>
    <m/>
    <m/>
    <m/>
    <x v="1"/>
    <n v="613944"/>
    <m/>
    <x v="0"/>
    <x v="0"/>
    <m/>
    <x v="0"/>
    <n v="981315"/>
    <n v="981315"/>
    <x v="0"/>
    <x v="0"/>
    <x v="0"/>
    <m/>
    <x v="0"/>
    <x v="0"/>
    <x v="0"/>
    <x v="0"/>
    <x v="0"/>
    <x v="0"/>
    <x v="0"/>
    <x v="0"/>
    <x v="0"/>
    <x v="0"/>
    <x v="0"/>
    <x v="0"/>
    <x v="0"/>
    <x v="0"/>
    <m/>
    <m/>
    <n v="981315"/>
    <x v="0"/>
    <x v="0"/>
    <m/>
    <n v="981315"/>
    <s v="2799/2697"/>
    <s v="L'Aquila Earthquake"/>
    <s v="CASH: $50,000 to Italian Red Cross from RRF 2799 - later repaid by 2697 when raised; Receiving donor funds to AP 2697 from public and chapters. Additional $522,180 from donor funds sent 5/29/09. Final amount in Aug. 2009"/>
    <x v="0"/>
    <x v="0"/>
  </r>
  <r>
    <s v="Fl-2009-000062-NAM"/>
    <n v="224"/>
    <s v="Namibia Floods"/>
    <d v="2009-05-15T00:00:00"/>
    <x v="13"/>
    <n v="22"/>
    <x v="2"/>
    <x v="14"/>
    <n v="7"/>
    <x v="1"/>
    <x v="108"/>
    <x v="1"/>
    <x v="2"/>
    <x v="0"/>
    <x v="0"/>
    <n v="700000"/>
    <x v="1"/>
    <x v="1"/>
    <n v="1878181"/>
    <s v="MDRNA004"/>
    <n v="2.6621502400460871E-2"/>
    <n v="0.91"/>
    <x v="1"/>
    <n v="128552"/>
    <n v="20000"/>
    <x v="0"/>
    <x v="1"/>
    <n v="50000"/>
    <x v="0"/>
    <m/>
    <n v="50000"/>
    <x v="0"/>
    <x v="0"/>
    <x v="0"/>
    <m/>
    <x v="0"/>
    <x v="0"/>
    <x v="0"/>
    <x v="0"/>
    <x v="0"/>
    <x v="0"/>
    <x v="0"/>
    <x v="0"/>
    <x v="0"/>
    <x v="0"/>
    <x v="0"/>
    <x v="0"/>
    <x v="0"/>
    <x v="0"/>
    <m/>
    <m/>
    <n v="50000"/>
    <x v="0"/>
    <x v="0"/>
    <m/>
    <n v="50000"/>
    <n v="2799"/>
    <m/>
    <s v="CASH: $50k to IFRC from 2799 earmarked for relief supplies"/>
    <x v="0"/>
    <x v="0"/>
  </r>
  <r>
    <m/>
    <n v="225"/>
    <s v="Africa Polio Outbreak"/>
    <d v="2009-05-15T00:00:00"/>
    <x v="13"/>
    <n v="23"/>
    <x v="2"/>
    <x v="14"/>
    <n v="8"/>
    <x v="1"/>
    <x v="81"/>
    <x v="4"/>
    <x v="11"/>
    <x v="0"/>
    <x v="0"/>
    <n v="25000000"/>
    <x v="1"/>
    <x v="1"/>
    <n v="2200000"/>
    <s v="MDR61004; MDR64004; MDR63002"/>
    <n v="9.0909090909090912E-2"/>
    <s v="various"/>
    <x v="1"/>
    <n v="315628"/>
    <n v="25000000"/>
    <x v="0"/>
    <x v="1"/>
    <n v="200000"/>
    <x v="0"/>
    <m/>
    <n v="200000"/>
    <x v="0"/>
    <x v="0"/>
    <x v="0"/>
    <m/>
    <x v="0"/>
    <x v="0"/>
    <x v="0"/>
    <x v="0"/>
    <x v="0"/>
    <x v="0"/>
    <x v="0"/>
    <x v="0"/>
    <x v="0"/>
    <x v="0"/>
    <x v="0"/>
    <x v="0"/>
    <x v="0"/>
    <x v="0"/>
    <m/>
    <m/>
    <n v="200000"/>
    <x v="0"/>
    <x v="0"/>
    <m/>
    <n v="200000"/>
    <n v="2869"/>
    <s v="Polio - Sudan"/>
    <s v="CASH: $200k to IFRC earmarked for Sudan vaccination campaign from ARCT - funds went out as of August 2009."/>
    <x v="4"/>
    <x v="0"/>
  </r>
  <r>
    <m/>
    <n v="226"/>
    <s v="Pakistan Internally Displaced Persons Crisis"/>
    <d v="2009-05-15T00:00:00"/>
    <x v="13"/>
    <n v="24"/>
    <x v="2"/>
    <x v="14"/>
    <n v="9"/>
    <x v="3"/>
    <x v="47"/>
    <x v="2"/>
    <x v="8"/>
    <x v="0"/>
    <x v="0"/>
    <n v="2000000"/>
    <x v="1"/>
    <x v="1"/>
    <n v="7300000"/>
    <s v="MDRPK003"/>
    <n v="3.4246575342465752E-2"/>
    <n v="0.45"/>
    <x v="0"/>
    <m/>
    <n v="91000"/>
    <x v="0"/>
    <x v="1"/>
    <n v="250000"/>
    <x v="0"/>
    <m/>
    <n v="250000"/>
    <x v="0"/>
    <x v="0"/>
    <x v="0"/>
    <n v="5150"/>
    <x v="0"/>
    <x v="0"/>
    <x v="0"/>
    <x v="0"/>
    <x v="0"/>
    <x v="0"/>
    <x v="0"/>
    <x v="0"/>
    <x v="0"/>
    <x v="0"/>
    <x v="0"/>
    <x v="0"/>
    <x v="0"/>
    <x v="0"/>
    <n v="80000"/>
    <m/>
    <n v="330000"/>
    <x v="0"/>
    <x v="0"/>
    <m/>
    <n v="330000"/>
    <n v="2799"/>
    <s v="Pakistan Complex Emergency"/>
    <s v="SUPPLIES: $80,000 bilateral for beds and mattresses to be transported to PRCS for IDP camps. CASH: $250,000 earmarked for NFIs. on June 26 to support Federation Appeal. "/>
    <x v="0"/>
    <x v="0"/>
  </r>
  <r>
    <s v="TC-2009-000105-BGD"/>
    <n v="227"/>
    <s v="Bangladesh Cyclone Aila"/>
    <d v="2009-06-26T00:00:00"/>
    <x v="13"/>
    <n v="25"/>
    <x v="2"/>
    <x v="14"/>
    <n v="10"/>
    <x v="3"/>
    <x v="14"/>
    <x v="1"/>
    <x v="5"/>
    <x v="0"/>
    <x v="0"/>
    <n v="3928238"/>
    <x v="1"/>
    <x v="1"/>
    <n v="2200000"/>
    <s v="MDRBD004"/>
    <n v="0"/>
    <m/>
    <x v="1"/>
    <n v="230677"/>
    <n v="184000"/>
    <x v="0"/>
    <x v="0"/>
    <m/>
    <x v="0"/>
    <m/>
    <m/>
    <x v="2"/>
    <x v="0"/>
    <x v="1"/>
    <m/>
    <x v="0"/>
    <x v="0"/>
    <x v="0"/>
    <x v="0"/>
    <x v="0"/>
    <x v="0"/>
    <x v="0"/>
    <x v="0"/>
    <x v="0"/>
    <x v="0"/>
    <x v="0"/>
    <x v="0"/>
    <x v="0"/>
    <x v="0"/>
    <m/>
    <m/>
    <n v="0"/>
    <x v="0"/>
    <x v="0"/>
    <m/>
    <n v="0"/>
    <n v="2017"/>
    <s v="Bangladesh Cyclone Aila"/>
    <s v="PEOPLE: Relief Operations Support Delegate: Travis Betz deployed 4 weeks as a Relief Operations Support Delegate to provide support to the Bangladesh Delegation and affected National Society in response to Cyclone Aila. "/>
    <x v="0"/>
    <x v="0"/>
  </r>
  <r>
    <s v="FL-2009-000095-TJK"/>
    <n v="228"/>
    <s v="Tajikistan Mudslides and Floods"/>
    <d v="2009-08-12T00:00:00"/>
    <x v="14"/>
    <n v="1"/>
    <x v="3"/>
    <x v="14"/>
    <n v="11"/>
    <x v="3"/>
    <x v="109"/>
    <x v="1"/>
    <x v="2"/>
    <x v="0"/>
    <x v="0"/>
    <n v="12000"/>
    <x v="1"/>
    <x v="1"/>
    <n v="806936"/>
    <s v="MDRTJ005"/>
    <n v="1.4251440015069349E-2"/>
    <n v="0.61"/>
    <x v="1"/>
    <n v="118472"/>
    <n v="4320"/>
    <x v="16"/>
    <x v="0"/>
    <n v="11500"/>
    <x v="0"/>
    <m/>
    <n v="11500"/>
    <x v="0"/>
    <x v="0"/>
    <x v="0"/>
    <m/>
    <x v="0"/>
    <x v="0"/>
    <x v="0"/>
    <x v="0"/>
    <x v="0"/>
    <x v="0"/>
    <x v="0"/>
    <x v="0"/>
    <x v="0"/>
    <x v="0"/>
    <x v="0"/>
    <x v="0"/>
    <x v="0"/>
    <x v="0"/>
    <m/>
    <m/>
    <n v="11500"/>
    <x v="0"/>
    <x v="0"/>
    <m/>
    <n v="11500"/>
    <n v="2799"/>
    <m/>
    <s v="CASH: $11,500 (plus cost recovery) to IFRC Appeal from 2799"/>
    <x v="0"/>
    <x v="0"/>
  </r>
  <r>
    <s v="DR-2009-00149-SYR"/>
    <n v="229"/>
    <s v="Syria Drought"/>
    <d v="2009-09-01T00:00:00"/>
    <x v="14"/>
    <n v="2"/>
    <x v="3"/>
    <x v="14"/>
    <n v="12"/>
    <x v="3"/>
    <x v="59"/>
    <x v="1"/>
    <x v="1"/>
    <x v="0"/>
    <x v="0"/>
    <n v="1300000"/>
    <x v="1"/>
    <x v="1"/>
    <n v="3076415"/>
    <s v="MDRSY001"/>
    <n v="1.6252683724399992E-2"/>
    <n v="0.34"/>
    <x v="1"/>
    <n v="303195"/>
    <n v="260000"/>
    <x v="0"/>
    <x v="1"/>
    <n v="50000"/>
    <x v="0"/>
    <m/>
    <n v="50000"/>
    <x v="0"/>
    <x v="0"/>
    <x v="0"/>
    <m/>
    <x v="0"/>
    <x v="0"/>
    <x v="0"/>
    <x v="0"/>
    <x v="0"/>
    <x v="0"/>
    <x v="0"/>
    <x v="0"/>
    <x v="0"/>
    <x v="0"/>
    <x v="0"/>
    <x v="0"/>
    <x v="0"/>
    <x v="0"/>
    <m/>
    <m/>
    <n v="50000"/>
    <x v="0"/>
    <x v="0"/>
    <m/>
    <n v="50000"/>
    <n v="2869"/>
    <m/>
    <s v="CASH: $50,000 from ARCT for Overlooked Disasters Fund (plus cost recovery to be covered from RRF 2799)"/>
    <x v="5"/>
    <x v="0"/>
  </r>
  <r>
    <s v="FL-2009-000172-BFA "/>
    <n v="230"/>
    <s v="West &amp; Central Africa Floods - Burkina Faso"/>
    <d v="2009-09-10T00:00:00"/>
    <x v="14"/>
    <n v="3"/>
    <x v="3"/>
    <x v="14"/>
    <n v="13"/>
    <x v="1"/>
    <x v="110"/>
    <x v="1"/>
    <x v="2"/>
    <x v="0"/>
    <x v="0"/>
    <n v="600000"/>
    <x v="1"/>
    <x v="1"/>
    <n v="2600000"/>
    <s v="MDRBF008 &amp; MDRSN002"/>
    <n v="0"/>
    <n v="0.32"/>
    <x v="1"/>
    <n v="419190"/>
    <n v="40000"/>
    <x v="0"/>
    <x v="0"/>
    <m/>
    <x v="0"/>
    <m/>
    <n v="0"/>
    <x v="2"/>
    <x v="0"/>
    <x v="1"/>
    <m/>
    <x v="0"/>
    <x v="13"/>
    <x v="13"/>
    <x v="9"/>
    <x v="3"/>
    <x v="11"/>
    <x v="6"/>
    <x v="0"/>
    <x v="0"/>
    <x v="0"/>
    <x v="0"/>
    <x v="0"/>
    <x v="0"/>
    <x v="0"/>
    <m/>
    <m/>
    <n v="0"/>
    <x v="0"/>
    <x v="0"/>
    <m/>
    <n v="0"/>
    <n v="2799"/>
    <m/>
    <s v="PEOPLE: John Manley deployed to Burkina Faso as FACT team member for 1 month. "/>
    <x v="0"/>
    <x v="0"/>
  </r>
  <r>
    <s v="FL-2009-000164-SEN"/>
    <n v="230"/>
    <s v="West &amp; Central Africa Floods - Senegal"/>
    <d v="2009-09-10T00:00:00"/>
    <x v="14"/>
    <n v="3"/>
    <x v="3"/>
    <x v="14"/>
    <n v="13"/>
    <x v="1"/>
    <x v="111"/>
    <x v="1"/>
    <x v="2"/>
    <x v="0"/>
    <x v="0"/>
    <n v="156000"/>
    <x v="1"/>
    <x v="1"/>
    <n v="2000000"/>
    <s v="MDRBF008 &amp; MDRSN002"/>
    <n v="0"/>
    <n v="0.47"/>
    <x v="1"/>
    <n v="419190"/>
    <n v="25000"/>
    <x v="0"/>
    <x v="0"/>
    <m/>
    <x v="0"/>
    <m/>
    <n v="0"/>
    <x v="5"/>
    <x v="1"/>
    <x v="4"/>
    <m/>
    <x v="0"/>
    <x v="0"/>
    <x v="0"/>
    <x v="0"/>
    <x v="0"/>
    <x v="0"/>
    <x v="0"/>
    <x v="0"/>
    <x v="0"/>
    <x v="0"/>
    <x v="0"/>
    <x v="0"/>
    <x v="0"/>
    <x v="0"/>
    <m/>
    <m/>
    <n v="0"/>
    <x v="0"/>
    <x v="0"/>
    <m/>
    <n v="0"/>
    <n v="2799"/>
    <m/>
    <s v="PEOPLE: 3 ERU team members deployed jointly with DanishRC for 1 month: Steve McAndrew – ERU Team leader, Shinko Mondori- ERU team member, Luis Matnog- ERU team member . ERUs are part of Appeal Mob table so we can claim multilateral beneficiaries."/>
    <x v="0"/>
    <x v="0"/>
  </r>
  <r>
    <s v="TC-2009-000167-MEX"/>
    <n v="231"/>
    <s v="Mexico Hurricane Jimena"/>
    <d v="2009-09-03T00:00:00"/>
    <x v="14"/>
    <n v="4"/>
    <x v="3"/>
    <x v="14"/>
    <n v="14"/>
    <x v="2"/>
    <x v="2"/>
    <x v="1"/>
    <x v="20"/>
    <x v="0"/>
    <x v="0"/>
    <n v="100000"/>
    <x v="2"/>
    <x v="0"/>
    <m/>
    <m/>
    <m/>
    <m/>
    <x v="1"/>
    <n v="319632"/>
    <m/>
    <x v="10"/>
    <x v="0"/>
    <m/>
    <x v="0"/>
    <m/>
    <n v="0"/>
    <x v="2"/>
    <x v="0"/>
    <x v="1"/>
    <n v="13840"/>
    <x v="1"/>
    <x v="14"/>
    <x v="0"/>
    <x v="0"/>
    <x v="0"/>
    <x v="0"/>
    <x v="5"/>
    <x v="0"/>
    <x v="4"/>
    <x v="0"/>
    <x v="0"/>
    <x v="0"/>
    <x v="1"/>
    <x v="0"/>
    <n v="259500"/>
    <m/>
    <n v="259500"/>
    <x v="0"/>
    <x v="0"/>
    <m/>
    <n v="259500"/>
    <s v="2799  + OFDA"/>
    <m/>
    <s v="SUPPLIES: Bilateral to Mexican RC: 1,840 hygiene kits from stock at PADRU, 3,000 kitchen sets from stock at PADRU, 3,000 reconstruction kits to be procured locally. Funding: For 1,840  hygiene kits ($60,000) from 2799; 3,000 kitchen sets ($75,000) from OF"/>
    <x v="0"/>
    <x v="0"/>
  </r>
  <r>
    <s v="EQ-2009-000173-IDN"/>
    <n v="232"/>
    <s v="Java Indonesia Earthquake"/>
    <d v="2009-09-02T00:00:00"/>
    <x v="14"/>
    <n v="5"/>
    <x v="3"/>
    <x v="14"/>
    <n v="15"/>
    <x v="3"/>
    <x v="27"/>
    <x v="3"/>
    <x v="3"/>
    <x v="0"/>
    <x v="0"/>
    <n v="90000"/>
    <x v="2"/>
    <x v="0"/>
    <m/>
    <m/>
    <m/>
    <m/>
    <x v="2"/>
    <m/>
    <m/>
    <x v="0"/>
    <x v="0"/>
    <m/>
    <x v="0"/>
    <m/>
    <n v="0"/>
    <x v="2"/>
    <x v="0"/>
    <x v="1"/>
    <m/>
    <x v="0"/>
    <x v="0"/>
    <x v="0"/>
    <x v="0"/>
    <x v="0"/>
    <x v="0"/>
    <x v="0"/>
    <x v="0"/>
    <x v="0"/>
    <x v="0"/>
    <x v="0"/>
    <x v="0"/>
    <x v="0"/>
    <x v="0"/>
    <m/>
    <m/>
    <n v="0"/>
    <x v="0"/>
    <x v="0"/>
    <m/>
    <n v="0"/>
    <n v="2799"/>
    <m/>
    <s v="PEOPLE: Cristina Hammond deployed to fill the role of IFRC Shelter Cluster Information Manager for Java Earthquake response - 4 weeks."/>
    <x v="0"/>
    <x v="0"/>
  </r>
  <r>
    <s v="TC-2009-000205-PHL"/>
    <n v="233"/>
    <s v="Southeast Asia Typhoons - Philippines"/>
    <d v="2009-09-02T00:00:00"/>
    <x v="14"/>
    <n v="6"/>
    <x v="3"/>
    <x v="14"/>
    <n v="16"/>
    <x v="3"/>
    <x v="89"/>
    <x v="1"/>
    <x v="20"/>
    <x v="0"/>
    <x v="0"/>
    <n v="1000000"/>
    <x v="1"/>
    <x v="1"/>
    <n v="6650000"/>
    <s v="MDRPH005"/>
    <n v="8.2706766917293228E-2"/>
    <n v="0.53"/>
    <x v="1"/>
    <n v="242000"/>
    <n v="200000"/>
    <x v="17"/>
    <x v="1"/>
    <n v="550000"/>
    <x v="0"/>
    <n v="500000"/>
    <n v="1050000"/>
    <x v="4"/>
    <x v="0"/>
    <x v="2"/>
    <n v="22300"/>
    <x v="2"/>
    <x v="0"/>
    <x v="14"/>
    <x v="10"/>
    <x v="0"/>
    <x v="0"/>
    <x v="7"/>
    <x v="0"/>
    <x v="5"/>
    <x v="0"/>
    <x v="0"/>
    <x v="0"/>
    <x v="0"/>
    <x v="0"/>
    <n v="118000"/>
    <m/>
    <n v="1168000"/>
    <x v="0"/>
    <x v="0"/>
    <m/>
    <n v="1168000"/>
    <n v="2698"/>
    <m/>
    <s v="Philippines: SUPPLIES: approx $118,000 in relief supplies from KL warehouse. CASH: $550,000 = $250,000 PMN to Philippines Appeal for early recovery (plus cost recovery) +$300,000 PMN to Philippines appeal for shelter, relief and watsan (plus cost recovery"/>
    <x v="6"/>
    <x v="0"/>
  </r>
  <r>
    <s v="FL-2009-000207-VNM"/>
    <n v="233"/>
    <s v="Southeast Asia Typhoons - Vietnam"/>
    <d v="2009-09-02T00:00:00"/>
    <x v="14"/>
    <n v="6"/>
    <x v="3"/>
    <x v="14"/>
    <n v="16"/>
    <x v="3"/>
    <x v="16"/>
    <x v="1"/>
    <x v="20"/>
    <x v="0"/>
    <x v="0"/>
    <n v="3000000"/>
    <x v="1"/>
    <x v="1"/>
    <n v="5470000"/>
    <s v="MDRRVN006"/>
    <n v="8.226691042047532E-2"/>
    <n v="0.77"/>
    <x v="1"/>
    <n v="324167"/>
    <n v="270000"/>
    <x v="0"/>
    <x v="1"/>
    <n v="450000"/>
    <x v="0"/>
    <n v="500000"/>
    <n v="950000"/>
    <x v="2"/>
    <x v="0"/>
    <x v="1"/>
    <m/>
    <x v="0"/>
    <x v="0"/>
    <x v="0"/>
    <x v="0"/>
    <x v="0"/>
    <x v="0"/>
    <x v="0"/>
    <x v="0"/>
    <x v="0"/>
    <x v="0"/>
    <x v="0"/>
    <x v="0"/>
    <x v="0"/>
    <x v="0"/>
    <m/>
    <m/>
    <n v="950000"/>
    <x v="2"/>
    <x v="0"/>
    <m/>
    <n v="2150000"/>
    <n v="2698"/>
    <m/>
    <s v="Vietnam: CASH: Cash: $450,000 total:  $50,000 PMN Oct. 2 + $300,000 PMN Oct. 5 to Federation Vietnam Appeal - earmarked for shelter, NFIs and Wat/San + $100,000 PMN to Vietnam Appeal for DRR (plus cost recovery). OFDA grant for $500,000 for cash programmi"/>
    <x v="7"/>
    <x v="0"/>
  </r>
  <r>
    <s v="TS-2009-000211-IDN"/>
    <n v="234"/>
    <s v="West Sumatra Indonesia Earthquake"/>
    <d v="2009-09-02T00:00:00"/>
    <x v="14"/>
    <n v="7"/>
    <x v="3"/>
    <x v="14"/>
    <n v="17"/>
    <x v="3"/>
    <x v="27"/>
    <x v="3"/>
    <x v="3"/>
    <x v="0"/>
    <x v="0"/>
    <n v="1000000"/>
    <x v="1"/>
    <x v="1"/>
    <n v="18600000"/>
    <s v="MDRID004"/>
    <n v="4.8387096774193547E-2"/>
    <n v="0.93"/>
    <x v="1"/>
    <n v="227106"/>
    <n v="100000"/>
    <x v="18"/>
    <x v="1"/>
    <m/>
    <x v="0"/>
    <n v="500000"/>
    <n v="500000"/>
    <x v="2"/>
    <x v="0"/>
    <x v="1"/>
    <n v="44181"/>
    <x v="2"/>
    <x v="0"/>
    <x v="15"/>
    <x v="0"/>
    <x v="0"/>
    <x v="0"/>
    <x v="0"/>
    <x v="0"/>
    <x v="6"/>
    <x v="0"/>
    <x v="11"/>
    <x v="0"/>
    <x v="0"/>
    <x v="0"/>
    <n v="400000"/>
    <m/>
    <n v="900000"/>
    <x v="3"/>
    <x v="0"/>
    <m/>
    <n v="1664192.86"/>
    <n v="2930"/>
    <m/>
    <s v="CASH: OFDA grant for $500,000 to fund NFIs; SUPPLIES: 44,180 supplies (cost: $400,000) from KL warehouse; PEOPLE: Alex Mahoney onsite 3 weeks to coordinate OFDA NFIs distribution."/>
    <x v="6"/>
    <x v="0"/>
  </r>
  <r>
    <s v="2009-000209 - ASM; 2009-000210-WSM"/>
    <n v="235"/>
    <s v="Samoa Islands Tsunami"/>
    <d v="2009-10-01T00:00:00"/>
    <x v="14"/>
    <n v="8"/>
    <x v="4"/>
    <x v="14"/>
    <n v="18"/>
    <x v="3"/>
    <x v="112"/>
    <x v="1"/>
    <x v="16"/>
    <x v="0"/>
    <x v="0"/>
    <n v="10000"/>
    <x v="1"/>
    <x v="1"/>
    <n v="2450000"/>
    <s v="MDRWS001"/>
    <n v="4.0816326530612242E-2"/>
    <n v="0.25"/>
    <x v="1"/>
    <n v="313729"/>
    <n v="5000"/>
    <x v="1"/>
    <x v="1"/>
    <n v="100000"/>
    <x v="0"/>
    <m/>
    <n v="100000"/>
    <x v="0"/>
    <x v="0"/>
    <x v="0"/>
    <m/>
    <x v="0"/>
    <x v="0"/>
    <x v="0"/>
    <x v="0"/>
    <x v="0"/>
    <x v="0"/>
    <x v="0"/>
    <x v="0"/>
    <x v="0"/>
    <x v="0"/>
    <x v="0"/>
    <x v="0"/>
    <x v="0"/>
    <x v="0"/>
    <m/>
    <m/>
    <n v="100000"/>
    <x v="0"/>
    <x v="0"/>
    <m/>
    <n v="100000"/>
    <n v="2799"/>
    <m/>
    <s v="CASH: $100,000 PMN to Federation Appeal from Rapid Response Fund"/>
    <x v="0"/>
    <x v="0"/>
  </r>
  <r>
    <s v="FL-2009-000217-IND"/>
    <n v="236"/>
    <s v="India Floods"/>
    <d v="2009-10-27T00:00:00"/>
    <x v="14"/>
    <n v="9"/>
    <x v="4"/>
    <x v="14"/>
    <n v="19"/>
    <x v="3"/>
    <x v="15"/>
    <x v="1"/>
    <x v="2"/>
    <x v="0"/>
    <x v="0"/>
    <n v="4100000"/>
    <x v="1"/>
    <x v="5"/>
    <n v="3100000"/>
    <s v="MDRIN004"/>
    <n v="0"/>
    <m/>
    <x v="1"/>
    <n v="51364"/>
    <n v="125000"/>
    <x v="0"/>
    <x v="0"/>
    <m/>
    <x v="0"/>
    <m/>
    <n v="0"/>
    <x v="0"/>
    <x v="0"/>
    <x v="0"/>
    <n v="7500"/>
    <x v="3"/>
    <x v="0"/>
    <x v="0"/>
    <x v="0"/>
    <x v="0"/>
    <x v="0"/>
    <x v="6"/>
    <x v="0"/>
    <x v="0"/>
    <x v="0"/>
    <x v="0"/>
    <x v="0"/>
    <x v="0"/>
    <x v="0"/>
    <n v="190000"/>
    <m/>
    <n v="190000"/>
    <x v="0"/>
    <x v="0"/>
    <m/>
    <n v="190000"/>
    <s v="2003/2695"/>
    <m/>
    <s v="SUPPLIES: In response to Indian RC national appeal, ARC locally procured approx 2,700 kitchen sets to deliver to Indian RC, using APs 2003 (India R &amp; D) and 2695 (TRP funds for Andra Pradesh DM) - this effectively closes out these APs ($190,000 spent tota"/>
    <x v="0"/>
    <x v="0"/>
  </r>
  <r>
    <s v="DR-2009-000197-KEN"/>
    <n v="237"/>
    <s v="Kenya Drought"/>
    <d v="2009-11-05T00:00:00"/>
    <x v="14"/>
    <n v="10"/>
    <x v="4"/>
    <x v="14"/>
    <n v="20"/>
    <x v="1"/>
    <x v="58"/>
    <x v="1"/>
    <x v="1"/>
    <x v="0"/>
    <x v="0"/>
    <n v="3800000"/>
    <x v="1"/>
    <x v="1"/>
    <n v="8427856"/>
    <s v="MDRKE009"/>
    <n v="1.1865413932084269E-2"/>
    <n v="0.06"/>
    <x v="1"/>
    <n v="500000"/>
    <n v="1692428"/>
    <x v="19"/>
    <x v="1"/>
    <n v="100000"/>
    <x v="0"/>
    <m/>
    <n v="100000"/>
    <x v="0"/>
    <x v="0"/>
    <x v="0"/>
    <m/>
    <x v="0"/>
    <x v="0"/>
    <x v="0"/>
    <x v="0"/>
    <x v="0"/>
    <x v="0"/>
    <x v="0"/>
    <x v="0"/>
    <x v="0"/>
    <x v="0"/>
    <x v="0"/>
    <x v="0"/>
    <x v="0"/>
    <x v="0"/>
    <m/>
    <m/>
    <n v="100000"/>
    <x v="0"/>
    <x v="0"/>
    <m/>
    <n v="100000"/>
    <n v="2799"/>
    <m/>
    <s v="CASH: $100,000 PMN to Federation Appeal from Rapid Response Fund earmarked for seeds."/>
    <x v="0"/>
    <x v="0"/>
  </r>
  <r>
    <s v="FL-2009-000206-HTI"/>
    <n v="238"/>
    <s v="Haiti Floods"/>
    <d v="2009-11-12T00:00:00"/>
    <x v="14"/>
    <n v="11"/>
    <x v="4"/>
    <x v="14"/>
    <n v="21"/>
    <x v="2"/>
    <x v="79"/>
    <x v="1"/>
    <x v="2"/>
    <x v="0"/>
    <x v="0"/>
    <n v="2500"/>
    <x v="2"/>
    <x v="0"/>
    <m/>
    <m/>
    <m/>
    <m/>
    <x v="1"/>
    <n v="103918"/>
    <n v="2500"/>
    <x v="0"/>
    <x v="0"/>
    <m/>
    <x v="0"/>
    <m/>
    <n v="0"/>
    <x v="2"/>
    <x v="0"/>
    <x v="1"/>
    <m/>
    <x v="0"/>
    <x v="0"/>
    <x v="0"/>
    <x v="0"/>
    <x v="0"/>
    <x v="0"/>
    <x v="0"/>
    <x v="0"/>
    <x v="0"/>
    <x v="0"/>
    <x v="0"/>
    <x v="0"/>
    <x v="0"/>
    <x v="0"/>
    <m/>
    <m/>
    <n v="0"/>
    <x v="0"/>
    <x v="0"/>
    <m/>
    <n v="0"/>
    <n v="2885"/>
    <m/>
    <s v="PEOPLE: John Manley deployed to Haiti NRC as a RIT for DREF operation."/>
    <x v="0"/>
    <x v="0"/>
  </r>
  <r>
    <s v="FL-2009-000238-SLV"/>
    <n v="239"/>
    <s v="El Salvador Floods"/>
    <d v="2009-11-16T00:00:00"/>
    <x v="14"/>
    <n v="12"/>
    <x v="4"/>
    <x v="14"/>
    <n v="22"/>
    <x v="2"/>
    <x v="35"/>
    <x v="1"/>
    <x v="2"/>
    <x v="0"/>
    <x v="0"/>
    <n v="75000"/>
    <x v="1"/>
    <x v="1"/>
    <n v="1681039"/>
    <s v="MDRSV002"/>
    <n v="0.14491335418155082"/>
    <n v="0.92"/>
    <x v="1"/>
    <n v="180614"/>
    <n v="10000"/>
    <x v="0"/>
    <x v="1"/>
    <n v="243605"/>
    <x v="0"/>
    <m/>
    <n v="243605"/>
    <x v="0"/>
    <x v="0"/>
    <x v="0"/>
    <n v="1000"/>
    <x v="2"/>
    <x v="3"/>
    <x v="0"/>
    <x v="0"/>
    <x v="0"/>
    <x v="0"/>
    <x v="8"/>
    <x v="0"/>
    <x v="0"/>
    <x v="0"/>
    <x v="0"/>
    <x v="0"/>
    <x v="0"/>
    <x v="0"/>
    <n v="31240"/>
    <m/>
    <n v="274845"/>
    <x v="0"/>
    <x v="0"/>
    <m/>
    <n v="274845"/>
    <n v="2882"/>
    <m/>
    <s v="CASH: $193,603 to Federation Appeal earmarked for transitional shelter; SUPPLIES: $24,500 in kitchen sets and hygiene kits. "/>
    <x v="8"/>
    <x v="2"/>
  </r>
  <r>
    <s v="EQ-2010-000009-HTI"/>
    <n v="240"/>
    <s v="Haiti Earthquake"/>
    <d v="2010-01-12T00:00:00"/>
    <x v="14"/>
    <n v="13"/>
    <x v="1"/>
    <x v="15"/>
    <n v="1"/>
    <x v="2"/>
    <x v="79"/>
    <x v="3"/>
    <x v="3"/>
    <x v="0"/>
    <x v="0"/>
    <n v="2000000"/>
    <x v="1"/>
    <x v="1"/>
    <n v="200000000"/>
    <s v="MDRHT008"/>
    <m/>
    <n v="0.94"/>
    <x v="1"/>
    <n v="491265"/>
    <n v="400000"/>
    <x v="0"/>
    <x v="1"/>
    <n v="30000000"/>
    <x v="14"/>
    <m/>
    <m/>
    <x v="18"/>
    <x v="3"/>
    <x v="5"/>
    <n v="5143307"/>
    <x v="2"/>
    <x v="0"/>
    <x v="0"/>
    <x v="0"/>
    <x v="0"/>
    <x v="0"/>
    <x v="0"/>
    <x v="0"/>
    <x v="0"/>
    <x v="0"/>
    <x v="0"/>
    <x v="0"/>
    <x v="0"/>
    <x v="0"/>
    <n v="15266353"/>
    <m/>
    <n v="139611532"/>
    <x v="4"/>
    <x v="0"/>
    <m/>
    <n v="139611532"/>
    <n v="2888"/>
    <n v="476611532"/>
    <s v="As of June 30 2010: CASH &amp; SUPPLIES: See detailed donor report, mob table, etc. for specific amounts to Federation, amount spent, etc. Raised: $468 million. PEOPLE: 65+ deployed to Haiti, DR and PADRU: Relief and IT/Telecoms ERU deployed, and various dele"/>
    <x v="9"/>
    <x v="3"/>
  </r>
  <r>
    <s v="FL-2009-000264-TZA"/>
    <n v="241"/>
    <s v="Tanzania Floods"/>
    <d v="2010-01-25T00:00:00"/>
    <x v="14"/>
    <n v="14"/>
    <x v="1"/>
    <x v="15"/>
    <n v="2"/>
    <x v="1"/>
    <x v="99"/>
    <x v="0"/>
    <x v="2"/>
    <x v="0"/>
    <x v="0"/>
    <n v="50000"/>
    <x v="1"/>
    <x v="1"/>
    <n v="1625152"/>
    <s v="MDRTZ010"/>
    <n v="0.44"/>
    <n v="0.89"/>
    <x v="1"/>
    <n v="313536"/>
    <n v="23000"/>
    <x v="0"/>
    <x v="1"/>
    <n v="200000"/>
    <x v="0"/>
    <m/>
    <n v="200000"/>
    <x v="0"/>
    <x v="0"/>
    <x v="0"/>
    <m/>
    <x v="0"/>
    <x v="0"/>
    <x v="0"/>
    <x v="0"/>
    <x v="0"/>
    <x v="0"/>
    <x v="0"/>
    <x v="0"/>
    <x v="0"/>
    <x v="0"/>
    <x v="0"/>
    <x v="0"/>
    <x v="0"/>
    <x v="0"/>
    <m/>
    <m/>
    <n v="200000"/>
    <x v="0"/>
    <x v="0"/>
    <m/>
    <n v="200000"/>
    <n v="2869"/>
    <m/>
    <s v="CASH: Anne Ray Charitable Trust funds applied $200,000 towards water and sanitation equipment."/>
    <x v="10"/>
    <x v="2"/>
  </r>
  <r>
    <s v="EQ-2010-000034-CHL "/>
    <n v="242"/>
    <s v="Chile Earthquake"/>
    <d v="2010-02-27T00:00:00"/>
    <x v="14"/>
    <n v="15"/>
    <x v="1"/>
    <x v="15"/>
    <n v="3"/>
    <x v="2"/>
    <x v="101"/>
    <x v="0"/>
    <x v="3"/>
    <x v="0"/>
    <x v="0"/>
    <n v="2000000"/>
    <x v="1"/>
    <x v="1"/>
    <n v="6400000"/>
    <s v="MDRCL006"/>
    <n v="8.5000000000000006E-2"/>
    <n v="0.79"/>
    <x v="1"/>
    <n v="279350"/>
    <n v="100000"/>
    <x v="0"/>
    <x v="1"/>
    <n v="500000"/>
    <x v="0"/>
    <n v="500000"/>
    <n v="1000000"/>
    <x v="4"/>
    <x v="0"/>
    <x v="2"/>
    <n v="6160"/>
    <x v="2"/>
    <x v="15"/>
    <x v="0"/>
    <x v="11"/>
    <x v="0"/>
    <x v="0"/>
    <x v="0"/>
    <x v="0"/>
    <x v="0"/>
    <x v="0"/>
    <x v="0"/>
    <x v="0"/>
    <x v="0"/>
    <x v="0"/>
    <n v="96000"/>
    <m/>
    <n v="1096000"/>
    <x v="5"/>
    <x v="0"/>
    <m/>
    <n v="6400000"/>
    <n v="2896"/>
    <m/>
    <s v="CASH: $50,000 made available from IRF as initial response. $450,000 made available in subsequent week. SUPPLIES: 5,000 jerry cans; 1,160 hygiene kits. PEOPLE: Alvaro Garita  - Relief delegate, Gonzalo Aquino - Water and Sanitation  delegate."/>
    <x v="0"/>
    <x v="0"/>
  </r>
  <r>
    <s v="EQ-2010-000073-CHN"/>
    <n v="243"/>
    <s v="China Earthquake"/>
    <d v="2010-04-10T00:00:00"/>
    <x v="14"/>
    <n v="16"/>
    <x v="2"/>
    <x v="15"/>
    <n v="4"/>
    <x v="3"/>
    <x v="4"/>
    <x v="0"/>
    <x v="3"/>
    <x v="0"/>
    <x v="0"/>
    <n v="100000"/>
    <x v="1"/>
    <x v="5"/>
    <m/>
    <m/>
    <m/>
    <m/>
    <x v="0"/>
    <m/>
    <s v="tbd"/>
    <x v="0"/>
    <x v="0"/>
    <n v="0"/>
    <x v="0"/>
    <n v="500000"/>
    <n v="500000"/>
    <x v="0"/>
    <x v="0"/>
    <x v="0"/>
    <m/>
    <x v="0"/>
    <x v="0"/>
    <x v="16"/>
    <x v="0"/>
    <x v="0"/>
    <x v="0"/>
    <x v="0"/>
    <x v="0"/>
    <x v="0"/>
    <x v="0"/>
    <x v="0"/>
    <x v="0"/>
    <x v="0"/>
    <x v="0"/>
    <m/>
    <m/>
    <n v="500000"/>
    <x v="0"/>
    <x v="1"/>
    <m/>
    <n v="1000000"/>
    <n v="2571"/>
    <m/>
    <s v="National Society has issued it own appeal. ARC decided to contribute $500,000 after June 30 2010.  An additional $500,000 will go to future community disaster preparedness."/>
    <x v="0"/>
    <x v="0"/>
  </r>
  <r>
    <s v="CW-2010-000010-MNG"/>
    <n v="244"/>
    <s v="Mongolia Severe Winter"/>
    <d v="2010-05-10T00:00:00"/>
    <x v="14"/>
    <n v="17"/>
    <x v="2"/>
    <x v="15"/>
    <n v="5"/>
    <x v="3"/>
    <x v="113"/>
    <x v="0"/>
    <x v="21"/>
    <x v="0"/>
    <x v="0"/>
    <n v="507000"/>
    <x v="1"/>
    <x v="1"/>
    <n v="991697"/>
    <s v="    MDRMN004"/>
    <n v="0.32"/>
    <n v="0.35"/>
    <x v="1"/>
    <n v="93924"/>
    <n v="13600"/>
    <x v="0"/>
    <x v="1"/>
    <n v="145000"/>
    <x v="0"/>
    <m/>
    <n v="145000"/>
    <x v="0"/>
    <x v="0"/>
    <x v="0"/>
    <m/>
    <x v="0"/>
    <x v="0"/>
    <x v="0"/>
    <x v="0"/>
    <x v="0"/>
    <x v="0"/>
    <x v="0"/>
    <x v="0"/>
    <x v="0"/>
    <x v="0"/>
    <x v="0"/>
    <x v="0"/>
    <x v="0"/>
    <x v="0"/>
    <m/>
    <m/>
    <n v="145000"/>
    <x v="0"/>
    <x v="0"/>
    <m/>
    <n v="145000"/>
    <n v="2869"/>
    <m/>
    <s v="CASH: $145,000 contribution made to Federation appeal from Anne Ray Charitable Trust (ARCT) funds"/>
    <x v="1"/>
    <x v="2"/>
  </r>
  <r>
    <m/>
    <n v="245"/>
    <s v="Nepal Diarrhea Outbreak"/>
    <d v="2010-05-20T00:00:00"/>
    <x v="14"/>
    <n v="18"/>
    <x v="2"/>
    <x v="15"/>
    <n v="6"/>
    <x v="3"/>
    <x v="95"/>
    <x v="0"/>
    <x v="11"/>
    <x v="0"/>
    <x v="0"/>
    <n v="67000"/>
    <x v="1"/>
    <x v="1"/>
    <n v="664175"/>
    <m/>
    <m/>
    <m/>
    <x v="1"/>
    <n v="179855"/>
    <n v="189000"/>
    <x v="0"/>
    <x v="1"/>
    <n v="50000"/>
    <x v="0"/>
    <m/>
    <n v="50000"/>
    <x v="0"/>
    <x v="0"/>
    <x v="0"/>
    <m/>
    <x v="0"/>
    <x v="0"/>
    <x v="0"/>
    <x v="0"/>
    <x v="0"/>
    <x v="0"/>
    <x v="0"/>
    <x v="0"/>
    <x v="0"/>
    <x v="0"/>
    <x v="0"/>
    <x v="0"/>
    <x v="0"/>
    <x v="0"/>
    <m/>
    <m/>
    <n v="50000"/>
    <x v="0"/>
    <x v="0"/>
    <m/>
    <n v="50000"/>
    <n v="2799"/>
    <m/>
    <s v="CASH: $50,000 towards Federation appeal."/>
    <x v="0"/>
    <x v="0"/>
  </r>
  <r>
    <s v="TC-2010-000105-GTM"/>
    <n v="246"/>
    <s v="Tropical Storm Agatha"/>
    <d v="2010-06-01T00:00:00"/>
    <x v="14"/>
    <n v="19"/>
    <x v="2"/>
    <x v="15"/>
    <n v="7"/>
    <x v="2"/>
    <x v="44"/>
    <x v="0"/>
    <x v="17"/>
    <x v="0"/>
    <x v="0"/>
    <n v="173518"/>
    <x v="1"/>
    <x v="1"/>
    <n v="1112170"/>
    <s v="MDRGT002"/>
    <n v="8.9914311660987081E-2"/>
    <m/>
    <x v="1"/>
    <n v="307254"/>
    <n v="7500"/>
    <x v="11"/>
    <x v="1"/>
    <n v="100000"/>
    <x v="0"/>
    <m/>
    <n v="100000"/>
    <x v="0"/>
    <x v="0"/>
    <x v="0"/>
    <n v="9900"/>
    <x v="2"/>
    <x v="6"/>
    <x v="17"/>
    <x v="12"/>
    <x v="0"/>
    <x v="0"/>
    <x v="8"/>
    <x v="0"/>
    <x v="0"/>
    <x v="0"/>
    <x v="0"/>
    <x v="0"/>
    <x v="0"/>
    <x v="0"/>
    <n v="80000"/>
    <m/>
    <n v="180000"/>
    <x v="0"/>
    <x v="0"/>
    <m/>
    <n v="180000"/>
    <n v="2799"/>
    <m/>
    <s v="CASH: $100,000 to Federation appeal. SUPPLIES: $80,000 in relief supplies from PADRU."/>
    <x v="0"/>
    <x v="0"/>
  </r>
  <r>
    <s v="OT-2010-000113-KGZ"/>
    <n v="247"/>
    <s v="Kyrgyzstan-Uzbekistan Population Movement"/>
    <d v="2010-06-01T00:00:00"/>
    <x v="14"/>
    <n v="20"/>
    <x v="2"/>
    <x v="15"/>
    <n v="8"/>
    <x v="3"/>
    <x v="114"/>
    <x v="0"/>
    <x v="8"/>
    <x v="0"/>
    <x v="0"/>
    <n v="375000"/>
    <x v="1"/>
    <x v="9"/>
    <s v="8800000 +1166159"/>
    <s v="MDRUZ002"/>
    <m/>
    <m/>
    <x v="1"/>
    <n v="269348"/>
    <n v="124000"/>
    <x v="0"/>
    <x v="1"/>
    <n v="50000"/>
    <x v="7"/>
    <m/>
    <n v="100000"/>
    <x v="0"/>
    <x v="0"/>
    <x v="0"/>
    <m/>
    <x v="0"/>
    <x v="0"/>
    <x v="0"/>
    <x v="0"/>
    <x v="0"/>
    <x v="0"/>
    <x v="0"/>
    <x v="0"/>
    <x v="0"/>
    <x v="0"/>
    <x v="0"/>
    <x v="0"/>
    <x v="0"/>
    <x v="0"/>
    <m/>
    <m/>
    <n v="100000"/>
    <x v="0"/>
    <x v="0"/>
    <m/>
    <n v="100000"/>
    <s v="2955/2799"/>
    <m/>
    <s v="CASH: $50,000 to ICRC Kyrgyzstan appeal; $50,000 to IFRC Kyrgyzstan appeal; $100,000 to IFRC Uzbekistan appeal (this amount from GM donation). "/>
    <x v="0"/>
    <x v="0"/>
  </r>
  <r>
    <s v="OT-2010-000113-KGZ"/>
    <n v="247"/>
    <s v="Kyrgyzstan-Uzbekistan Population Movement"/>
    <d v="2010-06-01T00:00:00"/>
    <x v="14"/>
    <n v="20"/>
    <x v="2"/>
    <x v="15"/>
    <n v="8"/>
    <x v="3"/>
    <x v="48"/>
    <x v="0"/>
    <x v="8"/>
    <x v="0"/>
    <x v="0"/>
    <m/>
    <x v="1"/>
    <x v="1"/>
    <n v="911836"/>
    <s v="MDRKG007"/>
    <n v="0.10966884395878206"/>
    <m/>
    <x v="0"/>
    <m/>
    <n v="5265"/>
    <x v="0"/>
    <x v="1"/>
    <n v="100000"/>
    <x v="0"/>
    <m/>
    <n v="100000"/>
    <x v="0"/>
    <x v="0"/>
    <x v="0"/>
    <m/>
    <x v="0"/>
    <x v="0"/>
    <x v="0"/>
    <x v="0"/>
    <x v="0"/>
    <x v="0"/>
    <x v="0"/>
    <x v="0"/>
    <x v="0"/>
    <x v="0"/>
    <x v="0"/>
    <x v="0"/>
    <x v="0"/>
    <x v="0"/>
    <m/>
    <m/>
    <n v="100000"/>
    <x v="0"/>
    <x v="0"/>
    <m/>
    <n v="100000"/>
    <m/>
    <m/>
    <s v="see above"/>
    <x v="0"/>
    <x v="0"/>
  </r>
  <r>
    <s v="FL-2010-00141-PAK"/>
    <n v="248"/>
    <s v="Pakistan Monsoon Floods"/>
    <d v="2010-08-02T00:00:00"/>
    <x v="15"/>
    <n v="1"/>
    <x v="3"/>
    <x v="15"/>
    <n v="9"/>
    <x v="3"/>
    <x v="47"/>
    <x v="0"/>
    <x v="2"/>
    <x v="0"/>
    <x v="0"/>
    <n v="20000000"/>
    <x v="1"/>
    <x v="10"/>
    <n v="148500000"/>
    <s v="MDRPK006"/>
    <n v="2.7609427609427608E-2"/>
    <m/>
    <x v="1"/>
    <n v="239406"/>
    <n v="2600000"/>
    <x v="0"/>
    <x v="1"/>
    <n v="4100000"/>
    <x v="0"/>
    <m/>
    <n v="4850000"/>
    <x v="4"/>
    <x v="0"/>
    <x v="2"/>
    <n v="99900"/>
    <x v="2"/>
    <x v="0"/>
    <x v="18"/>
    <x v="13"/>
    <x v="4"/>
    <x v="0"/>
    <x v="9"/>
    <x v="0"/>
    <x v="2"/>
    <x v="0"/>
    <x v="11"/>
    <x v="0"/>
    <x v="2"/>
    <x v="0"/>
    <n v="824977"/>
    <m/>
    <n v="5674977"/>
    <x v="6"/>
    <x v="0"/>
    <m/>
    <n v="8200000"/>
    <s v="2799/ 2699"/>
    <m/>
    <s v="CASH: $100,000 PMN to Federation Appeal from AP2799/RRF - not to be replenished; $3,000,000 ($3M) PMN to Federation Appeal from AP2699 earmarked for relief &amp; emergency shelter;  $300,000 PMN to Federation Appeal from AP 2699 earmarked for relief &amp; emergen"/>
    <x v="0"/>
    <x v="0"/>
  </r>
  <r>
    <m/>
    <n v="249"/>
    <s v="Mexico Floods"/>
    <d v="2010-10-01T00:00:00"/>
    <x v="15"/>
    <n v="2"/>
    <x v="4"/>
    <x v="15"/>
    <n v="10"/>
    <x v="2"/>
    <x v="2"/>
    <x v="0"/>
    <x v="2"/>
    <x v="0"/>
    <x v="0"/>
    <n v="500000"/>
    <x v="2"/>
    <x v="0"/>
    <m/>
    <m/>
    <m/>
    <m/>
    <x v="2"/>
    <m/>
    <m/>
    <x v="17"/>
    <x v="0"/>
    <m/>
    <x v="0"/>
    <n v="200000"/>
    <n v="200000"/>
    <x v="0"/>
    <x v="0"/>
    <x v="0"/>
    <m/>
    <x v="0"/>
    <x v="0"/>
    <x v="0"/>
    <x v="0"/>
    <x v="0"/>
    <x v="0"/>
    <x v="0"/>
    <x v="0"/>
    <x v="0"/>
    <x v="0"/>
    <x v="0"/>
    <x v="0"/>
    <x v="0"/>
    <x v="0"/>
    <m/>
    <m/>
    <n v="200000"/>
    <x v="0"/>
    <x v="0"/>
    <m/>
    <n v="200000"/>
    <n v="2869"/>
    <m/>
    <s v="CASH: $200,000 bilateral contribution/grant letter to Mexican Red Cross for relief - paid by ARCT funds."/>
    <x v="10"/>
    <x v="2"/>
  </r>
  <r>
    <s v="FL-2010-00194-VNM"/>
    <n v="250"/>
    <s v="Vietnam Floods"/>
    <d v="2010-10-18T00:00:00"/>
    <x v="15"/>
    <n v="3"/>
    <x v="4"/>
    <x v="15"/>
    <n v="11"/>
    <x v="3"/>
    <x v="16"/>
    <x v="0"/>
    <x v="2"/>
    <x v="0"/>
    <x v="0"/>
    <n v="660000"/>
    <x v="1"/>
    <x v="1"/>
    <n v="1080000"/>
    <s v="MDRVN007"/>
    <n v="2.7777777777777776E-2"/>
    <m/>
    <x v="1"/>
    <n v="160853"/>
    <n v="120000"/>
    <x v="0"/>
    <x v="0"/>
    <n v="30000"/>
    <x v="0"/>
    <m/>
    <n v="30000"/>
    <x v="0"/>
    <x v="0"/>
    <x v="0"/>
    <m/>
    <x v="0"/>
    <x v="0"/>
    <x v="0"/>
    <x v="0"/>
    <x v="0"/>
    <x v="0"/>
    <x v="0"/>
    <x v="0"/>
    <x v="0"/>
    <x v="0"/>
    <x v="0"/>
    <x v="0"/>
    <x v="0"/>
    <x v="0"/>
    <m/>
    <m/>
    <n v="30000"/>
    <x v="0"/>
    <x v="0"/>
    <m/>
    <n v="30000"/>
    <n v="2799"/>
    <m/>
    <s v="CASH: $30,000 PMN to Federation Appeal from 2799 (RRF) earmarked for relief."/>
    <x v="0"/>
    <x v="0"/>
  </r>
  <r>
    <s v="EP-2010-000210-HTI"/>
    <n v="251"/>
    <s v="Haiti &amp; Dominican Republic Cholera Outbreak"/>
    <d v="2010-10-24T00:00:00"/>
    <x v="15"/>
    <n v="4"/>
    <x v="4"/>
    <x v="15"/>
    <n v="12"/>
    <x v="2"/>
    <x v="115"/>
    <x v="0"/>
    <x v="11"/>
    <x v="0"/>
    <x v="0"/>
    <m/>
    <x v="1"/>
    <x v="1"/>
    <n v="6000000"/>
    <s v="MDR49007"/>
    <n v="0.36102216666666664"/>
    <m/>
    <x v="1"/>
    <n v="80618"/>
    <n v="1500000"/>
    <x v="0"/>
    <x v="1"/>
    <n v="2166133"/>
    <x v="0"/>
    <m/>
    <n v="2320081"/>
    <x v="0"/>
    <x v="0"/>
    <x v="0"/>
    <m/>
    <x v="0"/>
    <x v="0"/>
    <x v="0"/>
    <x v="0"/>
    <x v="0"/>
    <x v="0"/>
    <x v="0"/>
    <x v="0"/>
    <x v="0"/>
    <x v="0"/>
    <x v="0"/>
    <x v="0"/>
    <x v="0"/>
    <x v="0"/>
    <n v="694910"/>
    <m/>
    <n v="16068357"/>
    <x v="0"/>
    <x v="0"/>
    <m/>
    <n v="16068357"/>
    <n v="2888"/>
    <m/>
    <s v="Spent figure directly from HAP as of May 2011. ARC committed to spend $14 million on Cholera. See HAP for additional details._x000a_CASH: $566,133 PMN to Federation Appeal: $537,500 earmarked for Haiti AP2888; $28,634 earmarked for Dominican Republic from AP288"/>
    <x v="0"/>
    <x v="0"/>
  </r>
  <r>
    <s v="TC-2010-000205-PHL"/>
    <n v="252"/>
    <s v="Philippines Typhoon Megi"/>
    <d v="2010-10-26T00:00:00"/>
    <x v="15"/>
    <n v="5"/>
    <x v="4"/>
    <x v="15"/>
    <n v="13"/>
    <x v="3"/>
    <x v="89"/>
    <x v="0"/>
    <x v="17"/>
    <x v="0"/>
    <x v="0"/>
    <n v="2000000"/>
    <x v="1"/>
    <x v="1"/>
    <n v="4310000"/>
    <s v="MDRPH006"/>
    <n v="6.9605568445475635E-3"/>
    <m/>
    <x v="1"/>
    <n v="214855"/>
    <n v="60000"/>
    <x v="0"/>
    <x v="0"/>
    <n v="30000"/>
    <x v="0"/>
    <m/>
    <n v="30000"/>
    <x v="0"/>
    <x v="0"/>
    <x v="0"/>
    <m/>
    <x v="0"/>
    <x v="0"/>
    <x v="0"/>
    <x v="0"/>
    <x v="0"/>
    <x v="0"/>
    <x v="0"/>
    <x v="0"/>
    <x v="0"/>
    <x v="0"/>
    <x v="0"/>
    <x v="0"/>
    <x v="0"/>
    <x v="0"/>
    <m/>
    <m/>
    <n v="30000"/>
    <x v="0"/>
    <x v="0"/>
    <m/>
    <n v="30000"/>
    <n v="2032"/>
    <m/>
    <s v="CASH: $30,000 PMN to Federation Appeal from 2032 earmarked for relief distribution."/>
    <x v="0"/>
    <x v="0"/>
  </r>
  <r>
    <s v="EQ-2010-000213-IDN &amp; VO-2010-000214-IDN"/>
    <n v="253"/>
    <s v="Indonesia Tsunami &amp; Volcanic Eruption"/>
    <d v="2010-11-08T00:00:00"/>
    <x v="15"/>
    <n v="6"/>
    <x v="4"/>
    <x v="15"/>
    <n v="14"/>
    <x v="3"/>
    <x v="27"/>
    <x v="0"/>
    <x v="22"/>
    <x v="0"/>
    <x v="0"/>
    <n v="215000"/>
    <x v="1"/>
    <x v="1"/>
    <n v="2865860"/>
    <s v="MDRID006"/>
    <n v="1.7446769905019786E-2"/>
    <m/>
    <x v="1"/>
    <m/>
    <n v="25000"/>
    <x v="0"/>
    <x v="1"/>
    <n v="50000"/>
    <x v="0"/>
    <m/>
    <n v="50000"/>
    <x v="0"/>
    <x v="0"/>
    <x v="0"/>
    <m/>
    <x v="0"/>
    <x v="0"/>
    <x v="0"/>
    <x v="0"/>
    <x v="0"/>
    <x v="0"/>
    <x v="0"/>
    <x v="0"/>
    <x v="0"/>
    <x v="0"/>
    <x v="0"/>
    <x v="0"/>
    <x v="0"/>
    <x v="0"/>
    <m/>
    <m/>
    <n v="50000"/>
    <x v="0"/>
    <x v="0"/>
    <m/>
    <n v="50000"/>
    <n v="2799"/>
    <m/>
    <s v="CASH: $50,000 PMN to Federation Appeal from 2799 earmarked for relief."/>
    <x v="0"/>
    <x v="0"/>
  </r>
  <r>
    <s v="TC-2010-000216-BRB/LCA/VCT"/>
    <n v="254"/>
    <s v="Caribbean Hurricane Tomas"/>
    <d v="2010-11-03T00:00:00"/>
    <x v="15"/>
    <n v="7"/>
    <x v="4"/>
    <x v="15"/>
    <n v="15"/>
    <x v="2"/>
    <x v="116"/>
    <x v="0"/>
    <x v="17"/>
    <x v="0"/>
    <x v="0"/>
    <n v="9500"/>
    <x v="1"/>
    <x v="1"/>
    <n v="622109"/>
    <s v="MDR49006"/>
    <n v="0.23307812618046034"/>
    <m/>
    <x v="0"/>
    <m/>
    <n v="7500"/>
    <x v="0"/>
    <x v="1"/>
    <n v="145000"/>
    <x v="0"/>
    <m/>
    <n v="145000"/>
    <x v="16"/>
    <x v="0"/>
    <x v="6"/>
    <m/>
    <x v="0"/>
    <x v="0"/>
    <x v="0"/>
    <x v="0"/>
    <x v="0"/>
    <x v="0"/>
    <x v="0"/>
    <x v="0"/>
    <x v="0"/>
    <x v="0"/>
    <x v="0"/>
    <x v="0"/>
    <x v="0"/>
    <x v="0"/>
    <m/>
    <m/>
    <n v="145000"/>
    <x v="0"/>
    <x v="0"/>
    <m/>
    <n v="145000"/>
    <n v="2799"/>
    <m/>
    <s v="CASH: $75,000 PMN to Federation Appeal from 2799 earmarked for relief. $70,000 PMN to Federation appeal earmarked for relief supplies for St. Lucia (see RAP). PEOPLE: Six bilateral staff from ARC Haiti office deployed on Federation Emergency Response Team"/>
    <x v="0"/>
    <x v="0"/>
  </r>
  <r>
    <m/>
    <n v="255"/>
    <s v="Belize Hurricane Richard"/>
    <d v="2010-11-09T00:00:00"/>
    <x v="15"/>
    <n v="8"/>
    <x v="4"/>
    <x v="15"/>
    <n v="16"/>
    <x v="2"/>
    <x v="28"/>
    <x v="0"/>
    <x v="17"/>
    <x v="0"/>
    <x v="0"/>
    <m/>
    <x v="2"/>
    <x v="0"/>
    <m/>
    <s v="MDRBZ002"/>
    <m/>
    <m/>
    <x v="1"/>
    <n v="56303"/>
    <m/>
    <x v="20"/>
    <x v="0"/>
    <m/>
    <x v="0"/>
    <n v="80000"/>
    <n v="80000"/>
    <x v="2"/>
    <x v="0"/>
    <x v="1"/>
    <m/>
    <x v="0"/>
    <x v="0"/>
    <x v="0"/>
    <x v="0"/>
    <x v="0"/>
    <x v="0"/>
    <x v="0"/>
    <x v="0"/>
    <x v="0"/>
    <x v="0"/>
    <x v="0"/>
    <x v="0"/>
    <x v="0"/>
    <x v="0"/>
    <m/>
    <m/>
    <n v="80000"/>
    <x v="0"/>
    <x v="0"/>
    <m/>
    <n v="80000"/>
    <n v="2799"/>
    <m/>
    <s v="CASH: $80,000 bilateral contribution by grant letter to Belize Red Cross earmarked for emergency shelter. _x000a_PEOPLE: Laura Havesi deployed for emergency shelter support and cash voucher program."/>
    <x v="0"/>
    <x v="0"/>
  </r>
  <r>
    <s v="EQ-2010-000251-CRI"/>
    <n v="256"/>
    <s v="Costa Rica Floods"/>
    <d v="2010-11-10T00:00:00"/>
    <x v="15"/>
    <n v="9"/>
    <x v="4"/>
    <x v="15"/>
    <n v="17"/>
    <x v="2"/>
    <x v="3"/>
    <x v="0"/>
    <x v="2"/>
    <x v="0"/>
    <x v="0"/>
    <n v="13500"/>
    <x v="2"/>
    <x v="0"/>
    <m/>
    <m/>
    <m/>
    <m/>
    <x v="1"/>
    <n v="123611"/>
    <n v="1000"/>
    <x v="21"/>
    <x v="0"/>
    <m/>
    <x v="0"/>
    <n v="322330"/>
    <n v="322330"/>
    <x v="0"/>
    <x v="0"/>
    <x v="0"/>
    <m/>
    <x v="0"/>
    <x v="0"/>
    <x v="0"/>
    <x v="0"/>
    <x v="0"/>
    <x v="0"/>
    <x v="0"/>
    <x v="0"/>
    <x v="0"/>
    <x v="0"/>
    <x v="0"/>
    <x v="0"/>
    <x v="0"/>
    <x v="0"/>
    <m/>
    <m/>
    <n v="322330"/>
    <x v="0"/>
    <x v="0"/>
    <m/>
    <n v="322330"/>
    <s v="2760 OFDA "/>
    <m/>
    <s v="CASH: OFDA grant for $322,330 for distribution of relief supplies; small cash transfer program; disaster risk reduction workshops  "/>
    <x v="11"/>
    <x v="0"/>
  </r>
  <r>
    <s v="FL-2010-000076-COL"/>
    <n v="257"/>
    <s v="Colombian Floods"/>
    <d v="2010-12-16T00:00:00"/>
    <x v="15"/>
    <n v="10"/>
    <x v="4"/>
    <x v="15"/>
    <n v="18"/>
    <x v="2"/>
    <x v="87"/>
    <x v="0"/>
    <x v="2"/>
    <x v="0"/>
    <x v="0"/>
    <n v="1500000"/>
    <x v="1"/>
    <x v="1"/>
    <n v="1109939"/>
    <s v="MDRCO008"/>
    <n v="7.207603300721932E-2"/>
    <m/>
    <x v="1"/>
    <n v="64807"/>
    <n v="71500"/>
    <x v="22"/>
    <x v="1"/>
    <n v="80000"/>
    <x v="0"/>
    <n v="120000"/>
    <n v="200000"/>
    <x v="0"/>
    <x v="0"/>
    <x v="0"/>
    <n v="6000"/>
    <x v="2"/>
    <x v="0"/>
    <x v="0"/>
    <x v="0"/>
    <x v="0"/>
    <x v="0"/>
    <x v="0"/>
    <x v="0"/>
    <x v="4"/>
    <x v="0"/>
    <x v="0"/>
    <x v="0"/>
    <x v="0"/>
    <x v="0"/>
    <n v="40000"/>
    <m/>
    <n v="240000"/>
    <x v="0"/>
    <x v="0"/>
    <m/>
    <n v="240000"/>
    <s v="2799 /2025"/>
    <m/>
    <s v="SUPPLIES: IFRC mob table contribution: 6,000 mosquito nets @ $40,000; CASH: $80,000 cash pledge to Federation appeal - MDRCO008 earmarked for NFIs for relief distribution; Bilateral $120,000 bilateral contribution for health and DRR programming. "/>
    <x v="0"/>
    <x v="0"/>
  </r>
  <r>
    <s v="FL-2010-000225-PAN"/>
    <n v="258"/>
    <s v="Panama Floods"/>
    <d v="2010-11-30T00:00:00"/>
    <x v="15"/>
    <n v="11"/>
    <x v="4"/>
    <x v="15"/>
    <n v="19"/>
    <x v="2"/>
    <x v="57"/>
    <x v="0"/>
    <x v="2"/>
    <x v="0"/>
    <x v="0"/>
    <n v="6200"/>
    <x v="1"/>
    <x v="1"/>
    <n v="364732"/>
    <s v="MDRPA007"/>
    <m/>
    <m/>
    <x v="1"/>
    <n v="82608"/>
    <n v="10225"/>
    <x v="23"/>
    <x v="0"/>
    <m/>
    <x v="0"/>
    <m/>
    <m/>
    <x v="0"/>
    <x v="0"/>
    <x v="0"/>
    <n v="1714"/>
    <x v="2"/>
    <x v="16"/>
    <x v="19"/>
    <x v="0"/>
    <x v="0"/>
    <x v="0"/>
    <x v="0"/>
    <x v="0"/>
    <x v="0"/>
    <x v="0"/>
    <x v="0"/>
    <x v="0"/>
    <x v="0"/>
    <x v="0"/>
    <n v="9812"/>
    <m/>
    <n v="9812"/>
    <x v="0"/>
    <x v="0"/>
    <m/>
    <n v="9812"/>
    <n v="2799"/>
    <m/>
    <s v="SUPPPLIES: 1,500 blankets and 214 hygiene kits at $9,812 from PADRU."/>
    <x v="0"/>
    <x v="0"/>
  </r>
</pivotCacheRecords>
</file>

<file path=xl/pivotCache/pivotCacheRecords2.xml><?xml version="1.0" encoding="utf-8"?>
<pivotCacheRecords xmlns="http://schemas.openxmlformats.org/spreadsheetml/2006/main" xmlns:r="http://schemas.openxmlformats.org/officeDocument/2006/relationships" count="385">
  <r>
    <m/>
    <s v="a"/>
    <x v="0"/>
    <d v="1985-09-01T00:00:00"/>
    <x v="0"/>
    <m/>
    <x v="0"/>
    <x v="0"/>
    <m/>
    <x v="0"/>
    <m/>
    <x v="0"/>
    <x v="0"/>
    <x v="0"/>
    <x v="0"/>
    <m/>
    <x v="0"/>
    <x v="0"/>
    <m/>
    <m/>
    <m/>
    <m/>
    <x v="0"/>
    <m/>
    <m/>
    <x v="0"/>
    <x v="0"/>
    <m/>
    <x v="0"/>
    <m/>
    <m/>
    <x v="0"/>
    <x v="0"/>
    <x v="0"/>
    <m/>
    <x v="0"/>
    <x v="0"/>
    <x v="0"/>
    <x v="0"/>
    <x v="0"/>
    <x v="0"/>
    <x v="0"/>
    <x v="0"/>
    <x v="0"/>
    <x v="0"/>
    <x v="0"/>
    <x v="0"/>
    <x v="0"/>
    <x v="0"/>
    <m/>
    <m/>
    <m/>
    <x v="0"/>
    <x v="0"/>
    <m/>
    <n v="19700000"/>
    <x v="0"/>
    <m/>
    <x v="0"/>
    <x v="0"/>
    <x v="0"/>
  </r>
  <r>
    <m/>
    <s v="b"/>
    <x v="1"/>
    <d v="1988-12-01T00:00:00"/>
    <x v="1"/>
    <m/>
    <x v="0"/>
    <x v="1"/>
    <m/>
    <x v="0"/>
    <m/>
    <x v="0"/>
    <x v="0"/>
    <x v="0"/>
    <x v="0"/>
    <m/>
    <x v="0"/>
    <x v="0"/>
    <m/>
    <m/>
    <m/>
    <m/>
    <x v="0"/>
    <m/>
    <m/>
    <x v="0"/>
    <x v="0"/>
    <m/>
    <x v="0"/>
    <m/>
    <m/>
    <x v="0"/>
    <x v="0"/>
    <x v="0"/>
    <m/>
    <x v="0"/>
    <x v="0"/>
    <x v="0"/>
    <x v="0"/>
    <x v="0"/>
    <x v="0"/>
    <x v="0"/>
    <x v="0"/>
    <x v="0"/>
    <x v="0"/>
    <x v="0"/>
    <x v="0"/>
    <x v="0"/>
    <x v="0"/>
    <m/>
    <m/>
    <m/>
    <x v="0"/>
    <x v="0"/>
    <m/>
    <n v="14000000"/>
    <x v="0"/>
    <m/>
    <x v="0"/>
    <x v="0"/>
    <x v="0"/>
  </r>
  <r>
    <m/>
    <s v="c"/>
    <x v="2"/>
    <d v="1994-06-01T00:00:00"/>
    <x v="2"/>
    <m/>
    <x v="0"/>
    <x v="2"/>
    <m/>
    <x v="0"/>
    <m/>
    <x v="0"/>
    <x v="0"/>
    <x v="0"/>
    <x v="0"/>
    <m/>
    <x v="0"/>
    <x v="0"/>
    <m/>
    <m/>
    <m/>
    <m/>
    <x v="0"/>
    <m/>
    <m/>
    <x v="0"/>
    <x v="0"/>
    <m/>
    <x v="0"/>
    <m/>
    <m/>
    <x v="0"/>
    <x v="0"/>
    <x v="0"/>
    <m/>
    <x v="0"/>
    <x v="0"/>
    <x v="0"/>
    <x v="0"/>
    <x v="0"/>
    <x v="0"/>
    <x v="0"/>
    <x v="0"/>
    <x v="0"/>
    <x v="0"/>
    <x v="0"/>
    <x v="0"/>
    <x v="0"/>
    <x v="0"/>
    <m/>
    <m/>
    <m/>
    <x v="0"/>
    <x v="0"/>
    <m/>
    <n v="18000000"/>
    <x v="0"/>
    <m/>
    <x v="0"/>
    <x v="0"/>
    <x v="0"/>
  </r>
  <r>
    <m/>
    <s v="d"/>
    <x v="3"/>
    <d v="1998-10-01T00:00:00"/>
    <x v="3"/>
    <m/>
    <x v="0"/>
    <x v="3"/>
    <m/>
    <x v="0"/>
    <m/>
    <x v="0"/>
    <x v="0"/>
    <x v="0"/>
    <x v="0"/>
    <n v="2998214"/>
    <x v="0"/>
    <x v="0"/>
    <m/>
    <m/>
    <m/>
    <m/>
    <x v="0"/>
    <m/>
    <m/>
    <x v="0"/>
    <x v="0"/>
    <m/>
    <x v="0"/>
    <m/>
    <m/>
    <x v="0"/>
    <x v="0"/>
    <x v="0"/>
    <m/>
    <x v="0"/>
    <x v="0"/>
    <x v="0"/>
    <x v="0"/>
    <x v="0"/>
    <x v="0"/>
    <x v="0"/>
    <x v="0"/>
    <x v="0"/>
    <x v="0"/>
    <x v="0"/>
    <x v="0"/>
    <x v="0"/>
    <x v="0"/>
    <m/>
    <m/>
    <m/>
    <x v="0"/>
    <x v="0"/>
    <m/>
    <n v="50000000"/>
    <x v="0"/>
    <m/>
    <x v="0"/>
    <x v="0"/>
    <x v="0"/>
  </r>
  <r>
    <m/>
    <s v="e"/>
    <x v="4"/>
    <d v="1999-03-01T00:00:00"/>
    <x v="3"/>
    <m/>
    <x v="0"/>
    <x v="4"/>
    <m/>
    <x v="0"/>
    <m/>
    <x v="0"/>
    <x v="0"/>
    <x v="0"/>
    <x v="0"/>
    <m/>
    <x v="0"/>
    <x v="0"/>
    <m/>
    <m/>
    <m/>
    <m/>
    <x v="0"/>
    <m/>
    <m/>
    <x v="0"/>
    <x v="0"/>
    <m/>
    <x v="0"/>
    <m/>
    <m/>
    <x v="0"/>
    <x v="0"/>
    <x v="0"/>
    <m/>
    <x v="0"/>
    <x v="0"/>
    <x v="0"/>
    <x v="0"/>
    <x v="0"/>
    <x v="0"/>
    <x v="0"/>
    <x v="0"/>
    <x v="0"/>
    <x v="0"/>
    <x v="0"/>
    <x v="0"/>
    <x v="0"/>
    <x v="0"/>
    <m/>
    <m/>
    <m/>
    <x v="0"/>
    <x v="0"/>
    <m/>
    <n v="39000000"/>
    <x v="0"/>
    <m/>
    <x v="0"/>
    <x v="0"/>
    <x v="0"/>
  </r>
  <r>
    <m/>
    <n v="1"/>
    <x v="5"/>
    <d v="1999-06-01T00:00:00"/>
    <x v="3"/>
    <n v="1"/>
    <x v="0"/>
    <x v="4"/>
    <n v="1"/>
    <x v="1"/>
    <s v="Ethiopia"/>
    <x v="0"/>
    <x v="1"/>
    <x v="1"/>
    <x v="1"/>
    <m/>
    <x v="0"/>
    <x v="0"/>
    <m/>
    <m/>
    <m/>
    <m/>
    <x v="0"/>
    <m/>
    <m/>
    <x v="0"/>
    <x v="1"/>
    <n v="100000"/>
    <x v="0"/>
    <m/>
    <n v="100000"/>
    <x v="1"/>
    <x v="0"/>
    <x v="0"/>
    <m/>
    <x v="0"/>
    <x v="0"/>
    <x v="0"/>
    <x v="0"/>
    <x v="0"/>
    <x v="0"/>
    <x v="0"/>
    <x v="0"/>
    <x v="0"/>
    <x v="0"/>
    <x v="0"/>
    <x v="0"/>
    <x v="0"/>
    <x v="0"/>
    <m/>
    <m/>
    <n v="100000"/>
    <x v="0"/>
    <x v="0"/>
    <n v="7159.297959242117"/>
    <n v="100000"/>
    <x v="1"/>
    <m/>
    <x v="1"/>
    <x v="0"/>
    <x v="0"/>
  </r>
  <r>
    <m/>
    <n v="2"/>
    <x v="6"/>
    <d v="1999-06-01T00:00:00"/>
    <x v="3"/>
    <n v="2"/>
    <x v="0"/>
    <x v="4"/>
    <n v="2"/>
    <x v="2"/>
    <s v="Mexico"/>
    <x v="0"/>
    <x v="2"/>
    <x v="2"/>
    <x v="2"/>
    <m/>
    <x v="0"/>
    <x v="0"/>
    <m/>
    <m/>
    <m/>
    <m/>
    <x v="0"/>
    <m/>
    <m/>
    <x v="0"/>
    <x v="0"/>
    <m/>
    <x v="0"/>
    <n v="100000"/>
    <n v="100000"/>
    <x v="2"/>
    <x v="0"/>
    <x v="0"/>
    <m/>
    <x v="0"/>
    <x v="0"/>
    <x v="0"/>
    <x v="0"/>
    <x v="0"/>
    <x v="0"/>
    <x v="0"/>
    <x v="0"/>
    <x v="0"/>
    <x v="0"/>
    <x v="0"/>
    <x v="0"/>
    <x v="0"/>
    <x v="0"/>
    <m/>
    <m/>
    <n v="100000"/>
    <x v="0"/>
    <x v="0"/>
    <n v="34050"/>
    <n v="100000"/>
    <x v="1"/>
    <m/>
    <x v="0"/>
    <x v="0"/>
    <x v="0"/>
  </r>
  <r>
    <m/>
    <n v="3"/>
    <x v="7"/>
    <d v="1999-06-01T00:00:00"/>
    <x v="3"/>
    <n v="3"/>
    <x v="0"/>
    <x v="4"/>
    <n v="3"/>
    <x v="2"/>
    <s v="Costa Rica"/>
    <x v="0"/>
    <x v="2"/>
    <x v="2"/>
    <x v="2"/>
    <m/>
    <x v="0"/>
    <x v="0"/>
    <m/>
    <m/>
    <m/>
    <m/>
    <x v="0"/>
    <m/>
    <m/>
    <x v="0"/>
    <x v="2"/>
    <n v="10000"/>
    <x v="0"/>
    <m/>
    <n v="10000"/>
    <x v="1"/>
    <x v="0"/>
    <x v="0"/>
    <m/>
    <x v="0"/>
    <x v="0"/>
    <x v="0"/>
    <x v="0"/>
    <x v="0"/>
    <x v="0"/>
    <x v="0"/>
    <x v="0"/>
    <x v="0"/>
    <x v="0"/>
    <x v="0"/>
    <x v="0"/>
    <x v="0"/>
    <x v="0"/>
    <m/>
    <m/>
    <n v="10000"/>
    <x v="0"/>
    <x v="0"/>
    <n v="1000"/>
    <n v="10000"/>
    <x v="1"/>
    <m/>
    <x v="1"/>
    <x v="0"/>
    <x v="0"/>
  </r>
  <r>
    <m/>
    <n v="4"/>
    <x v="8"/>
    <d v="1999-08-01T00:00:00"/>
    <x v="4"/>
    <n v="1"/>
    <x v="0"/>
    <x v="4"/>
    <n v="4"/>
    <x v="3"/>
    <s v="China"/>
    <x v="0"/>
    <x v="2"/>
    <x v="2"/>
    <x v="2"/>
    <m/>
    <x v="0"/>
    <x v="0"/>
    <m/>
    <m/>
    <m/>
    <m/>
    <x v="0"/>
    <m/>
    <m/>
    <x v="0"/>
    <x v="1"/>
    <n v="100000"/>
    <x v="0"/>
    <m/>
    <n v="100000"/>
    <x v="1"/>
    <x v="0"/>
    <x v="0"/>
    <m/>
    <x v="0"/>
    <x v="0"/>
    <x v="0"/>
    <x v="0"/>
    <x v="0"/>
    <x v="0"/>
    <x v="0"/>
    <x v="0"/>
    <x v="0"/>
    <x v="0"/>
    <x v="0"/>
    <x v="0"/>
    <x v="0"/>
    <x v="0"/>
    <m/>
    <m/>
    <n v="100000"/>
    <x v="0"/>
    <x v="0"/>
    <n v="15080.681646810435"/>
    <n v="100000"/>
    <x v="2"/>
    <m/>
    <x v="1"/>
    <x v="0"/>
    <x v="0"/>
  </r>
  <r>
    <m/>
    <n v="5"/>
    <x v="9"/>
    <d v="1999-08-01T00:00:00"/>
    <x v="4"/>
    <n v="2"/>
    <x v="0"/>
    <x v="4"/>
    <n v="5"/>
    <x v="3"/>
    <s v="Turkey"/>
    <x v="0"/>
    <x v="3"/>
    <x v="3"/>
    <x v="3"/>
    <m/>
    <x v="0"/>
    <x v="0"/>
    <m/>
    <m/>
    <m/>
    <m/>
    <x v="0"/>
    <m/>
    <m/>
    <x v="0"/>
    <x v="0"/>
    <m/>
    <x v="0"/>
    <m/>
    <n v="0"/>
    <x v="3"/>
    <x v="0"/>
    <x v="0"/>
    <m/>
    <x v="0"/>
    <x v="0"/>
    <x v="0"/>
    <x v="0"/>
    <x v="0"/>
    <x v="0"/>
    <x v="0"/>
    <x v="0"/>
    <x v="0"/>
    <x v="0"/>
    <x v="0"/>
    <x v="0"/>
    <x v="0"/>
    <x v="0"/>
    <n v="0"/>
    <n v="0"/>
    <n v="0"/>
    <x v="0"/>
    <x v="0"/>
    <m/>
    <n v="0"/>
    <x v="3"/>
    <m/>
    <x v="2"/>
    <x v="0"/>
    <x v="0"/>
  </r>
  <r>
    <m/>
    <n v="6"/>
    <x v="10"/>
    <d v="1999-08-01T00:00:00"/>
    <x v="4"/>
    <n v="3"/>
    <x v="0"/>
    <x v="4"/>
    <n v="6"/>
    <x v="2"/>
    <s v="Nicaragua"/>
    <x v="0"/>
    <x v="4"/>
    <x v="4"/>
    <x v="4"/>
    <m/>
    <x v="0"/>
    <x v="0"/>
    <m/>
    <m/>
    <m/>
    <m/>
    <x v="0"/>
    <m/>
    <m/>
    <x v="0"/>
    <x v="0"/>
    <m/>
    <x v="0"/>
    <n v="10000"/>
    <n v="10000"/>
    <x v="4"/>
    <x v="0"/>
    <x v="0"/>
    <m/>
    <x v="0"/>
    <x v="0"/>
    <x v="0"/>
    <x v="0"/>
    <x v="0"/>
    <x v="0"/>
    <x v="0"/>
    <x v="0"/>
    <x v="0"/>
    <x v="0"/>
    <x v="0"/>
    <x v="0"/>
    <x v="0"/>
    <x v="0"/>
    <m/>
    <m/>
    <n v="10000"/>
    <x v="0"/>
    <x v="0"/>
    <n v="1000"/>
    <n v="10000"/>
    <x v="1"/>
    <m/>
    <x v="3"/>
    <x v="0"/>
    <x v="0"/>
  </r>
  <r>
    <m/>
    <n v="7"/>
    <x v="11"/>
    <d v="1999-08-01T00:00:00"/>
    <x v="4"/>
    <n v="4"/>
    <x v="0"/>
    <x v="4"/>
    <n v="7"/>
    <x v="3"/>
    <s v="Cambodia"/>
    <x v="0"/>
    <x v="2"/>
    <x v="2"/>
    <x v="2"/>
    <m/>
    <x v="0"/>
    <x v="0"/>
    <m/>
    <m/>
    <m/>
    <m/>
    <x v="0"/>
    <m/>
    <m/>
    <x v="0"/>
    <x v="2"/>
    <n v="25000"/>
    <x v="0"/>
    <m/>
    <n v="25000"/>
    <x v="1"/>
    <x v="0"/>
    <x v="0"/>
    <m/>
    <x v="0"/>
    <x v="0"/>
    <x v="0"/>
    <x v="0"/>
    <x v="0"/>
    <x v="0"/>
    <x v="0"/>
    <x v="0"/>
    <x v="0"/>
    <x v="0"/>
    <x v="0"/>
    <x v="0"/>
    <x v="0"/>
    <x v="0"/>
    <m/>
    <m/>
    <n v="25000"/>
    <x v="0"/>
    <x v="0"/>
    <n v="1321.7075933422946"/>
    <n v="25000"/>
    <x v="1"/>
    <m/>
    <x v="1"/>
    <x v="0"/>
    <x v="0"/>
  </r>
  <r>
    <m/>
    <n v="8"/>
    <x v="12"/>
    <d v="1999-09-01T00:00:00"/>
    <x v="4"/>
    <n v="5"/>
    <x v="0"/>
    <x v="4"/>
    <n v="8"/>
    <x v="3"/>
    <s v="Greece"/>
    <x v="0"/>
    <x v="3"/>
    <x v="3"/>
    <x v="3"/>
    <m/>
    <x v="0"/>
    <x v="0"/>
    <m/>
    <m/>
    <m/>
    <m/>
    <x v="0"/>
    <m/>
    <m/>
    <x v="0"/>
    <x v="1"/>
    <n v="80000"/>
    <x v="0"/>
    <m/>
    <n v="80000"/>
    <x v="1"/>
    <x v="0"/>
    <x v="0"/>
    <m/>
    <x v="0"/>
    <x v="0"/>
    <x v="0"/>
    <x v="0"/>
    <x v="0"/>
    <x v="0"/>
    <x v="0"/>
    <x v="0"/>
    <x v="0"/>
    <x v="0"/>
    <x v="0"/>
    <x v="0"/>
    <x v="0"/>
    <x v="0"/>
    <m/>
    <m/>
    <n v="80000"/>
    <x v="0"/>
    <x v="0"/>
    <n v="2580.0991790124413"/>
    <n v="80000"/>
    <x v="1"/>
    <m/>
    <x v="0"/>
    <x v="0"/>
    <x v="0"/>
  </r>
  <r>
    <m/>
    <n v="9"/>
    <x v="13"/>
    <d v="1999-09-01T00:00:00"/>
    <x v="4"/>
    <n v="6"/>
    <x v="0"/>
    <x v="4"/>
    <n v="9"/>
    <x v="2"/>
    <s v="Bahamas"/>
    <x v="0"/>
    <x v="5"/>
    <x v="5"/>
    <x v="5"/>
    <m/>
    <x v="0"/>
    <x v="0"/>
    <m/>
    <m/>
    <m/>
    <m/>
    <x v="0"/>
    <m/>
    <m/>
    <x v="0"/>
    <x v="0"/>
    <m/>
    <x v="0"/>
    <n v="25000"/>
    <n v="25000"/>
    <x v="5"/>
    <x v="0"/>
    <x v="0"/>
    <m/>
    <x v="0"/>
    <x v="0"/>
    <x v="0"/>
    <x v="0"/>
    <x v="0"/>
    <x v="0"/>
    <x v="0"/>
    <x v="0"/>
    <x v="0"/>
    <x v="0"/>
    <x v="0"/>
    <x v="0"/>
    <x v="0"/>
    <x v="0"/>
    <n v="97443"/>
    <n v="9750"/>
    <n v="132193"/>
    <x v="0"/>
    <x v="0"/>
    <n v="12383.247348462506"/>
    <n v="132193"/>
    <x v="1"/>
    <s v="Floyd"/>
    <x v="4"/>
    <x v="0"/>
    <x v="0"/>
  </r>
  <r>
    <m/>
    <n v="10"/>
    <x v="14"/>
    <d v="1999-09-01T00:00:00"/>
    <x v="4"/>
    <n v="7"/>
    <x v="0"/>
    <x v="4"/>
    <n v="10"/>
    <x v="3"/>
    <s v="Taiwan"/>
    <x v="0"/>
    <x v="3"/>
    <x v="3"/>
    <x v="3"/>
    <m/>
    <x v="0"/>
    <x v="0"/>
    <m/>
    <m/>
    <m/>
    <m/>
    <x v="0"/>
    <m/>
    <m/>
    <x v="0"/>
    <x v="1"/>
    <n v="1200000"/>
    <x v="0"/>
    <m/>
    <n v="1200000"/>
    <x v="1"/>
    <x v="0"/>
    <x v="0"/>
    <m/>
    <x v="0"/>
    <x v="0"/>
    <x v="0"/>
    <x v="0"/>
    <x v="0"/>
    <x v="0"/>
    <x v="0"/>
    <x v="0"/>
    <x v="0"/>
    <x v="0"/>
    <x v="0"/>
    <x v="0"/>
    <x v="0"/>
    <x v="0"/>
    <m/>
    <m/>
    <n v="1200000"/>
    <x v="0"/>
    <x v="0"/>
    <n v="54838.842352037951"/>
    <n v="1200000"/>
    <x v="4"/>
    <m/>
    <x v="5"/>
    <x v="0"/>
    <x v="0"/>
  </r>
  <r>
    <m/>
    <n v="11"/>
    <x v="15"/>
    <d v="1999-09-01T00:00:00"/>
    <x v="4"/>
    <n v="8"/>
    <x v="0"/>
    <x v="4"/>
    <n v="11"/>
    <x v="3"/>
    <s v="Japan"/>
    <x v="0"/>
    <x v="6"/>
    <x v="6"/>
    <x v="6"/>
    <m/>
    <x v="0"/>
    <x v="0"/>
    <m/>
    <m/>
    <m/>
    <m/>
    <x v="0"/>
    <m/>
    <m/>
    <x v="0"/>
    <x v="0"/>
    <m/>
    <x v="0"/>
    <m/>
    <n v="0"/>
    <x v="1"/>
    <x v="0"/>
    <x v="0"/>
    <m/>
    <x v="0"/>
    <x v="0"/>
    <x v="0"/>
    <x v="0"/>
    <x v="0"/>
    <x v="0"/>
    <x v="0"/>
    <x v="0"/>
    <x v="0"/>
    <x v="0"/>
    <x v="0"/>
    <x v="0"/>
    <x v="0"/>
    <x v="0"/>
    <n v="200"/>
    <m/>
    <n v="200"/>
    <x v="0"/>
    <x v="0"/>
    <m/>
    <n v="200"/>
    <x v="1"/>
    <s v="Nuclear Power Plant"/>
    <x v="6"/>
    <x v="0"/>
    <x v="0"/>
  </r>
  <r>
    <m/>
    <n v="12"/>
    <x v="0"/>
    <d v="1999-09-01T00:00:00"/>
    <x v="4"/>
    <n v="9"/>
    <x v="0"/>
    <x v="4"/>
    <n v="12"/>
    <x v="2"/>
    <s v="Mexico"/>
    <x v="0"/>
    <x v="3"/>
    <x v="3"/>
    <x v="3"/>
    <m/>
    <x v="0"/>
    <x v="0"/>
    <m/>
    <m/>
    <m/>
    <m/>
    <x v="0"/>
    <m/>
    <m/>
    <x v="0"/>
    <x v="0"/>
    <m/>
    <x v="0"/>
    <n v="150000"/>
    <n v="150000"/>
    <x v="5"/>
    <x v="0"/>
    <x v="0"/>
    <m/>
    <x v="0"/>
    <x v="0"/>
    <x v="0"/>
    <x v="0"/>
    <x v="0"/>
    <x v="0"/>
    <x v="0"/>
    <x v="0"/>
    <x v="0"/>
    <x v="0"/>
    <x v="0"/>
    <x v="0"/>
    <x v="0"/>
    <x v="0"/>
    <m/>
    <m/>
    <n v="150000"/>
    <x v="0"/>
    <x v="0"/>
    <m/>
    <n v="150000"/>
    <x v="5"/>
    <m/>
    <x v="0"/>
    <x v="0"/>
    <x v="0"/>
  </r>
  <r>
    <m/>
    <n v="13"/>
    <x v="16"/>
    <d v="1999-10-01T00:00:00"/>
    <x v="4"/>
    <n v="10"/>
    <x v="0"/>
    <x v="4"/>
    <n v="13"/>
    <x v="2"/>
    <s v="Mexico"/>
    <x v="0"/>
    <x v="7"/>
    <x v="2"/>
    <x v="2"/>
    <m/>
    <x v="0"/>
    <x v="0"/>
    <m/>
    <m/>
    <m/>
    <m/>
    <x v="0"/>
    <m/>
    <m/>
    <x v="0"/>
    <x v="0"/>
    <m/>
    <x v="0"/>
    <n v="200000"/>
    <n v="200000"/>
    <x v="6"/>
    <x v="0"/>
    <x v="0"/>
    <m/>
    <x v="0"/>
    <x v="0"/>
    <x v="0"/>
    <x v="0"/>
    <x v="0"/>
    <x v="0"/>
    <x v="0"/>
    <x v="0"/>
    <x v="0"/>
    <x v="0"/>
    <x v="0"/>
    <x v="0"/>
    <x v="0"/>
    <x v="0"/>
    <m/>
    <n v="5000"/>
    <n v="205000"/>
    <x v="0"/>
    <x v="0"/>
    <n v="12000"/>
    <n v="205000"/>
    <x v="5"/>
    <m/>
    <x v="0"/>
    <x v="0"/>
    <x v="0"/>
  </r>
  <r>
    <m/>
    <n v="14"/>
    <x v="17"/>
    <d v="1999-10-01T00:00:00"/>
    <x v="4"/>
    <n v="11"/>
    <x v="0"/>
    <x v="4"/>
    <n v="14"/>
    <x v="3"/>
    <s v="Russian Fed."/>
    <x v="0"/>
    <x v="8"/>
    <x v="7"/>
    <x v="7"/>
    <m/>
    <x v="0"/>
    <x v="0"/>
    <m/>
    <m/>
    <m/>
    <m/>
    <x v="0"/>
    <m/>
    <m/>
    <x v="0"/>
    <x v="0"/>
    <m/>
    <x v="0"/>
    <n v="75000"/>
    <n v="75000"/>
    <x v="1"/>
    <x v="0"/>
    <x v="0"/>
    <n v="76700"/>
    <x v="0"/>
    <x v="1"/>
    <x v="1"/>
    <x v="1"/>
    <x v="0"/>
    <x v="0"/>
    <x v="0"/>
    <x v="0"/>
    <x v="0"/>
    <x v="0"/>
    <x v="0"/>
    <x v="0"/>
    <x v="0"/>
    <x v="0"/>
    <n v="535134"/>
    <m/>
    <n v="610134"/>
    <x v="0"/>
    <x v="0"/>
    <n v="55000"/>
    <n v="610134"/>
    <x v="6"/>
    <s v="Chechnya"/>
    <x v="7"/>
    <x v="0"/>
    <x v="0"/>
  </r>
  <r>
    <m/>
    <n v="15"/>
    <x v="18"/>
    <d v="1999-10-01T00:00:00"/>
    <x v="4"/>
    <n v="12"/>
    <x v="0"/>
    <x v="4"/>
    <n v="15"/>
    <x v="3"/>
    <s v="Timor-Leste"/>
    <x v="0"/>
    <x v="8"/>
    <x v="7"/>
    <x v="7"/>
    <m/>
    <x v="0"/>
    <x v="0"/>
    <m/>
    <m/>
    <m/>
    <m/>
    <x v="0"/>
    <m/>
    <m/>
    <x v="0"/>
    <x v="0"/>
    <m/>
    <x v="0"/>
    <n v="10000"/>
    <n v="10000"/>
    <x v="2"/>
    <x v="0"/>
    <x v="0"/>
    <m/>
    <x v="0"/>
    <x v="0"/>
    <x v="0"/>
    <x v="0"/>
    <x v="0"/>
    <x v="0"/>
    <x v="0"/>
    <x v="0"/>
    <x v="0"/>
    <x v="0"/>
    <x v="0"/>
    <x v="0"/>
    <x v="0"/>
    <x v="0"/>
    <m/>
    <m/>
    <n v="10000"/>
    <x v="0"/>
    <x v="0"/>
    <m/>
    <n v="10000"/>
    <x v="1"/>
    <s v="Referendum"/>
    <x v="8"/>
    <x v="0"/>
    <x v="0"/>
  </r>
  <r>
    <m/>
    <n v="16"/>
    <x v="19"/>
    <d v="1999-10-01T00:00:00"/>
    <x v="4"/>
    <n v="13"/>
    <x v="0"/>
    <x v="4"/>
    <n v="16"/>
    <x v="3"/>
    <s v="Bangladesh"/>
    <x v="0"/>
    <x v="2"/>
    <x v="2"/>
    <x v="2"/>
    <m/>
    <x v="0"/>
    <x v="0"/>
    <m/>
    <m/>
    <m/>
    <m/>
    <x v="0"/>
    <m/>
    <m/>
    <x v="0"/>
    <x v="2"/>
    <n v="25000"/>
    <x v="0"/>
    <m/>
    <n v="25000"/>
    <x v="1"/>
    <x v="0"/>
    <x v="0"/>
    <m/>
    <x v="0"/>
    <x v="0"/>
    <x v="0"/>
    <x v="0"/>
    <x v="0"/>
    <x v="0"/>
    <x v="0"/>
    <x v="0"/>
    <x v="0"/>
    <x v="0"/>
    <x v="0"/>
    <x v="0"/>
    <x v="0"/>
    <x v="0"/>
    <m/>
    <m/>
    <n v="25000"/>
    <x v="0"/>
    <x v="0"/>
    <n v="2500"/>
    <n v="25000"/>
    <x v="1"/>
    <m/>
    <x v="0"/>
    <x v="0"/>
    <x v="0"/>
  </r>
  <r>
    <m/>
    <n v="17"/>
    <x v="20"/>
    <d v="1999-11-01T00:00:00"/>
    <x v="4"/>
    <n v="14"/>
    <x v="0"/>
    <x v="4"/>
    <n v="17"/>
    <x v="3"/>
    <s v="India"/>
    <x v="0"/>
    <x v="5"/>
    <x v="5"/>
    <x v="8"/>
    <m/>
    <x v="0"/>
    <x v="0"/>
    <m/>
    <m/>
    <m/>
    <m/>
    <x v="0"/>
    <m/>
    <m/>
    <x v="0"/>
    <x v="1"/>
    <n v="50000"/>
    <x v="0"/>
    <m/>
    <n v="50000"/>
    <x v="1"/>
    <x v="0"/>
    <x v="0"/>
    <m/>
    <x v="0"/>
    <x v="0"/>
    <x v="0"/>
    <x v="0"/>
    <x v="0"/>
    <x v="0"/>
    <x v="0"/>
    <x v="0"/>
    <x v="0"/>
    <x v="0"/>
    <x v="0"/>
    <x v="0"/>
    <x v="0"/>
    <x v="0"/>
    <m/>
    <m/>
    <n v="50000"/>
    <x v="0"/>
    <x v="0"/>
    <n v="5000"/>
    <n v="50000"/>
    <x v="1"/>
    <m/>
    <x v="9"/>
    <x v="0"/>
    <x v="0"/>
  </r>
  <r>
    <m/>
    <n v="18"/>
    <x v="21"/>
    <d v="1999-11-01T00:00:00"/>
    <x v="4"/>
    <n v="15"/>
    <x v="0"/>
    <x v="4"/>
    <n v="18"/>
    <x v="3"/>
    <s v="Vietnam"/>
    <x v="0"/>
    <x v="2"/>
    <x v="2"/>
    <x v="2"/>
    <m/>
    <x v="0"/>
    <x v="0"/>
    <m/>
    <m/>
    <m/>
    <m/>
    <x v="0"/>
    <m/>
    <m/>
    <x v="0"/>
    <x v="0"/>
    <m/>
    <x v="0"/>
    <n v="50000"/>
    <n v="50000"/>
    <x v="1"/>
    <x v="0"/>
    <x v="0"/>
    <m/>
    <x v="0"/>
    <x v="0"/>
    <x v="0"/>
    <x v="0"/>
    <x v="0"/>
    <x v="0"/>
    <x v="0"/>
    <x v="0"/>
    <x v="0"/>
    <x v="0"/>
    <x v="0"/>
    <x v="0"/>
    <x v="0"/>
    <x v="0"/>
    <m/>
    <m/>
    <n v="50000"/>
    <x v="0"/>
    <x v="0"/>
    <m/>
    <n v="50000"/>
    <x v="7"/>
    <m/>
    <x v="10"/>
    <x v="0"/>
    <x v="0"/>
  </r>
  <r>
    <m/>
    <n v="19"/>
    <x v="9"/>
    <d v="1999-11-01T00:00:00"/>
    <x v="4"/>
    <n v="16"/>
    <x v="0"/>
    <x v="4"/>
    <n v="19"/>
    <x v="3"/>
    <s v="Turkey"/>
    <x v="0"/>
    <x v="3"/>
    <x v="3"/>
    <x v="3"/>
    <m/>
    <x v="0"/>
    <x v="0"/>
    <m/>
    <m/>
    <m/>
    <m/>
    <x v="0"/>
    <m/>
    <m/>
    <x v="0"/>
    <x v="1"/>
    <n v="2504221.9900000002"/>
    <x v="0"/>
    <n v="1360000"/>
    <n v="3864221.99"/>
    <x v="7"/>
    <x v="0"/>
    <x v="0"/>
    <m/>
    <x v="0"/>
    <x v="0"/>
    <x v="0"/>
    <x v="0"/>
    <x v="0"/>
    <x v="0"/>
    <x v="0"/>
    <x v="0"/>
    <x v="0"/>
    <x v="0"/>
    <x v="0"/>
    <x v="0"/>
    <x v="0"/>
    <x v="0"/>
    <n v="816758.16"/>
    <n v="472203.99"/>
    <n v="5153184.1400000006"/>
    <x v="0"/>
    <x v="0"/>
    <n v="52000"/>
    <n v="5153184.1400000006"/>
    <x v="3"/>
    <m/>
    <x v="11"/>
    <x v="0"/>
    <x v="0"/>
  </r>
  <r>
    <m/>
    <n v="20"/>
    <x v="22"/>
    <d v="1999-11-01T00:00:00"/>
    <x v="4"/>
    <n v="17"/>
    <x v="0"/>
    <x v="4"/>
    <n v="20"/>
    <x v="2"/>
    <s v="Dominica"/>
    <x v="0"/>
    <x v="5"/>
    <x v="5"/>
    <x v="5"/>
    <m/>
    <x v="0"/>
    <x v="0"/>
    <m/>
    <m/>
    <m/>
    <m/>
    <x v="0"/>
    <m/>
    <m/>
    <x v="0"/>
    <x v="0"/>
    <m/>
    <x v="0"/>
    <n v="15000"/>
    <n v="15000"/>
    <x v="2"/>
    <x v="0"/>
    <x v="0"/>
    <m/>
    <x v="0"/>
    <x v="0"/>
    <x v="0"/>
    <x v="0"/>
    <x v="0"/>
    <x v="0"/>
    <x v="0"/>
    <x v="0"/>
    <x v="0"/>
    <x v="0"/>
    <x v="0"/>
    <x v="0"/>
    <x v="0"/>
    <x v="0"/>
    <m/>
    <m/>
    <n v="15000"/>
    <x v="0"/>
    <x v="0"/>
    <n v="1500"/>
    <n v="15000"/>
    <x v="1"/>
    <s v="Lenny"/>
    <x v="12"/>
    <x v="0"/>
    <x v="0"/>
  </r>
  <r>
    <m/>
    <n v="20"/>
    <x v="23"/>
    <d v="1999-11-01T00:00:00"/>
    <x v="4"/>
    <n v="17"/>
    <x v="0"/>
    <x v="4"/>
    <n v="20"/>
    <x v="2"/>
    <s v="St. Kitts &amp; Nevis"/>
    <x v="0"/>
    <x v="5"/>
    <x v="5"/>
    <x v="5"/>
    <m/>
    <x v="0"/>
    <x v="0"/>
    <m/>
    <m/>
    <m/>
    <m/>
    <x v="0"/>
    <m/>
    <m/>
    <x v="0"/>
    <x v="0"/>
    <m/>
    <x v="0"/>
    <n v="15000"/>
    <n v="15000"/>
    <x v="4"/>
    <x v="0"/>
    <x v="0"/>
    <m/>
    <x v="0"/>
    <x v="0"/>
    <x v="0"/>
    <x v="0"/>
    <x v="0"/>
    <x v="0"/>
    <x v="0"/>
    <x v="0"/>
    <x v="0"/>
    <x v="0"/>
    <x v="0"/>
    <x v="0"/>
    <x v="0"/>
    <x v="0"/>
    <m/>
    <m/>
    <n v="15000"/>
    <x v="0"/>
    <x v="0"/>
    <n v="1500"/>
    <n v="15000"/>
    <x v="1"/>
    <s v="Lenny"/>
    <x v="13"/>
    <x v="0"/>
    <x v="0"/>
  </r>
  <r>
    <m/>
    <n v="20"/>
    <x v="24"/>
    <d v="1999-11-01T00:00:00"/>
    <x v="4"/>
    <n v="17"/>
    <x v="0"/>
    <x v="4"/>
    <n v="20"/>
    <x v="2"/>
    <s v="Antigua"/>
    <x v="0"/>
    <x v="5"/>
    <x v="5"/>
    <x v="5"/>
    <m/>
    <x v="0"/>
    <x v="0"/>
    <m/>
    <m/>
    <m/>
    <m/>
    <x v="0"/>
    <m/>
    <m/>
    <x v="0"/>
    <x v="0"/>
    <m/>
    <x v="0"/>
    <n v="15000"/>
    <n v="15000"/>
    <x v="2"/>
    <x v="0"/>
    <x v="0"/>
    <m/>
    <x v="0"/>
    <x v="0"/>
    <x v="0"/>
    <x v="0"/>
    <x v="0"/>
    <x v="0"/>
    <x v="0"/>
    <x v="0"/>
    <x v="0"/>
    <x v="0"/>
    <x v="0"/>
    <x v="0"/>
    <x v="0"/>
    <x v="0"/>
    <m/>
    <m/>
    <n v="15000"/>
    <x v="0"/>
    <x v="0"/>
    <n v="1500"/>
    <n v="15000"/>
    <x v="1"/>
    <s v="Lenny"/>
    <x v="14"/>
    <x v="0"/>
    <x v="0"/>
  </r>
  <r>
    <m/>
    <n v="20"/>
    <x v="25"/>
    <d v="1999-11-01T00:00:00"/>
    <x v="4"/>
    <n v="17"/>
    <x v="0"/>
    <x v="4"/>
    <n v="20"/>
    <x v="2"/>
    <s v="Grenada"/>
    <x v="0"/>
    <x v="5"/>
    <x v="5"/>
    <x v="5"/>
    <m/>
    <x v="0"/>
    <x v="0"/>
    <m/>
    <m/>
    <m/>
    <m/>
    <x v="0"/>
    <m/>
    <m/>
    <x v="0"/>
    <x v="0"/>
    <m/>
    <x v="0"/>
    <n v="9000"/>
    <n v="9000"/>
    <x v="2"/>
    <x v="0"/>
    <x v="0"/>
    <m/>
    <x v="0"/>
    <x v="0"/>
    <x v="0"/>
    <x v="0"/>
    <x v="0"/>
    <x v="0"/>
    <x v="0"/>
    <x v="0"/>
    <x v="0"/>
    <x v="0"/>
    <x v="0"/>
    <x v="0"/>
    <x v="0"/>
    <x v="0"/>
    <m/>
    <m/>
    <n v="9000"/>
    <x v="0"/>
    <x v="0"/>
    <n v="900"/>
    <n v="9000"/>
    <x v="1"/>
    <s v="Lenny"/>
    <x v="0"/>
    <x v="0"/>
    <x v="0"/>
  </r>
  <r>
    <m/>
    <n v="20"/>
    <x v="26"/>
    <d v="1999-11-01T00:00:00"/>
    <x v="4"/>
    <n v="17"/>
    <x v="0"/>
    <x v="4"/>
    <n v="20"/>
    <x v="2"/>
    <s v="St. Maartens"/>
    <x v="0"/>
    <x v="5"/>
    <x v="5"/>
    <x v="5"/>
    <m/>
    <x v="0"/>
    <x v="0"/>
    <m/>
    <m/>
    <m/>
    <m/>
    <x v="0"/>
    <m/>
    <m/>
    <x v="0"/>
    <x v="0"/>
    <m/>
    <x v="0"/>
    <n v="9000"/>
    <n v="9000"/>
    <x v="0"/>
    <x v="0"/>
    <x v="0"/>
    <m/>
    <x v="0"/>
    <x v="0"/>
    <x v="0"/>
    <x v="0"/>
    <x v="0"/>
    <x v="0"/>
    <x v="0"/>
    <x v="0"/>
    <x v="0"/>
    <x v="0"/>
    <x v="0"/>
    <x v="0"/>
    <x v="0"/>
    <x v="0"/>
    <m/>
    <m/>
    <n v="9000"/>
    <x v="0"/>
    <x v="0"/>
    <n v="900"/>
    <n v="9000"/>
    <x v="1"/>
    <s v="Lenny"/>
    <x v="0"/>
    <x v="0"/>
    <x v="0"/>
  </r>
  <r>
    <m/>
    <n v="21"/>
    <x v="27"/>
    <d v="1999-12-01T00:00:00"/>
    <x v="4"/>
    <n v="18"/>
    <x v="0"/>
    <x v="4"/>
    <n v="21"/>
    <x v="2"/>
    <s v="Venezuela"/>
    <x v="0"/>
    <x v="2"/>
    <x v="2"/>
    <x v="2"/>
    <m/>
    <x v="0"/>
    <x v="0"/>
    <m/>
    <m/>
    <m/>
    <m/>
    <x v="0"/>
    <m/>
    <m/>
    <x v="0"/>
    <x v="0"/>
    <m/>
    <x v="0"/>
    <n v="50000"/>
    <n v="50000"/>
    <x v="8"/>
    <x v="0"/>
    <x v="0"/>
    <n v="55532"/>
    <x v="0"/>
    <x v="2"/>
    <x v="2"/>
    <x v="2"/>
    <x v="0"/>
    <x v="1"/>
    <x v="0"/>
    <x v="1"/>
    <x v="0"/>
    <x v="1"/>
    <x v="0"/>
    <x v="1"/>
    <x v="0"/>
    <x v="0"/>
    <n v="506000"/>
    <n v="500000"/>
    <n v="1056000"/>
    <x v="0"/>
    <x v="0"/>
    <n v="120000"/>
    <n v="1056000"/>
    <x v="8"/>
    <m/>
    <x v="15"/>
    <x v="0"/>
    <x v="0"/>
  </r>
  <r>
    <m/>
    <n v="22"/>
    <x v="28"/>
    <d v="2000-02-01T00:00:00"/>
    <x v="4"/>
    <n v="19"/>
    <x v="0"/>
    <x v="5"/>
    <n v="1"/>
    <x v="1"/>
    <s v="South Africa"/>
    <x v="0"/>
    <x v="2"/>
    <x v="2"/>
    <x v="2"/>
    <m/>
    <x v="0"/>
    <x v="0"/>
    <m/>
    <m/>
    <m/>
    <m/>
    <x v="0"/>
    <m/>
    <m/>
    <x v="0"/>
    <x v="2"/>
    <n v="23333.333333333332"/>
    <x v="0"/>
    <m/>
    <n v="23333.333333333332"/>
    <x v="1"/>
    <x v="0"/>
    <x v="0"/>
    <m/>
    <x v="0"/>
    <x v="0"/>
    <x v="0"/>
    <x v="0"/>
    <x v="0"/>
    <x v="0"/>
    <x v="0"/>
    <x v="0"/>
    <x v="0"/>
    <x v="0"/>
    <x v="0"/>
    <x v="0"/>
    <x v="0"/>
    <x v="0"/>
    <m/>
    <m/>
    <n v="23333.333333333332"/>
    <x v="0"/>
    <x v="0"/>
    <n v="2300"/>
    <n v="23333.333333333332"/>
    <x v="1"/>
    <m/>
    <x v="16"/>
    <x v="0"/>
    <x v="0"/>
  </r>
  <r>
    <m/>
    <n v="22"/>
    <x v="29"/>
    <d v="2000-02-01T00:00:00"/>
    <x v="4"/>
    <n v="19"/>
    <x v="0"/>
    <x v="5"/>
    <n v="1"/>
    <x v="1"/>
    <s v="Botswana"/>
    <x v="0"/>
    <x v="2"/>
    <x v="2"/>
    <x v="2"/>
    <m/>
    <x v="0"/>
    <x v="0"/>
    <m/>
    <m/>
    <m/>
    <m/>
    <x v="0"/>
    <m/>
    <m/>
    <x v="0"/>
    <x v="2"/>
    <n v="23333.333333333332"/>
    <x v="0"/>
    <m/>
    <n v="23333.333333333332"/>
    <x v="0"/>
    <x v="0"/>
    <x v="0"/>
    <m/>
    <x v="0"/>
    <x v="0"/>
    <x v="0"/>
    <x v="0"/>
    <x v="0"/>
    <x v="0"/>
    <x v="0"/>
    <x v="0"/>
    <x v="0"/>
    <x v="0"/>
    <x v="0"/>
    <x v="0"/>
    <x v="0"/>
    <x v="0"/>
    <m/>
    <m/>
    <n v="23333.333333333332"/>
    <x v="0"/>
    <x v="0"/>
    <n v="2300"/>
    <n v="23333.333333333332"/>
    <x v="1"/>
    <m/>
    <x v="16"/>
    <x v="0"/>
    <x v="0"/>
  </r>
  <r>
    <m/>
    <n v="22"/>
    <x v="30"/>
    <d v="2000-02-01T00:00:00"/>
    <x v="4"/>
    <n v="19"/>
    <x v="0"/>
    <x v="5"/>
    <n v="1"/>
    <x v="1"/>
    <s v="Zimbabwe"/>
    <x v="0"/>
    <x v="2"/>
    <x v="2"/>
    <x v="2"/>
    <m/>
    <x v="0"/>
    <x v="0"/>
    <m/>
    <m/>
    <m/>
    <m/>
    <x v="0"/>
    <m/>
    <m/>
    <x v="0"/>
    <x v="2"/>
    <n v="23333.343333333331"/>
    <x v="0"/>
    <m/>
    <n v="23333.343333333331"/>
    <x v="0"/>
    <x v="0"/>
    <x v="0"/>
    <m/>
    <x v="0"/>
    <x v="0"/>
    <x v="0"/>
    <x v="0"/>
    <x v="0"/>
    <x v="0"/>
    <x v="0"/>
    <x v="0"/>
    <x v="0"/>
    <x v="0"/>
    <x v="0"/>
    <x v="0"/>
    <x v="0"/>
    <x v="0"/>
    <m/>
    <m/>
    <n v="23333.343333333331"/>
    <x v="0"/>
    <x v="0"/>
    <n v="2300"/>
    <n v="23333.343333333331"/>
    <x v="1"/>
    <m/>
    <x v="16"/>
    <x v="0"/>
    <x v="0"/>
  </r>
  <r>
    <m/>
    <n v="23"/>
    <x v="31"/>
    <d v="2000-03-01T00:00:00"/>
    <x v="4"/>
    <n v="21"/>
    <x v="0"/>
    <x v="5"/>
    <n v="3"/>
    <x v="1"/>
    <s v="Madagascar"/>
    <x v="0"/>
    <x v="2"/>
    <x v="2"/>
    <x v="2"/>
    <m/>
    <x v="0"/>
    <x v="0"/>
    <m/>
    <m/>
    <m/>
    <m/>
    <x v="0"/>
    <m/>
    <m/>
    <x v="0"/>
    <x v="2"/>
    <n v="25000"/>
    <x v="0"/>
    <m/>
    <n v="25000"/>
    <x v="1"/>
    <x v="0"/>
    <x v="0"/>
    <m/>
    <x v="0"/>
    <x v="0"/>
    <x v="0"/>
    <x v="0"/>
    <x v="0"/>
    <x v="0"/>
    <x v="0"/>
    <x v="0"/>
    <x v="0"/>
    <x v="0"/>
    <x v="0"/>
    <x v="0"/>
    <x v="0"/>
    <x v="0"/>
    <m/>
    <m/>
    <n v="25000"/>
    <x v="0"/>
    <x v="0"/>
    <n v="2500"/>
    <n v="25000"/>
    <x v="1"/>
    <m/>
    <x v="9"/>
    <x v="0"/>
    <x v="0"/>
  </r>
  <r>
    <m/>
    <n v="24"/>
    <x v="5"/>
    <d v="2000-04-01T00:00:00"/>
    <x v="4"/>
    <n v="22"/>
    <x v="0"/>
    <x v="5"/>
    <n v="4"/>
    <x v="1"/>
    <s v="Ethiopia"/>
    <x v="0"/>
    <x v="1"/>
    <x v="1"/>
    <x v="1"/>
    <m/>
    <x v="0"/>
    <x v="0"/>
    <m/>
    <m/>
    <m/>
    <m/>
    <x v="0"/>
    <m/>
    <m/>
    <x v="0"/>
    <x v="1"/>
    <n v="100000"/>
    <x v="0"/>
    <m/>
    <n v="100000"/>
    <x v="1"/>
    <x v="0"/>
    <x v="0"/>
    <m/>
    <x v="0"/>
    <x v="0"/>
    <x v="0"/>
    <x v="0"/>
    <x v="0"/>
    <x v="0"/>
    <x v="0"/>
    <x v="0"/>
    <x v="0"/>
    <x v="0"/>
    <x v="0"/>
    <x v="0"/>
    <x v="0"/>
    <x v="0"/>
    <m/>
    <m/>
    <n v="100000"/>
    <x v="0"/>
    <x v="0"/>
    <n v="2376.7346201502733"/>
    <n v="100000"/>
    <x v="1"/>
    <m/>
    <x v="0"/>
    <x v="0"/>
    <x v="0"/>
  </r>
  <r>
    <m/>
    <n v="25"/>
    <x v="32"/>
    <d v="2000-06-01T00:00:00"/>
    <x v="4"/>
    <n v="23"/>
    <x v="0"/>
    <x v="5"/>
    <n v="5"/>
    <x v="3"/>
    <s v="Indonesia"/>
    <x v="0"/>
    <x v="3"/>
    <x v="3"/>
    <x v="3"/>
    <m/>
    <x v="0"/>
    <x v="0"/>
    <m/>
    <m/>
    <m/>
    <m/>
    <x v="0"/>
    <m/>
    <m/>
    <x v="0"/>
    <x v="1"/>
    <n v="50000"/>
    <x v="0"/>
    <m/>
    <n v="50000"/>
    <x v="4"/>
    <x v="0"/>
    <x v="0"/>
    <m/>
    <x v="0"/>
    <x v="0"/>
    <x v="0"/>
    <x v="0"/>
    <x v="0"/>
    <x v="0"/>
    <x v="0"/>
    <x v="0"/>
    <x v="0"/>
    <x v="0"/>
    <x v="0"/>
    <x v="0"/>
    <x v="0"/>
    <x v="0"/>
    <m/>
    <m/>
    <n v="50000"/>
    <x v="0"/>
    <x v="0"/>
    <n v="3300"/>
    <n v="50000"/>
    <x v="1"/>
    <m/>
    <x v="17"/>
    <x v="0"/>
    <x v="0"/>
  </r>
  <r>
    <m/>
    <n v="26"/>
    <x v="33"/>
    <d v="2000-08-01T00:00:00"/>
    <x v="5"/>
    <n v="1"/>
    <x v="0"/>
    <x v="5"/>
    <n v="6"/>
    <x v="3"/>
    <s v="India"/>
    <x v="0"/>
    <x v="2"/>
    <x v="2"/>
    <x v="2"/>
    <m/>
    <x v="0"/>
    <x v="0"/>
    <m/>
    <m/>
    <m/>
    <m/>
    <x v="0"/>
    <m/>
    <m/>
    <x v="0"/>
    <x v="0"/>
    <m/>
    <x v="0"/>
    <m/>
    <n v="0"/>
    <x v="9"/>
    <x v="0"/>
    <x v="0"/>
    <n v="5000"/>
    <x v="0"/>
    <x v="0"/>
    <x v="0"/>
    <x v="0"/>
    <x v="0"/>
    <x v="0"/>
    <x v="0"/>
    <x v="0"/>
    <x v="0"/>
    <x v="2"/>
    <x v="0"/>
    <x v="2"/>
    <x v="0"/>
    <x v="0"/>
    <n v="199200"/>
    <n v="190065"/>
    <n v="389265"/>
    <x v="0"/>
    <x v="0"/>
    <n v="25000"/>
    <n v="389265"/>
    <x v="9"/>
    <m/>
    <x v="18"/>
    <x v="0"/>
    <x v="0"/>
  </r>
  <r>
    <m/>
    <n v="27"/>
    <x v="19"/>
    <d v="2000-08-01T00:00:00"/>
    <x v="5"/>
    <n v="2"/>
    <x v="0"/>
    <x v="5"/>
    <n v="7"/>
    <x v="3"/>
    <s v="Bangladesh"/>
    <x v="0"/>
    <x v="2"/>
    <x v="2"/>
    <x v="2"/>
    <m/>
    <x v="0"/>
    <x v="0"/>
    <m/>
    <m/>
    <m/>
    <m/>
    <x v="0"/>
    <m/>
    <m/>
    <x v="0"/>
    <x v="0"/>
    <m/>
    <x v="0"/>
    <n v="25000"/>
    <n v="25000"/>
    <x v="1"/>
    <x v="0"/>
    <x v="0"/>
    <m/>
    <x v="0"/>
    <x v="0"/>
    <x v="0"/>
    <x v="0"/>
    <x v="0"/>
    <x v="0"/>
    <x v="0"/>
    <x v="0"/>
    <x v="0"/>
    <x v="0"/>
    <x v="0"/>
    <x v="0"/>
    <x v="0"/>
    <x v="0"/>
    <m/>
    <m/>
    <n v="25000"/>
    <x v="0"/>
    <x v="0"/>
    <n v="2500"/>
    <n v="25000"/>
    <x v="1"/>
    <m/>
    <x v="19"/>
    <x v="0"/>
    <x v="0"/>
  </r>
  <r>
    <m/>
    <n v="28"/>
    <x v="11"/>
    <d v="2000-09-01T00:00:00"/>
    <x v="5"/>
    <n v="3"/>
    <x v="0"/>
    <x v="5"/>
    <n v="8"/>
    <x v="3"/>
    <s v="Cambodia"/>
    <x v="0"/>
    <x v="2"/>
    <x v="8"/>
    <x v="9"/>
    <m/>
    <x v="0"/>
    <x v="0"/>
    <m/>
    <m/>
    <m/>
    <m/>
    <x v="0"/>
    <m/>
    <m/>
    <x v="0"/>
    <x v="0"/>
    <m/>
    <x v="0"/>
    <n v="352704"/>
    <n v="352704"/>
    <x v="1"/>
    <x v="0"/>
    <x v="0"/>
    <m/>
    <x v="0"/>
    <x v="0"/>
    <x v="0"/>
    <x v="0"/>
    <x v="0"/>
    <x v="0"/>
    <x v="0"/>
    <x v="0"/>
    <x v="0"/>
    <x v="0"/>
    <x v="0"/>
    <x v="0"/>
    <x v="0"/>
    <x v="0"/>
    <m/>
    <m/>
    <n v="352704"/>
    <x v="0"/>
    <x v="0"/>
    <n v="32645"/>
    <n v="352704"/>
    <x v="10"/>
    <s v="TS Wukong"/>
    <x v="20"/>
    <x v="0"/>
    <x v="0"/>
  </r>
  <r>
    <m/>
    <n v="29"/>
    <x v="21"/>
    <d v="2000-09-01T00:00:00"/>
    <x v="5"/>
    <n v="4"/>
    <x v="0"/>
    <x v="5"/>
    <n v="9"/>
    <x v="3"/>
    <s v="Vietnam"/>
    <x v="0"/>
    <x v="2"/>
    <x v="8"/>
    <x v="9"/>
    <m/>
    <x v="0"/>
    <x v="0"/>
    <m/>
    <m/>
    <m/>
    <m/>
    <x v="0"/>
    <m/>
    <m/>
    <x v="0"/>
    <x v="0"/>
    <m/>
    <x v="0"/>
    <m/>
    <n v="0"/>
    <x v="1"/>
    <x v="0"/>
    <x v="0"/>
    <n v="1000"/>
    <x v="0"/>
    <x v="0"/>
    <x v="0"/>
    <x v="0"/>
    <x v="0"/>
    <x v="0"/>
    <x v="0"/>
    <x v="0"/>
    <x v="0"/>
    <x v="0"/>
    <x v="0"/>
    <x v="0"/>
    <x v="0"/>
    <x v="0"/>
    <n v="20000"/>
    <m/>
    <n v="20000"/>
    <x v="0"/>
    <x v="0"/>
    <n v="3500"/>
    <n v="20000"/>
    <x v="1"/>
    <s v="TS Wukong"/>
    <x v="21"/>
    <x v="0"/>
    <x v="0"/>
  </r>
  <r>
    <m/>
    <n v="30"/>
    <x v="34"/>
    <d v="2000-10-01T00:00:00"/>
    <x v="5"/>
    <n v="5"/>
    <x v="0"/>
    <x v="5"/>
    <n v="10"/>
    <x v="2"/>
    <s v="Belize"/>
    <x v="0"/>
    <x v="5"/>
    <x v="5"/>
    <x v="5"/>
    <m/>
    <x v="0"/>
    <x v="0"/>
    <m/>
    <m/>
    <m/>
    <m/>
    <x v="0"/>
    <m/>
    <m/>
    <x v="0"/>
    <x v="0"/>
    <m/>
    <x v="0"/>
    <n v="28500"/>
    <n v="28500"/>
    <x v="10"/>
    <x v="0"/>
    <x v="0"/>
    <m/>
    <x v="0"/>
    <x v="0"/>
    <x v="0"/>
    <x v="0"/>
    <x v="0"/>
    <x v="0"/>
    <x v="0"/>
    <x v="0"/>
    <x v="0"/>
    <x v="3"/>
    <x v="0"/>
    <x v="0"/>
    <x v="0"/>
    <x v="0"/>
    <n v="90000"/>
    <m/>
    <n v="118500"/>
    <x v="0"/>
    <x v="0"/>
    <n v="13000"/>
    <n v="118500"/>
    <x v="11"/>
    <s v="Keith"/>
    <x v="22"/>
    <x v="0"/>
    <x v="0"/>
  </r>
  <r>
    <m/>
    <n v="32"/>
    <x v="35"/>
    <d v="2000-10-01T00:00:00"/>
    <x v="5"/>
    <n v="6"/>
    <x v="0"/>
    <x v="5"/>
    <n v="11"/>
    <x v="3"/>
    <s v="Israel"/>
    <x v="0"/>
    <x v="8"/>
    <x v="7"/>
    <x v="7"/>
    <m/>
    <x v="0"/>
    <x v="0"/>
    <m/>
    <m/>
    <m/>
    <m/>
    <x v="0"/>
    <m/>
    <m/>
    <x v="0"/>
    <x v="0"/>
    <m/>
    <x v="0"/>
    <n v="40000"/>
    <n v="40000"/>
    <x v="0"/>
    <x v="0"/>
    <x v="0"/>
    <m/>
    <x v="0"/>
    <x v="0"/>
    <x v="0"/>
    <x v="0"/>
    <x v="0"/>
    <x v="0"/>
    <x v="0"/>
    <x v="0"/>
    <x v="0"/>
    <x v="0"/>
    <x v="0"/>
    <x v="0"/>
    <x v="0"/>
    <x v="0"/>
    <n v="0"/>
    <m/>
    <n v="40000"/>
    <x v="0"/>
    <x v="0"/>
    <m/>
    <n v="40000"/>
    <x v="1"/>
    <m/>
    <x v="23"/>
    <x v="0"/>
    <x v="0"/>
  </r>
  <r>
    <m/>
    <n v="32"/>
    <x v="36"/>
    <d v="2000-10-01T00:00:00"/>
    <x v="5"/>
    <n v="6"/>
    <x v="0"/>
    <x v="5"/>
    <n v="11"/>
    <x v="3"/>
    <s v="Jordan"/>
    <x v="0"/>
    <x v="8"/>
    <x v="7"/>
    <x v="7"/>
    <m/>
    <x v="0"/>
    <x v="0"/>
    <m/>
    <m/>
    <m/>
    <m/>
    <x v="0"/>
    <m/>
    <m/>
    <x v="0"/>
    <x v="0"/>
    <m/>
    <x v="0"/>
    <m/>
    <n v="0"/>
    <x v="0"/>
    <x v="0"/>
    <x v="0"/>
    <m/>
    <x v="0"/>
    <x v="0"/>
    <x v="0"/>
    <x v="0"/>
    <x v="0"/>
    <x v="0"/>
    <x v="0"/>
    <x v="0"/>
    <x v="0"/>
    <x v="0"/>
    <x v="0"/>
    <x v="3"/>
    <x v="0"/>
    <x v="0"/>
    <n v="172000"/>
    <m/>
    <n v="172000"/>
    <x v="0"/>
    <x v="0"/>
    <m/>
    <n v="172000"/>
    <x v="1"/>
    <m/>
    <x v="24"/>
    <x v="0"/>
    <x v="0"/>
  </r>
  <r>
    <m/>
    <n v="32"/>
    <x v="37"/>
    <d v="2000-10-01T00:00:00"/>
    <x v="5"/>
    <n v="6"/>
    <x v="0"/>
    <x v="5"/>
    <n v="11"/>
    <x v="3"/>
    <s v="Palestine"/>
    <x v="0"/>
    <x v="8"/>
    <x v="7"/>
    <x v="7"/>
    <m/>
    <x v="0"/>
    <x v="0"/>
    <m/>
    <m/>
    <m/>
    <m/>
    <x v="0"/>
    <m/>
    <m/>
    <x v="0"/>
    <x v="0"/>
    <m/>
    <x v="0"/>
    <m/>
    <n v="0"/>
    <x v="1"/>
    <x v="0"/>
    <x v="0"/>
    <m/>
    <x v="0"/>
    <x v="0"/>
    <x v="0"/>
    <x v="0"/>
    <x v="0"/>
    <x v="0"/>
    <x v="0"/>
    <x v="0"/>
    <x v="0"/>
    <x v="0"/>
    <x v="0"/>
    <x v="4"/>
    <x v="0"/>
    <x v="0"/>
    <n v="90000"/>
    <m/>
    <n v="90000"/>
    <x v="0"/>
    <x v="0"/>
    <n v="10000"/>
    <n v="90000"/>
    <x v="1"/>
    <m/>
    <x v="25"/>
    <x v="0"/>
    <x v="0"/>
  </r>
  <r>
    <m/>
    <n v="33"/>
    <x v="38"/>
    <d v="2000-11-01T00:00:00"/>
    <x v="5"/>
    <n v="7"/>
    <x v="0"/>
    <x v="5"/>
    <n v="12"/>
    <x v="3"/>
    <s v="Taiwan"/>
    <x v="0"/>
    <x v="9"/>
    <x v="9"/>
    <x v="10"/>
    <m/>
    <x v="0"/>
    <x v="0"/>
    <m/>
    <m/>
    <m/>
    <m/>
    <x v="0"/>
    <m/>
    <m/>
    <x v="0"/>
    <x v="0"/>
    <m/>
    <x v="0"/>
    <m/>
    <n v="0"/>
    <x v="2"/>
    <x v="0"/>
    <x v="0"/>
    <m/>
    <x v="0"/>
    <x v="0"/>
    <x v="0"/>
    <x v="0"/>
    <x v="0"/>
    <x v="0"/>
    <x v="0"/>
    <x v="0"/>
    <x v="0"/>
    <x v="0"/>
    <x v="0"/>
    <x v="0"/>
    <x v="0"/>
    <x v="0"/>
    <m/>
    <n v="7500"/>
    <n v="7500"/>
    <x v="0"/>
    <x v="0"/>
    <n v="300"/>
    <n v="7500"/>
    <x v="1"/>
    <s v="Singapore Airlines 006"/>
    <x v="26"/>
    <x v="0"/>
    <x v="0"/>
  </r>
  <r>
    <m/>
    <n v="34"/>
    <x v="39"/>
    <d v="2000-11-01T00:00:00"/>
    <x v="5"/>
    <n v="8"/>
    <x v="0"/>
    <x v="5"/>
    <n v="13"/>
    <x v="3"/>
    <s v="Austria"/>
    <x v="0"/>
    <x v="10"/>
    <x v="10"/>
    <x v="11"/>
    <m/>
    <x v="0"/>
    <x v="0"/>
    <m/>
    <m/>
    <m/>
    <m/>
    <x v="0"/>
    <m/>
    <m/>
    <x v="0"/>
    <x v="0"/>
    <m/>
    <x v="0"/>
    <m/>
    <n v="0"/>
    <x v="1"/>
    <x v="0"/>
    <x v="0"/>
    <m/>
    <x v="0"/>
    <x v="0"/>
    <x v="0"/>
    <x v="0"/>
    <x v="0"/>
    <x v="0"/>
    <x v="0"/>
    <x v="0"/>
    <x v="0"/>
    <x v="0"/>
    <x v="0"/>
    <x v="0"/>
    <x v="0"/>
    <x v="0"/>
    <m/>
    <n v="2577.8000000000002"/>
    <n v="2577.8000000000002"/>
    <x v="0"/>
    <x v="0"/>
    <n v="3"/>
    <n v="2577.8000000000002"/>
    <x v="1"/>
    <s v="Cable Car Fire"/>
    <x v="27"/>
    <x v="0"/>
    <x v="0"/>
  </r>
  <r>
    <m/>
    <n v="35"/>
    <x v="40"/>
    <d v="2000-11-01T00:00:00"/>
    <x v="5"/>
    <n v="9"/>
    <x v="0"/>
    <x v="5"/>
    <n v="14"/>
    <x v="3"/>
    <s v="Azerbaijan"/>
    <x v="0"/>
    <x v="3"/>
    <x v="3"/>
    <x v="3"/>
    <m/>
    <x v="0"/>
    <x v="0"/>
    <m/>
    <m/>
    <m/>
    <m/>
    <x v="0"/>
    <m/>
    <m/>
    <x v="0"/>
    <x v="0"/>
    <m/>
    <x v="0"/>
    <m/>
    <n v="0"/>
    <x v="2"/>
    <x v="0"/>
    <x v="0"/>
    <m/>
    <x v="0"/>
    <x v="0"/>
    <x v="0"/>
    <x v="0"/>
    <x v="0"/>
    <x v="0"/>
    <x v="0"/>
    <x v="0"/>
    <x v="0"/>
    <x v="0"/>
    <x v="0"/>
    <x v="0"/>
    <x v="0"/>
    <x v="0"/>
    <n v="25000"/>
    <n v="5500"/>
    <n v="30500"/>
    <x v="0"/>
    <x v="0"/>
    <n v="3050"/>
    <n v="30500"/>
    <x v="1"/>
    <m/>
    <x v="28"/>
    <x v="0"/>
    <x v="0"/>
  </r>
  <r>
    <m/>
    <n v="36"/>
    <x v="41"/>
    <d v="2000-12-01T00:00:00"/>
    <x v="5"/>
    <n v="10"/>
    <x v="0"/>
    <x v="5"/>
    <n v="15"/>
    <x v="3"/>
    <s v="Sri Lanka"/>
    <x v="0"/>
    <x v="5"/>
    <x v="5"/>
    <x v="8"/>
    <m/>
    <x v="0"/>
    <x v="0"/>
    <m/>
    <m/>
    <m/>
    <m/>
    <x v="0"/>
    <m/>
    <m/>
    <x v="0"/>
    <x v="0"/>
    <m/>
    <x v="0"/>
    <m/>
    <n v="0"/>
    <x v="1"/>
    <x v="0"/>
    <x v="0"/>
    <m/>
    <x v="0"/>
    <x v="0"/>
    <x v="0"/>
    <x v="0"/>
    <x v="0"/>
    <x v="0"/>
    <x v="0"/>
    <x v="0"/>
    <x v="0"/>
    <x v="0"/>
    <x v="0"/>
    <x v="0"/>
    <x v="0"/>
    <x v="0"/>
    <n v="20000"/>
    <m/>
    <n v="20000"/>
    <x v="0"/>
    <x v="0"/>
    <n v="3000"/>
    <n v="20000"/>
    <x v="1"/>
    <s v="Cyclone 04B"/>
    <x v="29"/>
    <x v="0"/>
    <x v="0"/>
  </r>
  <r>
    <m/>
    <n v="37"/>
    <x v="42"/>
    <d v="2001-01-01T00:00:00"/>
    <x v="5"/>
    <n v="11"/>
    <x v="0"/>
    <x v="6"/>
    <n v="1"/>
    <x v="1"/>
    <s v="South Africa"/>
    <x v="0"/>
    <x v="11"/>
    <x v="11"/>
    <x v="12"/>
    <m/>
    <x v="0"/>
    <x v="0"/>
    <m/>
    <m/>
    <m/>
    <m/>
    <x v="0"/>
    <m/>
    <m/>
    <x v="0"/>
    <x v="2"/>
    <n v="25000"/>
    <x v="0"/>
    <m/>
    <n v="25000"/>
    <x v="1"/>
    <x v="0"/>
    <x v="0"/>
    <m/>
    <x v="0"/>
    <x v="0"/>
    <x v="0"/>
    <x v="0"/>
    <x v="0"/>
    <x v="0"/>
    <x v="0"/>
    <x v="0"/>
    <x v="0"/>
    <x v="0"/>
    <x v="0"/>
    <x v="0"/>
    <x v="0"/>
    <x v="0"/>
    <m/>
    <m/>
    <n v="25000"/>
    <x v="0"/>
    <x v="0"/>
    <n v="5000"/>
    <n v="25000"/>
    <x v="1"/>
    <s v="Cholera Outbreak"/>
    <x v="30"/>
    <x v="0"/>
    <x v="0"/>
  </r>
  <r>
    <m/>
    <n v="38"/>
    <x v="43"/>
    <d v="2001-01-01T00:00:00"/>
    <x v="5"/>
    <n v="12"/>
    <x v="0"/>
    <x v="6"/>
    <n v="2"/>
    <x v="2"/>
    <s v="El Salvador"/>
    <x v="0"/>
    <x v="3"/>
    <x v="3"/>
    <x v="3"/>
    <m/>
    <x v="0"/>
    <x v="0"/>
    <m/>
    <m/>
    <m/>
    <m/>
    <x v="0"/>
    <m/>
    <m/>
    <x v="0"/>
    <x v="0"/>
    <m/>
    <x v="0"/>
    <n v="77500"/>
    <n v="77500"/>
    <x v="11"/>
    <x v="0"/>
    <x v="0"/>
    <m/>
    <x v="0"/>
    <x v="0"/>
    <x v="0"/>
    <x v="0"/>
    <x v="0"/>
    <x v="0"/>
    <x v="0"/>
    <x v="0"/>
    <x v="0"/>
    <x v="0"/>
    <x v="0"/>
    <x v="0"/>
    <x v="0"/>
    <x v="0"/>
    <n v="150000"/>
    <m/>
    <n v="227500"/>
    <x v="0"/>
    <x v="0"/>
    <m/>
    <n v="227500"/>
    <x v="12"/>
    <m/>
    <x v="31"/>
    <x v="0"/>
    <x v="0"/>
  </r>
  <r>
    <m/>
    <n v="39"/>
    <x v="44"/>
    <d v="2001-01-01T00:00:00"/>
    <x v="5"/>
    <n v="13"/>
    <x v="0"/>
    <x v="6"/>
    <n v="3"/>
    <x v="3"/>
    <s v="China"/>
    <x v="0"/>
    <x v="5"/>
    <x v="12"/>
    <x v="13"/>
    <m/>
    <x v="0"/>
    <x v="0"/>
    <m/>
    <m/>
    <m/>
    <m/>
    <x v="0"/>
    <m/>
    <m/>
    <x v="0"/>
    <x v="0"/>
    <m/>
    <x v="0"/>
    <n v="50000"/>
    <n v="50000"/>
    <x v="1"/>
    <x v="0"/>
    <x v="0"/>
    <m/>
    <x v="0"/>
    <x v="0"/>
    <x v="0"/>
    <x v="0"/>
    <x v="0"/>
    <x v="0"/>
    <x v="0"/>
    <x v="0"/>
    <x v="0"/>
    <x v="0"/>
    <x v="0"/>
    <x v="0"/>
    <x v="0"/>
    <x v="0"/>
    <m/>
    <m/>
    <n v="50000"/>
    <x v="0"/>
    <x v="0"/>
    <n v="5000"/>
    <n v="50000"/>
    <x v="2"/>
    <s v="Inner Mongolia"/>
    <x v="32"/>
    <x v="0"/>
    <x v="0"/>
  </r>
  <r>
    <m/>
    <n v="40"/>
    <x v="45"/>
    <d v="2001-01-01T00:00:00"/>
    <x v="5"/>
    <n v="14"/>
    <x v="0"/>
    <x v="6"/>
    <n v="4"/>
    <x v="3"/>
    <s v="India"/>
    <x v="0"/>
    <x v="3"/>
    <x v="3"/>
    <x v="3"/>
    <n v="15850000"/>
    <x v="0"/>
    <x v="0"/>
    <m/>
    <m/>
    <m/>
    <m/>
    <x v="0"/>
    <m/>
    <m/>
    <x v="0"/>
    <x v="1"/>
    <n v="100000"/>
    <x v="0"/>
    <n v="25000"/>
    <n v="125000"/>
    <x v="12"/>
    <x v="0"/>
    <x v="0"/>
    <m/>
    <x v="0"/>
    <x v="0"/>
    <x v="0"/>
    <x v="0"/>
    <x v="0"/>
    <x v="0"/>
    <x v="0"/>
    <x v="0"/>
    <x v="0"/>
    <x v="0"/>
    <x v="0"/>
    <x v="0"/>
    <x v="0"/>
    <x v="0"/>
    <n v="1371479"/>
    <n v="366481.13"/>
    <n v="1862960.13"/>
    <x v="0"/>
    <x v="0"/>
    <n v="324495"/>
    <n v="14000000"/>
    <x v="13"/>
    <m/>
    <x v="33"/>
    <x v="0"/>
    <x v="0"/>
  </r>
  <r>
    <m/>
    <n v="41"/>
    <x v="43"/>
    <d v="2001-02-01T00:00:00"/>
    <x v="5"/>
    <n v="15"/>
    <x v="0"/>
    <x v="6"/>
    <n v="5"/>
    <x v="2"/>
    <s v="El Salvador"/>
    <x v="0"/>
    <x v="3"/>
    <x v="3"/>
    <x v="3"/>
    <m/>
    <x v="0"/>
    <x v="0"/>
    <m/>
    <m/>
    <m/>
    <m/>
    <x v="0"/>
    <m/>
    <m/>
    <x v="0"/>
    <x v="0"/>
    <m/>
    <x v="0"/>
    <n v="70000"/>
    <n v="70000"/>
    <x v="13"/>
    <x v="0"/>
    <x v="0"/>
    <m/>
    <x v="0"/>
    <x v="0"/>
    <x v="0"/>
    <x v="0"/>
    <x v="0"/>
    <x v="0"/>
    <x v="0"/>
    <x v="0"/>
    <x v="0"/>
    <x v="0"/>
    <x v="0"/>
    <x v="0"/>
    <x v="0"/>
    <x v="0"/>
    <n v="620000"/>
    <m/>
    <n v="690000"/>
    <x v="0"/>
    <x v="0"/>
    <n v="41628.709446663277"/>
    <n v="690000"/>
    <x v="12"/>
    <m/>
    <x v="34"/>
    <x v="0"/>
    <x v="0"/>
  </r>
  <r>
    <m/>
    <n v="42"/>
    <x v="46"/>
    <d v="2001-02-01T00:00:00"/>
    <x v="5"/>
    <n v="16"/>
    <x v="0"/>
    <x v="6"/>
    <n v="6"/>
    <x v="1"/>
    <s v="Mozambique"/>
    <x v="0"/>
    <x v="2"/>
    <x v="2"/>
    <x v="2"/>
    <m/>
    <x v="0"/>
    <x v="0"/>
    <m/>
    <m/>
    <m/>
    <m/>
    <x v="0"/>
    <m/>
    <m/>
    <x v="0"/>
    <x v="0"/>
    <m/>
    <x v="0"/>
    <m/>
    <n v="0"/>
    <x v="2"/>
    <x v="0"/>
    <x v="0"/>
    <m/>
    <x v="0"/>
    <x v="0"/>
    <x v="0"/>
    <x v="0"/>
    <x v="0"/>
    <x v="0"/>
    <x v="0"/>
    <x v="0"/>
    <x v="0"/>
    <x v="0"/>
    <x v="0"/>
    <x v="0"/>
    <x v="0"/>
    <x v="0"/>
    <m/>
    <n v="250000"/>
    <n v="250000"/>
    <x v="0"/>
    <x v="0"/>
    <n v="75000"/>
    <n v="250000"/>
    <x v="14"/>
    <m/>
    <x v="35"/>
    <x v="0"/>
    <x v="0"/>
  </r>
  <r>
    <m/>
    <n v="43"/>
    <x v="47"/>
    <d v="2001-02-01T00:00:00"/>
    <x v="5"/>
    <n v="17"/>
    <x v="0"/>
    <x v="6"/>
    <n v="7"/>
    <x v="1"/>
    <s v="Malawi"/>
    <x v="0"/>
    <x v="2"/>
    <x v="2"/>
    <x v="2"/>
    <m/>
    <x v="0"/>
    <x v="0"/>
    <m/>
    <m/>
    <m/>
    <m/>
    <x v="0"/>
    <m/>
    <m/>
    <x v="0"/>
    <x v="0"/>
    <m/>
    <x v="0"/>
    <n v="25000"/>
    <n v="25000"/>
    <x v="4"/>
    <x v="0"/>
    <x v="0"/>
    <m/>
    <x v="0"/>
    <x v="0"/>
    <x v="0"/>
    <x v="0"/>
    <x v="0"/>
    <x v="0"/>
    <x v="0"/>
    <x v="0"/>
    <x v="0"/>
    <x v="0"/>
    <x v="0"/>
    <x v="0"/>
    <x v="0"/>
    <x v="0"/>
    <n v="149000"/>
    <m/>
    <n v="174000"/>
    <x v="0"/>
    <x v="0"/>
    <n v="22452"/>
    <n v="174000"/>
    <x v="14"/>
    <m/>
    <x v="36"/>
    <x v="0"/>
    <x v="0"/>
  </r>
  <r>
    <m/>
    <n v="44"/>
    <x v="48"/>
    <d v="2001-03-01T00:00:00"/>
    <x v="5"/>
    <n v="18"/>
    <x v="0"/>
    <x v="6"/>
    <n v="8"/>
    <x v="2"/>
    <s v="Bolivia"/>
    <x v="0"/>
    <x v="2"/>
    <x v="2"/>
    <x v="2"/>
    <m/>
    <x v="0"/>
    <x v="0"/>
    <m/>
    <m/>
    <m/>
    <m/>
    <x v="0"/>
    <m/>
    <m/>
    <x v="0"/>
    <x v="0"/>
    <m/>
    <x v="0"/>
    <n v="15000"/>
    <n v="15000"/>
    <x v="1"/>
    <x v="0"/>
    <x v="0"/>
    <m/>
    <x v="0"/>
    <x v="0"/>
    <x v="0"/>
    <x v="0"/>
    <x v="0"/>
    <x v="0"/>
    <x v="0"/>
    <x v="0"/>
    <x v="0"/>
    <x v="0"/>
    <x v="0"/>
    <x v="0"/>
    <x v="0"/>
    <x v="0"/>
    <m/>
    <m/>
    <n v="15000"/>
    <x v="0"/>
    <x v="0"/>
    <n v="1500"/>
    <n v="15000"/>
    <x v="1"/>
    <m/>
    <x v="37"/>
    <x v="0"/>
    <x v="0"/>
  </r>
  <r>
    <m/>
    <n v="45"/>
    <x v="49"/>
    <d v="2001-03-01T00:00:00"/>
    <x v="5"/>
    <n v="19"/>
    <x v="0"/>
    <x v="6"/>
    <n v="9"/>
    <x v="2"/>
    <s v="Peru"/>
    <x v="0"/>
    <x v="2"/>
    <x v="2"/>
    <x v="2"/>
    <m/>
    <x v="0"/>
    <x v="0"/>
    <m/>
    <m/>
    <m/>
    <m/>
    <x v="0"/>
    <m/>
    <m/>
    <x v="0"/>
    <x v="0"/>
    <m/>
    <x v="0"/>
    <n v="15000"/>
    <n v="15000"/>
    <x v="1"/>
    <x v="0"/>
    <x v="0"/>
    <n v="6111"/>
    <x v="0"/>
    <x v="0"/>
    <x v="3"/>
    <x v="0"/>
    <x v="0"/>
    <x v="2"/>
    <x v="0"/>
    <x v="0"/>
    <x v="0"/>
    <x v="0"/>
    <x v="1"/>
    <x v="0"/>
    <x v="0"/>
    <x v="0"/>
    <n v="0"/>
    <n v="0"/>
    <n v="15000"/>
    <x v="0"/>
    <x v="0"/>
    <n v="24805"/>
    <n v="15000"/>
    <x v="1"/>
    <m/>
    <x v="0"/>
    <x v="0"/>
    <x v="0"/>
  </r>
  <r>
    <m/>
    <n v="46"/>
    <x v="50"/>
    <d v="2001-04-01T00:00:00"/>
    <x v="5"/>
    <n v="20"/>
    <x v="0"/>
    <x v="6"/>
    <n v="10"/>
    <x v="4"/>
    <s v="Canada"/>
    <x v="0"/>
    <x v="9"/>
    <x v="13"/>
    <x v="14"/>
    <m/>
    <x v="0"/>
    <x v="0"/>
    <m/>
    <m/>
    <m/>
    <m/>
    <x v="0"/>
    <m/>
    <m/>
    <x v="0"/>
    <x v="0"/>
    <m/>
    <x v="0"/>
    <m/>
    <n v="0"/>
    <x v="4"/>
    <x v="0"/>
    <x v="0"/>
    <m/>
    <x v="0"/>
    <x v="0"/>
    <x v="0"/>
    <x v="0"/>
    <x v="0"/>
    <x v="0"/>
    <x v="0"/>
    <x v="0"/>
    <x v="0"/>
    <x v="0"/>
    <x v="0"/>
    <x v="0"/>
    <x v="0"/>
    <x v="0"/>
    <m/>
    <n v="1000"/>
    <n v="1000"/>
    <x v="0"/>
    <x v="0"/>
    <m/>
    <n v="1000"/>
    <x v="1"/>
    <s v="Bus Crash"/>
    <x v="38"/>
    <x v="0"/>
    <x v="0"/>
  </r>
  <r>
    <m/>
    <n v="47"/>
    <x v="51"/>
    <d v="2001-05-01T00:00:00"/>
    <x v="5"/>
    <n v="21"/>
    <x v="0"/>
    <x v="6"/>
    <n v="11"/>
    <x v="3"/>
    <s v="Russian Fed."/>
    <x v="0"/>
    <x v="2"/>
    <x v="2"/>
    <x v="2"/>
    <m/>
    <x v="0"/>
    <x v="0"/>
    <m/>
    <m/>
    <m/>
    <m/>
    <x v="0"/>
    <m/>
    <m/>
    <x v="0"/>
    <x v="0"/>
    <m/>
    <x v="0"/>
    <n v="25000"/>
    <n v="25000"/>
    <x v="1"/>
    <x v="0"/>
    <x v="0"/>
    <m/>
    <x v="0"/>
    <x v="0"/>
    <x v="0"/>
    <x v="0"/>
    <x v="0"/>
    <x v="0"/>
    <x v="0"/>
    <x v="0"/>
    <x v="0"/>
    <x v="0"/>
    <x v="0"/>
    <x v="0"/>
    <x v="0"/>
    <x v="0"/>
    <m/>
    <m/>
    <n v="25000"/>
    <x v="0"/>
    <x v="0"/>
    <n v="3000"/>
    <n v="25000"/>
    <x v="1"/>
    <m/>
    <x v="39"/>
    <x v="0"/>
    <x v="0"/>
  </r>
  <r>
    <m/>
    <n v="48"/>
    <x v="52"/>
    <d v="2001-06-01T00:00:00"/>
    <x v="5"/>
    <n v="22"/>
    <x v="0"/>
    <x v="6"/>
    <n v="12"/>
    <x v="3"/>
    <s v="Macedonia"/>
    <x v="0"/>
    <x v="8"/>
    <x v="7"/>
    <x v="7"/>
    <m/>
    <x v="0"/>
    <x v="0"/>
    <m/>
    <m/>
    <m/>
    <m/>
    <x v="0"/>
    <m/>
    <m/>
    <x v="0"/>
    <x v="0"/>
    <m/>
    <x v="0"/>
    <m/>
    <n v="0"/>
    <x v="1"/>
    <x v="0"/>
    <x v="0"/>
    <n v="10000"/>
    <x v="0"/>
    <x v="0"/>
    <x v="0"/>
    <x v="0"/>
    <x v="0"/>
    <x v="0"/>
    <x v="0"/>
    <x v="0"/>
    <x v="0"/>
    <x v="0"/>
    <x v="0"/>
    <x v="0"/>
    <x v="0"/>
    <x v="0"/>
    <n v="20700"/>
    <m/>
    <n v="20700"/>
    <x v="0"/>
    <x v="0"/>
    <n v="40000"/>
    <n v="20700"/>
    <x v="1"/>
    <m/>
    <x v="40"/>
    <x v="0"/>
    <x v="0"/>
  </r>
  <r>
    <m/>
    <n v="49"/>
    <x v="53"/>
    <d v="2001-06-01T00:00:00"/>
    <x v="5"/>
    <n v="23"/>
    <x v="0"/>
    <x v="6"/>
    <n v="13"/>
    <x v="3"/>
    <s v="Bosnia"/>
    <x v="0"/>
    <x v="2"/>
    <x v="2"/>
    <x v="2"/>
    <m/>
    <x v="0"/>
    <x v="0"/>
    <m/>
    <m/>
    <m/>
    <m/>
    <x v="0"/>
    <m/>
    <m/>
    <x v="0"/>
    <x v="0"/>
    <m/>
    <x v="0"/>
    <m/>
    <n v="0"/>
    <x v="1"/>
    <x v="0"/>
    <x v="0"/>
    <n v="6000"/>
    <x v="0"/>
    <x v="0"/>
    <x v="4"/>
    <x v="0"/>
    <x v="0"/>
    <x v="0"/>
    <x v="0"/>
    <x v="0"/>
    <x v="0"/>
    <x v="0"/>
    <x v="0"/>
    <x v="0"/>
    <x v="0"/>
    <x v="0"/>
    <n v="18000"/>
    <m/>
    <n v="18000"/>
    <x v="0"/>
    <x v="0"/>
    <n v="6000"/>
    <n v="18000"/>
    <x v="1"/>
    <m/>
    <x v="41"/>
    <x v="0"/>
    <x v="0"/>
  </r>
  <r>
    <m/>
    <n v="50"/>
    <x v="54"/>
    <d v="2001-06-01T00:00:00"/>
    <x v="5"/>
    <n v="24"/>
    <x v="0"/>
    <x v="6"/>
    <n v="14"/>
    <x v="2"/>
    <s v="Peru"/>
    <x v="0"/>
    <x v="3"/>
    <x v="3"/>
    <x v="3"/>
    <m/>
    <x v="0"/>
    <x v="0"/>
    <m/>
    <m/>
    <m/>
    <m/>
    <x v="0"/>
    <m/>
    <m/>
    <x v="0"/>
    <x v="0"/>
    <m/>
    <x v="0"/>
    <n v="24420"/>
    <n v="24420"/>
    <x v="5"/>
    <x v="0"/>
    <x v="0"/>
    <n v="6107"/>
    <x v="0"/>
    <x v="0"/>
    <x v="3"/>
    <x v="0"/>
    <x v="0"/>
    <x v="3"/>
    <x v="0"/>
    <x v="0"/>
    <x v="0"/>
    <x v="0"/>
    <x v="1"/>
    <x v="0"/>
    <x v="0"/>
    <x v="0"/>
    <n v="361260"/>
    <n v="313450"/>
    <n v="699130"/>
    <x v="0"/>
    <x v="0"/>
    <n v="15000"/>
    <n v="699130"/>
    <x v="15"/>
    <m/>
    <x v="42"/>
    <x v="0"/>
    <x v="0"/>
  </r>
  <r>
    <m/>
    <n v="51"/>
    <x v="33"/>
    <d v="2001-07-01T00:00:00"/>
    <x v="6"/>
    <n v="1"/>
    <x v="0"/>
    <x v="6"/>
    <n v="15"/>
    <x v="3"/>
    <s v="India"/>
    <x v="0"/>
    <x v="2"/>
    <x v="2"/>
    <x v="2"/>
    <n v="6000000"/>
    <x v="0"/>
    <x v="0"/>
    <m/>
    <m/>
    <m/>
    <m/>
    <x v="0"/>
    <m/>
    <m/>
    <x v="0"/>
    <x v="0"/>
    <m/>
    <x v="0"/>
    <m/>
    <n v="0"/>
    <x v="1"/>
    <x v="0"/>
    <x v="0"/>
    <m/>
    <x v="0"/>
    <x v="0"/>
    <x v="0"/>
    <x v="0"/>
    <x v="0"/>
    <x v="0"/>
    <x v="0"/>
    <x v="0"/>
    <x v="0"/>
    <x v="0"/>
    <x v="0"/>
    <x v="0"/>
    <x v="0"/>
    <x v="0"/>
    <n v="100000"/>
    <m/>
    <n v="100000"/>
    <x v="0"/>
    <x v="0"/>
    <n v="10000"/>
    <n v="100000"/>
    <x v="13"/>
    <m/>
    <x v="0"/>
    <x v="0"/>
    <x v="0"/>
  </r>
  <r>
    <m/>
    <n v="52"/>
    <x v="55"/>
    <d v="2001-08-01T00:00:00"/>
    <x v="6"/>
    <n v="2"/>
    <x v="0"/>
    <x v="6"/>
    <n v="16"/>
    <x v="2"/>
    <s v="El Salvador"/>
    <x v="0"/>
    <x v="1"/>
    <x v="1"/>
    <x v="1"/>
    <m/>
    <x v="0"/>
    <x v="0"/>
    <m/>
    <m/>
    <m/>
    <m/>
    <x v="0"/>
    <m/>
    <m/>
    <x v="0"/>
    <x v="0"/>
    <m/>
    <x v="0"/>
    <n v="25000"/>
    <n v="25000"/>
    <x v="10"/>
    <x v="0"/>
    <x v="0"/>
    <m/>
    <x v="0"/>
    <x v="0"/>
    <x v="0"/>
    <x v="0"/>
    <x v="0"/>
    <x v="0"/>
    <x v="0"/>
    <x v="0"/>
    <x v="0"/>
    <x v="0"/>
    <x v="0"/>
    <x v="0"/>
    <x v="0"/>
    <x v="0"/>
    <m/>
    <m/>
    <n v="25000"/>
    <x v="0"/>
    <x v="0"/>
    <n v="5000"/>
    <n v="25000"/>
    <x v="16"/>
    <m/>
    <x v="43"/>
    <x v="0"/>
    <x v="0"/>
  </r>
  <r>
    <m/>
    <n v="52"/>
    <x v="56"/>
    <d v="2001-08-01T00:00:00"/>
    <x v="6"/>
    <n v="2"/>
    <x v="0"/>
    <x v="6"/>
    <n v="16"/>
    <x v="2"/>
    <s v="Honduras"/>
    <x v="0"/>
    <x v="1"/>
    <x v="1"/>
    <x v="1"/>
    <m/>
    <x v="0"/>
    <x v="0"/>
    <m/>
    <m/>
    <m/>
    <m/>
    <x v="0"/>
    <m/>
    <m/>
    <x v="0"/>
    <x v="0"/>
    <m/>
    <x v="0"/>
    <m/>
    <n v="0"/>
    <x v="0"/>
    <x v="0"/>
    <x v="0"/>
    <m/>
    <x v="0"/>
    <x v="0"/>
    <x v="0"/>
    <x v="0"/>
    <x v="0"/>
    <x v="0"/>
    <x v="0"/>
    <x v="0"/>
    <x v="0"/>
    <x v="0"/>
    <x v="0"/>
    <x v="0"/>
    <x v="0"/>
    <x v="0"/>
    <m/>
    <m/>
    <n v="0"/>
    <x v="0"/>
    <x v="0"/>
    <m/>
    <n v="0"/>
    <x v="16"/>
    <m/>
    <x v="0"/>
    <x v="0"/>
    <x v="0"/>
  </r>
  <r>
    <m/>
    <n v="52"/>
    <x v="57"/>
    <d v="2001-08-01T00:00:00"/>
    <x v="6"/>
    <n v="2"/>
    <x v="0"/>
    <x v="6"/>
    <n v="16"/>
    <x v="2"/>
    <s v="Nicaragua"/>
    <x v="0"/>
    <x v="1"/>
    <x v="1"/>
    <x v="1"/>
    <m/>
    <x v="0"/>
    <x v="0"/>
    <m/>
    <m/>
    <m/>
    <m/>
    <x v="0"/>
    <m/>
    <m/>
    <x v="0"/>
    <x v="0"/>
    <m/>
    <x v="0"/>
    <m/>
    <n v="0"/>
    <x v="0"/>
    <x v="0"/>
    <x v="0"/>
    <m/>
    <x v="0"/>
    <x v="0"/>
    <x v="0"/>
    <x v="0"/>
    <x v="0"/>
    <x v="0"/>
    <x v="0"/>
    <x v="0"/>
    <x v="0"/>
    <x v="0"/>
    <x v="0"/>
    <x v="0"/>
    <x v="0"/>
    <x v="0"/>
    <m/>
    <m/>
    <n v="0"/>
    <x v="0"/>
    <x v="0"/>
    <m/>
    <n v="0"/>
    <x v="16"/>
    <m/>
    <x v="0"/>
    <x v="0"/>
    <x v="0"/>
  </r>
  <r>
    <m/>
    <n v="52"/>
    <x v="58"/>
    <d v="2001-08-01T00:00:00"/>
    <x v="6"/>
    <n v="2"/>
    <x v="0"/>
    <x v="6"/>
    <n v="16"/>
    <x v="2"/>
    <s v="Guatemala"/>
    <x v="0"/>
    <x v="1"/>
    <x v="1"/>
    <x v="1"/>
    <m/>
    <x v="0"/>
    <x v="0"/>
    <m/>
    <m/>
    <m/>
    <m/>
    <x v="0"/>
    <m/>
    <m/>
    <x v="0"/>
    <x v="0"/>
    <m/>
    <x v="0"/>
    <m/>
    <n v="0"/>
    <x v="0"/>
    <x v="0"/>
    <x v="0"/>
    <m/>
    <x v="0"/>
    <x v="0"/>
    <x v="0"/>
    <x v="0"/>
    <x v="0"/>
    <x v="0"/>
    <x v="0"/>
    <x v="0"/>
    <x v="0"/>
    <x v="0"/>
    <x v="0"/>
    <x v="0"/>
    <x v="0"/>
    <x v="0"/>
    <m/>
    <m/>
    <n v="0"/>
    <x v="0"/>
    <x v="0"/>
    <m/>
    <n v="0"/>
    <x v="16"/>
    <m/>
    <x v="0"/>
    <x v="0"/>
    <x v="0"/>
  </r>
  <r>
    <m/>
    <n v="53"/>
    <x v="59"/>
    <d v="2001-09-01T00:00:00"/>
    <x v="6"/>
    <n v="3"/>
    <x v="0"/>
    <x v="6"/>
    <n v="17"/>
    <x v="2"/>
    <s v="Ecuador"/>
    <x v="0"/>
    <x v="4"/>
    <x v="4"/>
    <x v="4"/>
    <m/>
    <x v="0"/>
    <x v="0"/>
    <m/>
    <m/>
    <m/>
    <m/>
    <x v="0"/>
    <m/>
    <m/>
    <x v="0"/>
    <x v="0"/>
    <m/>
    <x v="0"/>
    <n v="10000"/>
    <n v="10000"/>
    <x v="0"/>
    <x v="0"/>
    <x v="0"/>
    <m/>
    <x v="0"/>
    <x v="0"/>
    <x v="0"/>
    <x v="0"/>
    <x v="0"/>
    <x v="0"/>
    <x v="0"/>
    <x v="0"/>
    <x v="0"/>
    <x v="0"/>
    <x v="0"/>
    <x v="0"/>
    <x v="0"/>
    <x v="0"/>
    <m/>
    <m/>
    <n v="10000"/>
    <x v="0"/>
    <x v="0"/>
    <n v="1000"/>
    <n v="10000"/>
    <x v="1"/>
    <m/>
    <x v="44"/>
    <x v="0"/>
    <x v="0"/>
  </r>
  <r>
    <m/>
    <n v="54"/>
    <x v="60"/>
    <d v="2001-09-01T00:00:00"/>
    <x v="6"/>
    <n v="4"/>
    <x v="0"/>
    <x v="6"/>
    <n v="18"/>
    <x v="3"/>
    <s v="Afghanistan"/>
    <x v="0"/>
    <x v="8"/>
    <x v="7"/>
    <x v="7"/>
    <m/>
    <x v="0"/>
    <x v="0"/>
    <m/>
    <m/>
    <m/>
    <m/>
    <x v="0"/>
    <m/>
    <m/>
    <x v="0"/>
    <x v="0"/>
    <m/>
    <x v="0"/>
    <m/>
    <n v="0"/>
    <x v="11"/>
    <x v="0"/>
    <x v="0"/>
    <m/>
    <x v="0"/>
    <x v="0"/>
    <x v="0"/>
    <x v="0"/>
    <x v="0"/>
    <x v="0"/>
    <x v="0"/>
    <x v="0"/>
    <x v="0"/>
    <x v="0"/>
    <x v="0"/>
    <x v="0"/>
    <x v="0"/>
    <x v="0"/>
    <n v="2032231"/>
    <n v="200000"/>
    <n v="2232231"/>
    <x v="1"/>
    <x v="0"/>
    <n v="380000"/>
    <n v="12000000"/>
    <x v="17"/>
    <m/>
    <x v="45"/>
    <x v="0"/>
    <x v="0"/>
  </r>
  <r>
    <m/>
    <n v="54"/>
    <x v="61"/>
    <d v="2001-09-01T00:00:00"/>
    <x v="6"/>
    <n v="4"/>
    <x v="0"/>
    <x v="6"/>
    <n v="18"/>
    <x v="3"/>
    <s v="Pakistan"/>
    <x v="0"/>
    <x v="8"/>
    <x v="7"/>
    <x v="7"/>
    <m/>
    <x v="0"/>
    <x v="0"/>
    <m/>
    <m/>
    <m/>
    <m/>
    <x v="0"/>
    <m/>
    <m/>
    <x v="0"/>
    <x v="0"/>
    <m/>
    <x v="0"/>
    <m/>
    <n v="0"/>
    <x v="0"/>
    <x v="0"/>
    <x v="0"/>
    <m/>
    <x v="0"/>
    <x v="0"/>
    <x v="0"/>
    <x v="0"/>
    <x v="0"/>
    <x v="0"/>
    <x v="0"/>
    <x v="0"/>
    <x v="0"/>
    <x v="0"/>
    <x v="0"/>
    <x v="0"/>
    <x v="0"/>
    <x v="0"/>
    <m/>
    <m/>
    <n v="0"/>
    <x v="0"/>
    <x v="0"/>
    <m/>
    <n v="0"/>
    <x v="17"/>
    <m/>
    <x v="0"/>
    <x v="0"/>
    <x v="0"/>
  </r>
  <r>
    <m/>
    <n v="54"/>
    <x v="62"/>
    <d v="2001-09-01T00:00:00"/>
    <x v="6"/>
    <n v="4"/>
    <x v="0"/>
    <x v="6"/>
    <n v="18"/>
    <x v="3"/>
    <s v="Uzbekistan"/>
    <x v="0"/>
    <x v="8"/>
    <x v="7"/>
    <x v="7"/>
    <m/>
    <x v="0"/>
    <x v="0"/>
    <m/>
    <m/>
    <m/>
    <m/>
    <x v="0"/>
    <m/>
    <m/>
    <x v="0"/>
    <x v="0"/>
    <m/>
    <x v="0"/>
    <m/>
    <n v="0"/>
    <x v="0"/>
    <x v="0"/>
    <x v="0"/>
    <m/>
    <x v="0"/>
    <x v="0"/>
    <x v="0"/>
    <x v="0"/>
    <x v="0"/>
    <x v="0"/>
    <x v="0"/>
    <x v="0"/>
    <x v="0"/>
    <x v="0"/>
    <x v="0"/>
    <x v="0"/>
    <x v="0"/>
    <x v="0"/>
    <m/>
    <m/>
    <n v="0"/>
    <x v="0"/>
    <x v="0"/>
    <m/>
    <n v="0"/>
    <x v="17"/>
    <m/>
    <x v="0"/>
    <x v="0"/>
    <x v="0"/>
  </r>
  <r>
    <m/>
    <n v="54"/>
    <x v="63"/>
    <d v="2001-09-01T00:00:00"/>
    <x v="6"/>
    <n v="4"/>
    <x v="0"/>
    <x v="6"/>
    <n v="18"/>
    <x v="3"/>
    <s v="Iran"/>
    <x v="0"/>
    <x v="8"/>
    <x v="7"/>
    <x v="7"/>
    <m/>
    <x v="0"/>
    <x v="0"/>
    <m/>
    <m/>
    <m/>
    <m/>
    <x v="0"/>
    <m/>
    <m/>
    <x v="0"/>
    <x v="0"/>
    <m/>
    <x v="0"/>
    <m/>
    <n v="0"/>
    <x v="0"/>
    <x v="0"/>
    <x v="0"/>
    <m/>
    <x v="0"/>
    <x v="0"/>
    <x v="0"/>
    <x v="0"/>
    <x v="0"/>
    <x v="0"/>
    <x v="0"/>
    <x v="0"/>
    <x v="0"/>
    <x v="0"/>
    <x v="0"/>
    <x v="0"/>
    <x v="0"/>
    <x v="0"/>
    <m/>
    <m/>
    <n v="0"/>
    <x v="0"/>
    <x v="0"/>
    <m/>
    <n v="0"/>
    <x v="17"/>
    <m/>
    <x v="0"/>
    <x v="0"/>
    <x v="0"/>
  </r>
  <r>
    <m/>
    <n v="54"/>
    <x v="64"/>
    <d v="2001-09-01T00:00:00"/>
    <x v="6"/>
    <n v="4"/>
    <x v="0"/>
    <x v="6"/>
    <n v="18"/>
    <x v="3"/>
    <s v="Turkmenistan"/>
    <x v="0"/>
    <x v="8"/>
    <x v="7"/>
    <x v="7"/>
    <m/>
    <x v="0"/>
    <x v="0"/>
    <m/>
    <m/>
    <m/>
    <m/>
    <x v="0"/>
    <m/>
    <m/>
    <x v="0"/>
    <x v="0"/>
    <m/>
    <x v="0"/>
    <m/>
    <n v="0"/>
    <x v="0"/>
    <x v="0"/>
    <x v="0"/>
    <m/>
    <x v="0"/>
    <x v="0"/>
    <x v="0"/>
    <x v="0"/>
    <x v="0"/>
    <x v="0"/>
    <x v="0"/>
    <x v="0"/>
    <x v="0"/>
    <x v="0"/>
    <x v="0"/>
    <x v="0"/>
    <x v="0"/>
    <x v="0"/>
    <m/>
    <m/>
    <n v="0"/>
    <x v="0"/>
    <x v="0"/>
    <m/>
    <n v="0"/>
    <x v="17"/>
    <m/>
    <x v="0"/>
    <x v="0"/>
    <x v="0"/>
  </r>
  <r>
    <m/>
    <n v="55"/>
    <x v="65"/>
    <d v="2001-09-01T00:00:00"/>
    <x v="6"/>
    <n v="5"/>
    <x v="0"/>
    <x v="6"/>
    <n v="19"/>
    <x v="4"/>
    <s v="US"/>
    <x v="0"/>
    <x v="12"/>
    <x v="14"/>
    <x v="15"/>
    <m/>
    <x v="0"/>
    <x v="0"/>
    <m/>
    <m/>
    <m/>
    <m/>
    <x v="0"/>
    <m/>
    <m/>
    <x v="0"/>
    <x v="0"/>
    <m/>
    <x v="0"/>
    <n v="3257775.37"/>
    <n v="3257775.37"/>
    <x v="14"/>
    <x v="0"/>
    <x v="0"/>
    <m/>
    <x v="0"/>
    <x v="0"/>
    <x v="0"/>
    <x v="0"/>
    <x v="0"/>
    <x v="0"/>
    <x v="0"/>
    <x v="0"/>
    <x v="0"/>
    <x v="0"/>
    <x v="0"/>
    <x v="0"/>
    <x v="0"/>
    <x v="0"/>
    <n v="0"/>
    <n v="257704"/>
    <n v="3515479.37"/>
    <x v="0"/>
    <x v="0"/>
    <n v="2622"/>
    <n v="3515479.37"/>
    <x v="18"/>
    <d v="2008-09-11T00:00:00"/>
    <x v="46"/>
    <x v="0"/>
    <x v="0"/>
  </r>
  <r>
    <m/>
    <n v="56"/>
    <x v="66"/>
    <d v="2001-09-01T00:00:00"/>
    <x v="6"/>
    <n v="6"/>
    <x v="0"/>
    <x v="6"/>
    <n v="20"/>
    <x v="2"/>
    <s v="Mexico"/>
    <x v="0"/>
    <x v="9"/>
    <x v="9"/>
    <x v="10"/>
    <m/>
    <x v="0"/>
    <x v="0"/>
    <m/>
    <m/>
    <m/>
    <m/>
    <x v="0"/>
    <m/>
    <m/>
    <x v="0"/>
    <x v="0"/>
    <m/>
    <x v="0"/>
    <m/>
    <n v="0"/>
    <x v="6"/>
    <x v="0"/>
    <x v="0"/>
    <m/>
    <x v="0"/>
    <x v="0"/>
    <x v="0"/>
    <x v="0"/>
    <x v="0"/>
    <x v="0"/>
    <x v="0"/>
    <x v="0"/>
    <x v="0"/>
    <x v="0"/>
    <x v="0"/>
    <x v="0"/>
    <x v="0"/>
    <x v="0"/>
    <n v="0"/>
    <n v="15000"/>
    <n v="15000"/>
    <x v="0"/>
    <x v="0"/>
    <n v="95"/>
    <n v="15000"/>
    <x v="19"/>
    <s v="Plane Crash"/>
    <x v="47"/>
    <x v="0"/>
    <x v="0"/>
  </r>
  <r>
    <m/>
    <n v="57"/>
    <x v="67"/>
    <d v="2001-10-01T00:00:00"/>
    <x v="6"/>
    <n v="7"/>
    <x v="0"/>
    <x v="6"/>
    <n v="21"/>
    <x v="2"/>
    <s v="Mexico"/>
    <x v="0"/>
    <x v="5"/>
    <x v="5"/>
    <x v="5"/>
    <m/>
    <x v="0"/>
    <x v="0"/>
    <m/>
    <m/>
    <m/>
    <m/>
    <x v="0"/>
    <m/>
    <m/>
    <x v="0"/>
    <x v="0"/>
    <m/>
    <x v="0"/>
    <n v="25000"/>
    <n v="25000"/>
    <x v="2"/>
    <x v="0"/>
    <x v="0"/>
    <m/>
    <x v="0"/>
    <x v="0"/>
    <x v="0"/>
    <x v="0"/>
    <x v="0"/>
    <x v="0"/>
    <x v="0"/>
    <x v="0"/>
    <x v="0"/>
    <x v="0"/>
    <x v="0"/>
    <x v="0"/>
    <x v="0"/>
    <x v="0"/>
    <m/>
    <m/>
    <n v="25000"/>
    <x v="0"/>
    <x v="0"/>
    <n v="5000"/>
    <n v="25000"/>
    <x v="1"/>
    <s v="Juliette"/>
    <x v="48"/>
    <x v="0"/>
    <x v="0"/>
  </r>
  <r>
    <m/>
    <n v="58"/>
    <x v="68"/>
    <d v="2001-10-01T00:00:00"/>
    <x v="6"/>
    <n v="8"/>
    <x v="0"/>
    <x v="6"/>
    <n v="22"/>
    <x v="2"/>
    <s v="Belize"/>
    <x v="0"/>
    <x v="13"/>
    <x v="5"/>
    <x v="5"/>
    <m/>
    <x v="0"/>
    <x v="0"/>
    <m/>
    <m/>
    <m/>
    <m/>
    <x v="0"/>
    <m/>
    <m/>
    <x v="0"/>
    <x v="0"/>
    <m/>
    <x v="0"/>
    <n v="25000"/>
    <n v="25000"/>
    <x v="5"/>
    <x v="0"/>
    <x v="0"/>
    <m/>
    <x v="0"/>
    <x v="0"/>
    <x v="0"/>
    <x v="0"/>
    <x v="0"/>
    <x v="0"/>
    <x v="0"/>
    <x v="0"/>
    <x v="0"/>
    <x v="0"/>
    <x v="0"/>
    <x v="0"/>
    <x v="0"/>
    <x v="0"/>
    <n v="69000"/>
    <n v="3982"/>
    <n v="97982"/>
    <x v="0"/>
    <x v="0"/>
    <n v="5000"/>
    <n v="97982"/>
    <x v="20"/>
    <s v="Iris"/>
    <x v="49"/>
    <x v="0"/>
    <x v="0"/>
  </r>
  <r>
    <m/>
    <n v="59"/>
    <x v="69"/>
    <d v="2001-10-01T00:00:00"/>
    <x v="6"/>
    <n v="9"/>
    <x v="0"/>
    <x v="6"/>
    <n v="23"/>
    <x v="2"/>
    <s v="Belize"/>
    <x v="0"/>
    <x v="9"/>
    <x v="15"/>
    <x v="16"/>
    <m/>
    <x v="0"/>
    <x v="0"/>
    <m/>
    <m/>
    <m/>
    <m/>
    <x v="0"/>
    <m/>
    <m/>
    <x v="0"/>
    <x v="0"/>
    <m/>
    <x v="0"/>
    <m/>
    <n v="0"/>
    <x v="4"/>
    <x v="0"/>
    <x v="0"/>
    <m/>
    <x v="0"/>
    <x v="0"/>
    <x v="0"/>
    <x v="0"/>
    <x v="0"/>
    <x v="0"/>
    <x v="0"/>
    <x v="0"/>
    <x v="0"/>
    <x v="0"/>
    <x v="0"/>
    <x v="0"/>
    <x v="0"/>
    <x v="0"/>
    <n v="0"/>
    <n v="4400"/>
    <n v="4400"/>
    <x v="0"/>
    <x v="0"/>
    <n v="135"/>
    <n v="4400"/>
    <x v="1"/>
    <s v="Boat Crash"/>
    <x v="50"/>
    <x v="0"/>
    <x v="0"/>
  </r>
  <r>
    <m/>
    <n v="60"/>
    <x v="70"/>
    <d v="2001-10-01T00:00:00"/>
    <x v="6"/>
    <n v="10"/>
    <x v="0"/>
    <x v="6"/>
    <n v="24"/>
    <x v="2"/>
    <s v="Honduras"/>
    <x v="0"/>
    <x v="5"/>
    <x v="5"/>
    <x v="17"/>
    <m/>
    <x v="0"/>
    <x v="0"/>
    <m/>
    <m/>
    <m/>
    <m/>
    <x v="0"/>
    <m/>
    <m/>
    <x v="0"/>
    <x v="0"/>
    <m/>
    <x v="0"/>
    <m/>
    <n v="0"/>
    <x v="0"/>
    <x v="0"/>
    <x v="0"/>
    <m/>
    <x v="0"/>
    <x v="0"/>
    <x v="0"/>
    <x v="0"/>
    <x v="0"/>
    <x v="0"/>
    <x v="0"/>
    <x v="0"/>
    <x v="0"/>
    <x v="0"/>
    <x v="0"/>
    <x v="0"/>
    <x v="0"/>
    <x v="0"/>
    <m/>
    <m/>
    <n v="0"/>
    <x v="0"/>
    <x v="0"/>
    <m/>
    <n v="0"/>
    <x v="1"/>
    <s v="Michelle"/>
    <x v="0"/>
    <x v="0"/>
    <x v="0"/>
  </r>
  <r>
    <m/>
    <n v="60"/>
    <x v="71"/>
    <d v="2001-11-01T00:00:00"/>
    <x v="6"/>
    <n v="10"/>
    <x v="0"/>
    <x v="6"/>
    <n v="24"/>
    <x v="2"/>
    <s v="Nicaragua"/>
    <x v="0"/>
    <x v="5"/>
    <x v="5"/>
    <x v="17"/>
    <m/>
    <x v="0"/>
    <x v="0"/>
    <m/>
    <m/>
    <m/>
    <m/>
    <x v="0"/>
    <m/>
    <m/>
    <x v="0"/>
    <x v="0"/>
    <m/>
    <x v="0"/>
    <m/>
    <n v="0"/>
    <x v="0"/>
    <x v="0"/>
    <x v="0"/>
    <m/>
    <x v="0"/>
    <x v="0"/>
    <x v="0"/>
    <x v="0"/>
    <x v="0"/>
    <x v="0"/>
    <x v="0"/>
    <x v="0"/>
    <x v="0"/>
    <x v="0"/>
    <x v="0"/>
    <x v="0"/>
    <x v="0"/>
    <x v="0"/>
    <m/>
    <n v="60000"/>
    <n v="60000"/>
    <x v="0"/>
    <x v="0"/>
    <n v="5000"/>
    <n v="60000"/>
    <x v="1"/>
    <s v="Michelle"/>
    <x v="51"/>
    <x v="0"/>
    <x v="0"/>
  </r>
  <r>
    <m/>
    <n v="60"/>
    <x v="72"/>
    <d v="2001-11-01T00:00:00"/>
    <x v="6"/>
    <n v="10"/>
    <x v="0"/>
    <x v="6"/>
    <n v="24"/>
    <x v="2"/>
    <s v="Cuba"/>
    <x v="0"/>
    <x v="5"/>
    <x v="5"/>
    <x v="17"/>
    <m/>
    <x v="0"/>
    <x v="0"/>
    <m/>
    <m/>
    <m/>
    <m/>
    <x v="0"/>
    <m/>
    <m/>
    <x v="0"/>
    <x v="0"/>
    <m/>
    <x v="0"/>
    <m/>
    <n v="0"/>
    <x v="0"/>
    <x v="0"/>
    <x v="0"/>
    <m/>
    <x v="0"/>
    <x v="0"/>
    <x v="0"/>
    <x v="0"/>
    <x v="0"/>
    <x v="0"/>
    <x v="0"/>
    <x v="0"/>
    <x v="0"/>
    <x v="0"/>
    <x v="0"/>
    <x v="0"/>
    <x v="0"/>
    <x v="0"/>
    <m/>
    <m/>
    <n v="0"/>
    <x v="0"/>
    <x v="0"/>
    <m/>
    <n v="0"/>
    <x v="1"/>
    <s v="Michelle"/>
    <x v="0"/>
    <x v="0"/>
    <x v="0"/>
  </r>
  <r>
    <m/>
    <n v="60"/>
    <x v="73"/>
    <d v="2001-11-01T00:00:00"/>
    <x v="6"/>
    <n v="10"/>
    <x v="0"/>
    <x v="6"/>
    <n v="24"/>
    <x v="2"/>
    <s v="Jamaica"/>
    <x v="0"/>
    <x v="5"/>
    <x v="5"/>
    <x v="17"/>
    <m/>
    <x v="0"/>
    <x v="0"/>
    <m/>
    <m/>
    <m/>
    <m/>
    <x v="0"/>
    <m/>
    <m/>
    <x v="0"/>
    <x v="0"/>
    <m/>
    <x v="0"/>
    <n v="5000"/>
    <n v="5000"/>
    <x v="0"/>
    <x v="0"/>
    <x v="0"/>
    <m/>
    <x v="0"/>
    <x v="0"/>
    <x v="0"/>
    <x v="0"/>
    <x v="0"/>
    <x v="0"/>
    <x v="0"/>
    <x v="0"/>
    <x v="0"/>
    <x v="0"/>
    <x v="0"/>
    <x v="0"/>
    <x v="0"/>
    <x v="0"/>
    <m/>
    <m/>
    <n v="5000"/>
    <x v="0"/>
    <x v="0"/>
    <m/>
    <n v="5000"/>
    <x v="1"/>
    <s v="Michelle"/>
    <x v="0"/>
    <x v="0"/>
    <x v="0"/>
  </r>
  <r>
    <m/>
    <n v="61"/>
    <x v="13"/>
    <d v="2001-11-01T00:00:00"/>
    <x v="6"/>
    <n v="11"/>
    <x v="0"/>
    <x v="6"/>
    <n v="25"/>
    <x v="2"/>
    <s v="Bahamas"/>
    <x v="0"/>
    <x v="5"/>
    <x v="5"/>
    <x v="17"/>
    <m/>
    <x v="0"/>
    <x v="0"/>
    <m/>
    <m/>
    <m/>
    <m/>
    <x v="0"/>
    <m/>
    <m/>
    <x v="0"/>
    <x v="0"/>
    <m/>
    <x v="0"/>
    <n v="5000"/>
    <n v="5000"/>
    <x v="1"/>
    <x v="0"/>
    <x v="0"/>
    <m/>
    <x v="0"/>
    <x v="0"/>
    <x v="0"/>
    <x v="0"/>
    <x v="0"/>
    <x v="0"/>
    <x v="0"/>
    <x v="0"/>
    <x v="0"/>
    <x v="0"/>
    <x v="0"/>
    <x v="0"/>
    <x v="0"/>
    <x v="0"/>
    <m/>
    <m/>
    <n v="5000"/>
    <x v="0"/>
    <x v="0"/>
    <m/>
    <n v="5000"/>
    <x v="1"/>
    <s v="Michelle"/>
    <x v="0"/>
    <x v="0"/>
    <x v="0"/>
  </r>
  <r>
    <m/>
    <n v="62"/>
    <x v="74"/>
    <d v="2001-11-01T00:00:00"/>
    <x v="6"/>
    <n v="12"/>
    <x v="0"/>
    <x v="6"/>
    <n v="26"/>
    <x v="4"/>
    <s v="US"/>
    <x v="0"/>
    <x v="9"/>
    <x v="9"/>
    <x v="10"/>
    <m/>
    <x v="0"/>
    <x v="0"/>
    <m/>
    <m/>
    <m/>
    <m/>
    <x v="0"/>
    <m/>
    <m/>
    <x v="0"/>
    <x v="0"/>
    <m/>
    <x v="0"/>
    <m/>
    <n v="0"/>
    <x v="10"/>
    <x v="0"/>
    <x v="0"/>
    <m/>
    <x v="0"/>
    <x v="0"/>
    <x v="0"/>
    <x v="0"/>
    <x v="0"/>
    <x v="0"/>
    <x v="0"/>
    <x v="0"/>
    <x v="0"/>
    <x v="0"/>
    <x v="0"/>
    <x v="0"/>
    <x v="0"/>
    <x v="0"/>
    <n v="0"/>
    <n v="500"/>
    <n v="500"/>
    <x v="0"/>
    <x v="0"/>
    <m/>
    <n v="500"/>
    <x v="21"/>
    <s v="AA #587"/>
    <x v="52"/>
    <x v="0"/>
    <x v="0"/>
  </r>
  <r>
    <m/>
    <n v="63"/>
    <x v="75"/>
    <d v="2002-01-01T00:00:00"/>
    <x v="6"/>
    <n v="13"/>
    <x v="0"/>
    <x v="7"/>
    <n v="1"/>
    <x v="3"/>
    <s v="Cambodia"/>
    <x v="0"/>
    <x v="10"/>
    <x v="10"/>
    <x v="18"/>
    <m/>
    <x v="0"/>
    <x v="0"/>
    <m/>
    <m/>
    <m/>
    <m/>
    <x v="0"/>
    <m/>
    <m/>
    <x v="0"/>
    <x v="0"/>
    <m/>
    <x v="0"/>
    <m/>
    <n v="0"/>
    <x v="0"/>
    <x v="0"/>
    <x v="0"/>
    <m/>
    <x v="0"/>
    <x v="0"/>
    <x v="0"/>
    <x v="0"/>
    <x v="0"/>
    <x v="0"/>
    <x v="0"/>
    <x v="0"/>
    <x v="0"/>
    <x v="0"/>
    <x v="0"/>
    <x v="0"/>
    <x v="0"/>
    <x v="0"/>
    <n v="10000"/>
    <m/>
    <n v="10000"/>
    <x v="0"/>
    <x v="0"/>
    <n v="2079"/>
    <n v="10000"/>
    <x v="1"/>
    <s v="Phnom Penh"/>
    <x v="0"/>
    <x v="0"/>
    <x v="0"/>
  </r>
  <r>
    <m/>
    <n v="64"/>
    <x v="76"/>
    <d v="2002-01-01T00:00:00"/>
    <x v="6"/>
    <n v="14"/>
    <x v="0"/>
    <x v="7"/>
    <n v="2"/>
    <x v="3"/>
    <s v="Albania"/>
    <x v="0"/>
    <x v="5"/>
    <x v="16"/>
    <x v="0"/>
    <m/>
    <x v="0"/>
    <x v="0"/>
    <m/>
    <m/>
    <m/>
    <m/>
    <x v="0"/>
    <m/>
    <m/>
    <x v="0"/>
    <x v="0"/>
    <m/>
    <x v="0"/>
    <m/>
    <n v="0"/>
    <x v="2"/>
    <x v="0"/>
    <x v="0"/>
    <m/>
    <x v="0"/>
    <x v="0"/>
    <x v="0"/>
    <x v="0"/>
    <x v="0"/>
    <x v="0"/>
    <x v="0"/>
    <x v="0"/>
    <x v="0"/>
    <x v="0"/>
    <x v="0"/>
    <x v="0"/>
    <x v="0"/>
    <x v="0"/>
    <n v="71832"/>
    <m/>
    <n v="71832"/>
    <x v="0"/>
    <x v="0"/>
    <n v="20000"/>
    <n v="71832"/>
    <x v="1"/>
    <m/>
    <x v="53"/>
    <x v="0"/>
    <x v="0"/>
  </r>
  <r>
    <m/>
    <n v="65"/>
    <x v="77"/>
    <d v="2002-01-01T00:00:00"/>
    <x v="6"/>
    <n v="15"/>
    <x v="0"/>
    <x v="7"/>
    <n v="3"/>
    <x v="1"/>
    <s v="DR Congo"/>
    <x v="0"/>
    <x v="4"/>
    <x v="4"/>
    <x v="4"/>
    <m/>
    <x v="0"/>
    <x v="0"/>
    <m/>
    <m/>
    <m/>
    <m/>
    <x v="0"/>
    <m/>
    <m/>
    <x v="0"/>
    <x v="2"/>
    <n v="25000"/>
    <x v="0"/>
    <m/>
    <n v="25000"/>
    <x v="0"/>
    <x v="0"/>
    <x v="0"/>
    <m/>
    <x v="0"/>
    <x v="0"/>
    <x v="0"/>
    <x v="0"/>
    <x v="0"/>
    <x v="0"/>
    <x v="0"/>
    <x v="0"/>
    <x v="0"/>
    <x v="0"/>
    <x v="0"/>
    <x v="0"/>
    <x v="0"/>
    <x v="0"/>
    <n v="20000"/>
    <m/>
    <n v="45000"/>
    <x v="0"/>
    <x v="0"/>
    <n v="30000"/>
    <n v="45000"/>
    <x v="22"/>
    <s v="North Kivu"/>
    <x v="54"/>
    <x v="0"/>
    <x v="0"/>
  </r>
  <r>
    <m/>
    <n v="66"/>
    <x v="78"/>
    <d v="2002-01-01T00:00:00"/>
    <x v="6"/>
    <n v="17"/>
    <x v="0"/>
    <x v="7"/>
    <n v="5"/>
    <x v="1"/>
    <s v="Nigeria"/>
    <x v="0"/>
    <x v="6"/>
    <x v="17"/>
    <x v="19"/>
    <m/>
    <x v="0"/>
    <x v="0"/>
    <m/>
    <m/>
    <m/>
    <m/>
    <x v="0"/>
    <m/>
    <m/>
    <x v="0"/>
    <x v="2"/>
    <n v="21612.23"/>
    <x v="0"/>
    <m/>
    <n v="21612.23"/>
    <x v="0"/>
    <x v="0"/>
    <x v="0"/>
    <m/>
    <x v="0"/>
    <x v="0"/>
    <x v="0"/>
    <x v="0"/>
    <x v="0"/>
    <x v="0"/>
    <x v="0"/>
    <x v="0"/>
    <x v="0"/>
    <x v="0"/>
    <x v="0"/>
    <x v="0"/>
    <x v="0"/>
    <x v="0"/>
    <m/>
    <m/>
    <n v="21612.23"/>
    <x v="0"/>
    <x v="0"/>
    <n v="677.77942515832501"/>
    <n v="21612.23"/>
    <x v="23"/>
    <s v="Munitions Explosion"/>
    <x v="55"/>
    <x v="0"/>
    <x v="0"/>
  </r>
  <r>
    <m/>
    <n v="67"/>
    <x v="9"/>
    <d v="2002-02-01T00:00:00"/>
    <x v="6"/>
    <n v="16"/>
    <x v="0"/>
    <x v="7"/>
    <n v="4"/>
    <x v="3"/>
    <s v="Turkey"/>
    <x v="0"/>
    <x v="3"/>
    <x v="3"/>
    <x v="3"/>
    <m/>
    <x v="0"/>
    <x v="0"/>
    <m/>
    <m/>
    <m/>
    <m/>
    <x v="0"/>
    <m/>
    <m/>
    <x v="0"/>
    <x v="0"/>
    <m/>
    <x v="0"/>
    <m/>
    <n v="0"/>
    <x v="2"/>
    <x v="0"/>
    <x v="0"/>
    <m/>
    <x v="0"/>
    <x v="0"/>
    <x v="0"/>
    <x v="0"/>
    <x v="0"/>
    <x v="0"/>
    <x v="0"/>
    <x v="0"/>
    <x v="0"/>
    <x v="0"/>
    <x v="0"/>
    <x v="0"/>
    <x v="0"/>
    <x v="0"/>
    <n v="350424.24"/>
    <m/>
    <n v="350424.24"/>
    <x v="0"/>
    <x v="0"/>
    <n v="49315"/>
    <n v="350424.24"/>
    <x v="3"/>
    <m/>
    <x v="0"/>
    <x v="0"/>
    <x v="0"/>
  </r>
  <r>
    <m/>
    <n v="68"/>
    <x v="48"/>
    <d v="2002-03-01T00:00:00"/>
    <x v="6"/>
    <n v="18"/>
    <x v="0"/>
    <x v="7"/>
    <n v="6"/>
    <x v="2"/>
    <s v="Bolivia"/>
    <x v="0"/>
    <x v="2"/>
    <x v="2"/>
    <x v="2"/>
    <m/>
    <x v="0"/>
    <x v="0"/>
    <m/>
    <m/>
    <m/>
    <m/>
    <x v="0"/>
    <m/>
    <m/>
    <x v="0"/>
    <x v="0"/>
    <m/>
    <x v="0"/>
    <n v="11700"/>
    <n v="11700"/>
    <x v="0"/>
    <x v="0"/>
    <x v="0"/>
    <m/>
    <x v="0"/>
    <x v="0"/>
    <x v="0"/>
    <x v="0"/>
    <x v="0"/>
    <x v="0"/>
    <x v="0"/>
    <x v="0"/>
    <x v="0"/>
    <x v="0"/>
    <x v="0"/>
    <x v="0"/>
    <x v="0"/>
    <x v="0"/>
    <m/>
    <m/>
    <n v="11700"/>
    <x v="0"/>
    <x v="0"/>
    <n v="300"/>
    <n v="11700"/>
    <x v="1"/>
    <m/>
    <x v="0"/>
    <x v="0"/>
    <x v="0"/>
  </r>
  <r>
    <m/>
    <n v="69"/>
    <x v="79"/>
    <d v="2002-03-01T00:00:00"/>
    <x v="6"/>
    <n v="19"/>
    <x v="0"/>
    <x v="7"/>
    <n v="7"/>
    <x v="3"/>
    <s v="Afghanistan"/>
    <x v="0"/>
    <x v="3"/>
    <x v="3"/>
    <x v="3"/>
    <m/>
    <x v="0"/>
    <x v="0"/>
    <m/>
    <m/>
    <m/>
    <m/>
    <x v="0"/>
    <m/>
    <m/>
    <x v="0"/>
    <x v="0"/>
    <m/>
    <x v="1"/>
    <m/>
    <n v="104805"/>
    <x v="4"/>
    <x v="0"/>
    <x v="0"/>
    <m/>
    <x v="0"/>
    <x v="0"/>
    <x v="0"/>
    <x v="0"/>
    <x v="0"/>
    <x v="0"/>
    <x v="0"/>
    <x v="0"/>
    <x v="0"/>
    <x v="0"/>
    <x v="0"/>
    <x v="0"/>
    <x v="0"/>
    <x v="0"/>
    <m/>
    <m/>
    <n v="104805"/>
    <x v="0"/>
    <x v="0"/>
    <n v="19678.7"/>
    <n v="104805"/>
    <x v="24"/>
    <m/>
    <x v="56"/>
    <x v="0"/>
    <x v="0"/>
  </r>
  <r>
    <m/>
    <n v="70"/>
    <x v="36"/>
    <d v="2002-04-01T00:00:00"/>
    <x v="6"/>
    <n v="20"/>
    <x v="0"/>
    <x v="7"/>
    <n v="8"/>
    <x v="3"/>
    <s v="Jordan"/>
    <x v="0"/>
    <x v="8"/>
    <x v="7"/>
    <x v="7"/>
    <m/>
    <x v="0"/>
    <x v="0"/>
    <m/>
    <m/>
    <m/>
    <m/>
    <x v="0"/>
    <m/>
    <m/>
    <x v="0"/>
    <x v="2"/>
    <n v="25000"/>
    <x v="0"/>
    <n v="200000"/>
    <n v="225000"/>
    <x v="2"/>
    <x v="0"/>
    <x v="0"/>
    <m/>
    <x v="0"/>
    <x v="0"/>
    <x v="0"/>
    <x v="0"/>
    <x v="0"/>
    <x v="0"/>
    <x v="0"/>
    <x v="0"/>
    <x v="0"/>
    <x v="0"/>
    <x v="0"/>
    <x v="0"/>
    <x v="0"/>
    <x v="0"/>
    <m/>
    <m/>
    <n v="225000"/>
    <x v="0"/>
    <x v="0"/>
    <m/>
    <n v="225000"/>
    <x v="1"/>
    <m/>
    <x v="57"/>
    <x v="0"/>
    <x v="0"/>
  </r>
  <r>
    <m/>
    <n v="71"/>
    <x v="80"/>
    <d v="2002-05-01T00:00:00"/>
    <x v="6"/>
    <n v="21"/>
    <x v="0"/>
    <x v="7"/>
    <n v="9"/>
    <x v="2"/>
    <s v="Panama"/>
    <x v="0"/>
    <x v="2"/>
    <x v="2"/>
    <x v="2"/>
    <m/>
    <x v="0"/>
    <x v="0"/>
    <m/>
    <m/>
    <m/>
    <m/>
    <x v="0"/>
    <m/>
    <m/>
    <x v="0"/>
    <x v="0"/>
    <m/>
    <x v="0"/>
    <n v="2000"/>
    <n v="2000"/>
    <x v="0"/>
    <x v="0"/>
    <x v="0"/>
    <m/>
    <x v="0"/>
    <x v="0"/>
    <x v="0"/>
    <x v="0"/>
    <x v="0"/>
    <x v="0"/>
    <x v="0"/>
    <x v="0"/>
    <x v="0"/>
    <x v="0"/>
    <x v="0"/>
    <x v="0"/>
    <x v="0"/>
    <x v="0"/>
    <m/>
    <m/>
    <n v="2000"/>
    <x v="0"/>
    <x v="0"/>
    <m/>
    <n v="2000"/>
    <x v="1"/>
    <m/>
    <x v="0"/>
    <x v="0"/>
    <x v="0"/>
  </r>
  <r>
    <m/>
    <n v="71"/>
    <x v="7"/>
    <d v="2002-05-01T00:00:00"/>
    <x v="6"/>
    <n v="21"/>
    <x v="0"/>
    <x v="7"/>
    <n v="9"/>
    <x v="2"/>
    <s v="Costa Rica"/>
    <x v="0"/>
    <x v="2"/>
    <x v="2"/>
    <x v="2"/>
    <m/>
    <x v="0"/>
    <x v="0"/>
    <m/>
    <m/>
    <m/>
    <m/>
    <x v="0"/>
    <m/>
    <m/>
    <x v="0"/>
    <x v="0"/>
    <m/>
    <x v="0"/>
    <n v="2000"/>
    <n v="2000"/>
    <x v="0"/>
    <x v="0"/>
    <x v="0"/>
    <m/>
    <x v="0"/>
    <x v="0"/>
    <x v="0"/>
    <x v="0"/>
    <x v="0"/>
    <x v="0"/>
    <x v="0"/>
    <x v="0"/>
    <x v="0"/>
    <x v="0"/>
    <x v="0"/>
    <x v="0"/>
    <x v="0"/>
    <x v="0"/>
    <m/>
    <m/>
    <n v="2000"/>
    <x v="0"/>
    <x v="0"/>
    <n v="0"/>
    <n v="2000"/>
    <x v="1"/>
    <m/>
    <x v="0"/>
    <x v="0"/>
    <x v="0"/>
  </r>
  <r>
    <m/>
    <n v="72"/>
    <x v="81"/>
    <d v="2002-05-01T00:00:00"/>
    <x v="6"/>
    <n v="22"/>
    <x v="0"/>
    <x v="7"/>
    <n v="10"/>
    <x v="1"/>
    <s v="Kenya"/>
    <x v="0"/>
    <x v="2"/>
    <x v="2"/>
    <x v="2"/>
    <m/>
    <x v="0"/>
    <x v="0"/>
    <m/>
    <m/>
    <m/>
    <m/>
    <x v="0"/>
    <m/>
    <m/>
    <x v="0"/>
    <x v="2"/>
    <n v="10000"/>
    <x v="0"/>
    <m/>
    <n v="10000"/>
    <x v="0"/>
    <x v="0"/>
    <x v="0"/>
    <m/>
    <x v="0"/>
    <x v="0"/>
    <x v="0"/>
    <x v="0"/>
    <x v="0"/>
    <x v="0"/>
    <x v="0"/>
    <x v="0"/>
    <x v="0"/>
    <x v="0"/>
    <x v="0"/>
    <x v="0"/>
    <x v="0"/>
    <x v="0"/>
    <m/>
    <m/>
    <n v="10000"/>
    <x v="0"/>
    <x v="0"/>
    <n v="1160.6960462049883"/>
    <n v="10000"/>
    <x v="1"/>
    <m/>
    <x v="0"/>
    <x v="0"/>
    <x v="0"/>
  </r>
  <r>
    <m/>
    <n v="73"/>
    <x v="82"/>
    <d v="2002-05-01T00:00:00"/>
    <x v="6"/>
    <n v="23"/>
    <x v="0"/>
    <x v="7"/>
    <n v="11"/>
    <x v="1"/>
    <s v="Malawi"/>
    <x v="0"/>
    <x v="14"/>
    <x v="18"/>
    <x v="20"/>
    <m/>
    <x v="0"/>
    <x v="0"/>
    <m/>
    <m/>
    <m/>
    <m/>
    <x v="0"/>
    <m/>
    <m/>
    <x v="0"/>
    <x v="0"/>
    <m/>
    <x v="0"/>
    <m/>
    <n v="0"/>
    <x v="5"/>
    <x v="0"/>
    <x v="0"/>
    <m/>
    <x v="0"/>
    <x v="0"/>
    <x v="0"/>
    <x v="0"/>
    <x v="0"/>
    <x v="0"/>
    <x v="0"/>
    <x v="0"/>
    <x v="0"/>
    <x v="0"/>
    <x v="0"/>
    <x v="0"/>
    <x v="0"/>
    <x v="0"/>
    <m/>
    <n v="100000"/>
    <n v="100000"/>
    <x v="0"/>
    <x v="0"/>
    <n v="96000"/>
    <n v="100000"/>
    <x v="25"/>
    <m/>
    <x v="0"/>
    <x v="0"/>
    <x v="0"/>
  </r>
  <r>
    <m/>
    <n v="74"/>
    <x v="83"/>
    <d v="2002-06-01T00:00:00"/>
    <x v="6"/>
    <n v="24"/>
    <x v="0"/>
    <x v="7"/>
    <n v="12"/>
    <x v="2"/>
    <s v="Nicaragua"/>
    <x v="0"/>
    <x v="2"/>
    <x v="2"/>
    <x v="2"/>
    <m/>
    <x v="0"/>
    <x v="0"/>
    <m/>
    <m/>
    <m/>
    <m/>
    <x v="0"/>
    <m/>
    <m/>
    <x v="0"/>
    <x v="0"/>
    <m/>
    <x v="0"/>
    <m/>
    <n v="0"/>
    <x v="2"/>
    <x v="0"/>
    <x v="0"/>
    <m/>
    <x v="0"/>
    <x v="0"/>
    <x v="0"/>
    <x v="0"/>
    <x v="0"/>
    <x v="0"/>
    <x v="0"/>
    <x v="0"/>
    <x v="0"/>
    <x v="0"/>
    <x v="0"/>
    <x v="0"/>
    <x v="0"/>
    <x v="0"/>
    <m/>
    <m/>
    <n v="0"/>
    <x v="0"/>
    <x v="0"/>
    <n v="0"/>
    <n v="0"/>
    <x v="26"/>
    <m/>
    <x v="58"/>
    <x v="0"/>
    <x v="0"/>
  </r>
  <r>
    <m/>
    <n v="75"/>
    <x v="84"/>
    <d v="2002-06-01T00:00:00"/>
    <x v="6"/>
    <n v="25"/>
    <x v="0"/>
    <x v="7"/>
    <n v="13"/>
    <x v="3"/>
    <s v="Syria"/>
    <x v="0"/>
    <x v="10"/>
    <x v="19"/>
    <x v="21"/>
    <m/>
    <x v="0"/>
    <x v="0"/>
    <m/>
    <m/>
    <m/>
    <m/>
    <x v="0"/>
    <m/>
    <m/>
    <x v="0"/>
    <x v="2"/>
    <n v="10000"/>
    <x v="0"/>
    <m/>
    <n v="10000"/>
    <x v="0"/>
    <x v="0"/>
    <x v="0"/>
    <m/>
    <x v="0"/>
    <x v="0"/>
    <x v="0"/>
    <x v="0"/>
    <x v="0"/>
    <x v="0"/>
    <x v="0"/>
    <x v="0"/>
    <x v="0"/>
    <x v="0"/>
    <x v="0"/>
    <x v="0"/>
    <x v="0"/>
    <x v="0"/>
    <m/>
    <m/>
    <n v="10000"/>
    <x v="0"/>
    <x v="0"/>
    <n v="216.21621621621622"/>
    <n v="10000"/>
    <x v="1"/>
    <s v="Dam Burst"/>
    <x v="59"/>
    <x v="0"/>
    <x v="0"/>
  </r>
  <r>
    <m/>
    <n v="76"/>
    <x v="8"/>
    <d v="2002-06-01T00:00:00"/>
    <x v="6"/>
    <n v="26"/>
    <x v="0"/>
    <x v="7"/>
    <n v="14"/>
    <x v="3"/>
    <s v="China"/>
    <x v="0"/>
    <x v="2"/>
    <x v="2"/>
    <x v="2"/>
    <m/>
    <x v="0"/>
    <x v="0"/>
    <m/>
    <m/>
    <m/>
    <m/>
    <x v="0"/>
    <m/>
    <m/>
    <x v="0"/>
    <x v="0"/>
    <m/>
    <x v="0"/>
    <n v="75000"/>
    <n v="75000"/>
    <x v="0"/>
    <x v="0"/>
    <x v="0"/>
    <m/>
    <x v="0"/>
    <x v="0"/>
    <x v="0"/>
    <x v="0"/>
    <x v="0"/>
    <x v="0"/>
    <x v="0"/>
    <x v="0"/>
    <x v="0"/>
    <x v="0"/>
    <x v="0"/>
    <x v="0"/>
    <x v="0"/>
    <x v="0"/>
    <m/>
    <m/>
    <n v="75000"/>
    <x v="0"/>
    <x v="0"/>
    <n v="2243.493867783428"/>
    <n v="75000"/>
    <x v="2"/>
    <m/>
    <x v="60"/>
    <x v="0"/>
    <x v="0"/>
  </r>
  <r>
    <m/>
    <n v="76"/>
    <x v="8"/>
    <d v="2002-06-01T00:00:00"/>
    <x v="6"/>
    <n v="26"/>
    <x v="0"/>
    <x v="7"/>
    <n v="14"/>
    <x v="3"/>
    <s v="China"/>
    <x v="0"/>
    <x v="2"/>
    <x v="2"/>
    <x v="2"/>
    <m/>
    <x v="0"/>
    <x v="0"/>
    <m/>
    <m/>
    <m/>
    <m/>
    <x v="0"/>
    <m/>
    <m/>
    <x v="0"/>
    <x v="0"/>
    <m/>
    <x v="0"/>
    <n v="25000"/>
    <n v="25000"/>
    <x v="0"/>
    <x v="0"/>
    <x v="0"/>
    <m/>
    <x v="0"/>
    <x v="0"/>
    <x v="0"/>
    <x v="0"/>
    <x v="0"/>
    <x v="0"/>
    <x v="0"/>
    <x v="0"/>
    <x v="0"/>
    <x v="0"/>
    <x v="0"/>
    <x v="0"/>
    <x v="0"/>
    <x v="0"/>
    <m/>
    <m/>
    <n v="25000"/>
    <x v="0"/>
    <x v="0"/>
    <m/>
    <n v="25000"/>
    <x v="1"/>
    <m/>
    <x v="0"/>
    <x v="0"/>
    <x v="0"/>
  </r>
  <r>
    <m/>
    <n v="76"/>
    <x v="8"/>
    <d v="2002-06-01T00:00:00"/>
    <x v="6"/>
    <n v="26"/>
    <x v="0"/>
    <x v="7"/>
    <n v="14"/>
    <x v="3"/>
    <s v="China"/>
    <x v="0"/>
    <x v="2"/>
    <x v="2"/>
    <x v="2"/>
    <m/>
    <x v="0"/>
    <x v="0"/>
    <m/>
    <m/>
    <m/>
    <m/>
    <x v="0"/>
    <m/>
    <m/>
    <x v="0"/>
    <x v="0"/>
    <m/>
    <x v="0"/>
    <n v="100000"/>
    <n v="100000"/>
    <x v="0"/>
    <x v="0"/>
    <x v="0"/>
    <m/>
    <x v="0"/>
    <x v="0"/>
    <x v="0"/>
    <x v="0"/>
    <x v="0"/>
    <x v="0"/>
    <x v="0"/>
    <x v="0"/>
    <x v="0"/>
    <x v="0"/>
    <x v="0"/>
    <x v="0"/>
    <x v="0"/>
    <x v="0"/>
    <m/>
    <m/>
    <n v="100000"/>
    <x v="0"/>
    <x v="0"/>
    <m/>
    <n v="100000"/>
    <x v="27"/>
    <m/>
    <x v="61"/>
    <x v="0"/>
    <x v="0"/>
  </r>
  <r>
    <m/>
    <n v="77"/>
    <x v="51"/>
    <d v="2002-07-01T00:00:00"/>
    <x v="7"/>
    <n v="1"/>
    <x v="0"/>
    <x v="7"/>
    <n v="15"/>
    <x v="3"/>
    <s v="Russian Fed."/>
    <x v="0"/>
    <x v="2"/>
    <x v="2"/>
    <x v="2"/>
    <m/>
    <x v="0"/>
    <x v="0"/>
    <m/>
    <m/>
    <m/>
    <m/>
    <x v="0"/>
    <m/>
    <m/>
    <x v="0"/>
    <x v="0"/>
    <m/>
    <x v="0"/>
    <n v="50000"/>
    <n v="50000"/>
    <x v="2"/>
    <x v="0"/>
    <x v="0"/>
    <m/>
    <x v="0"/>
    <x v="0"/>
    <x v="0"/>
    <x v="0"/>
    <x v="0"/>
    <x v="0"/>
    <x v="0"/>
    <x v="0"/>
    <x v="0"/>
    <x v="0"/>
    <x v="0"/>
    <x v="0"/>
    <x v="0"/>
    <x v="0"/>
    <m/>
    <m/>
    <n v="50000"/>
    <x v="0"/>
    <x v="0"/>
    <n v="5000"/>
    <n v="50000"/>
    <x v="28"/>
    <m/>
    <x v="62"/>
    <x v="0"/>
    <x v="0"/>
  </r>
  <r>
    <m/>
    <n v="78"/>
    <x v="85"/>
    <d v="2002-07-01T00:00:00"/>
    <x v="7"/>
    <n v="2"/>
    <x v="0"/>
    <x v="7"/>
    <n v="16"/>
    <x v="3"/>
    <s v="FS Micronesia"/>
    <x v="0"/>
    <x v="5"/>
    <x v="5"/>
    <x v="22"/>
    <m/>
    <x v="0"/>
    <x v="0"/>
    <m/>
    <m/>
    <m/>
    <m/>
    <x v="0"/>
    <m/>
    <m/>
    <x v="0"/>
    <x v="0"/>
    <m/>
    <x v="0"/>
    <m/>
    <n v="0"/>
    <x v="0"/>
    <x v="0"/>
    <x v="0"/>
    <m/>
    <x v="0"/>
    <x v="0"/>
    <x v="0"/>
    <x v="0"/>
    <x v="0"/>
    <x v="0"/>
    <x v="0"/>
    <x v="0"/>
    <x v="0"/>
    <x v="0"/>
    <x v="0"/>
    <x v="0"/>
    <x v="0"/>
    <x v="0"/>
    <n v="10000"/>
    <m/>
    <n v="10000"/>
    <x v="0"/>
    <x v="0"/>
    <n v="1000"/>
    <n v="10000"/>
    <x v="1"/>
    <s v="Chata'an"/>
    <x v="63"/>
    <x v="0"/>
    <x v="0"/>
  </r>
  <r>
    <m/>
    <n v="79"/>
    <x v="86"/>
    <d v="2002-07-01T00:00:00"/>
    <x v="7"/>
    <n v="3"/>
    <x v="0"/>
    <x v="7"/>
    <n v="17"/>
    <x v="2"/>
    <s v="Peru"/>
    <x v="0"/>
    <x v="5"/>
    <x v="12"/>
    <x v="13"/>
    <m/>
    <x v="0"/>
    <x v="0"/>
    <m/>
    <m/>
    <m/>
    <m/>
    <x v="0"/>
    <m/>
    <m/>
    <x v="0"/>
    <x v="2"/>
    <n v="5000"/>
    <x v="0"/>
    <m/>
    <n v="5000"/>
    <x v="0"/>
    <x v="0"/>
    <x v="0"/>
    <m/>
    <x v="0"/>
    <x v="0"/>
    <x v="0"/>
    <x v="0"/>
    <x v="0"/>
    <x v="0"/>
    <x v="0"/>
    <x v="0"/>
    <x v="0"/>
    <x v="0"/>
    <x v="0"/>
    <x v="0"/>
    <x v="0"/>
    <x v="0"/>
    <m/>
    <m/>
    <n v="5000"/>
    <x v="0"/>
    <x v="0"/>
    <m/>
    <n v="5000"/>
    <x v="1"/>
    <m/>
    <x v="64"/>
    <x v="0"/>
    <x v="0"/>
  </r>
  <r>
    <m/>
    <n v="80"/>
    <x v="87"/>
    <d v="2002-07-01T00:00:00"/>
    <x v="7"/>
    <n v="4"/>
    <x v="0"/>
    <x v="7"/>
    <n v="18"/>
    <x v="2"/>
    <s v="Bolivia"/>
    <x v="0"/>
    <x v="5"/>
    <x v="12"/>
    <x v="13"/>
    <m/>
    <x v="0"/>
    <x v="0"/>
    <m/>
    <m/>
    <m/>
    <m/>
    <x v="0"/>
    <m/>
    <m/>
    <x v="0"/>
    <x v="2"/>
    <n v="5000"/>
    <x v="0"/>
    <m/>
    <n v="5000"/>
    <x v="0"/>
    <x v="0"/>
    <x v="0"/>
    <m/>
    <x v="0"/>
    <x v="0"/>
    <x v="0"/>
    <x v="0"/>
    <x v="0"/>
    <x v="0"/>
    <x v="0"/>
    <x v="0"/>
    <x v="0"/>
    <x v="0"/>
    <x v="0"/>
    <x v="0"/>
    <x v="0"/>
    <x v="0"/>
    <m/>
    <m/>
    <n v="5000"/>
    <x v="0"/>
    <x v="0"/>
    <m/>
    <n v="5000"/>
    <x v="1"/>
    <m/>
    <x v="64"/>
    <x v="0"/>
    <x v="0"/>
  </r>
  <r>
    <m/>
    <n v="81"/>
    <x v="27"/>
    <d v="2002-07-01T00:00:00"/>
    <x v="7"/>
    <n v="5"/>
    <x v="0"/>
    <x v="7"/>
    <n v="19"/>
    <x v="2"/>
    <s v="Venezuela"/>
    <x v="0"/>
    <x v="2"/>
    <x v="2"/>
    <x v="2"/>
    <m/>
    <x v="0"/>
    <x v="0"/>
    <m/>
    <m/>
    <m/>
    <m/>
    <x v="0"/>
    <m/>
    <m/>
    <x v="0"/>
    <x v="0"/>
    <m/>
    <x v="0"/>
    <n v="50000"/>
    <n v="50000"/>
    <x v="2"/>
    <x v="0"/>
    <x v="0"/>
    <m/>
    <x v="0"/>
    <x v="0"/>
    <x v="0"/>
    <x v="0"/>
    <x v="0"/>
    <x v="0"/>
    <x v="0"/>
    <x v="0"/>
    <x v="0"/>
    <x v="0"/>
    <x v="0"/>
    <x v="0"/>
    <x v="0"/>
    <x v="0"/>
    <m/>
    <m/>
    <n v="50000"/>
    <x v="0"/>
    <x v="0"/>
    <n v="3840"/>
    <n v="50000"/>
    <x v="8"/>
    <m/>
    <x v="65"/>
    <x v="0"/>
    <x v="0"/>
  </r>
  <r>
    <m/>
    <n v="82"/>
    <x v="33"/>
    <d v="2002-08-01T00:00:00"/>
    <x v="7"/>
    <n v="6"/>
    <x v="0"/>
    <x v="7"/>
    <n v="20"/>
    <x v="3"/>
    <s v="India"/>
    <x v="0"/>
    <x v="2"/>
    <x v="2"/>
    <x v="2"/>
    <m/>
    <x v="0"/>
    <x v="0"/>
    <m/>
    <m/>
    <m/>
    <m/>
    <x v="0"/>
    <m/>
    <m/>
    <x v="0"/>
    <x v="1"/>
    <n v="66918.959999999992"/>
    <x v="0"/>
    <m/>
    <n v="66918.959999999992"/>
    <x v="15"/>
    <x v="0"/>
    <x v="0"/>
    <n v="2900"/>
    <x v="0"/>
    <x v="0"/>
    <x v="0"/>
    <x v="0"/>
    <x v="0"/>
    <x v="0"/>
    <x v="0"/>
    <x v="0"/>
    <x v="0"/>
    <x v="0"/>
    <x v="0"/>
    <x v="0"/>
    <x v="0"/>
    <x v="0"/>
    <n v="122911.16"/>
    <n v="42422.75"/>
    <n v="232252.87"/>
    <x v="0"/>
    <x v="0"/>
    <n v="36500"/>
    <n v="232252.87"/>
    <x v="13"/>
    <m/>
    <x v="66"/>
    <x v="0"/>
    <x v="0"/>
  </r>
  <r>
    <m/>
    <n v="83"/>
    <x v="88"/>
    <d v="2002-08-01T00:00:00"/>
    <x v="7"/>
    <n v="7"/>
    <x v="0"/>
    <x v="7"/>
    <n v="21"/>
    <x v="3"/>
    <s v="Romania"/>
    <x v="0"/>
    <x v="2"/>
    <x v="2"/>
    <x v="2"/>
    <m/>
    <x v="0"/>
    <x v="0"/>
    <m/>
    <m/>
    <m/>
    <m/>
    <x v="0"/>
    <m/>
    <m/>
    <x v="0"/>
    <x v="0"/>
    <m/>
    <x v="0"/>
    <m/>
    <n v="0"/>
    <x v="5"/>
    <x v="0"/>
    <x v="0"/>
    <n v="14500"/>
    <x v="0"/>
    <x v="0"/>
    <x v="0"/>
    <x v="0"/>
    <x v="0"/>
    <x v="0"/>
    <x v="0"/>
    <x v="0"/>
    <x v="0"/>
    <x v="4"/>
    <x v="0"/>
    <x v="0"/>
    <x v="0"/>
    <x v="0"/>
    <n v="102950"/>
    <n v="12189.84"/>
    <n v="115139.84"/>
    <x v="0"/>
    <x v="0"/>
    <n v="58000"/>
    <n v="115139.84"/>
    <x v="29"/>
    <m/>
    <x v="67"/>
    <x v="0"/>
    <x v="0"/>
  </r>
  <r>
    <m/>
    <n v="83"/>
    <x v="89"/>
    <d v="2002-08-01T00:00:00"/>
    <x v="7"/>
    <n v="7"/>
    <x v="0"/>
    <x v="7"/>
    <n v="21"/>
    <x v="3"/>
    <s v="Germany"/>
    <x v="0"/>
    <x v="2"/>
    <x v="2"/>
    <x v="2"/>
    <m/>
    <x v="0"/>
    <x v="0"/>
    <m/>
    <m/>
    <m/>
    <m/>
    <x v="0"/>
    <m/>
    <m/>
    <x v="0"/>
    <x v="0"/>
    <m/>
    <x v="0"/>
    <n v="75000"/>
    <n v="75000"/>
    <x v="0"/>
    <x v="0"/>
    <x v="0"/>
    <m/>
    <x v="0"/>
    <x v="0"/>
    <x v="0"/>
    <x v="0"/>
    <x v="0"/>
    <x v="0"/>
    <x v="0"/>
    <x v="0"/>
    <x v="0"/>
    <x v="0"/>
    <x v="0"/>
    <x v="0"/>
    <x v="0"/>
    <x v="0"/>
    <m/>
    <m/>
    <n v="75000"/>
    <x v="0"/>
    <x v="0"/>
    <n v="7500"/>
    <n v="75000"/>
    <x v="27"/>
    <m/>
    <x v="68"/>
    <x v="0"/>
    <x v="0"/>
  </r>
  <r>
    <m/>
    <n v="83"/>
    <x v="90"/>
    <d v="2002-08-01T00:00:00"/>
    <x v="7"/>
    <n v="7"/>
    <x v="0"/>
    <x v="7"/>
    <n v="21"/>
    <x v="3"/>
    <s v="Czech Republic"/>
    <x v="0"/>
    <x v="2"/>
    <x v="2"/>
    <x v="2"/>
    <m/>
    <x v="0"/>
    <x v="0"/>
    <m/>
    <m/>
    <m/>
    <m/>
    <x v="0"/>
    <m/>
    <m/>
    <x v="0"/>
    <x v="0"/>
    <m/>
    <x v="0"/>
    <n v="90000"/>
    <n v="90000"/>
    <x v="0"/>
    <x v="0"/>
    <x v="0"/>
    <m/>
    <x v="0"/>
    <x v="0"/>
    <x v="0"/>
    <x v="0"/>
    <x v="0"/>
    <x v="0"/>
    <x v="0"/>
    <x v="0"/>
    <x v="0"/>
    <x v="0"/>
    <x v="0"/>
    <x v="0"/>
    <x v="0"/>
    <x v="0"/>
    <m/>
    <m/>
    <n v="90000"/>
    <x v="0"/>
    <x v="0"/>
    <n v="9000"/>
    <n v="90000"/>
    <x v="27"/>
    <m/>
    <x v="69"/>
    <x v="0"/>
    <x v="0"/>
  </r>
  <r>
    <m/>
    <n v="83"/>
    <x v="91"/>
    <d v="2002-08-01T00:00:00"/>
    <x v="7"/>
    <n v="7"/>
    <x v="0"/>
    <x v="7"/>
    <n v="21"/>
    <x v="3"/>
    <s v="Slovakia"/>
    <x v="0"/>
    <x v="2"/>
    <x v="2"/>
    <x v="2"/>
    <m/>
    <x v="0"/>
    <x v="0"/>
    <m/>
    <m/>
    <m/>
    <m/>
    <x v="0"/>
    <m/>
    <m/>
    <x v="0"/>
    <x v="0"/>
    <m/>
    <x v="0"/>
    <n v="10000"/>
    <n v="10000"/>
    <x v="0"/>
    <x v="0"/>
    <x v="0"/>
    <m/>
    <x v="0"/>
    <x v="0"/>
    <x v="0"/>
    <x v="0"/>
    <x v="0"/>
    <x v="0"/>
    <x v="0"/>
    <x v="0"/>
    <x v="0"/>
    <x v="0"/>
    <x v="0"/>
    <x v="0"/>
    <x v="0"/>
    <x v="0"/>
    <m/>
    <m/>
    <n v="10000"/>
    <x v="0"/>
    <x v="0"/>
    <n v="1000"/>
    <n v="10000"/>
    <x v="30"/>
    <m/>
    <x v="70"/>
    <x v="0"/>
    <x v="0"/>
  </r>
  <r>
    <m/>
    <n v="83"/>
    <x v="92"/>
    <d v="2002-08-01T00:00:00"/>
    <x v="7"/>
    <n v="7"/>
    <x v="0"/>
    <x v="7"/>
    <n v="21"/>
    <x v="3"/>
    <s v="Hungary"/>
    <x v="0"/>
    <x v="2"/>
    <x v="2"/>
    <x v="2"/>
    <m/>
    <x v="0"/>
    <x v="0"/>
    <m/>
    <m/>
    <m/>
    <m/>
    <x v="0"/>
    <m/>
    <m/>
    <x v="0"/>
    <x v="0"/>
    <m/>
    <x v="0"/>
    <n v="35000"/>
    <n v="35000"/>
    <x v="0"/>
    <x v="0"/>
    <x v="0"/>
    <m/>
    <x v="0"/>
    <x v="0"/>
    <x v="0"/>
    <x v="0"/>
    <x v="0"/>
    <x v="0"/>
    <x v="0"/>
    <x v="0"/>
    <x v="0"/>
    <x v="0"/>
    <x v="0"/>
    <x v="0"/>
    <x v="0"/>
    <x v="0"/>
    <m/>
    <m/>
    <n v="35000"/>
    <x v="0"/>
    <x v="0"/>
    <n v="3500"/>
    <n v="35000"/>
    <x v="27"/>
    <m/>
    <x v="71"/>
    <x v="0"/>
    <x v="0"/>
  </r>
  <r>
    <m/>
    <n v="83"/>
    <x v="93"/>
    <d v="2002-08-01T00:00:00"/>
    <x v="7"/>
    <n v="7"/>
    <x v="0"/>
    <x v="7"/>
    <n v="21"/>
    <x v="3"/>
    <s v="Austria"/>
    <x v="0"/>
    <x v="2"/>
    <x v="2"/>
    <x v="2"/>
    <m/>
    <x v="0"/>
    <x v="0"/>
    <m/>
    <m/>
    <m/>
    <m/>
    <x v="0"/>
    <m/>
    <m/>
    <x v="0"/>
    <x v="0"/>
    <m/>
    <x v="0"/>
    <n v="25000"/>
    <n v="25000"/>
    <x v="0"/>
    <x v="0"/>
    <x v="0"/>
    <m/>
    <x v="0"/>
    <x v="0"/>
    <x v="0"/>
    <x v="0"/>
    <x v="0"/>
    <x v="0"/>
    <x v="0"/>
    <x v="0"/>
    <x v="0"/>
    <x v="0"/>
    <x v="0"/>
    <x v="0"/>
    <x v="0"/>
    <x v="0"/>
    <m/>
    <m/>
    <n v="25000"/>
    <x v="0"/>
    <x v="0"/>
    <n v="2500"/>
    <n v="25000"/>
    <x v="30"/>
    <m/>
    <x v="72"/>
    <x v="0"/>
    <x v="0"/>
  </r>
  <r>
    <m/>
    <n v="84"/>
    <x v="67"/>
    <d v="2002-09-01T00:00:00"/>
    <x v="7"/>
    <n v="8"/>
    <x v="0"/>
    <x v="7"/>
    <n v="22"/>
    <x v="2"/>
    <s v="Mexico"/>
    <x v="0"/>
    <x v="5"/>
    <x v="5"/>
    <x v="5"/>
    <m/>
    <x v="0"/>
    <x v="0"/>
    <m/>
    <m/>
    <m/>
    <m/>
    <x v="0"/>
    <m/>
    <m/>
    <x v="0"/>
    <x v="0"/>
    <m/>
    <x v="0"/>
    <m/>
    <n v="0"/>
    <x v="4"/>
    <x v="0"/>
    <x v="0"/>
    <m/>
    <x v="0"/>
    <x v="0"/>
    <x v="0"/>
    <x v="0"/>
    <x v="0"/>
    <x v="0"/>
    <x v="0"/>
    <x v="0"/>
    <x v="0"/>
    <x v="0"/>
    <x v="0"/>
    <x v="0"/>
    <x v="0"/>
    <x v="0"/>
    <m/>
    <n v="60000"/>
    <n v="60000"/>
    <x v="0"/>
    <x v="0"/>
    <n v="20000"/>
    <n v="60000"/>
    <x v="31"/>
    <s v="Isidore"/>
    <x v="73"/>
    <x v="0"/>
    <x v="0"/>
  </r>
  <r>
    <m/>
    <n v="85"/>
    <x v="94"/>
    <d v="2002-10-01T00:00:00"/>
    <x v="7"/>
    <n v="9"/>
    <x v="0"/>
    <x v="7"/>
    <n v="23"/>
    <x v="2"/>
    <s v="Paraguay"/>
    <x v="0"/>
    <x v="1"/>
    <x v="1"/>
    <x v="1"/>
    <m/>
    <x v="0"/>
    <x v="0"/>
    <m/>
    <m/>
    <m/>
    <m/>
    <x v="0"/>
    <m/>
    <m/>
    <x v="0"/>
    <x v="0"/>
    <m/>
    <x v="0"/>
    <m/>
    <n v="0"/>
    <x v="4"/>
    <x v="0"/>
    <x v="0"/>
    <m/>
    <x v="0"/>
    <x v="0"/>
    <x v="0"/>
    <x v="0"/>
    <x v="0"/>
    <x v="0"/>
    <x v="0"/>
    <x v="0"/>
    <x v="0"/>
    <x v="0"/>
    <x v="0"/>
    <x v="0"/>
    <x v="0"/>
    <x v="0"/>
    <m/>
    <m/>
    <n v="0"/>
    <x v="0"/>
    <x v="0"/>
    <n v="8165"/>
    <n v="0"/>
    <x v="1"/>
    <m/>
    <x v="74"/>
    <x v="0"/>
    <x v="0"/>
  </r>
  <r>
    <m/>
    <n v="86"/>
    <x v="67"/>
    <d v="2002-10-01T00:00:00"/>
    <x v="7"/>
    <n v="10"/>
    <x v="0"/>
    <x v="7"/>
    <n v="24"/>
    <x v="2"/>
    <s v="Mexico"/>
    <x v="0"/>
    <x v="5"/>
    <x v="5"/>
    <x v="5"/>
    <m/>
    <x v="0"/>
    <x v="0"/>
    <m/>
    <m/>
    <m/>
    <m/>
    <x v="0"/>
    <m/>
    <m/>
    <x v="0"/>
    <x v="0"/>
    <m/>
    <x v="0"/>
    <m/>
    <n v="0"/>
    <x v="2"/>
    <x v="0"/>
    <x v="0"/>
    <m/>
    <x v="0"/>
    <x v="0"/>
    <x v="0"/>
    <x v="0"/>
    <x v="0"/>
    <x v="0"/>
    <x v="0"/>
    <x v="0"/>
    <x v="0"/>
    <x v="0"/>
    <x v="0"/>
    <x v="0"/>
    <x v="0"/>
    <x v="0"/>
    <m/>
    <m/>
    <n v="0"/>
    <x v="0"/>
    <x v="0"/>
    <m/>
    <n v="0"/>
    <x v="32"/>
    <s v="Kenna"/>
    <x v="0"/>
    <x v="0"/>
    <x v="0"/>
  </r>
  <r>
    <m/>
    <n v="87"/>
    <x v="95"/>
    <d v="2002-10-01T00:00:00"/>
    <x v="7"/>
    <n v="11"/>
    <x v="0"/>
    <x v="7"/>
    <n v="25"/>
    <x v="3"/>
    <s v="South Korea"/>
    <x v="0"/>
    <x v="5"/>
    <x v="5"/>
    <x v="22"/>
    <m/>
    <x v="0"/>
    <x v="0"/>
    <m/>
    <m/>
    <m/>
    <m/>
    <x v="0"/>
    <m/>
    <m/>
    <x v="0"/>
    <x v="0"/>
    <m/>
    <x v="0"/>
    <n v="120000"/>
    <n v="120000"/>
    <x v="0"/>
    <x v="0"/>
    <x v="0"/>
    <m/>
    <x v="0"/>
    <x v="0"/>
    <x v="0"/>
    <x v="0"/>
    <x v="0"/>
    <x v="0"/>
    <x v="0"/>
    <x v="0"/>
    <x v="0"/>
    <x v="0"/>
    <x v="0"/>
    <x v="0"/>
    <x v="0"/>
    <x v="0"/>
    <m/>
    <n v="10000"/>
    <n v="130000"/>
    <x v="0"/>
    <x v="0"/>
    <n v="5775"/>
    <n v="130000"/>
    <x v="33"/>
    <s v="Rusa"/>
    <x v="75"/>
    <x v="0"/>
    <x v="0"/>
  </r>
  <r>
    <m/>
    <n v="88"/>
    <x v="96"/>
    <d v="2002-10-01T00:00:00"/>
    <x v="7"/>
    <n v="12"/>
    <x v="0"/>
    <x v="7"/>
    <n v="26"/>
    <x v="3"/>
    <s v="Italy"/>
    <x v="0"/>
    <x v="3"/>
    <x v="3"/>
    <x v="3"/>
    <m/>
    <x v="0"/>
    <x v="0"/>
    <m/>
    <m/>
    <m/>
    <m/>
    <x v="0"/>
    <m/>
    <m/>
    <x v="0"/>
    <x v="0"/>
    <m/>
    <x v="0"/>
    <n v="10000"/>
    <n v="10000"/>
    <x v="0"/>
    <x v="0"/>
    <x v="0"/>
    <m/>
    <x v="0"/>
    <x v="0"/>
    <x v="0"/>
    <x v="0"/>
    <x v="0"/>
    <x v="0"/>
    <x v="0"/>
    <x v="0"/>
    <x v="0"/>
    <x v="0"/>
    <x v="0"/>
    <x v="0"/>
    <x v="0"/>
    <x v="0"/>
    <m/>
    <m/>
    <n v="10000"/>
    <x v="0"/>
    <x v="0"/>
    <m/>
    <n v="10000"/>
    <x v="30"/>
    <m/>
    <x v="76"/>
    <x v="0"/>
    <x v="0"/>
  </r>
  <r>
    <m/>
    <n v="89"/>
    <x v="97"/>
    <d v="2002-10-01T00:00:00"/>
    <x v="7"/>
    <n v="13"/>
    <x v="0"/>
    <x v="7"/>
    <n v="27"/>
    <x v="3"/>
    <s v="Indonesia"/>
    <x v="0"/>
    <x v="12"/>
    <x v="14"/>
    <x v="15"/>
    <m/>
    <x v="0"/>
    <x v="0"/>
    <m/>
    <m/>
    <m/>
    <m/>
    <x v="0"/>
    <m/>
    <m/>
    <x v="0"/>
    <x v="0"/>
    <m/>
    <x v="0"/>
    <n v="46670"/>
    <n v="46670"/>
    <x v="0"/>
    <x v="0"/>
    <x v="0"/>
    <m/>
    <x v="0"/>
    <x v="0"/>
    <x v="0"/>
    <x v="0"/>
    <x v="0"/>
    <x v="0"/>
    <x v="0"/>
    <x v="0"/>
    <x v="0"/>
    <x v="0"/>
    <x v="0"/>
    <x v="0"/>
    <x v="0"/>
    <x v="0"/>
    <m/>
    <m/>
    <n v="46670"/>
    <x v="0"/>
    <x v="0"/>
    <m/>
    <n v="46670"/>
    <x v="34"/>
    <s v="Bali"/>
    <x v="77"/>
    <x v="0"/>
    <x v="0"/>
  </r>
  <r>
    <m/>
    <n v="89"/>
    <x v="98"/>
    <d v="2002-10-01T00:00:00"/>
    <x v="7"/>
    <n v="13"/>
    <x v="0"/>
    <x v="7"/>
    <n v="27"/>
    <x v="3"/>
    <s v="Australia"/>
    <x v="0"/>
    <x v="12"/>
    <x v="14"/>
    <x v="15"/>
    <m/>
    <x v="0"/>
    <x v="0"/>
    <m/>
    <m/>
    <m/>
    <m/>
    <x v="0"/>
    <m/>
    <m/>
    <x v="0"/>
    <x v="0"/>
    <m/>
    <x v="0"/>
    <n v="237898.78"/>
    <n v="237898.78"/>
    <x v="2"/>
    <x v="0"/>
    <x v="0"/>
    <m/>
    <x v="0"/>
    <x v="0"/>
    <x v="0"/>
    <x v="0"/>
    <x v="0"/>
    <x v="0"/>
    <x v="0"/>
    <x v="0"/>
    <x v="0"/>
    <x v="0"/>
    <x v="0"/>
    <x v="0"/>
    <x v="0"/>
    <x v="0"/>
    <m/>
    <m/>
    <n v="237898.78"/>
    <x v="0"/>
    <x v="0"/>
    <m/>
    <n v="237898.78"/>
    <x v="34"/>
    <s v="Bali"/>
    <x v="78"/>
    <x v="0"/>
    <x v="0"/>
  </r>
  <r>
    <m/>
    <n v="90"/>
    <x v="99"/>
    <d v="2002-10-01T00:00:00"/>
    <x v="7"/>
    <n v="14"/>
    <x v="0"/>
    <x v="7"/>
    <n v="28"/>
    <x v="3"/>
    <s v="Vietnam"/>
    <x v="0"/>
    <x v="10"/>
    <x v="10"/>
    <x v="18"/>
    <m/>
    <x v="0"/>
    <x v="0"/>
    <m/>
    <m/>
    <m/>
    <m/>
    <x v="0"/>
    <m/>
    <m/>
    <x v="0"/>
    <x v="0"/>
    <m/>
    <x v="0"/>
    <n v="100000"/>
    <n v="100000"/>
    <x v="0"/>
    <x v="0"/>
    <x v="0"/>
    <m/>
    <x v="0"/>
    <x v="0"/>
    <x v="0"/>
    <x v="0"/>
    <x v="0"/>
    <x v="0"/>
    <x v="0"/>
    <x v="0"/>
    <x v="0"/>
    <x v="0"/>
    <x v="0"/>
    <x v="0"/>
    <x v="0"/>
    <x v="0"/>
    <m/>
    <m/>
    <n v="100000"/>
    <x v="0"/>
    <x v="0"/>
    <n v="1000"/>
    <n v="100000"/>
    <x v="30"/>
    <s v="International Trade Center - HCM City"/>
    <x v="79"/>
    <x v="0"/>
    <x v="0"/>
  </r>
  <r>
    <m/>
    <n v="91"/>
    <x v="72"/>
    <d v="2002-10-01T00:00:00"/>
    <x v="7"/>
    <n v="15"/>
    <x v="0"/>
    <x v="7"/>
    <n v="29"/>
    <x v="2"/>
    <s v="Cuba"/>
    <x v="0"/>
    <x v="5"/>
    <x v="5"/>
    <x v="5"/>
    <m/>
    <x v="0"/>
    <x v="0"/>
    <m/>
    <m/>
    <m/>
    <m/>
    <x v="0"/>
    <m/>
    <m/>
    <x v="0"/>
    <x v="2"/>
    <n v="10000"/>
    <x v="0"/>
    <m/>
    <n v="10000"/>
    <x v="0"/>
    <x v="0"/>
    <x v="0"/>
    <m/>
    <x v="0"/>
    <x v="0"/>
    <x v="0"/>
    <x v="0"/>
    <x v="0"/>
    <x v="0"/>
    <x v="0"/>
    <x v="0"/>
    <x v="0"/>
    <x v="0"/>
    <x v="0"/>
    <x v="0"/>
    <x v="0"/>
    <x v="0"/>
    <m/>
    <m/>
    <n v="10000"/>
    <x v="0"/>
    <x v="0"/>
    <n v="1000"/>
    <n v="10000"/>
    <x v="1"/>
    <s v="Isidore / Lili"/>
    <x v="80"/>
    <x v="0"/>
    <x v="0"/>
  </r>
  <r>
    <m/>
    <n v="92"/>
    <x v="100"/>
    <d v="2002-10-01T00:00:00"/>
    <x v="7"/>
    <n v="16"/>
    <x v="0"/>
    <x v="7"/>
    <n v="30"/>
    <x v="1"/>
    <s v="Lesotho"/>
    <x v="0"/>
    <x v="14"/>
    <x v="18"/>
    <x v="20"/>
    <m/>
    <x v="0"/>
    <x v="0"/>
    <m/>
    <m/>
    <m/>
    <m/>
    <x v="0"/>
    <m/>
    <m/>
    <x v="0"/>
    <x v="2"/>
    <n v="25000"/>
    <x v="0"/>
    <m/>
    <n v="25000"/>
    <x v="0"/>
    <x v="0"/>
    <x v="0"/>
    <m/>
    <x v="0"/>
    <x v="0"/>
    <x v="0"/>
    <x v="0"/>
    <x v="0"/>
    <x v="0"/>
    <x v="0"/>
    <x v="0"/>
    <x v="0"/>
    <x v="0"/>
    <x v="0"/>
    <x v="0"/>
    <x v="0"/>
    <x v="0"/>
    <m/>
    <m/>
    <n v="25000"/>
    <x v="0"/>
    <x v="0"/>
    <n v="2500"/>
    <n v="25000"/>
    <x v="1"/>
    <m/>
    <x v="81"/>
    <x v="0"/>
    <x v="0"/>
  </r>
  <r>
    <m/>
    <n v="93"/>
    <x v="7"/>
    <d v="2002-12-01T00:00:00"/>
    <x v="7"/>
    <n v="17"/>
    <x v="0"/>
    <x v="7"/>
    <n v="31"/>
    <x v="2"/>
    <s v="Costa Rica"/>
    <x v="0"/>
    <x v="2"/>
    <x v="2"/>
    <x v="2"/>
    <m/>
    <x v="0"/>
    <x v="0"/>
    <m/>
    <m/>
    <m/>
    <m/>
    <x v="0"/>
    <m/>
    <m/>
    <x v="0"/>
    <x v="0"/>
    <m/>
    <x v="0"/>
    <n v="1000"/>
    <n v="1000"/>
    <x v="0"/>
    <x v="0"/>
    <x v="0"/>
    <m/>
    <x v="0"/>
    <x v="0"/>
    <x v="0"/>
    <x v="0"/>
    <x v="0"/>
    <x v="0"/>
    <x v="0"/>
    <x v="0"/>
    <x v="0"/>
    <x v="0"/>
    <x v="0"/>
    <x v="0"/>
    <x v="0"/>
    <x v="0"/>
    <m/>
    <m/>
    <n v="1000"/>
    <x v="0"/>
    <x v="0"/>
    <m/>
    <n v="1000"/>
    <x v="1"/>
    <m/>
    <x v="82"/>
    <x v="0"/>
    <x v="0"/>
  </r>
  <r>
    <m/>
    <n v="94"/>
    <x v="80"/>
    <d v="2002-12-01T00:00:00"/>
    <x v="7"/>
    <n v="18"/>
    <x v="0"/>
    <x v="7"/>
    <n v="32"/>
    <x v="2"/>
    <s v="Panama"/>
    <x v="0"/>
    <x v="2"/>
    <x v="2"/>
    <x v="2"/>
    <m/>
    <x v="0"/>
    <x v="0"/>
    <m/>
    <m/>
    <m/>
    <m/>
    <x v="0"/>
    <m/>
    <m/>
    <x v="0"/>
    <x v="0"/>
    <m/>
    <x v="0"/>
    <n v="1345"/>
    <n v="1345"/>
    <x v="0"/>
    <x v="0"/>
    <x v="0"/>
    <n v="675"/>
    <x v="0"/>
    <x v="0"/>
    <x v="0"/>
    <x v="0"/>
    <x v="0"/>
    <x v="0"/>
    <x v="0"/>
    <x v="0"/>
    <x v="0"/>
    <x v="0"/>
    <x v="0"/>
    <x v="0"/>
    <x v="0"/>
    <x v="0"/>
    <m/>
    <m/>
    <n v="1345"/>
    <x v="0"/>
    <x v="0"/>
    <n v="675"/>
    <n v="1345"/>
    <x v="1"/>
    <m/>
    <x v="83"/>
    <x v="0"/>
    <x v="0"/>
  </r>
  <r>
    <m/>
    <n v="95"/>
    <x v="101"/>
    <d v="2002-12-01T00:00:00"/>
    <x v="7"/>
    <n v="19"/>
    <x v="0"/>
    <x v="7"/>
    <n v="33"/>
    <x v="1"/>
    <s v="Kenya"/>
    <x v="0"/>
    <x v="11"/>
    <x v="20"/>
    <x v="23"/>
    <m/>
    <x v="0"/>
    <x v="0"/>
    <m/>
    <m/>
    <m/>
    <m/>
    <x v="0"/>
    <m/>
    <m/>
    <x v="0"/>
    <x v="0"/>
    <m/>
    <x v="0"/>
    <n v="5000"/>
    <n v="5000"/>
    <x v="0"/>
    <x v="0"/>
    <x v="0"/>
    <m/>
    <x v="0"/>
    <x v="0"/>
    <x v="0"/>
    <x v="0"/>
    <x v="0"/>
    <x v="0"/>
    <x v="0"/>
    <x v="0"/>
    <x v="0"/>
    <x v="0"/>
    <x v="0"/>
    <x v="0"/>
    <x v="0"/>
    <x v="0"/>
    <m/>
    <m/>
    <n v="5000"/>
    <x v="0"/>
    <x v="0"/>
    <n v="500"/>
    <n v="5000"/>
    <x v="1"/>
    <s v="Malaria"/>
    <x v="84"/>
    <x v="0"/>
    <x v="0"/>
  </r>
  <r>
    <m/>
    <n v="96"/>
    <x v="102"/>
    <d v="2003-01-01T00:00:00"/>
    <x v="7"/>
    <n v="20"/>
    <x v="0"/>
    <x v="8"/>
    <n v="1"/>
    <x v="3"/>
    <s v="Solomon Islands"/>
    <x v="0"/>
    <x v="5"/>
    <x v="5"/>
    <x v="8"/>
    <m/>
    <x v="0"/>
    <x v="0"/>
    <m/>
    <m/>
    <m/>
    <m/>
    <x v="0"/>
    <m/>
    <m/>
    <x v="0"/>
    <x v="2"/>
    <n v="7242.1372799999999"/>
    <x v="0"/>
    <m/>
    <n v="7242.1372799999999"/>
    <x v="0"/>
    <x v="0"/>
    <x v="0"/>
    <m/>
    <x v="0"/>
    <x v="0"/>
    <x v="0"/>
    <x v="0"/>
    <x v="0"/>
    <x v="0"/>
    <x v="0"/>
    <x v="0"/>
    <x v="0"/>
    <x v="0"/>
    <x v="0"/>
    <x v="0"/>
    <x v="0"/>
    <x v="0"/>
    <m/>
    <m/>
    <n v="7242.1372799999999"/>
    <x v="0"/>
    <x v="0"/>
    <m/>
    <n v="7242.1372799999999"/>
    <x v="35"/>
    <s v="Zoe"/>
    <x v="85"/>
    <x v="0"/>
    <x v="0"/>
  </r>
  <r>
    <m/>
    <n v="97"/>
    <x v="0"/>
    <d v="2003-01-01T00:00:00"/>
    <x v="7"/>
    <n v="21"/>
    <x v="0"/>
    <x v="8"/>
    <n v="2"/>
    <x v="2"/>
    <s v="Mexico"/>
    <x v="0"/>
    <x v="3"/>
    <x v="3"/>
    <x v="3"/>
    <m/>
    <x v="0"/>
    <x v="0"/>
    <m/>
    <m/>
    <m/>
    <m/>
    <x v="0"/>
    <m/>
    <m/>
    <x v="0"/>
    <x v="0"/>
    <m/>
    <x v="0"/>
    <n v="350000"/>
    <n v="350000"/>
    <x v="5"/>
    <x v="0"/>
    <x v="0"/>
    <m/>
    <x v="0"/>
    <x v="0"/>
    <x v="0"/>
    <x v="0"/>
    <x v="0"/>
    <x v="0"/>
    <x v="0"/>
    <x v="0"/>
    <x v="0"/>
    <x v="0"/>
    <x v="0"/>
    <x v="0"/>
    <x v="0"/>
    <x v="0"/>
    <m/>
    <m/>
    <n v="350000"/>
    <x v="0"/>
    <x v="0"/>
    <n v="2000"/>
    <n v="350000"/>
    <x v="36"/>
    <m/>
    <x v="86"/>
    <x v="0"/>
    <x v="0"/>
  </r>
  <r>
    <m/>
    <n v="97"/>
    <x v="0"/>
    <d v="2003-01-01T00:00:00"/>
    <x v="7"/>
    <n v="21"/>
    <x v="0"/>
    <x v="8"/>
    <n v="2"/>
    <x v="2"/>
    <s v="Mexico"/>
    <x v="0"/>
    <x v="3"/>
    <x v="3"/>
    <x v="3"/>
    <m/>
    <x v="0"/>
    <x v="0"/>
    <m/>
    <m/>
    <m/>
    <m/>
    <x v="0"/>
    <m/>
    <m/>
    <x v="0"/>
    <x v="0"/>
    <m/>
    <x v="0"/>
    <n v="100000"/>
    <n v="100000"/>
    <x v="0"/>
    <x v="0"/>
    <x v="0"/>
    <m/>
    <x v="0"/>
    <x v="0"/>
    <x v="0"/>
    <x v="0"/>
    <x v="0"/>
    <x v="0"/>
    <x v="0"/>
    <x v="0"/>
    <x v="0"/>
    <x v="0"/>
    <x v="0"/>
    <x v="0"/>
    <x v="0"/>
    <x v="0"/>
    <m/>
    <m/>
    <n v="100000"/>
    <x v="0"/>
    <x v="0"/>
    <m/>
    <n v="100000"/>
    <x v="37"/>
    <m/>
    <x v="87"/>
    <x v="0"/>
    <x v="0"/>
  </r>
  <r>
    <m/>
    <n v="98"/>
    <x v="103"/>
    <d v="2003-02-01T00:00:00"/>
    <x v="7"/>
    <n v="22"/>
    <x v="0"/>
    <x v="8"/>
    <n v="3"/>
    <x v="3"/>
    <s v="South Korea"/>
    <x v="0"/>
    <x v="9"/>
    <x v="21"/>
    <x v="11"/>
    <m/>
    <x v="0"/>
    <x v="0"/>
    <m/>
    <m/>
    <m/>
    <m/>
    <x v="0"/>
    <m/>
    <m/>
    <x v="0"/>
    <x v="0"/>
    <m/>
    <x v="0"/>
    <n v="10000"/>
    <n v="10000"/>
    <x v="0"/>
    <x v="0"/>
    <x v="0"/>
    <m/>
    <x v="0"/>
    <x v="0"/>
    <x v="0"/>
    <x v="0"/>
    <x v="0"/>
    <x v="0"/>
    <x v="0"/>
    <x v="0"/>
    <x v="0"/>
    <x v="0"/>
    <x v="0"/>
    <x v="0"/>
    <x v="0"/>
    <x v="0"/>
    <m/>
    <m/>
    <n v="10000"/>
    <x v="0"/>
    <x v="0"/>
    <n v="1000"/>
    <n v="10000"/>
    <x v="30"/>
    <s v="Taegu Subway fire"/>
    <x v="88"/>
    <x v="0"/>
    <x v="0"/>
  </r>
  <r>
    <m/>
    <n v="99"/>
    <x v="104"/>
    <d v="2003-02-01T00:00:00"/>
    <x v="7"/>
    <n v="23"/>
    <x v="0"/>
    <x v="8"/>
    <n v="4"/>
    <x v="3"/>
    <s v="China"/>
    <x v="0"/>
    <x v="3"/>
    <x v="3"/>
    <x v="3"/>
    <m/>
    <x v="0"/>
    <x v="0"/>
    <m/>
    <m/>
    <m/>
    <m/>
    <x v="0"/>
    <m/>
    <m/>
    <x v="0"/>
    <x v="0"/>
    <m/>
    <x v="0"/>
    <n v="50000"/>
    <n v="50000"/>
    <x v="0"/>
    <x v="0"/>
    <x v="0"/>
    <m/>
    <x v="0"/>
    <x v="0"/>
    <x v="0"/>
    <x v="0"/>
    <x v="0"/>
    <x v="0"/>
    <x v="0"/>
    <x v="0"/>
    <x v="0"/>
    <x v="0"/>
    <x v="0"/>
    <x v="0"/>
    <x v="0"/>
    <x v="0"/>
    <m/>
    <m/>
    <n v="50000"/>
    <x v="0"/>
    <x v="0"/>
    <n v="1350"/>
    <n v="50000"/>
    <x v="38"/>
    <m/>
    <x v="89"/>
    <x v="0"/>
    <x v="0"/>
  </r>
  <r>
    <m/>
    <n v="100"/>
    <x v="105"/>
    <d v="2003-03-01T00:00:00"/>
    <x v="7"/>
    <n v="24"/>
    <x v="0"/>
    <x v="8"/>
    <n v="5"/>
    <x v="3"/>
    <s v="Iraq"/>
    <x v="0"/>
    <x v="8"/>
    <x v="7"/>
    <x v="7"/>
    <m/>
    <x v="0"/>
    <x v="0"/>
    <m/>
    <m/>
    <m/>
    <m/>
    <x v="0"/>
    <m/>
    <m/>
    <x v="0"/>
    <x v="1"/>
    <n v="100000"/>
    <x v="2"/>
    <m/>
    <n v="200000"/>
    <x v="0"/>
    <x v="0"/>
    <x v="0"/>
    <n v="64200"/>
    <x v="0"/>
    <x v="0"/>
    <x v="5"/>
    <x v="3"/>
    <x v="0"/>
    <x v="0"/>
    <x v="0"/>
    <x v="0"/>
    <x v="0"/>
    <x v="0"/>
    <x v="0"/>
    <x v="0"/>
    <x v="0"/>
    <x v="0"/>
    <n v="221694"/>
    <m/>
    <n v="421694"/>
    <x v="0"/>
    <x v="0"/>
    <n v="54200"/>
    <n v="421694"/>
    <x v="39"/>
    <s v="Iraq"/>
    <x v="0"/>
    <x v="0"/>
    <x v="0"/>
  </r>
  <r>
    <m/>
    <n v="100"/>
    <x v="106"/>
    <d v="2003-03-01T00:00:00"/>
    <x v="7"/>
    <n v="24"/>
    <x v="0"/>
    <x v="8"/>
    <n v="5"/>
    <x v="3"/>
    <s v="Syria"/>
    <x v="0"/>
    <x v="8"/>
    <x v="7"/>
    <x v="7"/>
    <m/>
    <x v="0"/>
    <x v="0"/>
    <m/>
    <m/>
    <m/>
    <m/>
    <x v="0"/>
    <m/>
    <m/>
    <x v="0"/>
    <x v="0"/>
    <m/>
    <x v="0"/>
    <n v="15000"/>
    <n v="15000"/>
    <x v="0"/>
    <x v="0"/>
    <x v="0"/>
    <m/>
    <x v="0"/>
    <x v="0"/>
    <x v="0"/>
    <x v="0"/>
    <x v="0"/>
    <x v="0"/>
    <x v="0"/>
    <x v="0"/>
    <x v="0"/>
    <x v="0"/>
    <x v="0"/>
    <x v="0"/>
    <x v="0"/>
    <x v="0"/>
    <m/>
    <m/>
    <n v="15000"/>
    <x v="0"/>
    <x v="0"/>
    <n v="1000"/>
    <n v="15000"/>
    <x v="39"/>
    <s v="Iraq"/>
    <x v="90"/>
    <x v="0"/>
    <x v="0"/>
  </r>
  <r>
    <m/>
    <n v="100"/>
    <x v="36"/>
    <d v="2003-03-01T00:00:00"/>
    <x v="7"/>
    <n v="24"/>
    <x v="0"/>
    <x v="8"/>
    <n v="5"/>
    <x v="3"/>
    <s v="Jordan"/>
    <x v="0"/>
    <x v="8"/>
    <x v="7"/>
    <x v="7"/>
    <m/>
    <x v="0"/>
    <x v="0"/>
    <m/>
    <m/>
    <m/>
    <m/>
    <x v="0"/>
    <m/>
    <m/>
    <x v="0"/>
    <x v="0"/>
    <m/>
    <x v="0"/>
    <n v="15000"/>
    <n v="15000"/>
    <x v="4"/>
    <x v="0"/>
    <x v="0"/>
    <m/>
    <x v="0"/>
    <x v="0"/>
    <x v="0"/>
    <x v="0"/>
    <x v="0"/>
    <x v="0"/>
    <x v="0"/>
    <x v="0"/>
    <x v="0"/>
    <x v="0"/>
    <x v="0"/>
    <x v="0"/>
    <x v="0"/>
    <x v="0"/>
    <m/>
    <n v="17812"/>
    <n v="32812"/>
    <x v="0"/>
    <x v="0"/>
    <n v="1000"/>
    <n v="32812"/>
    <x v="39"/>
    <s v="Iraq"/>
    <x v="91"/>
    <x v="0"/>
    <x v="0"/>
  </r>
  <r>
    <m/>
    <n v="100"/>
    <x v="107"/>
    <d v="2003-03-01T00:00:00"/>
    <x v="7"/>
    <n v="24"/>
    <x v="0"/>
    <x v="8"/>
    <n v="5"/>
    <x v="3"/>
    <s v="Turkey"/>
    <x v="0"/>
    <x v="8"/>
    <x v="7"/>
    <x v="7"/>
    <m/>
    <x v="0"/>
    <x v="0"/>
    <m/>
    <m/>
    <m/>
    <m/>
    <x v="0"/>
    <m/>
    <m/>
    <x v="0"/>
    <x v="0"/>
    <m/>
    <x v="0"/>
    <m/>
    <n v="0"/>
    <x v="2"/>
    <x v="0"/>
    <x v="0"/>
    <m/>
    <x v="0"/>
    <x v="0"/>
    <x v="0"/>
    <x v="0"/>
    <x v="0"/>
    <x v="0"/>
    <x v="0"/>
    <x v="0"/>
    <x v="0"/>
    <x v="0"/>
    <x v="0"/>
    <x v="0"/>
    <x v="0"/>
    <x v="0"/>
    <m/>
    <n v="17812"/>
    <n v="17812"/>
    <x v="0"/>
    <x v="0"/>
    <m/>
    <n v="17812"/>
    <x v="39"/>
    <s v="Iraq"/>
    <x v="92"/>
    <x v="0"/>
    <x v="0"/>
  </r>
  <r>
    <m/>
    <n v="101"/>
    <x v="108"/>
    <d v="2003-05-01T00:00:00"/>
    <x v="7"/>
    <n v="25"/>
    <x v="0"/>
    <x v="8"/>
    <n v="6"/>
    <x v="2"/>
    <s v="Argentina"/>
    <x v="0"/>
    <x v="2"/>
    <x v="2"/>
    <x v="2"/>
    <m/>
    <x v="0"/>
    <x v="0"/>
    <m/>
    <m/>
    <m/>
    <m/>
    <x v="0"/>
    <m/>
    <m/>
    <x v="0"/>
    <x v="2"/>
    <n v="15000"/>
    <x v="0"/>
    <m/>
    <n v="15000"/>
    <x v="2"/>
    <x v="0"/>
    <x v="0"/>
    <m/>
    <x v="0"/>
    <x v="0"/>
    <x v="0"/>
    <x v="0"/>
    <x v="0"/>
    <x v="0"/>
    <x v="0"/>
    <x v="0"/>
    <x v="0"/>
    <x v="0"/>
    <x v="0"/>
    <x v="0"/>
    <x v="0"/>
    <x v="0"/>
    <m/>
    <m/>
    <n v="15000"/>
    <x v="0"/>
    <x v="0"/>
    <n v="1500"/>
    <n v="15000"/>
    <x v="1"/>
    <m/>
    <x v="93"/>
    <x v="0"/>
    <x v="0"/>
  </r>
  <r>
    <m/>
    <n v="102"/>
    <x v="9"/>
    <d v="2003-05-01T00:00:00"/>
    <x v="7"/>
    <n v="26"/>
    <x v="0"/>
    <x v="8"/>
    <n v="7"/>
    <x v="3"/>
    <s v="Turkey"/>
    <x v="0"/>
    <x v="3"/>
    <x v="3"/>
    <x v="3"/>
    <m/>
    <x v="0"/>
    <x v="0"/>
    <m/>
    <m/>
    <m/>
    <m/>
    <x v="0"/>
    <m/>
    <m/>
    <x v="0"/>
    <x v="0"/>
    <m/>
    <x v="0"/>
    <m/>
    <n v="0"/>
    <x v="4"/>
    <x v="0"/>
    <x v="0"/>
    <n v="9000"/>
    <x v="0"/>
    <x v="0"/>
    <x v="0"/>
    <x v="0"/>
    <x v="0"/>
    <x v="0"/>
    <x v="0"/>
    <x v="0"/>
    <x v="0"/>
    <x v="5"/>
    <x v="0"/>
    <x v="0"/>
    <x v="0"/>
    <x v="0"/>
    <n v="331380"/>
    <m/>
    <n v="331380"/>
    <x v="0"/>
    <x v="0"/>
    <n v="45000"/>
    <n v="331380"/>
    <x v="1"/>
    <s v="Bingol"/>
    <x v="94"/>
    <x v="0"/>
    <x v="0"/>
  </r>
  <r>
    <m/>
    <n v="103"/>
    <x v="109"/>
    <d v="2003-05-01T00:00:00"/>
    <x v="7"/>
    <n v="27"/>
    <x v="0"/>
    <x v="8"/>
    <n v="8"/>
    <x v="3"/>
    <s v="China"/>
    <x v="0"/>
    <x v="11"/>
    <x v="22"/>
    <x v="24"/>
    <m/>
    <x v="0"/>
    <x v="0"/>
    <m/>
    <m/>
    <m/>
    <m/>
    <x v="0"/>
    <m/>
    <m/>
    <x v="0"/>
    <x v="0"/>
    <m/>
    <x v="0"/>
    <n v="32500"/>
    <n v="32500"/>
    <x v="0"/>
    <x v="0"/>
    <x v="0"/>
    <m/>
    <x v="0"/>
    <x v="0"/>
    <x v="0"/>
    <x v="0"/>
    <x v="0"/>
    <x v="0"/>
    <x v="0"/>
    <x v="0"/>
    <x v="0"/>
    <x v="0"/>
    <x v="0"/>
    <x v="0"/>
    <x v="0"/>
    <x v="0"/>
    <m/>
    <m/>
    <n v="32500"/>
    <x v="0"/>
    <x v="0"/>
    <n v="59000"/>
    <n v="32500"/>
    <x v="40"/>
    <s v="SARS"/>
    <x v="95"/>
    <x v="0"/>
    <x v="0"/>
  </r>
  <r>
    <m/>
    <n v="103"/>
    <x v="109"/>
    <d v="2003-05-01T00:00:00"/>
    <x v="7"/>
    <n v="27"/>
    <x v="0"/>
    <x v="8"/>
    <n v="8"/>
    <x v="3"/>
    <s v="China"/>
    <x v="0"/>
    <x v="11"/>
    <x v="22"/>
    <x v="24"/>
    <m/>
    <x v="0"/>
    <x v="0"/>
    <m/>
    <m/>
    <m/>
    <m/>
    <x v="0"/>
    <m/>
    <m/>
    <x v="0"/>
    <x v="0"/>
    <m/>
    <x v="0"/>
    <n v="370642"/>
    <n v="370642"/>
    <x v="0"/>
    <x v="0"/>
    <x v="0"/>
    <m/>
    <x v="0"/>
    <x v="0"/>
    <x v="0"/>
    <x v="0"/>
    <x v="0"/>
    <x v="0"/>
    <x v="0"/>
    <x v="0"/>
    <x v="0"/>
    <x v="0"/>
    <x v="0"/>
    <x v="0"/>
    <x v="0"/>
    <x v="0"/>
    <m/>
    <m/>
    <n v="370642"/>
    <x v="0"/>
    <x v="0"/>
    <n v="15000"/>
    <n v="370642"/>
    <x v="38"/>
    <s v="SARS"/>
    <x v="96"/>
    <x v="0"/>
    <x v="0"/>
  </r>
  <r>
    <m/>
    <n v="103"/>
    <x v="110"/>
    <d v="2003-05-01T00:00:00"/>
    <x v="7"/>
    <n v="27"/>
    <x v="0"/>
    <x v="8"/>
    <n v="8"/>
    <x v="3"/>
    <s v="Hong Kong"/>
    <x v="0"/>
    <x v="11"/>
    <x v="22"/>
    <x v="24"/>
    <m/>
    <x v="0"/>
    <x v="0"/>
    <m/>
    <m/>
    <m/>
    <m/>
    <x v="0"/>
    <m/>
    <m/>
    <x v="0"/>
    <x v="0"/>
    <m/>
    <x v="0"/>
    <n v="60000"/>
    <n v="60000"/>
    <x v="0"/>
    <x v="0"/>
    <x v="0"/>
    <m/>
    <x v="0"/>
    <x v="0"/>
    <x v="0"/>
    <x v="0"/>
    <x v="0"/>
    <x v="0"/>
    <x v="0"/>
    <x v="0"/>
    <x v="0"/>
    <x v="0"/>
    <x v="0"/>
    <x v="0"/>
    <x v="0"/>
    <x v="0"/>
    <m/>
    <m/>
    <n v="60000"/>
    <x v="0"/>
    <x v="0"/>
    <n v="72500"/>
    <n v="60000"/>
    <x v="2"/>
    <s v="SARS"/>
    <x v="97"/>
    <x v="0"/>
    <x v="0"/>
  </r>
  <r>
    <m/>
    <n v="104"/>
    <x v="111"/>
    <d v="2003-05-01T00:00:00"/>
    <x v="7"/>
    <n v="28"/>
    <x v="0"/>
    <x v="8"/>
    <n v="9"/>
    <x v="3"/>
    <s v="Sri Lanka"/>
    <x v="0"/>
    <x v="2"/>
    <x v="2"/>
    <x v="2"/>
    <m/>
    <x v="0"/>
    <x v="0"/>
    <m/>
    <m/>
    <m/>
    <m/>
    <x v="0"/>
    <m/>
    <m/>
    <x v="0"/>
    <x v="2"/>
    <n v="21400"/>
    <x v="0"/>
    <m/>
    <n v="21400"/>
    <x v="0"/>
    <x v="0"/>
    <x v="0"/>
    <m/>
    <x v="0"/>
    <x v="0"/>
    <x v="0"/>
    <x v="0"/>
    <x v="0"/>
    <x v="0"/>
    <x v="0"/>
    <x v="0"/>
    <x v="0"/>
    <x v="0"/>
    <x v="0"/>
    <x v="0"/>
    <x v="0"/>
    <x v="0"/>
    <m/>
    <m/>
    <n v="21400"/>
    <x v="0"/>
    <x v="0"/>
    <n v="2862.1931568439049"/>
    <n v="21400"/>
    <x v="41"/>
    <m/>
    <x v="98"/>
    <x v="0"/>
    <x v="0"/>
  </r>
  <r>
    <m/>
    <n v="105"/>
    <x v="80"/>
    <d v="2003-07-01T00:00:00"/>
    <x v="8"/>
    <n v="1"/>
    <x v="0"/>
    <x v="8"/>
    <n v="10"/>
    <x v="2"/>
    <s v="Panama"/>
    <x v="0"/>
    <x v="2"/>
    <x v="2"/>
    <x v="2"/>
    <m/>
    <x v="0"/>
    <x v="0"/>
    <m/>
    <m/>
    <m/>
    <m/>
    <x v="0"/>
    <m/>
    <m/>
    <x v="0"/>
    <x v="0"/>
    <m/>
    <x v="0"/>
    <m/>
    <n v="0"/>
    <x v="2"/>
    <x v="0"/>
    <x v="0"/>
    <n v="6500"/>
    <x v="0"/>
    <x v="3"/>
    <x v="0"/>
    <x v="0"/>
    <x v="0"/>
    <x v="0"/>
    <x v="0"/>
    <x v="2"/>
    <x v="0"/>
    <x v="0"/>
    <x v="0"/>
    <x v="0"/>
    <x v="0"/>
    <x v="0"/>
    <n v="16700"/>
    <m/>
    <n v="16700"/>
    <x v="0"/>
    <x v="0"/>
    <n v="3000"/>
    <n v="16700"/>
    <x v="1"/>
    <m/>
    <x v="99"/>
    <x v="0"/>
    <x v="0"/>
  </r>
  <r>
    <m/>
    <n v="106"/>
    <x v="112"/>
    <d v="2003-09-01T00:00:00"/>
    <x v="8"/>
    <n v="2"/>
    <x v="0"/>
    <x v="8"/>
    <n v="11"/>
    <x v="4"/>
    <s v="Canada"/>
    <x v="0"/>
    <x v="15"/>
    <x v="23"/>
    <x v="11"/>
    <m/>
    <x v="0"/>
    <x v="0"/>
    <m/>
    <m/>
    <m/>
    <m/>
    <x v="0"/>
    <m/>
    <m/>
    <x v="0"/>
    <x v="0"/>
    <m/>
    <x v="0"/>
    <n v="10000"/>
    <n v="10000"/>
    <x v="0"/>
    <x v="0"/>
    <x v="0"/>
    <m/>
    <x v="0"/>
    <x v="0"/>
    <x v="0"/>
    <x v="0"/>
    <x v="0"/>
    <x v="0"/>
    <x v="0"/>
    <x v="0"/>
    <x v="0"/>
    <x v="0"/>
    <x v="0"/>
    <x v="0"/>
    <x v="0"/>
    <x v="0"/>
    <m/>
    <m/>
    <n v="10000"/>
    <x v="0"/>
    <x v="0"/>
    <n v="250"/>
    <n v="10000"/>
    <x v="27"/>
    <m/>
    <x v="100"/>
    <x v="0"/>
    <x v="0"/>
  </r>
  <r>
    <m/>
    <n v="107"/>
    <x v="113"/>
    <d v="2003-10-01T00:00:00"/>
    <x v="8"/>
    <n v="3"/>
    <x v="0"/>
    <x v="8"/>
    <n v="12"/>
    <x v="2"/>
    <s v="Dominican Republic"/>
    <x v="0"/>
    <x v="3"/>
    <x v="3"/>
    <x v="3"/>
    <m/>
    <x v="0"/>
    <x v="0"/>
    <m/>
    <m/>
    <m/>
    <m/>
    <x v="0"/>
    <m/>
    <m/>
    <x v="0"/>
    <x v="0"/>
    <m/>
    <x v="0"/>
    <m/>
    <n v="0"/>
    <x v="0"/>
    <x v="0"/>
    <x v="0"/>
    <m/>
    <x v="0"/>
    <x v="0"/>
    <x v="0"/>
    <x v="0"/>
    <x v="0"/>
    <x v="0"/>
    <x v="0"/>
    <x v="0"/>
    <x v="0"/>
    <x v="0"/>
    <x v="0"/>
    <x v="0"/>
    <x v="0"/>
    <x v="0"/>
    <n v="25000"/>
    <m/>
    <n v="25000"/>
    <x v="0"/>
    <x v="0"/>
    <n v="100"/>
    <n v="25000"/>
    <x v="42"/>
    <s v="Puerto Plata"/>
    <x v="101"/>
    <x v="0"/>
    <x v="0"/>
  </r>
  <r>
    <m/>
    <n v="108"/>
    <x v="114"/>
    <d v="2003-05-01T00:00:00"/>
    <x v="8"/>
    <n v="4"/>
    <x v="0"/>
    <x v="8"/>
    <n v="13"/>
    <x v="1"/>
    <s v="Algeria"/>
    <x v="0"/>
    <x v="3"/>
    <x v="3"/>
    <x v="3"/>
    <m/>
    <x v="0"/>
    <x v="0"/>
    <m/>
    <m/>
    <m/>
    <m/>
    <x v="0"/>
    <m/>
    <m/>
    <x v="0"/>
    <x v="0"/>
    <m/>
    <x v="0"/>
    <m/>
    <n v="0"/>
    <x v="0"/>
    <x v="0"/>
    <x v="0"/>
    <n v="10000"/>
    <x v="0"/>
    <x v="4"/>
    <x v="0"/>
    <x v="0"/>
    <x v="0"/>
    <x v="0"/>
    <x v="0"/>
    <x v="0"/>
    <x v="0"/>
    <x v="0"/>
    <x v="0"/>
    <x v="0"/>
    <x v="0"/>
    <x v="0"/>
    <n v="37200"/>
    <n v="28670"/>
    <n v="65870"/>
    <x v="0"/>
    <x v="0"/>
    <n v="50000"/>
    <n v="65870"/>
    <x v="43"/>
    <s v="RESPONSE IN FY 04"/>
    <x v="102"/>
    <x v="0"/>
    <x v="0"/>
  </r>
  <r>
    <m/>
    <n v="109"/>
    <x v="115"/>
    <d v="2003-08-01T00:00:00"/>
    <x v="8"/>
    <n v="5"/>
    <x v="0"/>
    <x v="8"/>
    <n v="14"/>
    <x v="1"/>
    <s v="Liberia"/>
    <x v="0"/>
    <x v="8"/>
    <x v="7"/>
    <x v="7"/>
    <m/>
    <x v="0"/>
    <x v="0"/>
    <m/>
    <m/>
    <m/>
    <m/>
    <x v="0"/>
    <m/>
    <m/>
    <x v="0"/>
    <x v="2"/>
    <n v="35027"/>
    <x v="0"/>
    <m/>
    <n v="35027"/>
    <x v="0"/>
    <x v="0"/>
    <x v="0"/>
    <m/>
    <x v="0"/>
    <x v="0"/>
    <x v="0"/>
    <x v="0"/>
    <x v="0"/>
    <x v="0"/>
    <x v="0"/>
    <x v="0"/>
    <x v="0"/>
    <x v="0"/>
    <x v="0"/>
    <x v="0"/>
    <x v="0"/>
    <x v="0"/>
    <m/>
    <m/>
    <n v="35027"/>
    <x v="0"/>
    <x v="0"/>
    <n v="2500"/>
    <n v="35027"/>
    <x v="44"/>
    <m/>
    <x v="103"/>
    <x v="0"/>
    <x v="0"/>
  </r>
  <r>
    <m/>
    <n v="110"/>
    <x v="6"/>
    <d v="2003-09-01T00:00:00"/>
    <x v="8"/>
    <n v="6"/>
    <x v="0"/>
    <x v="8"/>
    <n v="15"/>
    <x v="2"/>
    <s v="Mexico"/>
    <x v="0"/>
    <x v="2"/>
    <x v="2"/>
    <x v="2"/>
    <m/>
    <x v="0"/>
    <x v="0"/>
    <m/>
    <m/>
    <m/>
    <m/>
    <x v="0"/>
    <m/>
    <m/>
    <x v="0"/>
    <x v="0"/>
    <m/>
    <x v="0"/>
    <n v="10500"/>
    <n v="10500"/>
    <x v="4"/>
    <x v="0"/>
    <x v="0"/>
    <m/>
    <x v="0"/>
    <x v="0"/>
    <x v="0"/>
    <x v="0"/>
    <x v="0"/>
    <x v="0"/>
    <x v="0"/>
    <x v="0"/>
    <x v="0"/>
    <x v="0"/>
    <x v="0"/>
    <x v="0"/>
    <x v="0"/>
    <x v="0"/>
    <m/>
    <m/>
    <n v="10500"/>
    <x v="0"/>
    <x v="0"/>
    <n v="3000"/>
    <n v="10500"/>
    <x v="32"/>
    <m/>
    <x v="104"/>
    <x v="0"/>
    <x v="0"/>
  </r>
  <r>
    <m/>
    <n v="111"/>
    <x v="95"/>
    <d v="2003-10-01T00:00:00"/>
    <x v="8"/>
    <n v="7"/>
    <x v="0"/>
    <x v="8"/>
    <n v="16"/>
    <x v="3"/>
    <s v="South Korea"/>
    <x v="0"/>
    <x v="5"/>
    <x v="5"/>
    <x v="22"/>
    <m/>
    <x v="0"/>
    <x v="0"/>
    <m/>
    <m/>
    <m/>
    <m/>
    <x v="0"/>
    <m/>
    <m/>
    <x v="0"/>
    <x v="0"/>
    <m/>
    <x v="0"/>
    <n v="10000"/>
    <n v="10000"/>
    <x v="0"/>
    <x v="0"/>
    <x v="0"/>
    <m/>
    <x v="0"/>
    <x v="0"/>
    <x v="0"/>
    <x v="0"/>
    <x v="0"/>
    <x v="0"/>
    <x v="0"/>
    <x v="0"/>
    <x v="0"/>
    <x v="0"/>
    <x v="0"/>
    <x v="0"/>
    <x v="0"/>
    <x v="0"/>
    <m/>
    <m/>
    <n v="10000"/>
    <x v="0"/>
    <x v="0"/>
    <m/>
    <n v="10000"/>
    <x v="45"/>
    <s v="Maemi"/>
    <x v="105"/>
    <x v="0"/>
    <x v="0"/>
  </r>
  <r>
    <m/>
    <n v="112"/>
    <x v="116"/>
    <d v="2003-11-01T00:00:00"/>
    <x v="8"/>
    <n v="8"/>
    <x v="0"/>
    <x v="8"/>
    <n v="17"/>
    <x v="2"/>
    <s v="Dominican Republic"/>
    <x v="0"/>
    <x v="2"/>
    <x v="2"/>
    <x v="2"/>
    <m/>
    <x v="0"/>
    <x v="0"/>
    <m/>
    <m/>
    <m/>
    <m/>
    <x v="0"/>
    <m/>
    <m/>
    <x v="0"/>
    <x v="0"/>
    <m/>
    <x v="0"/>
    <m/>
    <n v="0"/>
    <x v="5"/>
    <x v="1"/>
    <x v="0"/>
    <m/>
    <x v="0"/>
    <x v="0"/>
    <x v="0"/>
    <x v="0"/>
    <x v="0"/>
    <x v="0"/>
    <x v="0"/>
    <x v="0"/>
    <x v="0"/>
    <x v="0"/>
    <x v="0"/>
    <x v="0"/>
    <x v="0"/>
    <x v="0"/>
    <n v="50000"/>
    <m/>
    <n v="50000"/>
    <x v="0"/>
    <x v="0"/>
    <n v="500"/>
    <n v="50000"/>
    <x v="46"/>
    <s v="Cibao / Montecristi"/>
    <x v="106"/>
    <x v="0"/>
    <x v="0"/>
  </r>
  <r>
    <m/>
    <n v="112"/>
    <x v="116"/>
    <d v="2003-11-01T00:00:00"/>
    <x v="8"/>
    <n v="8"/>
    <x v="0"/>
    <x v="8"/>
    <n v="17"/>
    <x v="2"/>
    <s v="Dominican Republic"/>
    <x v="0"/>
    <x v="2"/>
    <x v="2"/>
    <x v="2"/>
    <m/>
    <x v="0"/>
    <x v="0"/>
    <m/>
    <m/>
    <m/>
    <m/>
    <x v="0"/>
    <m/>
    <m/>
    <x v="0"/>
    <x v="0"/>
    <m/>
    <x v="0"/>
    <m/>
    <n v="0"/>
    <x v="0"/>
    <x v="0"/>
    <x v="0"/>
    <m/>
    <x v="0"/>
    <x v="0"/>
    <x v="0"/>
    <x v="0"/>
    <x v="0"/>
    <x v="0"/>
    <x v="0"/>
    <x v="0"/>
    <x v="0"/>
    <x v="0"/>
    <x v="0"/>
    <x v="0"/>
    <x v="0"/>
    <x v="0"/>
    <m/>
    <m/>
    <n v="0"/>
    <x v="0"/>
    <x v="0"/>
    <m/>
    <n v="0"/>
    <x v="42"/>
    <s v="Cibao / Montecristi"/>
    <x v="107"/>
    <x v="0"/>
    <x v="0"/>
  </r>
  <r>
    <m/>
    <n v="113"/>
    <x v="117"/>
    <d v="2003-12-01T00:00:00"/>
    <x v="8"/>
    <n v="9"/>
    <x v="0"/>
    <x v="8"/>
    <n v="18"/>
    <x v="3"/>
    <s v="Iran"/>
    <x v="0"/>
    <x v="3"/>
    <x v="3"/>
    <x v="3"/>
    <m/>
    <x v="0"/>
    <x v="0"/>
    <m/>
    <m/>
    <m/>
    <m/>
    <x v="0"/>
    <m/>
    <m/>
    <x v="0"/>
    <x v="1"/>
    <n v="200000"/>
    <x v="0"/>
    <m/>
    <n v="200000"/>
    <x v="16"/>
    <x v="1"/>
    <x v="0"/>
    <n v="115560"/>
    <x v="0"/>
    <x v="5"/>
    <x v="6"/>
    <x v="0"/>
    <x v="0"/>
    <x v="4"/>
    <x v="0"/>
    <x v="0"/>
    <x v="0"/>
    <x v="0"/>
    <x v="0"/>
    <x v="0"/>
    <x v="0"/>
    <x v="0"/>
    <n v="825763"/>
    <n v="150038.97999999998"/>
    <n v="1175801.98"/>
    <x v="0"/>
    <x v="0"/>
    <n v="225000"/>
    <n v="1175801.98"/>
    <x v="47"/>
    <s v="Bam"/>
    <x v="108"/>
    <x v="0"/>
    <x v="0"/>
  </r>
  <r>
    <m/>
    <n v="113"/>
    <x v="117"/>
    <d v="2003-12-01T00:00:00"/>
    <x v="8"/>
    <n v="9"/>
    <x v="0"/>
    <x v="8"/>
    <n v="18"/>
    <x v="3"/>
    <s v="Iran"/>
    <x v="0"/>
    <x v="3"/>
    <x v="3"/>
    <x v="3"/>
    <m/>
    <x v="0"/>
    <x v="0"/>
    <m/>
    <m/>
    <m/>
    <m/>
    <x v="0"/>
    <m/>
    <m/>
    <x v="0"/>
    <x v="0"/>
    <m/>
    <x v="0"/>
    <m/>
    <n v="0"/>
    <x v="0"/>
    <x v="0"/>
    <x v="0"/>
    <n v="11"/>
    <x v="0"/>
    <x v="0"/>
    <x v="0"/>
    <x v="0"/>
    <x v="0"/>
    <x v="5"/>
    <x v="0"/>
    <x v="0"/>
    <x v="0"/>
    <x v="0"/>
    <x v="0"/>
    <x v="0"/>
    <x v="0"/>
    <x v="0"/>
    <n v="19975"/>
    <m/>
    <n v="19975"/>
    <x v="0"/>
    <x v="0"/>
    <n v="440"/>
    <n v="19975"/>
    <x v="48"/>
    <s v="Bam"/>
    <x v="109"/>
    <x v="0"/>
    <x v="0"/>
  </r>
  <r>
    <m/>
    <n v="113"/>
    <x v="117"/>
    <d v="2003-12-01T00:00:00"/>
    <x v="8"/>
    <n v="9"/>
    <x v="0"/>
    <x v="8"/>
    <n v="18"/>
    <x v="3"/>
    <s v="Iran"/>
    <x v="0"/>
    <x v="3"/>
    <x v="3"/>
    <x v="3"/>
    <m/>
    <x v="0"/>
    <x v="0"/>
    <m/>
    <m/>
    <m/>
    <m/>
    <x v="0"/>
    <m/>
    <m/>
    <x v="0"/>
    <x v="0"/>
    <m/>
    <x v="0"/>
    <m/>
    <n v="0"/>
    <x v="0"/>
    <x v="0"/>
    <x v="0"/>
    <m/>
    <x v="0"/>
    <x v="0"/>
    <x v="0"/>
    <x v="0"/>
    <x v="0"/>
    <x v="0"/>
    <x v="0"/>
    <x v="0"/>
    <x v="0"/>
    <x v="0"/>
    <x v="0"/>
    <x v="0"/>
    <x v="0"/>
    <x v="0"/>
    <n v="60000"/>
    <m/>
    <n v="60000"/>
    <x v="0"/>
    <x v="0"/>
    <m/>
    <n v="60000"/>
    <x v="49"/>
    <s v="Bam"/>
    <x v="110"/>
    <x v="0"/>
    <x v="0"/>
  </r>
  <r>
    <m/>
    <n v="114"/>
    <x v="118"/>
    <d v="2003-12-01T00:00:00"/>
    <x v="8"/>
    <n v="10"/>
    <x v="0"/>
    <x v="8"/>
    <n v="19"/>
    <x v="2"/>
    <s v="Panama"/>
    <x v="0"/>
    <x v="3"/>
    <x v="3"/>
    <x v="3"/>
    <m/>
    <x v="0"/>
    <x v="0"/>
    <m/>
    <m/>
    <m/>
    <m/>
    <x v="0"/>
    <m/>
    <m/>
    <x v="0"/>
    <x v="0"/>
    <m/>
    <x v="0"/>
    <m/>
    <n v="0"/>
    <x v="0"/>
    <x v="0"/>
    <x v="0"/>
    <n v="2300"/>
    <x v="0"/>
    <x v="0"/>
    <x v="7"/>
    <x v="0"/>
    <x v="0"/>
    <x v="0"/>
    <x v="0"/>
    <x v="3"/>
    <x v="0"/>
    <x v="0"/>
    <x v="0"/>
    <x v="0"/>
    <x v="0"/>
    <x v="0"/>
    <n v="6178"/>
    <m/>
    <n v="6178"/>
    <x v="0"/>
    <x v="0"/>
    <n v="550"/>
    <n v="6178"/>
    <x v="1"/>
    <m/>
    <x v="111"/>
    <x v="0"/>
    <x v="0"/>
  </r>
  <r>
    <m/>
    <n v="115"/>
    <x v="119"/>
    <d v="2004-04-01T00:00:00"/>
    <x v="8"/>
    <n v="11"/>
    <x v="0"/>
    <x v="9"/>
    <n v="1"/>
    <x v="3"/>
    <s v="DPRK/North Korea"/>
    <x v="0"/>
    <x v="9"/>
    <x v="21"/>
    <x v="19"/>
    <m/>
    <x v="0"/>
    <x v="0"/>
    <m/>
    <m/>
    <m/>
    <m/>
    <x v="0"/>
    <m/>
    <m/>
    <x v="0"/>
    <x v="1"/>
    <n v="110000"/>
    <x v="0"/>
    <m/>
    <n v="110000"/>
    <x v="0"/>
    <x v="0"/>
    <x v="0"/>
    <m/>
    <x v="0"/>
    <x v="0"/>
    <x v="0"/>
    <x v="0"/>
    <x v="0"/>
    <x v="0"/>
    <x v="0"/>
    <x v="0"/>
    <x v="0"/>
    <x v="0"/>
    <x v="0"/>
    <x v="0"/>
    <x v="0"/>
    <x v="0"/>
    <m/>
    <m/>
    <n v="110000"/>
    <x v="0"/>
    <x v="0"/>
    <n v="3300"/>
    <n v="110000"/>
    <x v="50"/>
    <s v="Ryongchon"/>
    <x v="112"/>
    <x v="0"/>
    <x v="0"/>
  </r>
  <r>
    <m/>
    <n v="116"/>
    <x v="116"/>
    <d v="2004-05-01T00:00:00"/>
    <x v="8"/>
    <n v="12"/>
    <x v="0"/>
    <x v="9"/>
    <n v="2"/>
    <x v="2"/>
    <s v="Dominican Republic"/>
    <x v="0"/>
    <x v="2"/>
    <x v="2"/>
    <x v="2"/>
    <m/>
    <x v="0"/>
    <x v="0"/>
    <m/>
    <m/>
    <m/>
    <m/>
    <x v="0"/>
    <m/>
    <m/>
    <x v="0"/>
    <x v="0"/>
    <m/>
    <x v="0"/>
    <m/>
    <n v="0"/>
    <x v="2"/>
    <x v="0"/>
    <x v="0"/>
    <n v="10930"/>
    <x v="0"/>
    <x v="0"/>
    <x v="0"/>
    <x v="4"/>
    <x v="0"/>
    <x v="6"/>
    <x v="0"/>
    <x v="4"/>
    <x v="0"/>
    <x v="0"/>
    <x v="2"/>
    <x v="0"/>
    <x v="0"/>
    <x v="0"/>
    <n v="205334.81245"/>
    <n v="14800"/>
    <n v="220134.81245"/>
    <x v="0"/>
    <x v="0"/>
    <n v="2500"/>
    <n v="220134.81245"/>
    <x v="42"/>
    <s v="Jimani &amp; Duarte"/>
    <x v="113"/>
    <x v="0"/>
    <x v="0"/>
  </r>
  <r>
    <m/>
    <n v="116"/>
    <x v="120"/>
    <d v="2004-05-01T00:00:00"/>
    <x v="8"/>
    <n v="12"/>
    <x v="0"/>
    <x v="9"/>
    <n v="2"/>
    <x v="2"/>
    <s v="Haiti"/>
    <x v="0"/>
    <x v="2"/>
    <x v="2"/>
    <x v="2"/>
    <m/>
    <x v="0"/>
    <x v="0"/>
    <m/>
    <m/>
    <m/>
    <m/>
    <x v="0"/>
    <m/>
    <m/>
    <x v="0"/>
    <x v="2"/>
    <n v="20007"/>
    <x v="0"/>
    <m/>
    <n v="20007"/>
    <x v="0"/>
    <x v="0"/>
    <x v="0"/>
    <m/>
    <x v="0"/>
    <x v="0"/>
    <x v="0"/>
    <x v="0"/>
    <x v="0"/>
    <x v="0"/>
    <x v="0"/>
    <x v="0"/>
    <x v="0"/>
    <x v="0"/>
    <x v="0"/>
    <x v="4"/>
    <x v="0"/>
    <x v="0"/>
    <n v="16885.856"/>
    <n v="7665"/>
    <n v="44557.856"/>
    <x v="0"/>
    <x v="0"/>
    <n v="3000"/>
    <n v="44557.856"/>
    <x v="51"/>
    <s v="Eastern"/>
    <x v="114"/>
    <x v="0"/>
    <x v="0"/>
  </r>
  <r>
    <m/>
    <n v="116"/>
    <x v="121"/>
    <d v="2004-05-01T00:00:00"/>
    <x v="8"/>
    <n v="13"/>
    <x v="0"/>
    <x v="9"/>
    <n v="3"/>
    <x v="1"/>
    <s v="Malawi"/>
    <x v="0"/>
    <x v="11"/>
    <x v="22"/>
    <x v="24"/>
    <m/>
    <x v="0"/>
    <x v="0"/>
    <m/>
    <m/>
    <m/>
    <m/>
    <x v="0"/>
    <m/>
    <m/>
    <x v="0"/>
    <x v="0"/>
    <m/>
    <x v="0"/>
    <m/>
    <n v="0"/>
    <x v="0"/>
    <x v="0"/>
    <x v="0"/>
    <n v="12380"/>
    <x v="0"/>
    <x v="0"/>
    <x v="0"/>
    <x v="0"/>
    <x v="0"/>
    <x v="0"/>
    <x v="0"/>
    <x v="5"/>
    <x v="0"/>
    <x v="0"/>
    <x v="3"/>
    <x v="0"/>
    <x v="0"/>
    <x v="0"/>
    <n v="61220"/>
    <m/>
    <n v="61220"/>
    <x v="0"/>
    <x v="0"/>
    <n v="6180"/>
    <n v="61220"/>
    <x v="1"/>
    <s v="HIV/AIDS - Home Care"/>
    <x v="115"/>
    <x v="0"/>
    <x v="0"/>
  </r>
  <r>
    <m/>
    <n v="116"/>
    <x v="116"/>
    <d v="2004-07-01T00:00:00"/>
    <x v="8"/>
    <n v="12"/>
    <x v="0"/>
    <x v="9"/>
    <n v="2"/>
    <x v="2"/>
    <s v="Dominican Republic"/>
    <x v="0"/>
    <x v="2"/>
    <x v="2"/>
    <x v="2"/>
    <m/>
    <x v="0"/>
    <x v="0"/>
    <m/>
    <m/>
    <m/>
    <m/>
    <x v="0"/>
    <m/>
    <m/>
    <x v="0"/>
    <x v="0"/>
    <m/>
    <x v="0"/>
    <m/>
    <n v="0"/>
    <x v="2"/>
    <x v="0"/>
    <x v="0"/>
    <m/>
    <x v="0"/>
    <x v="0"/>
    <x v="0"/>
    <x v="0"/>
    <x v="0"/>
    <x v="0"/>
    <x v="0"/>
    <x v="0"/>
    <x v="0"/>
    <x v="0"/>
    <x v="0"/>
    <x v="0"/>
    <x v="0"/>
    <x v="0"/>
    <n v="110266.26"/>
    <m/>
    <n v="110266.26"/>
    <x v="0"/>
    <x v="0"/>
    <n v="2500"/>
    <n v="110266.26"/>
    <x v="52"/>
    <s v="Jimani &amp; Duarte"/>
    <x v="116"/>
    <x v="0"/>
    <x v="0"/>
  </r>
  <r>
    <m/>
    <n v="116"/>
    <x v="120"/>
    <d v="2004-07-01T00:00:00"/>
    <x v="8"/>
    <n v="12"/>
    <x v="0"/>
    <x v="9"/>
    <n v="2"/>
    <x v="2"/>
    <s v="Haiti"/>
    <x v="0"/>
    <x v="2"/>
    <x v="2"/>
    <x v="2"/>
    <m/>
    <x v="0"/>
    <x v="0"/>
    <m/>
    <m/>
    <m/>
    <m/>
    <x v="0"/>
    <m/>
    <m/>
    <x v="0"/>
    <x v="0"/>
    <m/>
    <x v="0"/>
    <m/>
    <n v="0"/>
    <x v="0"/>
    <x v="0"/>
    <x v="0"/>
    <m/>
    <x v="0"/>
    <x v="0"/>
    <x v="0"/>
    <x v="0"/>
    <x v="0"/>
    <x v="0"/>
    <x v="0"/>
    <x v="0"/>
    <x v="0"/>
    <x v="0"/>
    <x v="0"/>
    <x v="0"/>
    <x v="0"/>
    <x v="0"/>
    <n v="97442.48"/>
    <m/>
    <n v="97442.48"/>
    <x v="0"/>
    <x v="0"/>
    <n v="3000"/>
    <n v="97442.48"/>
    <x v="52"/>
    <s v="Eastern"/>
    <x v="117"/>
    <x v="0"/>
    <x v="0"/>
  </r>
  <r>
    <m/>
    <n v="117"/>
    <x v="122"/>
    <d v="2004-05-01T00:00:00"/>
    <x v="8"/>
    <n v="14"/>
    <x v="0"/>
    <x v="9"/>
    <n v="4"/>
    <x v="2"/>
    <s v="Jamaica"/>
    <x v="0"/>
    <x v="8"/>
    <x v="7"/>
    <x v="7"/>
    <m/>
    <x v="0"/>
    <x v="0"/>
    <m/>
    <m/>
    <m/>
    <m/>
    <x v="0"/>
    <m/>
    <m/>
    <x v="0"/>
    <x v="0"/>
    <m/>
    <x v="0"/>
    <m/>
    <n v="0"/>
    <x v="1"/>
    <x v="0"/>
    <x v="0"/>
    <n v="1000"/>
    <x v="0"/>
    <x v="3"/>
    <x v="0"/>
    <x v="0"/>
    <x v="0"/>
    <x v="0"/>
    <x v="0"/>
    <x v="6"/>
    <x v="0"/>
    <x v="0"/>
    <x v="0"/>
    <x v="0"/>
    <x v="0"/>
    <x v="0"/>
    <n v="3000"/>
    <m/>
    <n v="3000"/>
    <x v="0"/>
    <x v="0"/>
    <n v="500"/>
    <n v="3000"/>
    <x v="1"/>
    <s v="Haiti - Refugee"/>
    <x v="118"/>
    <x v="0"/>
    <x v="0"/>
  </r>
  <r>
    <m/>
    <n v="119"/>
    <x v="123"/>
    <d v="2004-08-01T00:00:00"/>
    <x v="9"/>
    <n v="1"/>
    <x v="0"/>
    <x v="9"/>
    <n v="5"/>
    <x v="2"/>
    <s v="Paraguay"/>
    <x v="0"/>
    <x v="10"/>
    <x v="10"/>
    <x v="18"/>
    <m/>
    <x v="0"/>
    <x v="0"/>
    <m/>
    <m/>
    <m/>
    <m/>
    <x v="0"/>
    <m/>
    <m/>
    <x v="0"/>
    <x v="0"/>
    <m/>
    <x v="0"/>
    <n v="18675"/>
    <n v="18675"/>
    <x v="0"/>
    <x v="0"/>
    <x v="0"/>
    <m/>
    <x v="0"/>
    <x v="0"/>
    <x v="0"/>
    <x v="0"/>
    <x v="0"/>
    <x v="0"/>
    <x v="0"/>
    <x v="0"/>
    <x v="0"/>
    <x v="0"/>
    <x v="0"/>
    <x v="0"/>
    <x v="0"/>
    <x v="0"/>
    <m/>
    <m/>
    <n v="18675"/>
    <x v="0"/>
    <x v="0"/>
    <m/>
    <n v="18675"/>
    <x v="53"/>
    <s v="Asuncion Supermarket"/>
    <x v="119"/>
    <x v="0"/>
    <x v="0"/>
  </r>
  <r>
    <m/>
    <n v="120"/>
    <x v="124"/>
    <d v="2004-08-01T00:00:00"/>
    <x v="9"/>
    <n v="2"/>
    <x v="0"/>
    <x v="9"/>
    <n v="6"/>
    <x v="1"/>
    <s v="Chad"/>
    <x v="0"/>
    <x v="8"/>
    <x v="7"/>
    <x v="7"/>
    <m/>
    <x v="0"/>
    <x v="0"/>
    <m/>
    <m/>
    <m/>
    <m/>
    <x v="0"/>
    <m/>
    <m/>
    <x v="0"/>
    <x v="1"/>
    <n v="100000"/>
    <x v="0"/>
    <m/>
    <n v="100000"/>
    <x v="0"/>
    <x v="0"/>
    <x v="0"/>
    <m/>
    <x v="0"/>
    <x v="0"/>
    <x v="0"/>
    <x v="0"/>
    <x v="0"/>
    <x v="0"/>
    <x v="0"/>
    <x v="0"/>
    <x v="0"/>
    <x v="0"/>
    <x v="0"/>
    <x v="0"/>
    <x v="0"/>
    <x v="0"/>
    <m/>
    <m/>
    <n v="100000"/>
    <x v="0"/>
    <x v="0"/>
    <m/>
    <n v="100000"/>
    <x v="54"/>
    <s v="Darfur / Sudan"/>
    <x v="120"/>
    <x v="0"/>
    <x v="0"/>
  </r>
  <r>
    <m/>
    <n v="120"/>
    <x v="125"/>
    <d v="2004-08-01T00:00:00"/>
    <x v="9"/>
    <n v="2"/>
    <x v="0"/>
    <x v="9"/>
    <n v="6"/>
    <x v="1"/>
    <s v="Sudan"/>
    <x v="0"/>
    <x v="8"/>
    <x v="7"/>
    <x v="7"/>
    <m/>
    <x v="0"/>
    <x v="0"/>
    <m/>
    <m/>
    <m/>
    <m/>
    <x v="0"/>
    <m/>
    <m/>
    <x v="0"/>
    <x v="0"/>
    <m/>
    <x v="3"/>
    <m/>
    <n v="242000"/>
    <x v="2"/>
    <x v="0"/>
    <x v="0"/>
    <m/>
    <x v="0"/>
    <x v="0"/>
    <x v="0"/>
    <x v="0"/>
    <x v="0"/>
    <x v="0"/>
    <x v="0"/>
    <x v="0"/>
    <x v="0"/>
    <x v="0"/>
    <x v="0"/>
    <x v="0"/>
    <x v="0"/>
    <x v="0"/>
    <m/>
    <n v="5400"/>
    <n v="247400"/>
    <x v="0"/>
    <x v="0"/>
    <m/>
    <n v="247400"/>
    <x v="55"/>
    <s v="Darfur / Sudan"/>
    <x v="121"/>
    <x v="0"/>
    <x v="0"/>
  </r>
  <r>
    <m/>
    <n v="121"/>
    <x v="19"/>
    <d v="2004-08-01T00:00:00"/>
    <x v="9"/>
    <n v="3"/>
    <x v="0"/>
    <x v="9"/>
    <n v="7"/>
    <x v="3"/>
    <s v="Bangladesh"/>
    <x v="0"/>
    <x v="2"/>
    <x v="2"/>
    <x v="2"/>
    <m/>
    <x v="0"/>
    <x v="0"/>
    <m/>
    <m/>
    <m/>
    <m/>
    <x v="0"/>
    <m/>
    <m/>
    <x v="0"/>
    <x v="2"/>
    <n v="35975"/>
    <x v="0"/>
    <m/>
    <n v="35975"/>
    <x v="0"/>
    <x v="0"/>
    <x v="0"/>
    <m/>
    <x v="0"/>
    <x v="0"/>
    <x v="0"/>
    <x v="0"/>
    <x v="0"/>
    <x v="0"/>
    <x v="0"/>
    <x v="0"/>
    <x v="0"/>
    <x v="0"/>
    <x v="0"/>
    <x v="0"/>
    <x v="0"/>
    <x v="0"/>
    <m/>
    <m/>
    <n v="35975"/>
    <x v="0"/>
    <x v="0"/>
    <m/>
    <n v="35975"/>
    <x v="56"/>
    <s v="Country-wide"/>
    <x v="122"/>
    <x v="0"/>
    <x v="0"/>
  </r>
  <r>
    <m/>
    <n v="122"/>
    <x v="126"/>
    <d v="2004-08-01T00:00:00"/>
    <x v="9"/>
    <n v="4"/>
    <x v="0"/>
    <x v="9"/>
    <n v="8"/>
    <x v="3"/>
    <s v="Taiwan"/>
    <x v="0"/>
    <x v="5"/>
    <x v="5"/>
    <x v="22"/>
    <m/>
    <x v="0"/>
    <x v="0"/>
    <m/>
    <m/>
    <m/>
    <m/>
    <x v="0"/>
    <m/>
    <m/>
    <x v="0"/>
    <x v="0"/>
    <m/>
    <x v="0"/>
    <n v="59896.536212325685"/>
    <n v="59896.536212325685"/>
    <x v="0"/>
    <x v="0"/>
    <x v="0"/>
    <m/>
    <x v="0"/>
    <x v="0"/>
    <x v="0"/>
    <x v="0"/>
    <x v="0"/>
    <x v="0"/>
    <x v="0"/>
    <x v="0"/>
    <x v="0"/>
    <x v="0"/>
    <x v="0"/>
    <x v="0"/>
    <x v="0"/>
    <x v="0"/>
    <m/>
    <m/>
    <n v="59896.536212325685"/>
    <x v="0"/>
    <x v="0"/>
    <m/>
    <n v="59896.536212325685"/>
    <x v="4"/>
    <s v="Mindulle"/>
    <x v="123"/>
    <x v="0"/>
    <x v="0"/>
  </r>
  <r>
    <m/>
    <n v="123"/>
    <x v="25"/>
    <d v="2004-09-01T00:00:00"/>
    <x v="9"/>
    <n v="5"/>
    <x v="0"/>
    <x v="9"/>
    <n v="9"/>
    <x v="2"/>
    <s v="Grenada"/>
    <x v="0"/>
    <x v="5"/>
    <x v="5"/>
    <x v="5"/>
    <m/>
    <x v="0"/>
    <x v="0"/>
    <m/>
    <m/>
    <m/>
    <m/>
    <x v="0"/>
    <m/>
    <m/>
    <x v="0"/>
    <x v="1"/>
    <n v="300000"/>
    <x v="0"/>
    <m/>
    <n v="300000"/>
    <x v="4"/>
    <x v="0"/>
    <x v="0"/>
    <n v="486"/>
    <x v="0"/>
    <x v="0"/>
    <x v="0"/>
    <x v="5"/>
    <x v="0"/>
    <x v="7"/>
    <x v="0"/>
    <x v="0"/>
    <x v="0"/>
    <x v="0"/>
    <x v="0"/>
    <x v="0"/>
    <x v="0"/>
    <x v="0"/>
    <n v="2452.19"/>
    <m/>
    <n v="302452.19"/>
    <x v="0"/>
    <x v="0"/>
    <m/>
    <n v="302452.19"/>
    <x v="57"/>
    <s v="Ivan"/>
    <x v="124"/>
    <x v="0"/>
    <x v="0"/>
  </r>
  <r>
    <m/>
    <n v="123"/>
    <x v="73"/>
    <d v="2004-09-01T00:00:00"/>
    <x v="9"/>
    <n v="5"/>
    <x v="0"/>
    <x v="9"/>
    <n v="9"/>
    <x v="2"/>
    <s v="Jamaica"/>
    <x v="0"/>
    <x v="5"/>
    <x v="5"/>
    <x v="5"/>
    <m/>
    <x v="0"/>
    <x v="0"/>
    <m/>
    <m/>
    <m/>
    <m/>
    <x v="0"/>
    <m/>
    <m/>
    <x v="0"/>
    <x v="1"/>
    <n v="100000"/>
    <x v="0"/>
    <m/>
    <n v="100000"/>
    <x v="2"/>
    <x v="0"/>
    <x v="0"/>
    <n v="7314"/>
    <x v="0"/>
    <x v="0"/>
    <x v="8"/>
    <x v="6"/>
    <x v="0"/>
    <x v="0"/>
    <x v="0"/>
    <x v="0"/>
    <x v="0"/>
    <x v="0"/>
    <x v="4"/>
    <x v="0"/>
    <x v="0"/>
    <x v="0"/>
    <n v="31046.880000000001"/>
    <m/>
    <n v="131046.88"/>
    <x v="0"/>
    <x v="0"/>
    <m/>
    <n v="131046.88"/>
    <x v="57"/>
    <s v="Ivan"/>
    <x v="125"/>
    <x v="0"/>
    <x v="0"/>
  </r>
  <r>
    <m/>
    <n v="123"/>
    <x v="127"/>
    <d v="2004-09-01T00:00:00"/>
    <x v="9"/>
    <n v="5"/>
    <x v="0"/>
    <x v="9"/>
    <n v="9"/>
    <x v="2"/>
    <s v="Cayman Islands"/>
    <x v="0"/>
    <x v="5"/>
    <x v="5"/>
    <x v="5"/>
    <m/>
    <x v="0"/>
    <x v="0"/>
    <m/>
    <m/>
    <m/>
    <m/>
    <x v="0"/>
    <m/>
    <m/>
    <x v="0"/>
    <x v="1"/>
    <n v="100000"/>
    <x v="0"/>
    <m/>
    <n v="100000"/>
    <x v="2"/>
    <x v="0"/>
    <x v="0"/>
    <n v="2346"/>
    <x v="0"/>
    <x v="6"/>
    <x v="0"/>
    <x v="7"/>
    <x v="0"/>
    <x v="8"/>
    <x v="0"/>
    <x v="0"/>
    <x v="0"/>
    <x v="0"/>
    <x v="0"/>
    <x v="0"/>
    <x v="0"/>
    <x v="0"/>
    <n v="12853.79"/>
    <m/>
    <n v="112853.79"/>
    <x v="0"/>
    <x v="0"/>
    <m/>
    <n v="112853.79"/>
    <x v="57"/>
    <s v="Ivan"/>
    <x v="126"/>
    <x v="0"/>
    <x v="0"/>
  </r>
  <r>
    <m/>
    <n v="123"/>
    <x v="13"/>
    <d v="2004-09-01T00:00:00"/>
    <x v="9"/>
    <n v="5"/>
    <x v="0"/>
    <x v="9"/>
    <n v="9"/>
    <x v="2"/>
    <s v="Bahamas "/>
    <x v="0"/>
    <x v="5"/>
    <x v="5"/>
    <x v="5"/>
    <m/>
    <x v="0"/>
    <x v="0"/>
    <m/>
    <m/>
    <m/>
    <m/>
    <x v="0"/>
    <m/>
    <m/>
    <x v="0"/>
    <x v="1"/>
    <n v="100000"/>
    <x v="0"/>
    <m/>
    <n v="100000"/>
    <x v="6"/>
    <x v="0"/>
    <x v="0"/>
    <m/>
    <x v="0"/>
    <x v="0"/>
    <x v="0"/>
    <x v="0"/>
    <x v="0"/>
    <x v="0"/>
    <x v="0"/>
    <x v="0"/>
    <x v="0"/>
    <x v="0"/>
    <x v="0"/>
    <x v="0"/>
    <x v="0"/>
    <x v="0"/>
    <m/>
    <m/>
    <n v="100000"/>
    <x v="0"/>
    <x v="0"/>
    <m/>
    <n v="100000"/>
    <x v="57"/>
    <s v="Ivan"/>
    <x v="127"/>
    <x v="0"/>
    <x v="0"/>
  </r>
  <r>
    <m/>
    <n v="124"/>
    <x v="120"/>
    <d v="2004-09-01T00:00:00"/>
    <x v="9"/>
    <n v="6"/>
    <x v="0"/>
    <x v="9"/>
    <n v="10"/>
    <x v="2"/>
    <s v="Haiti"/>
    <x v="0"/>
    <x v="2"/>
    <x v="8"/>
    <x v="9"/>
    <m/>
    <x v="0"/>
    <x v="0"/>
    <m/>
    <m/>
    <m/>
    <m/>
    <x v="0"/>
    <m/>
    <m/>
    <x v="0"/>
    <x v="1"/>
    <n v="400000"/>
    <x v="0"/>
    <m/>
    <n v="400000"/>
    <x v="2"/>
    <x v="0"/>
    <x v="0"/>
    <n v="110"/>
    <x v="0"/>
    <x v="0"/>
    <x v="0"/>
    <x v="0"/>
    <x v="0"/>
    <x v="0"/>
    <x v="0"/>
    <x v="0"/>
    <x v="0"/>
    <x v="0"/>
    <x v="5"/>
    <x v="0"/>
    <x v="0"/>
    <x v="0"/>
    <n v="1375"/>
    <m/>
    <n v="401375"/>
    <x v="0"/>
    <x v="0"/>
    <m/>
    <n v="401375"/>
    <x v="51"/>
    <s v="TS Jeanne"/>
    <x v="128"/>
    <x v="0"/>
    <x v="0"/>
  </r>
  <r>
    <m/>
    <n v="125"/>
    <x v="7"/>
    <d v="2004-11-01T00:00:00"/>
    <x v="9"/>
    <n v="7"/>
    <x v="0"/>
    <x v="9"/>
    <n v="11"/>
    <x v="2"/>
    <s v="Costa Rica"/>
    <x v="0"/>
    <x v="2"/>
    <x v="2"/>
    <x v="2"/>
    <m/>
    <x v="0"/>
    <x v="0"/>
    <m/>
    <m/>
    <m/>
    <m/>
    <x v="0"/>
    <m/>
    <m/>
    <x v="0"/>
    <x v="0"/>
    <m/>
    <x v="0"/>
    <m/>
    <n v="0"/>
    <x v="0"/>
    <x v="0"/>
    <x v="0"/>
    <n v="750"/>
    <x v="0"/>
    <x v="7"/>
    <x v="0"/>
    <x v="0"/>
    <x v="0"/>
    <x v="0"/>
    <x v="0"/>
    <x v="0"/>
    <x v="0"/>
    <x v="0"/>
    <x v="0"/>
    <x v="0"/>
    <x v="0"/>
    <x v="0"/>
    <n v="2655"/>
    <m/>
    <n v="2655"/>
    <x v="0"/>
    <x v="0"/>
    <m/>
    <n v="2655"/>
    <x v="1"/>
    <m/>
    <x v="129"/>
    <x v="0"/>
    <x v="0"/>
  </r>
  <r>
    <m/>
    <n v="126"/>
    <x v="80"/>
    <d v="2004-12-01T00:00:00"/>
    <x v="9"/>
    <n v="8"/>
    <x v="0"/>
    <x v="9"/>
    <n v="12"/>
    <x v="2"/>
    <s v="Panama"/>
    <x v="1"/>
    <x v="2"/>
    <x v="2"/>
    <x v="2"/>
    <m/>
    <x v="0"/>
    <x v="0"/>
    <m/>
    <m/>
    <m/>
    <m/>
    <x v="0"/>
    <m/>
    <m/>
    <x v="0"/>
    <x v="0"/>
    <m/>
    <x v="0"/>
    <m/>
    <n v="0"/>
    <x v="0"/>
    <x v="0"/>
    <x v="0"/>
    <m/>
    <x v="0"/>
    <x v="0"/>
    <x v="0"/>
    <x v="0"/>
    <x v="0"/>
    <x v="0"/>
    <x v="0"/>
    <x v="0"/>
    <x v="0"/>
    <x v="0"/>
    <x v="0"/>
    <x v="0"/>
    <x v="0"/>
    <x v="0"/>
    <m/>
    <m/>
    <n v="0"/>
    <x v="0"/>
    <x v="0"/>
    <m/>
    <n v="0"/>
    <x v="1"/>
    <s v="Darien"/>
    <x v="130"/>
    <x v="0"/>
    <x v="0"/>
  </r>
  <r>
    <m/>
    <n v="127"/>
    <x v="128"/>
    <d v="2004-12-01T00:00:00"/>
    <x v="9"/>
    <n v="9"/>
    <x v="0"/>
    <x v="9"/>
    <n v="13"/>
    <x v="3"/>
    <s v="Sri Lanka"/>
    <x v="1"/>
    <x v="16"/>
    <x v="24"/>
    <x v="25"/>
    <m/>
    <x v="0"/>
    <x v="0"/>
    <m/>
    <m/>
    <m/>
    <m/>
    <x v="0"/>
    <m/>
    <m/>
    <x v="0"/>
    <x v="1"/>
    <n v="1837066.6666666667"/>
    <x v="0"/>
    <m/>
    <n v="1837066.6666666667"/>
    <x v="17"/>
    <x v="1"/>
    <x v="0"/>
    <m/>
    <x v="0"/>
    <x v="0"/>
    <x v="0"/>
    <x v="0"/>
    <x v="0"/>
    <x v="0"/>
    <x v="0"/>
    <x v="0"/>
    <x v="0"/>
    <x v="0"/>
    <x v="0"/>
    <x v="0"/>
    <x v="0"/>
    <x v="0"/>
    <n v="2011842.86"/>
    <n v="100000000"/>
    <n v="103848909.52666667"/>
    <x v="0"/>
    <x v="0"/>
    <m/>
    <n v="103848909.52666667"/>
    <x v="58"/>
    <s v="S &amp; E Provinces"/>
    <x v="131"/>
    <x v="0"/>
    <x v="0"/>
  </r>
  <r>
    <m/>
    <n v="127"/>
    <x v="129"/>
    <d v="2004-12-01T00:00:00"/>
    <x v="9"/>
    <n v="9"/>
    <x v="0"/>
    <x v="9"/>
    <n v="13"/>
    <x v="3"/>
    <s v="Indonesia"/>
    <x v="1"/>
    <x v="16"/>
    <x v="24"/>
    <x v="25"/>
    <m/>
    <x v="0"/>
    <x v="0"/>
    <m/>
    <m/>
    <m/>
    <m/>
    <x v="0"/>
    <m/>
    <m/>
    <x v="0"/>
    <x v="1"/>
    <n v="1666666.6666666667"/>
    <x v="0"/>
    <m/>
    <n v="1666666.6666666667"/>
    <x v="10"/>
    <x v="1"/>
    <x v="0"/>
    <m/>
    <x v="0"/>
    <x v="0"/>
    <x v="0"/>
    <x v="0"/>
    <x v="0"/>
    <x v="0"/>
    <x v="0"/>
    <x v="0"/>
    <x v="0"/>
    <x v="0"/>
    <x v="0"/>
    <x v="0"/>
    <x v="0"/>
    <x v="0"/>
    <n v="2300506.4"/>
    <m/>
    <n v="3967173.0666666664"/>
    <x v="0"/>
    <x v="0"/>
    <m/>
    <n v="477328823.80666667"/>
    <x v="58"/>
    <s v="N. Sumatra"/>
    <x v="132"/>
    <x v="0"/>
    <x v="0"/>
  </r>
  <r>
    <m/>
    <n v="127"/>
    <x v="130"/>
    <d v="2004-12-01T00:00:00"/>
    <x v="9"/>
    <n v="9"/>
    <x v="0"/>
    <x v="9"/>
    <n v="13"/>
    <x v="3"/>
    <s v="Maldives"/>
    <x v="1"/>
    <x v="16"/>
    <x v="24"/>
    <x v="25"/>
    <m/>
    <x v="0"/>
    <x v="0"/>
    <m/>
    <m/>
    <m/>
    <m/>
    <x v="0"/>
    <m/>
    <m/>
    <x v="0"/>
    <x v="1"/>
    <n v="1666666.6666666667"/>
    <x v="0"/>
    <m/>
    <n v="1666666.6666666667"/>
    <x v="4"/>
    <x v="0"/>
    <x v="0"/>
    <m/>
    <x v="0"/>
    <x v="0"/>
    <x v="0"/>
    <x v="0"/>
    <x v="0"/>
    <x v="0"/>
    <x v="0"/>
    <x v="0"/>
    <x v="0"/>
    <x v="0"/>
    <x v="0"/>
    <x v="0"/>
    <x v="0"/>
    <x v="0"/>
    <n v="155600"/>
    <m/>
    <n v="1822266.6666666667"/>
    <x v="0"/>
    <x v="0"/>
    <m/>
    <n v="1822266.6666666667"/>
    <x v="58"/>
    <s v="Country-wide"/>
    <x v="133"/>
    <x v="0"/>
    <x v="0"/>
  </r>
  <r>
    <m/>
    <n v="128"/>
    <x v="131"/>
    <d v="2005-01-01T00:00:00"/>
    <x v="9"/>
    <n v="10"/>
    <x v="0"/>
    <x v="10"/>
    <n v="1"/>
    <x v="2"/>
    <s v="Guyana"/>
    <x v="1"/>
    <x v="2"/>
    <x v="2"/>
    <x v="2"/>
    <m/>
    <x v="0"/>
    <x v="0"/>
    <m/>
    <m/>
    <m/>
    <m/>
    <x v="0"/>
    <m/>
    <m/>
    <x v="0"/>
    <x v="0"/>
    <m/>
    <x v="0"/>
    <m/>
    <n v="0"/>
    <x v="4"/>
    <x v="0"/>
    <x v="0"/>
    <m/>
    <x v="0"/>
    <x v="0"/>
    <x v="0"/>
    <x v="0"/>
    <x v="0"/>
    <x v="0"/>
    <x v="0"/>
    <x v="0"/>
    <x v="0"/>
    <x v="0"/>
    <x v="0"/>
    <x v="0"/>
    <x v="0"/>
    <x v="0"/>
    <n v="10000"/>
    <n v="3100"/>
    <n v="13100"/>
    <x v="0"/>
    <x v="0"/>
    <m/>
    <n v="13100"/>
    <x v="59"/>
    <s v="Georgetown"/>
    <x v="134"/>
    <x v="0"/>
    <x v="0"/>
  </r>
  <r>
    <m/>
    <n v="129"/>
    <x v="132"/>
    <d v="2005-06-01T00:00:00"/>
    <x v="9"/>
    <n v="11"/>
    <x v="0"/>
    <x v="10"/>
    <n v="2"/>
    <x v="4"/>
    <s v="Canada"/>
    <x v="1"/>
    <x v="2"/>
    <x v="2"/>
    <x v="2"/>
    <m/>
    <x v="0"/>
    <x v="0"/>
    <m/>
    <m/>
    <m/>
    <m/>
    <x v="0"/>
    <m/>
    <m/>
    <x v="0"/>
    <x v="0"/>
    <m/>
    <x v="0"/>
    <n v="5000"/>
    <n v="5000"/>
    <x v="0"/>
    <x v="0"/>
    <x v="0"/>
    <m/>
    <x v="0"/>
    <x v="0"/>
    <x v="0"/>
    <x v="0"/>
    <x v="0"/>
    <x v="0"/>
    <x v="0"/>
    <x v="0"/>
    <x v="0"/>
    <x v="0"/>
    <x v="0"/>
    <x v="0"/>
    <x v="0"/>
    <x v="0"/>
    <m/>
    <m/>
    <n v="5000"/>
    <x v="0"/>
    <x v="0"/>
    <m/>
    <n v="5000"/>
    <x v="60"/>
    <s v="Alberta Floods"/>
    <x v="135"/>
    <x v="0"/>
    <x v="0"/>
  </r>
  <r>
    <m/>
    <n v="130"/>
    <x v="133"/>
    <d v="2005-07-01T00:00:00"/>
    <x v="10"/>
    <n v="1"/>
    <x v="0"/>
    <x v="10"/>
    <n v="3"/>
    <x v="2"/>
    <s v="Jamaica"/>
    <x v="1"/>
    <x v="5"/>
    <x v="5"/>
    <x v="5"/>
    <m/>
    <x v="1"/>
    <x v="1"/>
    <n v="587000"/>
    <s v="05EA14"/>
    <m/>
    <m/>
    <x v="0"/>
    <m/>
    <n v="35000"/>
    <x v="0"/>
    <x v="2"/>
    <n v="25000"/>
    <x v="0"/>
    <m/>
    <n v="25000"/>
    <x v="0"/>
    <x v="0"/>
    <x v="0"/>
    <n v="25"/>
    <x v="0"/>
    <x v="0"/>
    <x v="0"/>
    <x v="0"/>
    <x v="0"/>
    <x v="8"/>
    <x v="0"/>
    <x v="0"/>
    <x v="0"/>
    <x v="0"/>
    <x v="0"/>
    <x v="0"/>
    <x v="0"/>
    <x v="0"/>
    <n v="7475"/>
    <m/>
    <n v="32475"/>
    <x v="0"/>
    <x v="0"/>
    <n v="100"/>
    <n v="32475"/>
    <x v="57"/>
    <s v="Dennis / Emily"/>
    <x v="136"/>
    <x v="0"/>
    <x v="0"/>
  </r>
  <r>
    <m/>
    <n v="130"/>
    <x v="134"/>
    <d v="2005-07-01T00:00:00"/>
    <x v="10"/>
    <n v="1"/>
    <x v="0"/>
    <x v="10"/>
    <n v="3"/>
    <x v="2"/>
    <s v="Grenada"/>
    <x v="1"/>
    <x v="5"/>
    <x v="5"/>
    <x v="5"/>
    <m/>
    <x v="0"/>
    <x v="0"/>
    <m/>
    <m/>
    <m/>
    <m/>
    <x v="0"/>
    <m/>
    <m/>
    <x v="0"/>
    <x v="1"/>
    <n v="75000"/>
    <x v="0"/>
    <m/>
    <n v="75000"/>
    <x v="0"/>
    <x v="0"/>
    <x v="0"/>
    <m/>
    <x v="0"/>
    <x v="0"/>
    <x v="0"/>
    <x v="0"/>
    <x v="0"/>
    <x v="0"/>
    <x v="0"/>
    <x v="0"/>
    <x v="0"/>
    <x v="0"/>
    <x v="0"/>
    <x v="0"/>
    <x v="0"/>
    <x v="0"/>
    <m/>
    <m/>
    <n v="75000"/>
    <x v="0"/>
    <x v="0"/>
    <m/>
    <n v="75000"/>
    <x v="57"/>
    <s v="Dennis / Emily"/>
    <x v="137"/>
    <x v="0"/>
    <x v="0"/>
  </r>
  <r>
    <m/>
    <n v="130"/>
    <x v="135"/>
    <d v="2005-07-01T00:00:00"/>
    <x v="10"/>
    <n v="1"/>
    <x v="0"/>
    <x v="10"/>
    <n v="3"/>
    <x v="2"/>
    <s v="Haiti"/>
    <x v="1"/>
    <x v="5"/>
    <x v="5"/>
    <x v="5"/>
    <m/>
    <x v="0"/>
    <x v="0"/>
    <m/>
    <m/>
    <m/>
    <m/>
    <x v="0"/>
    <m/>
    <m/>
    <x v="0"/>
    <x v="1"/>
    <n v="100000"/>
    <x v="0"/>
    <m/>
    <n v="100000"/>
    <x v="0"/>
    <x v="0"/>
    <x v="0"/>
    <n v="9995"/>
    <x v="0"/>
    <x v="0"/>
    <x v="0"/>
    <x v="0"/>
    <x v="0"/>
    <x v="0"/>
    <x v="0"/>
    <x v="0"/>
    <x v="0"/>
    <x v="0"/>
    <x v="0"/>
    <x v="0"/>
    <x v="0"/>
    <x v="0"/>
    <n v="8693"/>
    <m/>
    <n v="108693"/>
    <x v="0"/>
    <x v="0"/>
    <m/>
    <n v="108693"/>
    <x v="51"/>
    <s v="Dennis / Emily"/>
    <x v="138"/>
    <x v="0"/>
    <x v="0"/>
  </r>
  <r>
    <m/>
    <n v="131"/>
    <x v="136"/>
    <d v="2005-07-01T00:00:00"/>
    <x v="10"/>
    <n v="2"/>
    <x v="0"/>
    <x v="10"/>
    <n v="4"/>
    <x v="1"/>
    <s v="Niger"/>
    <x v="2"/>
    <x v="14"/>
    <x v="18"/>
    <x v="20"/>
    <m/>
    <x v="1"/>
    <x v="1"/>
    <n v="14211607"/>
    <s v="05EA015"/>
    <m/>
    <m/>
    <x v="0"/>
    <m/>
    <n v="222000"/>
    <x v="0"/>
    <x v="0"/>
    <m/>
    <x v="0"/>
    <m/>
    <n v="0"/>
    <x v="5"/>
    <x v="0"/>
    <x v="0"/>
    <m/>
    <x v="0"/>
    <x v="0"/>
    <x v="0"/>
    <x v="0"/>
    <x v="0"/>
    <x v="0"/>
    <x v="0"/>
    <x v="0"/>
    <x v="0"/>
    <x v="0"/>
    <x v="0"/>
    <x v="0"/>
    <x v="0"/>
    <x v="0"/>
    <m/>
    <n v="36200"/>
    <n v="36200"/>
    <x v="0"/>
    <x v="0"/>
    <m/>
    <n v="36200"/>
    <x v="61"/>
    <s v="Sahel"/>
    <x v="139"/>
    <x v="0"/>
    <x v="0"/>
  </r>
  <r>
    <m/>
    <n v="132"/>
    <x v="137"/>
    <d v="2005-08-01T00:00:00"/>
    <x v="10"/>
    <n v="3"/>
    <x v="0"/>
    <x v="10"/>
    <n v="5"/>
    <x v="4"/>
    <s v="US"/>
    <x v="1"/>
    <x v="17"/>
    <x v="5"/>
    <x v="5"/>
    <m/>
    <x v="0"/>
    <x v="0"/>
    <m/>
    <m/>
    <m/>
    <m/>
    <x v="0"/>
    <m/>
    <m/>
    <x v="0"/>
    <x v="0"/>
    <m/>
    <x v="0"/>
    <m/>
    <n v="0"/>
    <x v="5"/>
    <x v="0"/>
    <x v="0"/>
    <m/>
    <x v="0"/>
    <x v="0"/>
    <x v="0"/>
    <x v="0"/>
    <x v="0"/>
    <x v="0"/>
    <x v="0"/>
    <x v="0"/>
    <x v="0"/>
    <x v="0"/>
    <x v="0"/>
    <x v="0"/>
    <x v="0"/>
    <x v="0"/>
    <m/>
    <m/>
    <n v="0"/>
    <x v="0"/>
    <x v="0"/>
    <m/>
    <n v="0"/>
    <x v="0"/>
    <s v="Katrina"/>
    <x v="140"/>
    <x v="0"/>
    <x v="0"/>
  </r>
  <r>
    <m/>
    <n v="133"/>
    <x v="138"/>
    <d v="2005-10-01T00:00:00"/>
    <x v="10"/>
    <n v="4"/>
    <x v="0"/>
    <x v="10"/>
    <n v="6"/>
    <x v="3"/>
    <s v="Pakistan"/>
    <x v="3"/>
    <x v="3"/>
    <x v="3"/>
    <x v="3"/>
    <n v="3500000"/>
    <x v="1"/>
    <x v="1"/>
    <n v="117000000"/>
    <s v="05EA022"/>
    <m/>
    <m/>
    <x v="0"/>
    <m/>
    <n v="575000"/>
    <x v="0"/>
    <x v="1"/>
    <n v="6750000"/>
    <x v="4"/>
    <m/>
    <n v="7750000"/>
    <x v="6"/>
    <x v="0"/>
    <x v="0"/>
    <n v="325618"/>
    <x v="0"/>
    <x v="8"/>
    <x v="9"/>
    <x v="0"/>
    <x v="1"/>
    <x v="9"/>
    <x v="1"/>
    <x v="7"/>
    <x v="0"/>
    <x v="0"/>
    <x v="6"/>
    <x v="0"/>
    <x v="0"/>
    <x v="0"/>
    <n v="4808310"/>
    <m/>
    <n v="12558310"/>
    <x v="0"/>
    <x v="0"/>
    <n v="120000"/>
    <n v="12558310"/>
    <x v="62"/>
    <s v="North West Frontier Province (NWFP) and Pakistan Administered Kashmir (PAK)"/>
    <x v="141"/>
    <x v="0"/>
    <x v="1"/>
  </r>
  <r>
    <m/>
    <n v="134"/>
    <x v="139"/>
    <d v="2005-10-01T00:00:00"/>
    <x v="10"/>
    <n v="5"/>
    <x v="0"/>
    <x v="10"/>
    <n v="7"/>
    <x v="2"/>
    <s v="Guatemala"/>
    <x v="1"/>
    <x v="17"/>
    <x v="5"/>
    <x v="5"/>
    <m/>
    <x v="0"/>
    <x v="0"/>
    <m/>
    <m/>
    <m/>
    <m/>
    <x v="0"/>
    <m/>
    <m/>
    <x v="0"/>
    <x v="2"/>
    <n v="47581"/>
    <x v="0"/>
    <m/>
    <n v="47581"/>
    <x v="0"/>
    <x v="0"/>
    <x v="0"/>
    <m/>
    <x v="0"/>
    <x v="0"/>
    <x v="0"/>
    <x v="0"/>
    <x v="0"/>
    <x v="0"/>
    <x v="0"/>
    <x v="0"/>
    <x v="0"/>
    <x v="0"/>
    <x v="0"/>
    <x v="0"/>
    <x v="0"/>
    <x v="0"/>
    <m/>
    <m/>
    <n v="47581"/>
    <x v="0"/>
    <x v="0"/>
    <m/>
    <n v="47581"/>
    <x v="63"/>
    <s v="Stan"/>
    <x v="142"/>
    <x v="0"/>
    <x v="0"/>
  </r>
  <r>
    <m/>
    <n v="134"/>
    <x v="140"/>
    <d v="2005-10-01T00:00:00"/>
    <x v="10"/>
    <n v="5"/>
    <x v="0"/>
    <x v="10"/>
    <n v="7"/>
    <x v="2"/>
    <s v="Mexico"/>
    <x v="1"/>
    <x v="17"/>
    <x v="5"/>
    <x v="5"/>
    <m/>
    <x v="0"/>
    <x v="0"/>
    <m/>
    <m/>
    <m/>
    <m/>
    <x v="0"/>
    <m/>
    <m/>
    <x v="0"/>
    <x v="1"/>
    <n v="257378"/>
    <x v="0"/>
    <n v="85000"/>
    <n v="342378"/>
    <x v="0"/>
    <x v="0"/>
    <x v="0"/>
    <m/>
    <x v="0"/>
    <x v="0"/>
    <x v="0"/>
    <x v="0"/>
    <x v="0"/>
    <x v="0"/>
    <x v="0"/>
    <x v="0"/>
    <x v="0"/>
    <x v="0"/>
    <x v="0"/>
    <x v="0"/>
    <x v="0"/>
    <x v="0"/>
    <m/>
    <m/>
    <n v="342378"/>
    <x v="0"/>
    <x v="0"/>
    <m/>
    <n v="342378"/>
    <x v="5"/>
    <s v="Stan"/>
    <x v="143"/>
    <x v="0"/>
    <x v="0"/>
  </r>
  <r>
    <s v="TC-2005-000173-SLV"/>
    <n v="135"/>
    <x v="141"/>
    <d v="2005-10-01T00:00:00"/>
    <x v="10"/>
    <n v="6"/>
    <x v="0"/>
    <x v="10"/>
    <n v="8"/>
    <x v="2"/>
    <s v="El Salvador"/>
    <x v="3"/>
    <x v="4"/>
    <x v="4"/>
    <x v="4"/>
    <m/>
    <x v="0"/>
    <x v="0"/>
    <n v="1098045"/>
    <s v="05EA020"/>
    <m/>
    <m/>
    <x v="0"/>
    <m/>
    <n v="21000"/>
    <x v="0"/>
    <x v="2"/>
    <n v="7034"/>
    <x v="0"/>
    <m/>
    <n v="7034"/>
    <x v="2"/>
    <x v="0"/>
    <x v="0"/>
    <m/>
    <x v="0"/>
    <x v="0"/>
    <x v="0"/>
    <x v="0"/>
    <x v="0"/>
    <x v="0"/>
    <x v="0"/>
    <x v="0"/>
    <x v="0"/>
    <x v="0"/>
    <x v="0"/>
    <x v="0"/>
    <x v="0"/>
    <x v="0"/>
    <m/>
    <m/>
    <n v="7034"/>
    <x v="0"/>
    <x v="0"/>
    <m/>
    <n v="7034"/>
    <x v="36"/>
    <s v="Also: Floods"/>
    <x v="144"/>
    <x v="0"/>
    <x v="0"/>
  </r>
  <r>
    <s v="TC-2005-000178-BHS"/>
    <n v="136"/>
    <x v="142"/>
    <d v="2005-10-01T00:00:00"/>
    <x v="10"/>
    <n v="7"/>
    <x v="0"/>
    <x v="10"/>
    <n v="9"/>
    <x v="2"/>
    <s v="Bahamas"/>
    <x v="1"/>
    <x v="5"/>
    <x v="5"/>
    <x v="5"/>
    <m/>
    <x v="0"/>
    <x v="0"/>
    <n v="1634707"/>
    <s v="05EA024"/>
    <m/>
    <m/>
    <x v="0"/>
    <m/>
    <m/>
    <x v="0"/>
    <x v="0"/>
    <m/>
    <x v="0"/>
    <m/>
    <n v="0"/>
    <x v="0"/>
    <x v="0"/>
    <x v="0"/>
    <n v="2371.9999999999995"/>
    <x v="0"/>
    <x v="9"/>
    <x v="0"/>
    <x v="0"/>
    <x v="0"/>
    <x v="0"/>
    <x v="0"/>
    <x v="0"/>
    <x v="0"/>
    <x v="0"/>
    <x v="0"/>
    <x v="0"/>
    <x v="0"/>
    <x v="0"/>
    <n v="20597"/>
    <m/>
    <n v="20597"/>
    <x v="0"/>
    <x v="0"/>
    <n v="4000"/>
    <n v="20597"/>
    <x v="57"/>
    <s v="Wilma"/>
    <x v="145"/>
    <x v="0"/>
    <x v="0"/>
  </r>
  <r>
    <s v="TC-2005-000178-MEX"/>
    <n v="136"/>
    <x v="143"/>
    <d v="2005-10-01T00:00:00"/>
    <x v="10"/>
    <n v="7"/>
    <x v="0"/>
    <x v="10"/>
    <n v="9"/>
    <x v="2"/>
    <s v="Mexico"/>
    <x v="1"/>
    <x v="5"/>
    <x v="5"/>
    <x v="5"/>
    <n v="300000"/>
    <x v="0"/>
    <x v="0"/>
    <n v="1918000"/>
    <s v="05EA024"/>
    <m/>
    <m/>
    <x v="0"/>
    <m/>
    <m/>
    <x v="0"/>
    <x v="1"/>
    <n v="128869"/>
    <x v="0"/>
    <n v="325000"/>
    <n v="453869"/>
    <x v="0"/>
    <x v="0"/>
    <x v="0"/>
    <n v="4500"/>
    <x v="0"/>
    <x v="10"/>
    <x v="0"/>
    <x v="0"/>
    <x v="0"/>
    <x v="0"/>
    <x v="0"/>
    <x v="0"/>
    <x v="0"/>
    <x v="0"/>
    <x v="0"/>
    <x v="0"/>
    <x v="0"/>
    <x v="0"/>
    <n v="43875"/>
    <m/>
    <n v="497744"/>
    <x v="0"/>
    <x v="0"/>
    <m/>
    <n v="497744"/>
    <x v="64"/>
    <s v="Wilma"/>
    <x v="146"/>
    <x v="0"/>
    <x v="0"/>
  </r>
  <r>
    <m/>
    <n v="137"/>
    <x v="144"/>
    <d v="2005-10-01T00:00:00"/>
    <x v="10"/>
    <n v="8"/>
    <x v="0"/>
    <x v="10"/>
    <n v="10"/>
    <x v="3"/>
    <s v="Vietnam"/>
    <x v="1"/>
    <x v="5"/>
    <x v="5"/>
    <x v="22"/>
    <m/>
    <x v="1"/>
    <x v="1"/>
    <n v="628813"/>
    <s v="05EA019"/>
    <n v="3.3504396378573595E-2"/>
    <m/>
    <x v="0"/>
    <m/>
    <n v="25000"/>
    <x v="0"/>
    <x v="2"/>
    <n v="21068"/>
    <x v="0"/>
    <m/>
    <n v="21068"/>
    <x v="0"/>
    <x v="0"/>
    <x v="0"/>
    <m/>
    <x v="0"/>
    <x v="0"/>
    <x v="0"/>
    <x v="0"/>
    <x v="0"/>
    <x v="0"/>
    <x v="0"/>
    <x v="0"/>
    <x v="0"/>
    <x v="0"/>
    <x v="0"/>
    <x v="0"/>
    <x v="0"/>
    <x v="0"/>
    <m/>
    <m/>
    <n v="21068"/>
    <x v="0"/>
    <x v="0"/>
    <m/>
    <n v="21068"/>
    <x v="7"/>
    <s v="Central Vietnam"/>
    <x v="147"/>
    <x v="0"/>
    <x v="0"/>
  </r>
  <r>
    <m/>
    <n v="138"/>
    <x v="145"/>
    <d v="2005-11-01T00:00:00"/>
    <x v="10"/>
    <n v="9"/>
    <x v="0"/>
    <x v="10"/>
    <n v="11"/>
    <x v="2"/>
    <s v="Colombia"/>
    <x v="3"/>
    <x v="4"/>
    <x v="4"/>
    <x v="4"/>
    <m/>
    <x v="0"/>
    <x v="0"/>
    <m/>
    <m/>
    <m/>
    <m/>
    <x v="0"/>
    <m/>
    <m/>
    <x v="0"/>
    <x v="0"/>
    <m/>
    <x v="0"/>
    <m/>
    <n v="0"/>
    <x v="0"/>
    <x v="0"/>
    <x v="0"/>
    <n v="45"/>
    <x v="0"/>
    <x v="0"/>
    <x v="0"/>
    <x v="0"/>
    <x v="0"/>
    <x v="10"/>
    <x v="0"/>
    <x v="0"/>
    <x v="0"/>
    <x v="0"/>
    <x v="0"/>
    <x v="0"/>
    <x v="0"/>
    <x v="0"/>
    <n v="17402"/>
    <m/>
    <n v="17402"/>
    <x v="0"/>
    <x v="0"/>
    <m/>
    <n v="17402"/>
    <x v="1"/>
    <s v="Galeras Volcano"/>
    <x v="148"/>
    <x v="0"/>
    <x v="0"/>
  </r>
  <r>
    <m/>
    <n v="139"/>
    <x v="146"/>
    <d v="2006-01-01T00:00:00"/>
    <x v="10"/>
    <n v="10"/>
    <x v="0"/>
    <x v="11"/>
    <n v="1"/>
    <x v="1"/>
    <s v="Lesotho"/>
    <x v="1"/>
    <x v="1"/>
    <x v="1"/>
    <x v="1"/>
    <m/>
    <x v="1"/>
    <x v="1"/>
    <m/>
    <s v="05EA023"/>
    <m/>
    <m/>
    <x v="0"/>
    <m/>
    <n v="1500000"/>
    <x v="0"/>
    <x v="1"/>
    <n v="100000"/>
    <x v="0"/>
    <m/>
    <n v="100000"/>
    <x v="5"/>
    <x v="0"/>
    <x v="0"/>
    <m/>
    <x v="0"/>
    <x v="0"/>
    <x v="0"/>
    <x v="0"/>
    <x v="0"/>
    <x v="0"/>
    <x v="0"/>
    <x v="0"/>
    <x v="0"/>
    <x v="0"/>
    <x v="0"/>
    <x v="0"/>
    <x v="0"/>
    <x v="0"/>
    <m/>
    <m/>
    <n v="100000"/>
    <x v="0"/>
    <x v="0"/>
    <m/>
    <n v="100000"/>
    <x v="27"/>
    <s v="Food Crisis"/>
    <x v="149"/>
    <x v="0"/>
    <x v="0"/>
  </r>
  <r>
    <m/>
    <n v="139"/>
    <x v="147"/>
    <d v="2006-01-01T00:00:00"/>
    <x v="10"/>
    <n v="10"/>
    <x v="0"/>
    <x v="11"/>
    <n v="1"/>
    <x v="1"/>
    <s v="Malawi"/>
    <x v="1"/>
    <x v="1"/>
    <x v="1"/>
    <x v="1"/>
    <m/>
    <x v="0"/>
    <x v="0"/>
    <m/>
    <s v="05EA023"/>
    <m/>
    <m/>
    <x v="0"/>
    <m/>
    <m/>
    <x v="0"/>
    <x v="1"/>
    <n v="150000"/>
    <x v="0"/>
    <m/>
    <n v="150000"/>
    <x v="0"/>
    <x v="0"/>
    <x v="0"/>
    <m/>
    <x v="0"/>
    <x v="0"/>
    <x v="0"/>
    <x v="0"/>
    <x v="0"/>
    <x v="0"/>
    <x v="0"/>
    <x v="0"/>
    <x v="0"/>
    <x v="0"/>
    <x v="0"/>
    <x v="0"/>
    <x v="0"/>
    <x v="0"/>
    <m/>
    <m/>
    <n v="150000"/>
    <x v="0"/>
    <x v="0"/>
    <m/>
    <n v="150000"/>
    <x v="27"/>
    <s v="Food Crisis"/>
    <x v="150"/>
    <x v="0"/>
    <x v="0"/>
  </r>
  <r>
    <m/>
    <n v="139"/>
    <x v="148"/>
    <d v="2006-01-01T00:00:00"/>
    <x v="10"/>
    <n v="10"/>
    <x v="0"/>
    <x v="11"/>
    <n v="1"/>
    <x v="1"/>
    <s v="Zimbabwe"/>
    <x v="1"/>
    <x v="1"/>
    <x v="1"/>
    <x v="1"/>
    <m/>
    <x v="0"/>
    <x v="0"/>
    <m/>
    <s v="05EA023"/>
    <m/>
    <m/>
    <x v="0"/>
    <m/>
    <m/>
    <x v="0"/>
    <x v="1"/>
    <n v="250000"/>
    <x v="0"/>
    <m/>
    <n v="250000"/>
    <x v="0"/>
    <x v="0"/>
    <x v="0"/>
    <m/>
    <x v="0"/>
    <x v="0"/>
    <x v="0"/>
    <x v="0"/>
    <x v="0"/>
    <x v="0"/>
    <x v="0"/>
    <x v="0"/>
    <x v="0"/>
    <x v="0"/>
    <x v="0"/>
    <x v="0"/>
    <x v="0"/>
    <x v="0"/>
    <m/>
    <m/>
    <n v="250000"/>
    <x v="0"/>
    <x v="0"/>
    <m/>
    <n v="250000"/>
    <x v="27"/>
    <s v="Food Crisis"/>
    <x v="151"/>
    <x v="0"/>
    <x v="0"/>
  </r>
  <r>
    <m/>
    <n v="139"/>
    <x v="149"/>
    <d v="2006-01-01T00:00:00"/>
    <x v="10"/>
    <n v="10"/>
    <x v="0"/>
    <x v="11"/>
    <n v="1"/>
    <x v="1"/>
    <s v="Zambia"/>
    <x v="1"/>
    <x v="1"/>
    <x v="1"/>
    <x v="1"/>
    <m/>
    <x v="0"/>
    <x v="0"/>
    <s v="`"/>
    <s v="05EA023"/>
    <m/>
    <m/>
    <x v="0"/>
    <m/>
    <m/>
    <x v="0"/>
    <x v="1"/>
    <n v="400000"/>
    <x v="0"/>
    <m/>
    <n v="400000"/>
    <x v="0"/>
    <x v="0"/>
    <x v="0"/>
    <m/>
    <x v="0"/>
    <x v="0"/>
    <x v="0"/>
    <x v="0"/>
    <x v="0"/>
    <x v="0"/>
    <x v="0"/>
    <x v="0"/>
    <x v="0"/>
    <x v="0"/>
    <x v="0"/>
    <x v="0"/>
    <x v="0"/>
    <x v="0"/>
    <m/>
    <m/>
    <n v="400000"/>
    <x v="0"/>
    <x v="0"/>
    <m/>
    <n v="400000"/>
    <x v="27"/>
    <s v="Food Crisis"/>
    <x v="152"/>
    <x v="0"/>
    <x v="0"/>
  </r>
  <r>
    <m/>
    <n v="140"/>
    <x v="150"/>
    <d v="2006-03-01T00:00:00"/>
    <x v="10"/>
    <n v="11"/>
    <x v="0"/>
    <x v="11"/>
    <n v="2"/>
    <x v="1"/>
    <s v="Kenya"/>
    <x v="1"/>
    <x v="1"/>
    <x v="1"/>
    <x v="1"/>
    <m/>
    <x v="1"/>
    <x v="1"/>
    <n v="10500000"/>
    <s v="MDRKE001"/>
    <n v="1.4285714285714285E-2"/>
    <m/>
    <x v="0"/>
    <m/>
    <n v="329000"/>
    <x v="0"/>
    <x v="1"/>
    <n v="150000"/>
    <x v="0"/>
    <m/>
    <n v="150000"/>
    <x v="0"/>
    <x v="0"/>
    <x v="0"/>
    <m/>
    <x v="0"/>
    <x v="0"/>
    <x v="0"/>
    <x v="0"/>
    <x v="0"/>
    <x v="0"/>
    <x v="0"/>
    <x v="0"/>
    <x v="0"/>
    <x v="0"/>
    <x v="0"/>
    <x v="0"/>
    <x v="0"/>
    <x v="0"/>
    <m/>
    <m/>
    <n v="150000"/>
    <x v="0"/>
    <x v="0"/>
    <m/>
    <n v="150000"/>
    <x v="27"/>
    <s v="E. Africa Appeal"/>
    <x v="142"/>
    <x v="0"/>
    <x v="0"/>
  </r>
  <r>
    <m/>
    <n v="141"/>
    <x v="151"/>
    <d v="2006-03-01T00:00:00"/>
    <x v="10"/>
    <n v="12"/>
    <x v="0"/>
    <x v="11"/>
    <n v="3"/>
    <x v="3"/>
    <s v="Iraq"/>
    <x v="2"/>
    <x v="8"/>
    <x v="7"/>
    <x v="7"/>
    <m/>
    <x v="1"/>
    <x v="2"/>
    <m/>
    <s v="MDRIQ001 / 05EA026 / REX 07/346"/>
    <m/>
    <m/>
    <x v="0"/>
    <m/>
    <n v="455000"/>
    <x v="0"/>
    <x v="1"/>
    <n v="88443"/>
    <x v="2"/>
    <m/>
    <n v="188443"/>
    <x v="0"/>
    <x v="0"/>
    <x v="0"/>
    <m/>
    <x v="0"/>
    <x v="0"/>
    <x v="0"/>
    <x v="0"/>
    <x v="0"/>
    <x v="0"/>
    <x v="0"/>
    <x v="0"/>
    <x v="0"/>
    <x v="0"/>
    <x v="0"/>
    <x v="0"/>
    <x v="0"/>
    <x v="0"/>
    <m/>
    <m/>
    <n v="188443"/>
    <x v="0"/>
    <x v="0"/>
    <n v="455000"/>
    <n v="188443"/>
    <x v="39"/>
    <s v="Humanitarian Emergency"/>
    <x v="153"/>
    <x v="0"/>
    <x v="0"/>
  </r>
  <r>
    <s v="-2006-000022-TMP"/>
    <n v="142"/>
    <x v="152"/>
    <d v="2006-02-01T00:00:00"/>
    <x v="10"/>
    <n v="13"/>
    <x v="0"/>
    <x v="11"/>
    <n v="4"/>
    <x v="3"/>
    <s v="Timor-Leste"/>
    <x v="1"/>
    <x v="2"/>
    <x v="2"/>
    <x v="2"/>
    <m/>
    <x v="1"/>
    <x v="1"/>
    <n v="485000"/>
    <s v="MDRTP001"/>
    <n v="0.10309278350515463"/>
    <m/>
    <x v="0"/>
    <m/>
    <n v="8400"/>
    <x v="0"/>
    <x v="1"/>
    <n v="50000"/>
    <x v="0"/>
    <m/>
    <n v="50000"/>
    <x v="0"/>
    <x v="0"/>
    <x v="0"/>
    <m/>
    <x v="0"/>
    <x v="0"/>
    <x v="0"/>
    <x v="0"/>
    <x v="0"/>
    <x v="0"/>
    <x v="0"/>
    <x v="0"/>
    <x v="0"/>
    <x v="0"/>
    <x v="0"/>
    <x v="0"/>
    <x v="0"/>
    <x v="0"/>
    <m/>
    <m/>
    <n v="50000"/>
    <x v="0"/>
    <x v="0"/>
    <n v="8400"/>
    <n v="50000"/>
    <x v="65"/>
    <s v="Oecusse, Ainaro, Viqueque, Bobonaro and Baucau Districts"/>
    <x v="154"/>
    <x v="0"/>
    <x v="0"/>
  </r>
  <r>
    <s v="MS-2006-000179-PHL"/>
    <n v="143"/>
    <x v="153"/>
    <d v="2006-02-01T00:00:00"/>
    <x v="10"/>
    <n v="14"/>
    <x v="0"/>
    <x v="11"/>
    <n v="5"/>
    <x v="3"/>
    <s v="Philippines"/>
    <x v="1"/>
    <x v="18"/>
    <x v="25"/>
    <x v="26"/>
    <m/>
    <x v="1"/>
    <x v="1"/>
    <n v="2000000"/>
    <s v="MDRPH001"/>
    <n v="2.5000000000000001E-2"/>
    <m/>
    <x v="0"/>
    <m/>
    <n v="8000"/>
    <x v="0"/>
    <x v="1"/>
    <n v="50000"/>
    <x v="0"/>
    <n v="5000"/>
    <n v="55000"/>
    <x v="0"/>
    <x v="0"/>
    <x v="0"/>
    <m/>
    <x v="0"/>
    <x v="0"/>
    <x v="0"/>
    <x v="0"/>
    <x v="0"/>
    <x v="0"/>
    <x v="0"/>
    <x v="0"/>
    <x v="0"/>
    <x v="0"/>
    <x v="0"/>
    <x v="0"/>
    <x v="0"/>
    <x v="0"/>
    <m/>
    <m/>
    <n v="55000"/>
    <x v="0"/>
    <x v="0"/>
    <n v="8000"/>
    <n v="55000"/>
    <x v="66"/>
    <s v="Southern Leyte"/>
    <x v="155"/>
    <x v="0"/>
    <x v="0"/>
  </r>
  <r>
    <m/>
    <n v="144"/>
    <x v="154"/>
    <d v="2006-05-01T00:00:00"/>
    <x v="10"/>
    <n v="15"/>
    <x v="0"/>
    <x v="11"/>
    <n v="6"/>
    <x v="1"/>
    <s v="Angola"/>
    <x v="4"/>
    <x v="11"/>
    <x v="11"/>
    <x v="12"/>
    <m/>
    <x v="0"/>
    <x v="0"/>
    <m/>
    <m/>
    <m/>
    <m/>
    <x v="0"/>
    <m/>
    <m/>
    <x v="0"/>
    <x v="0"/>
    <m/>
    <x v="0"/>
    <m/>
    <n v="0"/>
    <x v="2"/>
    <x v="0"/>
    <x v="0"/>
    <m/>
    <x v="0"/>
    <x v="0"/>
    <x v="0"/>
    <x v="0"/>
    <x v="0"/>
    <x v="0"/>
    <x v="0"/>
    <x v="0"/>
    <x v="0"/>
    <x v="0"/>
    <x v="0"/>
    <x v="0"/>
    <x v="0"/>
    <x v="0"/>
    <m/>
    <n v="5000"/>
    <n v="5000"/>
    <x v="0"/>
    <x v="0"/>
    <m/>
    <n v="5000"/>
    <x v="65"/>
    <s v="Cholera Outbreak"/>
    <x v="156"/>
    <x v="0"/>
    <x v="0"/>
  </r>
  <r>
    <m/>
    <n v="145"/>
    <x v="5"/>
    <d v="2006-04-01T00:00:00"/>
    <x v="10"/>
    <n v="16"/>
    <x v="0"/>
    <x v="11"/>
    <n v="7"/>
    <x v="1"/>
    <s v="Ethiopia"/>
    <x v="1"/>
    <x v="1"/>
    <x v="1"/>
    <x v="1"/>
    <m/>
    <x v="1"/>
    <x v="1"/>
    <n v="1129750"/>
    <s v="MDRET001"/>
    <n v="8.3612303606992691E-2"/>
    <m/>
    <x v="0"/>
    <m/>
    <n v="36341"/>
    <x v="0"/>
    <x v="1"/>
    <n v="94461"/>
    <x v="0"/>
    <m/>
    <n v="94461"/>
    <x v="0"/>
    <x v="0"/>
    <x v="0"/>
    <m/>
    <x v="0"/>
    <x v="0"/>
    <x v="0"/>
    <x v="0"/>
    <x v="0"/>
    <x v="0"/>
    <x v="0"/>
    <x v="0"/>
    <x v="0"/>
    <x v="0"/>
    <x v="0"/>
    <x v="0"/>
    <x v="0"/>
    <x v="0"/>
    <m/>
    <m/>
    <n v="94461"/>
    <x v="0"/>
    <x v="0"/>
    <m/>
    <n v="94461"/>
    <x v="27"/>
    <m/>
    <x v="157"/>
    <x v="0"/>
    <x v="0"/>
  </r>
  <r>
    <m/>
    <n v="146"/>
    <x v="155"/>
    <d v="2006-04-01T00:00:00"/>
    <x v="10"/>
    <n v="17"/>
    <x v="0"/>
    <x v="11"/>
    <n v="8"/>
    <x v="1"/>
    <s v="Somalia"/>
    <x v="1"/>
    <x v="1"/>
    <x v="1"/>
    <x v="1"/>
    <m/>
    <x v="1"/>
    <x v="3"/>
    <m/>
    <m/>
    <m/>
    <m/>
    <x v="0"/>
    <m/>
    <m/>
    <x v="0"/>
    <x v="1"/>
    <m/>
    <x v="5"/>
    <m/>
    <n v="250000"/>
    <x v="0"/>
    <x v="0"/>
    <x v="0"/>
    <m/>
    <x v="0"/>
    <x v="0"/>
    <x v="0"/>
    <x v="0"/>
    <x v="0"/>
    <x v="0"/>
    <x v="0"/>
    <x v="0"/>
    <x v="0"/>
    <x v="0"/>
    <x v="0"/>
    <x v="0"/>
    <x v="0"/>
    <x v="0"/>
    <m/>
    <m/>
    <n v="250000"/>
    <x v="0"/>
    <x v="0"/>
    <m/>
    <n v="250000"/>
    <x v="27"/>
    <m/>
    <x v="158"/>
    <x v="0"/>
    <x v="0"/>
  </r>
  <r>
    <m/>
    <n v="147"/>
    <x v="156"/>
    <d v="2006-04-01T00:00:00"/>
    <x v="10"/>
    <n v="18"/>
    <x v="0"/>
    <x v="11"/>
    <n v="9"/>
    <x v="3"/>
    <s v="Spain"/>
    <x v="2"/>
    <x v="12"/>
    <x v="14"/>
    <x v="15"/>
    <m/>
    <x v="0"/>
    <x v="0"/>
    <m/>
    <m/>
    <m/>
    <m/>
    <x v="0"/>
    <m/>
    <m/>
    <x v="0"/>
    <x v="0"/>
    <m/>
    <x v="0"/>
    <n v="20000"/>
    <n v="20000"/>
    <x v="0"/>
    <x v="0"/>
    <x v="0"/>
    <m/>
    <x v="0"/>
    <x v="0"/>
    <x v="0"/>
    <x v="0"/>
    <x v="0"/>
    <x v="0"/>
    <x v="0"/>
    <x v="0"/>
    <x v="0"/>
    <x v="0"/>
    <x v="0"/>
    <x v="0"/>
    <x v="0"/>
    <x v="0"/>
    <m/>
    <m/>
    <n v="20000"/>
    <x v="0"/>
    <x v="0"/>
    <m/>
    <n v="20000"/>
    <x v="67"/>
    <s v="April 2004 MadridTrain Bombing"/>
    <x v="159"/>
    <x v="0"/>
    <x v="0"/>
  </r>
  <r>
    <m/>
    <n v="148"/>
    <x v="157"/>
    <d v="2006-05-01T00:00:00"/>
    <x v="10"/>
    <n v="19"/>
    <x v="0"/>
    <x v="11"/>
    <n v="10"/>
    <x v="2"/>
    <s v="Colombia"/>
    <x v="1"/>
    <x v="2"/>
    <x v="2"/>
    <x v="0"/>
    <m/>
    <x v="0"/>
    <x v="0"/>
    <m/>
    <m/>
    <m/>
    <m/>
    <x v="0"/>
    <m/>
    <m/>
    <x v="1"/>
    <x v="0"/>
    <m/>
    <x v="0"/>
    <n v="50000"/>
    <n v="50000"/>
    <x v="0"/>
    <x v="0"/>
    <x v="0"/>
    <m/>
    <x v="0"/>
    <x v="0"/>
    <x v="0"/>
    <x v="0"/>
    <x v="0"/>
    <x v="0"/>
    <x v="0"/>
    <x v="0"/>
    <x v="0"/>
    <x v="0"/>
    <x v="0"/>
    <x v="0"/>
    <x v="0"/>
    <x v="0"/>
    <m/>
    <m/>
    <n v="50000"/>
    <x v="0"/>
    <x v="0"/>
    <m/>
    <n v="50000"/>
    <x v="65"/>
    <m/>
    <x v="160"/>
    <x v="0"/>
    <x v="0"/>
  </r>
  <r>
    <s v="EQ-2006-000064-IDN"/>
    <n v="149"/>
    <x v="158"/>
    <d v="2006-05-01T00:00:00"/>
    <x v="10"/>
    <n v="20"/>
    <x v="0"/>
    <x v="11"/>
    <n v="11"/>
    <x v="3"/>
    <s v="Indonesia"/>
    <x v="3"/>
    <x v="3"/>
    <x v="3"/>
    <x v="3"/>
    <m/>
    <x v="1"/>
    <x v="1"/>
    <n v="31000000"/>
    <s v="MDRID001"/>
    <m/>
    <m/>
    <x v="0"/>
    <m/>
    <n v="325000"/>
    <x v="0"/>
    <x v="1"/>
    <n v="1398250"/>
    <x v="0"/>
    <m/>
    <n v="1398250"/>
    <x v="15"/>
    <x v="1"/>
    <x v="0"/>
    <m/>
    <x v="0"/>
    <x v="0"/>
    <x v="0"/>
    <x v="0"/>
    <x v="0"/>
    <x v="0"/>
    <x v="0"/>
    <x v="0"/>
    <x v="0"/>
    <x v="0"/>
    <x v="0"/>
    <x v="0"/>
    <x v="0"/>
    <x v="0"/>
    <m/>
    <n v="87500"/>
    <n v="1485750"/>
    <x v="0"/>
    <x v="0"/>
    <n v="13000"/>
    <n v="1485750"/>
    <x v="68"/>
    <s v="Yogyakarta"/>
    <x v="161"/>
    <x v="0"/>
    <x v="0"/>
  </r>
  <r>
    <m/>
    <n v="150"/>
    <x v="88"/>
    <d v="2006-07-01T00:00:00"/>
    <x v="11"/>
    <n v="1"/>
    <x v="0"/>
    <x v="11"/>
    <n v="12"/>
    <x v="3"/>
    <s v="Romania"/>
    <x v="1"/>
    <x v="2"/>
    <x v="2"/>
    <x v="2"/>
    <m/>
    <x v="1"/>
    <x v="1"/>
    <n v="1900000"/>
    <s v="MDRRO001"/>
    <n v="2.631578947368421E-3"/>
    <m/>
    <x v="0"/>
    <m/>
    <n v="13000"/>
    <x v="0"/>
    <x v="2"/>
    <n v="5000"/>
    <x v="0"/>
    <m/>
    <n v="5000"/>
    <x v="0"/>
    <x v="0"/>
    <x v="0"/>
    <m/>
    <x v="0"/>
    <x v="0"/>
    <x v="0"/>
    <x v="0"/>
    <x v="0"/>
    <x v="0"/>
    <x v="0"/>
    <x v="0"/>
    <x v="0"/>
    <x v="0"/>
    <x v="0"/>
    <x v="0"/>
    <x v="0"/>
    <x v="0"/>
    <m/>
    <m/>
    <n v="5000"/>
    <x v="0"/>
    <x v="0"/>
    <m/>
    <n v="5000"/>
    <x v="29"/>
    <s v="Country-Wide"/>
    <x v="162"/>
    <x v="0"/>
    <x v="0"/>
  </r>
  <r>
    <m/>
    <n v="151"/>
    <x v="159"/>
    <d v="2006-07-01T00:00:00"/>
    <x v="11"/>
    <n v="2"/>
    <x v="0"/>
    <x v="11"/>
    <n v="13"/>
    <x v="3"/>
    <s v="Lebanon"/>
    <x v="2"/>
    <x v="8"/>
    <x v="7"/>
    <x v="7"/>
    <m/>
    <x v="1"/>
    <x v="4"/>
    <n v="83131000"/>
    <s v="MDR81001 /REX 06/575"/>
    <m/>
    <m/>
    <x v="0"/>
    <m/>
    <n v="2000000"/>
    <x v="0"/>
    <x v="1"/>
    <n v="475000"/>
    <x v="6"/>
    <n v="356000"/>
    <n v="1889600"/>
    <x v="0"/>
    <x v="0"/>
    <x v="0"/>
    <m/>
    <x v="0"/>
    <x v="0"/>
    <x v="0"/>
    <x v="0"/>
    <x v="0"/>
    <x v="0"/>
    <x v="0"/>
    <x v="0"/>
    <x v="0"/>
    <x v="0"/>
    <x v="0"/>
    <x v="0"/>
    <x v="0"/>
    <x v="0"/>
    <m/>
    <m/>
    <n v="1889600"/>
    <x v="0"/>
    <x v="0"/>
    <m/>
    <n v="1889600"/>
    <x v="69"/>
    <s v="Humanitarian Crisis"/>
    <x v="163"/>
    <x v="0"/>
    <x v="0"/>
  </r>
  <r>
    <m/>
    <n v="152"/>
    <x v="8"/>
    <d v="2006-08-01T00:00:00"/>
    <x v="11"/>
    <n v="3"/>
    <x v="0"/>
    <x v="11"/>
    <n v="14"/>
    <x v="3"/>
    <s v="China"/>
    <x v="1"/>
    <x v="2"/>
    <x v="2"/>
    <x v="2"/>
    <m/>
    <x v="1"/>
    <x v="1"/>
    <n v="4825791"/>
    <s v="MDRCN001"/>
    <n v="1.036099574142353E-2"/>
    <m/>
    <x v="0"/>
    <m/>
    <n v="240000"/>
    <x v="0"/>
    <x v="1"/>
    <n v="50000"/>
    <x v="0"/>
    <m/>
    <n v="50000"/>
    <x v="0"/>
    <x v="0"/>
    <x v="0"/>
    <m/>
    <x v="0"/>
    <x v="0"/>
    <x v="0"/>
    <x v="0"/>
    <x v="0"/>
    <x v="0"/>
    <x v="0"/>
    <x v="0"/>
    <x v="0"/>
    <x v="0"/>
    <x v="0"/>
    <x v="0"/>
    <x v="0"/>
    <x v="0"/>
    <m/>
    <m/>
    <n v="50000"/>
    <x v="0"/>
    <x v="0"/>
    <m/>
    <n v="50000"/>
    <x v="65"/>
    <m/>
    <x v="164"/>
    <x v="0"/>
    <x v="0"/>
  </r>
  <r>
    <s v="VO-2006-"/>
    <n v="153"/>
    <x v="160"/>
    <d v="2006-08-01T00:00:00"/>
    <x v="11"/>
    <n v="4"/>
    <x v="0"/>
    <x v="11"/>
    <n v="15"/>
    <x v="2"/>
    <s v="Ecuador"/>
    <x v="3"/>
    <x v="4"/>
    <x v="4"/>
    <x v="4"/>
    <m/>
    <x v="1"/>
    <x v="1"/>
    <n v="514753"/>
    <s v="MDREC002"/>
    <n v="0"/>
    <n v="1"/>
    <x v="0"/>
    <m/>
    <n v="5475"/>
    <x v="0"/>
    <x v="0"/>
    <m/>
    <x v="0"/>
    <n v="50000"/>
    <n v="50000"/>
    <x v="0"/>
    <x v="0"/>
    <x v="0"/>
    <m/>
    <x v="0"/>
    <x v="0"/>
    <x v="0"/>
    <x v="0"/>
    <x v="0"/>
    <x v="0"/>
    <x v="0"/>
    <x v="0"/>
    <x v="0"/>
    <x v="0"/>
    <x v="0"/>
    <x v="0"/>
    <x v="0"/>
    <x v="0"/>
    <m/>
    <m/>
    <n v="50000"/>
    <x v="0"/>
    <x v="0"/>
    <m/>
    <n v="50000"/>
    <x v="65"/>
    <s v="Tungurahua"/>
    <x v="165"/>
    <x v="0"/>
    <x v="0"/>
  </r>
  <r>
    <s v="FL-2006-000122-ETH"/>
    <n v="154"/>
    <x v="161"/>
    <d v="2006-08-01T00:00:00"/>
    <x v="11"/>
    <n v="5"/>
    <x v="0"/>
    <x v="11"/>
    <n v="16"/>
    <x v="1"/>
    <s v="Ethiopia"/>
    <x v="1"/>
    <x v="2"/>
    <x v="2"/>
    <x v="2"/>
    <m/>
    <x v="1"/>
    <x v="1"/>
    <n v="4225070"/>
    <s v="MDRET003"/>
    <n v="2.0118009879126264E-2"/>
    <m/>
    <x v="0"/>
    <m/>
    <n v="25000"/>
    <x v="0"/>
    <x v="1"/>
    <n v="85000"/>
    <x v="0"/>
    <m/>
    <n v="85000"/>
    <x v="4"/>
    <x v="0"/>
    <x v="0"/>
    <m/>
    <x v="0"/>
    <x v="0"/>
    <x v="0"/>
    <x v="0"/>
    <x v="0"/>
    <x v="0"/>
    <x v="0"/>
    <x v="0"/>
    <x v="0"/>
    <x v="0"/>
    <x v="0"/>
    <x v="0"/>
    <x v="0"/>
    <x v="0"/>
    <m/>
    <m/>
    <n v="85000"/>
    <x v="0"/>
    <x v="0"/>
    <m/>
    <n v="85000"/>
    <x v="70"/>
    <s v="Amhara"/>
    <x v="166"/>
    <x v="0"/>
    <x v="0"/>
  </r>
  <r>
    <s v="FL-2006-000123-SDN"/>
    <n v="155"/>
    <x v="162"/>
    <d v="2006-09-01T00:00:00"/>
    <x v="11"/>
    <n v="6"/>
    <x v="0"/>
    <x v="11"/>
    <n v="17"/>
    <x v="1"/>
    <s v="Sudan"/>
    <x v="1"/>
    <x v="2"/>
    <x v="2"/>
    <x v="2"/>
    <m/>
    <x v="1"/>
    <x v="1"/>
    <n v="492625"/>
    <s v="MDRSD002"/>
    <n v="2.0299416391778735E-2"/>
    <m/>
    <x v="0"/>
    <m/>
    <n v="15000"/>
    <x v="0"/>
    <x v="2"/>
    <n v="10000"/>
    <x v="0"/>
    <m/>
    <n v="10000"/>
    <x v="0"/>
    <x v="0"/>
    <x v="0"/>
    <n v="10000"/>
    <x v="0"/>
    <x v="0"/>
    <x v="0"/>
    <x v="0"/>
    <x v="0"/>
    <x v="0"/>
    <x v="0"/>
    <x v="0"/>
    <x v="1"/>
    <x v="0"/>
    <x v="0"/>
    <x v="0"/>
    <x v="0"/>
    <x v="0"/>
    <n v="36900"/>
    <m/>
    <n v="46900"/>
    <x v="0"/>
    <x v="0"/>
    <m/>
    <n v="46900"/>
    <x v="55"/>
    <m/>
    <x v="167"/>
    <x v="0"/>
    <x v="0"/>
  </r>
  <r>
    <s v="TC-2006-000175-PHL"/>
    <n v="156"/>
    <x v="163"/>
    <d v="2006-10-01T00:00:00"/>
    <x v="11"/>
    <n v="7"/>
    <x v="0"/>
    <x v="11"/>
    <n v="18"/>
    <x v="3"/>
    <s v="Philippines"/>
    <x v="1"/>
    <x v="5"/>
    <x v="5"/>
    <x v="22"/>
    <m/>
    <x v="1"/>
    <x v="1"/>
    <n v="8637057"/>
    <s v="MDRPH002"/>
    <n v="9.1119000372464828E-2"/>
    <m/>
    <x v="0"/>
    <m/>
    <n v="1030000"/>
    <x v="0"/>
    <x v="1"/>
    <n v="787000"/>
    <x v="0"/>
    <m/>
    <n v="787000"/>
    <x v="4"/>
    <x v="0"/>
    <x v="0"/>
    <m/>
    <x v="0"/>
    <x v="0"/>
    <x v="0"/>
    <x v="0"/>
    <x v="0"/>
    <x v="0"/>
    <x v="0"/>
    <x v="0"/>
    <x v="0"/>
    <x v="0"/>
    <x v="0"/>
    <x v="0"/>
    <x v="0"/>
    <x v="0"/>
    <m/>
    <n v="6500"/>
    <n v="793500"/>
    <x v="0"/>
    <x v="0"/>
    <m/>
    <n v="793500"/>
    <x v="66"/>
    <s v="Xangsane / Durian"/>
    <x v="168"/>
    <x v="0"/>
    <x v="0"/>
  </r>
  <r>
    <s v="TC-2006-000144-VNM; TC-2006-000175-VNM"/>
    <n v="157"/>
    <x v="164"/>
    <d v="2006-10-01T00:00:00"/>
    <x v="11"/>
    <n v="8"/>
    <x v="0"/>
    <x v="11"/>
    <n v="19"/>
    <x v="3"/>
    <s v="Vietnam"/>
    <x v="1"/>
    <x v="5"/>
    <x v="5"/>
    <x v="22"/>
    <m/>
    <x v="1"/>
    <x v="1"/>
    <n v="1340000"/>
    <s v="MDRVN001"/>
    <n v="4.7014925373134328E-2"/>
    <m/>
    <x v="0"/>
    <m/>
    <n v="60400"/>
    <x v="0"/>
    <x v="1"/>
    <n v="63000"/>
    <x v="0"/>
    <m/>
    <n v="63000"/>
    <x v="0"/>
    <x v="0"/>
    <x v="0"/>
    <m/>
    <x v="0"/>
    <x v="0"/>
    <x v="0"/>
    <x v="0"/>
    <x v="0"/>
    <x v="0"/>
    <x v="0"/>
    <x v="0"/>
    <x v="0"/>
    <x v="0"/>
    <x v="0"/>
    <x v="0"/>
    <x v="0"/>
    <x v="0"/>
    <m/>
    <m/>
    <n v="63000"/>
    <x v="0"/>
    <x v="0"/>
    <m/>
    <n v="63000"/>
    <x v="65"/>
    <s v="Xangsane"/>
    <x v="169"/>
    <x v="0"/>
    <x v="0"/>
  </r>
  <r>
    <m/>
    <n v="158"/>
    <x v="165"/>
    <d v="2006-11-01T00:00:00"/>
    <x v="11"/>
    <n v="9"/>
    <x v="0"/>
    <x v="11"/>
    <n v="20"/>
    <x v="1"/>
    <s v="Somalia"/>
    <x v="2"/>
    <x v="8"/>
    <x v="7"/>
    <x v="7"/>
    <m/>
    <x v="0"/>
    <x v="0"/>
    <m/>
    <m/>
    <m/>
    <m/>
    <x v="0"/>
    <m/>
    <m/>
    <x v="0"/>
    <x v="0"/>
    <m/>
    <x v="7"/>
    <m/>
    <n v="50000"/>
    <x v="0"/>
    <x v="0"/>
    <x v="0"/>
    <m/>
    <x v="0"/>
    <x v="0"/>
    <x v="0"/>
    <x v="0"/>
    <x v="0"/>
    <x v="0"/>
    <x v="0"/>
    <x v="0"/>
    <x v="0"/>
    <x v="0"/>
    <x v="0"/>
    <x v="0"/>
    <x v="0"/>
    <x v="0"/>
    <m/>
    <m/>
    <n v="50000"/>
    <x v="0"/>
    <x v="0"/>
    <m/>
    <n v="50000"/>
    <x v="65"/>
    <s v="IDP"/>
    <x v="170"/>
    <x v="0"/>
    <x v="0"/>
  </r>
  <r>
    <s v="FL-2006-000159-KEN"/>
    <n v="159"/>
    <x v="81"/>
    <d v="2006-11-01T00:00:00"/>
    <x v="11"/>
    <n v="10"/>
    <x v="0"/>
    <x v="11"/>
    <n v="21"/>
    <x v="1"/>
    <s v="Kenya"/>
    <x v="1"/>
    <x v="2"/>
    <x v="2"/>
    <x v="2"/>
    <m/>
    <x v="1"/>
    <x v="1"/>
    <n v="21832647"/>
    <s v="MDRKE003"/>
    <n v="2.290148326952751E-3"/>
    <m/>
    <x v="0"/>
    <m/>
    <n v="563000"/>
    <x v="0"/>
    <x v="1"/>
    <n v="50000"/>
    <x v="0"/>
    <n v="30000"/>
    <n v="80000"/>
    <x v="0"/>
    <x v="0"/>
    <x v="0"/>
    <n v="20000"/>
    <x v="0"/>
    <x v="0"/>
    <x v="0"/>
    <x v="0"/>
    <x v="0"/>
    <x v="0"/>
    <x v="0"/>
    <x v="0"/>
    <x v="2"/>
    <x v="0"/>
    <x v="0"/>
    <x v="0"/>
    <x v="0"/>
    <x v="0"/>
    <n v="120000"/>
    <m/>
    <n v="200000"/>
    <x v="0"/>
    <x v="0"/>
    <m/>
    <n v="200000"/>
    <x v="71"/>
    <m/>
    <x v="171"/>
    <x v="0"/>
    <x v="0"/>
  </r>
  <r>
    <m/>
    <n v="160"/>
    <x v="166"/>
    <d v="2006-11-01T00:00:00"/>
    <x v="11"/>
    <n v="11"/>
    <x v="0"/>
    <x v="11"/>
    <n v="22"/>
    <x v="1"/>
    <s v="Somalia"/>
    <x v="1"/>
    <x v="2"/>
    <x v="2"/>
    <x v="2"/>
    <m/>
    <x v="1"/>
    <x v="3"/>
    <n v="33508000"/>
    <s v="REX 06/813"/>
    <m/>
    <m/>
    <x v="0"/>
    <m/>
    <n v="324000"/>
    <x v="0"/>
    <x v="0"/>
    <m/>
    <x v="2"/>
    <m/>
    <n v="100000"/>
    <x v="0"/>
    <x v="0"/>
    <x v="0"/>
    <m/>
    <x v="0"/>
    <x v="0"/>
    <x v="0"/>
    <x v="0"/>
    <x v="0"/>
    <x v="0"/>
    <x v="0"/>
    <x v="0"/>
    <x v="0"/>
    <x v="0"/>
    <x v="0"/>
    <x v="0"/>
    <x v="0"/>
    <x v="0"/>
    <m/>
    <m/>
    <n v="100000"/>
    <x v="0"/>
    <x v="0"/>
    <m/>
    <n v="100000"/>
    <x v="27"/>
    <m/>
    <x v="172"/>
    <x v="0"/>
    <x v="0"/>
  </r>
  <r>
    <s v="FL-2006-000198-MOZ"/>
    <n v="161"/>
    <x v="46"/>
    <d v="2007-02-01T00:00:00"/>
    <x v="11"/>
    <n v="12"/>
    <x v="0"/>
    <x v="12"/>
    <n v="1"/>
    <x v="1"/>
    <s v="Mozambique"/>
    <x v="1"/>
    <x v="2"/>
    <x v="2"/>
    <x v="2"/>
    <m/>
    <x v="1"/>
    <x v="1"/>
    <n v="5971938"/>
    <s v="MDRMZ002"/>
    <m/>
    <m/>
    <x v="0"/>
    <m/>
    <n v="100000"/>
    <x v="0"/>
    <x v="0"/>
    <m/>
    <x v="0"/>
    <m/>
    <n v="0"/>
    <x v="4"/>
    <x v="1"/>
    <x v="0"/>
    <n v="26950"/>
    <x v="0"/>
    <x v="0"/>
    <x v="10"/>
    <x v="0"/>
    <x v="0"/>
    <x v="0"/>
    <x v="0"/>
    <x v="0"/>
    <x v="0"/>
    <x v="0"/>
    <x v="7"/>
    <x v="0"/>
    <x v="0"/>
    <x v="0"/>
    <n v="200000"/>
    <n v="45000"/>
    <n v="245000"/>
    <x v="0"/>
    <x v="0"/>
    <m/>
    <n v="245000"/>
    <x v="72"/>
    <s v="Caia"/>
    <x v="173"/>
    <x v="0"/>
    <x v="0"/>
  </r>
  <r>
    <s v="FL-2007-000012-BOL"/>
    <n v="162"/>
    <x v="48"/>
    <d v="2007-02-01T00:00:00"/>
    <x v="11"/>
    <n v="13"/>
    <x v="0"/>
    <x v="12"/>
    <n v="2"/>
    <x v="2"/>
    <s v="Bolivia"/>
    <x v="1"/>
    <x v="2"/>
    <x v="2"/>
    <x v="2"/>
    <m/>
    <x v="1"/>
    <x v="1"/>
    <n v="484360"/>
    <s v="MDRBO002"/>
    <m/>
    <m/>
    <x v="0"/>
    <m/>
    <n v="35940"/>
    <x v="0"/>
    <x v="1"/>
    <n v="150000"/>
    <x v="0"/>
    <m/>
    <n v="150000"/>
    <x v="0"/>
    <x v="0"/>
    <x v="0"/>
    <m/>
    <x v="0"/>
    <x v="0"/>
    <x v="0"/>
    <x v="0"/>
    <x v="0"/>
    <x v="0"/>
    <x v="0"/>
    <x v="0"/>
    <x v="0"/>
    <x v="0"/>
    <x v="0"/>
    <x v="0"/>
    <x v="0"/>
    <x v="0"/>
    <m/>
    <m/>
    <n v="150000"/>
    <x v="0"/>
    <x v="0"/>
    <m/>
    <n v="150000"/>
    <x v="73"/>
    <m/>
    <x v="174"/>
    <x v="0"/>
    <x v="0"/>
  </r>
  <r>
    <m/>
    <n v="163"/>
    <x v="167"/>
    <d v="2007-03-01T00:00:00"/>
    <x v="11"/>
    <n v="14"/>
    <x v="0"/>
    <x v="12"/>
    <n v="3"/>
    <x v="3"/>
    <s v="Sri Lanka"/>
    <x v="2"/>
    <x v="8"/>
    <x v="7"/>
    <x v="7"/>
    <m/>
    <x v="1"/>
    <x v="3"/>
    <n v="32018000"/>
    <s v="REX 07/376"/>
    <m/>
    <m/>
    <x v="0"/>
    <m/>
    <n v="150000"/>
    <x v="0"/>
    <x v="0"/>
    <m/>
    <x v="8"/>
    <m/>
    <n v="2000000"/>
    <x v="0"/>
    <x v="0"/>
    <x v="0"/>
    <m/>
    <x v="0"/>
    <x v="0"/>
    <x v="0"/>
    <x v="0"/>
    <x v="0"/>
    <x v="0"/>
    <x v="0"/>
    <x v="0"/>
    <x v="0"/>
    <x v="0"/>
    <x v="0"/>
    <x v="0"/>
    <x v="0"/>
    <x v="0"/>
    <m/>
    <m/>
    <n v="2000000"/>
    <x v="0"/>
    <x v="0"/>
    <m/>
    <n v="2000000"/>
    <x v="74"/>
    <m/>
    <x v="175"/>
    <x v="0"/>
    <x v="0"/>
  </r>
  <r>
    <m/>
    <n v="164"/>
    <x v="168"/>
    <d v="2007-03-01T00:00:00"/>
    <x v="11"/>
    <n v="15"/>
    <x v="0"/>
    <x v="12"/>
    <n v="4"/>
    <x v="1"/>
    <s v="Madagascar"/>
    <x v="1"/>
    <x v="5"/>
    <x v="5"/>
    <x v="8"/>
    <m/>
    <x v="1"/>
    <x v="1"/>
    <n v="1649430"/>
    <s v="MDRMG002"/>
    <m/>
    <m/>
    <x v="0"/>
    <m/>
    <n v="60000"/>
    <x v="0"/>
    <x v="0"/>
    <m/>
    <x v="0"/>
    <m/>
    <n v="0"/>
    <x v="10"/>
    <x v="1"/>
    <x v="0"/>
    <n v="10000"/>
    <x v="0"/>
    <x v="0"/>
    <x v="0"/>
    <x v="0"/>
    <x v="0"/>
    <x v="0"/>
    <x v="0"/>
    <x v="0"/>
    <x v="3"/>
    <x v="0"/>
    <x v="0"/>
    <x v="0"/>
    <x v="0"/>
    <x v="0"/>
    <n v="74000"/>
    <n v="28000"/>
    <n v="102000"/>
    <x v="0"/>
    <x v="0"/>
    <m/>
    <n v="102000"/>
    <x v="75"/>
    <s v="Indlala / Jaya"/>
    <x v="176"/>
    <x v="0"/>
    <x v="0"/>
  </r>
  <r>
    <s v="TS-2007-000042-SLB"/>
    <n v="165"/>
    <x v="169"/>
    <d v="2007-04-01T00:00:00"/>
    <x v="11"/>
    <n v="16"/>
    <x v="0"/>
    <x v="12"/>
    <n v="5"/>
    <x v="3"/>
    <s v="Solomon Islands"/>
    <x v="3"/>
    <x v="3"/>
    <x v="24"/>
    <x v="25"/>
    <m/>
    <x v="1"/>
    <x v="1"/>
    <n v="1405645"/>
    <s v="MDRSB001"/>
    <m/>
    <m/>
    <x v="0"/>
    <m/>
    <n v="9000"/>
    <x v="0"/>
    <x v="1"/>
    <n v="50000"/>
    <x v="0"/>
    <m/>
    <n v="50000"/>
    <x v="0"/>
    <x v="0"/>
    <x v="0"/>
    <m/>
    <x v="0"/>
    <x v="0"/>
    <x v="0"/>
    <x v="0"/>
    <x v="0"/>
    <x v="0"/>
    <x v="0"/>
    <x v="0"/>
    <x v="0"/>
    <x v="0"/>
    <x v="0"/>
    <x v="0"/>
    <x v="0"/>
    <x v="0"/>
    <m/>
    <m/>
    <n v="50000"/>
    <x v="0"/>
    <x v="0"/>
    <m/>
    <n v="50000"/>
    <x v="35"/>
    <m/>
    <x v="177"/>
    <x v="0"/>
    <x v="0"/>
  </r>
  <r>
    <m/>
    <n v="166"/>
    <x v="170"/>
    <d v="2007-05-01T00:00:00"/>
    <x v="11"/>
    <n v="17"/>
    <x v="0"/>
    <x v="12"/>
    <n v="6"/>
    <x v="2"/>
    <s v="Colombia"/>
    <x v="1"/>
    <x v="2"/>
    <x v="2"/>
    <x v="2"/>
    <m/>
    <x v="0"/>
    <x v="0"/>
    <m/>
    <m/>
    <m/>
    <m/>
    <x v="0"/>
    <m/>
    <m/>
    <x v="2"/>
    <x v="0"/>
    <m/>
    <x v="0"/>
    <n v="5000"/>
    <n v="5000"/>
    <x v="0"/>
    <x v="0"/>
    <x v="0"/>
    <m/>
    <x v="0"/>
    <x v="0"/>
    <x v="0"/>
    <x v="0"/>
    <x v="0"/>
    <x v="0"/>
    <x v="0"/>
    <x v="0"/>
    <x v="0"/>
    <x v="0"/>
    <x v="0"/>
    <x v="0"/>
    <x v="0"/>
    <x v="0"/>
    <m/>
    <m/>
    <n v="5000"/>
    <x v="0"/>
    <x v="0"/>
    <m/>
    <n v="5000"/>
    <x v="65"/>
    <s v="Tolima"/>
    <x v="178"/>
    <x v="0"/>
    <x v="0"/>
  </r>
  <r>
    <m/>
    <n v="167"/>
    <x v="171"/>
    <d v="2007-05-01T00:00:00"/>
    <x v="11"/>
    <n v="18"/>
    <x v="0"/>
    <x v="12"/>
    <n v="7"/>
    <x v="2"/>
    <s v="Mexico"/>
    <x v="1"/>
    <x v="5"/>
    <x v="26"/>
    <x v="27"/>
    <m/>
    <x v="0"/>
    <x v="5"/>
    <m/>
    <m/>
    <m/>
    <m/>
    <x v="0"/>
    <m/>
    <m/>
    <x v="3"/>
    <x v="0"/>
    <m/>
    <x v="0"/>
    <n v="20000"/>
    <n v="20000"/>
    <x v="0"/>
    <x v="0"/>
    <x v="0"/>
    <m/>
    <x v="0"/>
    <x v="0"/>
    <x v="0"/>
    <x v="0"/>
    <x v="0"/>
    <x v="0"/>
    <x v="0"/>
    <x v="0"/>
    <x v="0"/>
    <x v="0"/>
    <x v="0"/>
    <x v="0"/>
    <x v="0"/>
    <x v="0"/>
    <m/>
    <m/>
    <n v="20000"/>
    <x v="0"/>
    <x v="0"/>
    <m/>
    <n v="20000"/>
    <x v="36"/>
    <s v="Coahuila"/>
    <x v="179"/>
    <x v="0"/>
    <x v="0"/>
  </r>
  <r>
    <m/>
    <n v="168"/>
    <x v="165"/>
    <d v="2007-06-01T00:00:00"/>
    <x v="11"/>
    <n v="19"/>
    <x v="0"/>
    <x v="12"/>
    <n v="8"/>
    <x v="1"/>
    <s v="Somalia"/>
    <x v="2"/>
    <x v="8"/>
    <x v="7"/>
    <x v="7"/>
    <m/>
    <x v="1"/>
    <x v="3"/>
    <n v="38292000"/>
    <s v="REX 07/347"/>
    <m/>
    <m/>
    <x v="0"/>
    <m/>
    <n v="612000"/>
    <x v="0"/>
    <x v="1"/>
    <m/>
    <x v="2"/>
    <m/>
    <n v="100000"/>
    <x v="0"/>
    <x v="0"/>
    <x v="0"/>
    <m/>
    <x v="0"/>
    <x v="0"/>
    <x v="0"/>
    <x v="0"/>
    <x v="0"/>
    <x v="0"/>
    <x v="0"/>
    <x v="0"/>
    <x v="0"/>
    <x v="0"/>
    <x v="0"/>
    <x v="0"/>
    <x v="0"/>
    <x v="0"/>
    <m/>
    <m/>
    <n v="100000"/>
    <x v="0"/>
    <x v="0"/>
    <m/>
    <n v="100000"/>
    <x v="76"/>
    <m/>
    <x v="180"/>
    <x v="0"/>
    <x v="0"/>
  </r>
  <r>
    <m/>
    <n v="169"/>
    <x v="125"/>
    <d v="2007-06-01T00:00:00"/>
    <x v="11"/>
    <n v="20"/>
    <x v="0"/>
    <x v="12"/>
    <n v="9"/>
    <x v="1"/>
    <s v="Sudan"/>
    <x v="2"/>
    <x v="8"/>
    <x v="7"/>
    <x v="7"/>
    <m/>
    <x v="1"/>
    <x v="3"/>
    <n v="86239000"/>
    <s v="REX 07/207"/>
    <m/>
    <m/>
    <x v="0"/>
    <m/>
    <n v="125000"/>
    <x v="0"/>
    <x v="0"/>
    <m/>
    <x v="9"/>
    <m/>
    <n v="200000"/>
    <x v="0"/>
    <x v="0"/>
    <x v="0"/>
    <m/>
    <x v="0"/>
    <x v="0"/>
    <x v="0"/>
    <x v="0"/>
    <x v="0"/>
    <x v="0"/>
    <x v="0"/>
    <x v="0"/>
    <x v="0"/>
    <x v="0"/>
    <x v="0"/>
    <x v="0"/>
    <x v="0"/>
    <x v="0"/>
    <m/>
    <m/>
    <n v="200000"/>
    <x v="0"/>
    <x v="0"/>
    <m/>
    <n v="200000"/>
    <x v="77"/>
    <m/>
    <x v="181"/>
    <x v="0"/>
    <x v="0"/>
  </r>
  <r>
    <s v="FF-2007-000082-PAK; and TC-2007-000084-PAK"/>
    <n v="170"/>
    <x v="172"/>
    <d v="2007-07-01T00:00:00"/>
    <x v="12"/>
    <n v="1"/>
    <x v="0"/>
    <x v="12"/>
    <n v="10"/>
    <x v="3"/>
    <s v="Pakistan"/>
    <x v="1"/>
    <x v="5"/>
    <x v="5"/>
    <x v="8"/>
    <n v="1500000"/>
    <x v="1"/>
    <x v="1"/>
    <n v="17000000"/>
    <s v="MDRPK001"/>
    <m/>
    <m/>
    <x v="0"/>
    <m/>
    <n v="257500"/>
    <x v="0"/>
    <x v="1"/>
    <n v="285000"/>
    <x v="0"/>
    <m/>
    <n v="285000"/>
    <x v="2"/>
    <x v="0"/>
    <x v="0"/>
    <m/>
    <x v="0"/>
    <x v="0"/>
    <x v="0"/>
    <x v="0"/>
    <x v="0"/>
    <x v="0"/>
    <x v="0"/>
    <x v="0"/>
    <x v="0"/>
    <x v="0"/>
    <x v="0"/>
    <x v="0"/>
    <x v="0"/>
    <x v="0"/>
    <m/>
    <n v="10000"/>
    <n v="295000"/>
    <x v="0"/>
    <x v="0"/>
    <m/>
    <n v="295000"/>
    <x v="78"/>
    <s v="Yemyin"/>
    <x v="182"/>
    <x v="0"/>
    <x v="0"/>
  </r>
  <r>
    <s v="FF-2007-000080-BGD"/>
    <n v="171"/>
    <x v="19"/>
    <d v="2007-07-01T00:00:00"/>
    <x v="12"/>
    <n v="2"/>
    <x v="0"/>
    <x v="12"/>
    <n v="11"/>
    <x v="3"/>
    <s v="Bangladesh"/>
    <x v="1"/>
    <x v="2"/>
    <x v="2"/>
    <x v="2"/>
    <n v="2300000"/>
    <x v="1"/>
    <x v="1"/>
    <n v="4850000"/>
    <s v="MDRBD002"/>
    <n v="2.5670103092783506E-2"/>
    <n v="0.95"/>
    <x v="0"/>
    <m/>
    <n v="1200000"/>
    <x v="0"/>
    <x v="1"/>
    <n v="124500"/>
    <x v="0"/>
    <m/>
    <n v="124500"/>
    <x v="0"/>
    <x v="0"/>
    <x v="0"/>
    <m/>
    <x v="0"/>
    <x v="0"/>
    <x v="0"/>
    <x v="0"/>
    <x v="0"/>
    <x v="0"/>
    <x v="0"/>
    <x v="0"/>
    <x v="0"/>
    <x v="0"/>
    <x v="0"/>
    <x v="0"/>
    <x v="0"/>
    <x v="0"/>
    <m/>
    <m/>
    <n v="124500"/>
    <x v="0"/>
    <x v="0"/>
    <m/>
    <n v="124500"/>
    <x v="79"/>
    <m/>
    <x v="183"/>
    <x v="0"/>
    <x v="0"/>
  </r>
  <r>
    <m/>
    <n v="172"/>
    <x v="105"/>
    <d v="2007-07-01T00:00:00"/>
    <x v="12"/>
    <n v="3"/>
    <x v="0"/>
    <x v="12"/>
    <n v="12"/>
    <x v="3"/>
    <s v="Iraq"/>
    <x v="2"/>
    <x v="8"/>
    <x v="7"/>
    <x v="7"/>
    <n v="2000000"/>
    <x v="1"/>
    <x v="1"/>
    <n v="15000000"/>
    <s v="MDR81002"/>
    <n v="1.6666666666666666E-2"/>
    <m/>
    <x v="0"/>
    <m/>
    <n v="250000"/>
    <x v="0"/>
    <x v="1"/>
    <n v="250000"/>
    <x v="0"/>
    <m/>
    <n v="250000"/>
    <x v="0"/>
    <x v="0"/>
    <x v="0"/>
    <m/>
    <x v="0"/>
    <x v="0"/>
    <x v="0"/>
    <x v="0"/>
    <x v="0"/>
    <x v="0"/>
    <x v="0"/>
    <x v="0"/>
    <x v="0"/>
    <x v="0"/>
    <x v="0"/>
    <x v="0"/>
    <x v="0"/>
    <x v="0"/>
    <m/>
    <m/>
    <n v="250000"/>
    <x v="0"/>
    <x v="0"/>
    <m/>
    <n v="250000"/>
    <x v="27"/>
    <s v="Refugees from Iraq in Syria and Jordan"/>
    <x v="177"/>
    <x v="0"/>
    <x v="0"/>
  </r>
  <r>
    <s v="FL-2007-00093-SDN"/>
    <n v="173"/>
    <x v="162"/>
    <d v="2007-07-01T00:00:00"/>
    <x v="12"/>
    <n v="4"/>
    <x v="0"/>
    <x v="12"/>
    <n v="13"/>
    <x v="1"/>
    <s v="Sudan"/>
    <x v="1"/>
    <x v="2"/>
    <x v="2"/>
    <x v="2"/>
    <n v="365000"/>
    <x v="1"/>
    <x v="1"/>
    <n v="6800000"/>
    <s v="MDRSD004"/>
    <m/>
    <m/>
    <x v="0"/>
    <m/>
    <n v="200000"/>
    <x v="0"/>
    <x v="1"/>
    <n v="100000"/>
    <x v="0"/>
    <m/>
    <n v="100000"/>
    <x v="2"/>
    <x v="0"/>
    <x v="0"/>
    <n v="10000"/>
    <x v="0"/>
    <x v="0"/>
    <x v="0"/>
    <x v="0"/>
    <x v="0"/>
    <x v="0"/>
    <x v="0"/>
    <x v="0"/>
    <x v="1"/>
    <x v="0"/>
    <x v="0"/>
    <x v="0"/>
    <x v="0"/>
    <x v="0"/>
    <n v="44400"/>
    <n v="9000"/>
    <n v="153400"/>
    <x v="0"/>
    <x v="0"/>
    <m/>
    <n v="153400"/>
    <x v="80"/>
    <m/>
    <x v="184"/>
    <x v="0"/>
    <x v="0"/>
  </r>
  <r>
    <s v="FL-2007-000111-GBR"/>
    <n v="174"/>
    <x v="173"/>
    <d v="2007-07-01T00:00:00"/>
    <x v="12"/>
    <n v="5"/>
    <x v="0"/>
    <x v="12"/>
    <n v="15"/>
    <x v="3"/>
    <s v="United Kingdom"/>
    <x v="1"/>
    <x v="2"/>
    <x v="2"/>
    <x v="2"/>
    <n v="1000000"/>
    <x v="0"/>
    <x v="0"/>
    <m/>
    <m/>
    <m/>
    <m/>
    <x v="0"/>
    <m/>
    <m/>
    <x v="0"/>
    <x v="0"/>
    <m/>
    <x v="0"/>
    <n v="20188"/>
    <n v="20188"/>
    <x v="0"/>
    <x v="0"/>
    <x v="0"/>
    <m/>
    <x v="0"/>
    <x v="0"/>
    <x v="0"/>
    <x v="0"/>
    <x v="0"/>
    <x v="0"/>
    <x v="0"/>
    <x v="0"/>
    <x v="0"/>
    <x v="0"/>
    <x v="0"/>
    <x v="0"/>
    <x v="0"/>
    <x v="0"/>
    <m/>
    <m/>
    <n v="20188"/>
    <x v="0"/>
    <x v="0"/>
    <m/>
    <n v="20188"/>
    <x v="81"/>
    <m/>
    <x v="185"/>
    <x v="0"/>
    <x v="0"/>
  </r>
  <r>
    <s v="FF-2007-000117-NPL"/>
    <n v="175"/>
    <x v="174"/>
    <d v="2007-08-01T00:00:00"/>
    <x v="12"/>
    <n v="6"/>
    <x v="0"/>
    <x v="12"/>
    <n v="16"/>
    <x v="3"/>
    <s v="Nepal"/>
    <x v="1"/>
    <x v="2"/>
    <x v="2"/>
    <x v="2"/>
    <n v="645000"/>
    <x v="1"/>
    <x v="1"/>
    <n v="2340000"/>
    <m/>
    <n v="2.1367521367521368E-2"/>
    <m/>
    <x v="1"/>
    <m/>
    <n v="150000"/>
    <x v="0"/>
    <x v="1"/>
    <n v="50000"/>
    <x v="0"/>
    <m/>
    <n v="50000"/>
    <x v="0"/>
    <x v="0"/>
    <x v="0"/>
    <m/>
    <x v="0"/>
    <x v="0"/>
    <x v="0"/>
    <x v="0"/>
    <x v="0"/>
    <x v="0"/>
    <x v="0"/>
    <x v="0"/>
    <x v="0"/>
    <x v="0"/>
    <x v="0"/>
    <x v="0"/>
    <x v="0"/>
    <x v="0"/>
    <m/>
    <m/>
    <n v="50000"/>
    <x v="0"/>
    <x v="0"/>
    <m/>
    <n v="50000"/>
    <x v="27"/>
    <m/>
    <x v="177"/>
    <x v="0"/>
    <x v="0"/>
  </r>
  <r>
    <s v="EQ-2007-000133-PER"/>
    <n v="176"/>
    <x v="54"/>
    <d v="2007-08-01T00:00:00"/>
    <x v="12"/>
    <n v="7"/>
    <x v="0"/>
    <x v="12"/>
    <n v="17"/>
    <x v="2"/>
    <s v="Peru"/>
    <x v="3"/>
    <x v="3"/>
    <x v="3"/>
    <x v="3"/>
    <n v="655000"/>
    <x v="1"/>
    <x v="1"/>
    <n v="9600000"/>
    <s v="MDRPE003"/>
    <n v="3.125E-2"/>
    <n v="0.93"/>
    <x v="0"/>
    <m/>
    <n v="37500"/>
    <x v="0"/>
    <x v="1"/>
    <n v="300000"/>
    <x v="0"/>
    <m/>
    <n v="300000"/>
    <x v="16"/>
    <x v="0"/>
    <x v="0"/>
    <n v="16500"/>
    <x v="0"/>
    <x v="11"/>
    <x v="0"/>
    <x v="0"/>
    <x v="0"/>
    <x v="0"/>
    <x v="2"/>
    <x v="0"/>
    <x v="0"/>
    <x v="0"/>
    <x v="8"/>
    <x v="0"/>
    <x v="0"/>
    <x v="0"/>
    <n v="214800"/>
    <n v="5000"/>
    <n v="519800"/>
    <x v="0"/>
    <x v="0"/>
    <m/>
    <n v="3400000"/>
    <x v="53"/>
    <m/>
    <x v="186"/>
    <x v="0"/>
    <x v="1"/>
  </r>
  <r>
    <s v="TC-2007-000135"/>
    <n v="177"/>
    <x v="175"/>
    <d v="2007-08-01T00:00:00"/>
    <x v="12"/>
    <n v="8"/>
    <x v="0"/>
    <x v="12"/>
    <n v="18"/>
    <x v="2"/>
    <s v="Jamaica"/>
    <x v="1"/>
    <x v="5"/>
    <x v="5"/>
    <x v="5"/>
    <n v="210000"/>
    <x v="1"/>
    <x v="1"/>
    <n v="2927000"/>
    <s v="MDR49001"/>
    <m/>
    <m/>
    <x v="0"/>
    <m/>
    <n v="108550"/>
    <x v="4"/>
    <x v="0"/>
    <m/>
    <x v="0"/>
    <m/>
    <n v="0"/>
    <x v="0"/>
    <x v="0"/>
    <x v="0"/>
    <n v="2350"/>
    <x v="0"/>
    <x v="6"/>
    <x v="0"/>
    <x v="0"/>
    <x v="0"/>
    <x v="0"/>
    <x v="3"/>
    <x v="0"/>
    <x v="0"/>
    <x v="0"/>
    <x v="9"/>
    <x v="0"/>
    <x v="0"/>
    <x v="0"/>
    <n v="34565"/>
    <m/>
    <n v="34565"/>
    <x v="0"/>
    <x v="0"/>
    <m/>
    <n v="34565"/>
    <x v="16"/>
    <s v="Dean"/>
    <x v="0"/>
    <x v="0"/>
    <x v="0"/>
  </r>
  <r>
    <s v="TC-2007-000135"/>
    <n v="177"/>
    <x v="175"/>
    <d v="2007-08-01T00:00:00"/>
    <x v="12"/>
    <n v="8"/>
    <x v="0"/>
    <x v="12"/>
    <n v="18"/>
    <x v="2"/>
    <s v="Mexico"/>
    <x v="1"/>
    <x v="5"/>
    <x v="5"/>
    <x v="5"/>
    <m/>
    <x v="0"/>
    <x v="0"/>
    <m/>
    <m/>
    <m/>
    <m/>
    <x v="0"/>
    <m/>
    <m/>
    <x v="5"/>
    <x v="0"/>
    <m/>
    <x v="0"/>
    <n v="298680"/>
    <n v="298680"/>
    <x v="2"/>
    <x v="0"/>
    <x v="0"/>
    <m/>
    <x v="0"/>
    <x v="0"/>
    <x v="0"/>
    <x v="0"/>
    <x v="0"/>
    <x v="0"/>
    <x v="0"/>
    <x v="0"/>
    <x v="0"/>
    <x v="0"/>
    <x v="0"/>
    <x v="0"/>
    <x v="0"/>
    <x v="0"/>
    <m/>
    <m/>
    <n v="298680"/>
    <x v="0"/>
    <x v="0"/>
    <m/>
    <n v="298680"/>
    <x v="82"/>
    <s v="Dean"/>
    <x v="187"/>
    <x v="0"/>
    <x v="0"/>
  </r>
  <r>
    <s v="TC-2007-000135"/>
    <n v="177"/>
    <x v="175"/>
    <d v="2007-08-01T00:00:00"/>
    <x v="12"/>
    <n v="8"/>
    <x v="0"/>
    <x v="12"/>
    <n v="18"/>
    <x v="2"/>
    <s v="Haiti"/>
    <x v="1"/>
    <x v="5"/>
    <x v="5"/>
    <x v="5"/>
    <m/>
    <x v="0"/>
    <x v="0"/>
    <m/>
    <m/>
    <m/>
    <m/>
    <x v="0"/>
    <m/>
    <m/>
    <x v="0"/>
    <x v="0"/>
    <m/>
    <x v="0"/>
    <n v="2500"/>
    <n v="2500"/>
    <x v="2"/>
    <x v="0"/>
    <x v="0"/>
    <m/>
    <x v="0"/>
    <x v="0"/>
    <x v="0"/>
    <x v="0"/>
    <x v="0"/>
    <x v="0"/>
    <x v="0"/>
    <x v="0"/>
    <x v="0"/>
    <x v="0"/>
    <x v="0"/>
    <x v="0"/>
    <x v="0"/>
    <x v="0"/>
    <m/>
    <m/>
    <n v="2500"/>
    <x v="0"/>
    <x v="0"/>
    <m/>
    <n v="2500"/>
    <x v="16"/>
    <s v="Dean"/>
    <x v="188"/>
    <x v="0"/>
    <x v="0"/>
  </r>
  <r>
    <s v="WF-2007-000148-GRC"/>
    <n v="178"/>
    <x v="176"/>
    <d v="2007-09-01T00:00:00"/>
    <x v="12"/>
    <n v="9"/>
    <x v="0"/>
    <x v="12"/>
    <n v="19"/>
    <x v="3"/>
    <s v="Greece"/>
    <x v="1"/>
    <x v="15"/>
    <x v="23"/>
    <x v="11"/>
    <m/>
    <x v="0"/>
    <x v="0"/>
    <m/>
    <m/>
    <m/>
    <m/>
    <x v="0"/>
    <m/>
    <m/>
    <x v="0"/>
    <x v="0"/>
    <m/>
    <x v="0"/>
    <n v="40000"/>
    <n v="40000"/>
    <x v="0"/>
    <x v="0"/>
    <x v="0"/>
    <m/>
    <x v="0"/>
    <x v="0"/>
    <x v="0"/>
    <x v="0"/>
    <x v="0"/>
    <x v="0"/>
    <x v="0"/>
    <x v="0"/>
    <x v="0"/>
    <x v="0"/>
    <x v="0"/>
    <x v="0"/>
    <x v="0"/>
    <x v="0"/>
    <m/>
    <m/>
    <n v="40000"/>
    <x v="0"/>
    <x v="0"/>
    <m/>
    <n v="40000"/>
    <x v="27"/>
    <m/>
    <x v="189"/>
    <x v="0"/>
    <x v="0"/>
  </r>
  <r>
    <s v="TC-2007-000157"/>
    <n v="179"/>
    <x v="177"/>
    <d v="2007-09-01T00:00:00"/>
    <x v="12"/>
    <n v="10"/>
    <x v="0"/>
    <x v="12"/>
    <n v="20"/>
    <x v="2"/>
    <s v="Nicaragua"/>
    <x v="1"/>
    <x v="5"/>
    <x v="5"/>
    <x v="5"/>
    <n v="175000"/>
    <x v="1"/>
    <x v="1"/>
    <n v="1300000"/>
    <s v="MDR43002"/>
    <n v="3.8461538461538464E-2"/>
    <m/>
    <x v="0"/>
    <m/>
    <n v="31658"/>
    <x v="0"/>
    <x v="1"/>
    <n v="50000"/>
    <x v="0"/>
    <m/>
    <n v="50000"/>
    <x v="0"/>
    <x v="0"/>
    <x v="0"/>
    <m/>
    <x v="0"/>
    <x v="0"/>
    <x v="0"/>
    <x v="0"/>
    <x v="0"/>
    <x v="0"/>
    <x v="0"/>
    <x v="0"/>
    <x v="0"/>
    <x v="0"/>
    <x v="0"/>
    <x v="0"/>
    <x v="0"/>
    <x v="0"/>
    <m/>
    <m/>
    <n v="50000"/>
    <x v="0"/>
    <x v="0"/>
    <m/>
    <n v="50000"/>
    <x v="27"/>
    <s v="Felix"/>
    <x v="190"/>
    <x v="0"/>
    <x v="0"/>
  </r>
  <r>
    <s v="TC-2007-000157"/>
    <n v="179"/>
    <x v="177"/>
    <d v="2007-09-01T00:00:00"/>
    <x v="12"/>
    <n v="10"/>
    <x v="0"/>
    <x v="12"/>
    <n v="20"/>
    <x v="2"/>
    <s v="Honduras"/>
    <x v="1"/>
    <x v="5"/>
    <x v="5"/>
    <x v="5"/>
    <m/>
    <x v="0"/>
    <x v="0"/>
    <m/>
    <m/>
    <m/>
    <m/>
    <x v="0"/>
    <m/>
    <m/>
    <x v="0"/>
    <x v="2"/>
    <n v="22500"/>
    <x v="0"/>
    <m/>
    <n v="22500"/>
    <x v="0"/>
    <x v="0"/>
    <x v="0"/>
    <m/>
    <x v="0"/>
    <x v="0"/>
    <x v="0"/>
    <x v="0"/>
    <x v="0"/>
    <x v="0"/>
    <x v="0"/>
    <x v="0"/>
    <x v="0"/>
    <x v="0"/>
    <x v="0"/>
    <x v="0"/>
    <x v="0"/>
    <x v="0"/>
    <m/>
    <m/>
    <n v="22500"/>
    <x v="0"/>
    <x v="0"/>
    <m/>
    <n v="22500"/>
    <x v="27"/>
    <s v="Felix"/>
    <x v="0"/>
    <x v="0"/>
    <x v="0"/>
  </r>
  <r>
    <s v="TC-2007-000157"/>
    <n v="179"/>
    <x v="177"/>
    <d v="2007-09-01T00:00:00"/>
    <x v="12"/>
    <n v="10"/>
    <x v="0"/>
    <x v="12"/>
    <n v="20"/>
    <x v="2"/>
    <s v="Honduras"/>
    <x v="1"/>
    <x v="5"/>
    <x v="5"/>
    <x v="5"/>
    <m/>
    <x v="0"/>
    <x v="0"/>
    <m/>
    <m/>
    <m/>
    <m/>
    <x v="0"/>
    <m/>
    <m/>
    <x v="0"/>
    <x v="2"/>
    <n v="47500"/>
    <x v="0"/>
    <m/>
    <n v="47500"/>
    <x v="0"/>
    <x v="0"/>
    <x v="0"/>
    <m/>
    <x v="0"/>
    <x v="0"/>
    <x v="0"/>
    <x v="0"/>
    <x v="0"/>
    <x v="0"/>
    <x v="0"/>
    <x v="0"/>
    <x v="0"/>
    <x v="0"/>
    <x v="0"/>
    <x v="0"/>
    <x v="0"/>
    <x v="0"/>
    <m/>
    <m/>
    <n v="47500"/>
    <x v="0"/>
    <x v="0"/>
    <m/>
    <n v="47500"/>
    <x v="83"/>
    <s v="Felix"/>
    <x v="191"/>
    <x v="0"/>
    <x v="0"/>
  </r>
  <r>
    <s v="EQ-2007-000157-IDN"/>
    <n v="180"/>
    <x v="178"/>
    <d v="2007-09-01T00:00:00"/>
    <x v="12"/>
    <n v="11"/>
    <x v="0"/>
    <x v="12"/>
    <n v="21"/>
    <x v="3"/>
    <s v="Indonesia"/>
    <x v="3"/>
    <x v="3"/>
    <x v="3"/>
    <x v="3"/>
    <m/>
    <x v="0"/>
    <x v="0"/>
    <m/>
    <m/>
    <m/>
    <m/>
    <x v="0"/>
    <m/>
    <m/>
    <x v="0"/>
    <x v="0"/>
    <m/>
    <x v="0"/>
    <n v="3000"/>
    <n v="3000"/>
    <x v="0"/>
    <x v="0"/>
    <x v="0"/>
    <m/>
    <x v="0"/>
    <x v="0"/>
    <x v="0"/>
    <x v="0"/>
    <x v="0"/>
    <x v="0"/>
    <x v="0"/>
    <x v="0"/>
    <x v="0"/>
    <x v="0"/>
    <x v="0"/>
    <x v="0"/>
    <x v="0"/>
    <x v="0"/>
    <m/>
    <m/>
    <n v="3000"/>
    <x v="0"/>
    <x v="0"/>
    <m/>
    <n v="3000"/>
    <x v="65"/>
    <s v="Bengkulu"/>
    <x v="192"/>
    <x v="0"/>
    <x v="0"/>
  </r>
  <r>
    <s v="FL-2007-000138-UGA"/>
    <n v="181"/>
    <x v="179"/>
    <d v="2007-09-01T00:00:00"/>
    <x v="12"/>
    <n v="12"/>
    <x v="0"/>
    <x v="12"/>
    <n v="22"/>
    <x v="1"/>
    <s v="Uganda"/>
    <x v="1"/>
    <x v="2"/>
    <x v="2"/>
    <x v="2"/>
    <n v="450000"/>
    <x v="1"/>
    <x v="1"/>
    <n v="9511366"/>
    <s v="MDRUG006"/>
    <m/>
    <n v="0.64"/>
    <x v="0"/>
    <m/>
    <n v="125000"/>
    <x v="0"/>
    <x v="0"/>
    <m/>
    <x v="0"/>
    <m/>
    <n v="0"/>
    <x v="5"/>
    <x v="2"/>
    <x v="0"/>
    <m/>
    <x v="0"/>
    <x v="0"/>
    <x v="0"/>
    <x v="0"/>
    <x v="0"/>
    <x v="0"/>
    <x v="0"/>
    <x v="0"/>
    <x v="0"/>
    <x v="0"/>
    <x v="0"/>
    <x v="0"/>
    <x v="0"/>
    <x v="0"/>
    <m/>
    <n v="17400"/>
    <n v="17400"/>
    <x v="0"/>
    <x v="0"/>
    <m/>
    <n v="17400"/>
    <x v="65"/>
    <m/>
    <x v="193"/>
    <x v="0"/>
    <x v="0"/>
  </r>
  <r>
    <s v="FL-2007-000158-TGO; FL-2007-000132-BFA;FL-2007-000153-GHA"/>
    <n v="182"/>
    <x v="180"/>
    <d v="2007-09-01T00:00:00"/>
    <x v="12"/>
    <n v="13"/>
    <x v="0"/>
    <x v="12"/>
    <n v="23"/>
    <x v="1"/>
    <s v="Togo"/>
    <x v="1"/>
    <x v="2"/>
    <x v="2"/>
    <x v="2"/>
    <n v="185000"/>
    <x v="1"/>
    <x v="1"/>
    <n v="3200000"/>
    <s v="MDR61002"/>
    <n v="6.2406249999999996E-3"/>
    <n v="0.95"/>
    <x v="0"/>
    <m/>
    <n v="94825"/>
    <x v="0"/>
    <x v="2"/>
    <n v="19970"/>
    <x v="0"/>
    <m/>
    <n v="19970"/>
    <x v="0"/>
    <x v="0"/>
    <x v="0"/>
    <m/>
    <x v="0"/>
    <x v="0"/>
    <x v="0"/>
    <x v="0"/>
    <x v="0"/>
    <x v="0"/>
    <x v="0"/>
    <x v="0"/>
    <x v="0"/>
    <x v="0"/>
    <x v="0"/>
    <x v="0"/>
    <x v="0"/>
    <x v="0"/>
    <m/>
    <m/>
    <n v="19970"/>
    <x v="0"/>
    <x v="0"/>
    <m/>
    <n v="19970"/>
    <x v="65"/>
    <m/>
    <x v="194"/>
    <x v="0"/>
    <x v="0"/>
  </r>
  <r>
    <s v="TC-000198-DOM/HTI;"/>
    <n v="183"/>
    <x v="181"/>
    <d v="2007-10-01T00:00:00"/>
    <x v="12"/>
    <n v="14"/>
    <x v="0"/>
    <x v="12"/>
    <n v="24"/>
    <x v="2"/>
    <s v="Dominican Republic"/>
    <x v="1"/>
    <x v="5"/>
    <x v="5"/>
    <x v="17"/>
    <n v="200000"/>
    <x v="1"/>
    <x v="1"/>
    <n v="1544000"/>
    <s v="MDR49002"/>
    <n v="2.266839378238342E-2"/>
    <m/>
    <x v="0"/>
    <m/>
    <n v="52995"/>
    <x v="0"/>
    <x v="2"/>
    <n v="35000"/>
    <x v="0"/>
    <m/>
    <n v="35000"/>
    <x v="0"/>
    <x v="0"/>
    <x v="0"/>
    <n v="4000"/>
    <x v="0"/>
    <x v="6"/>
    <x v="0"/>
    <x v="0"/>
    <x v="0"/>
    <x v="0"/>
    <x v="3"/>
    <x v="0"/>
    <x v="0"/>
    <x v="0"/>
    <x v="10"/>
    <x v="0"/>
    <x v="0"/>
    <x v="0"/>
    <n v="69055"/>
    <m/>
    <n v="104055"/>
    <x v="0"/>
    <x v="0"/>
    <m/>
    <n v="104055"/>
    <x v="42"/>
    <s v="Noel"/>
    <x v="195"/>
    <x v="0"/>
    <x v="0"/>
  </r>
  <r>
    <s v="TC-000198-DOM/HTI;"/>
    <n v="183"/>
    <x v="181"/>
    <d v="2007-11-01T00:00:00"/>
    <x v="12"/>
    <n v="14"/>
    <x v="0"/>
    <x v="12"/>
    <n v="24"/>
    <x v="2"/>
    <s v="Haiti"/>
    <x v="1"/>
    <x v="5"/>
    <x v="5"/>
    <x v="17"/>
    <m/>
    <x v="0"/>
    <x v="0"/>
    <m/>
    <s v="MDR49002"/>
    <m/>
    <m/>
    <x v="0"/>
    <m/>
    <m/>
    <x v="0"/>
    <x v="1"/>
    <n v="50000"/>
    <x v="0"/>
    <m/>
    <n v="50000"/>
    <x v="0"/>
    <x v="0"/>
    <x v="0"/>
    <n v="2000"/>
    <x v="0"/>
    <x v="0"/>
    <x v="11"/>
    <x v="0"/>
    <x v="0"/>
    <x v="0"/>
    <x v="0"/>
    <x v="0"/>
    <x v="0"/>
    <x v="0"/>
    <x v="0"/>
    <x v="0"/>
    <x v="0"/>
    <x v="0"/>
    <n v="8073"/>
    <m/>
    <n v="58073"/>
    <x v="0"/>
    <x v="0"/>
    <m/>
    <n v="58073"/>
    <x v="57"/>
    <s v="Noel"/>
    <x v="195"/>
    <x v="0"/>
    <x v="0"/>
  </r>
  <r>
    <s v="TC-000198-DOM/HTI;"/>
    <n v="183"/>
    <x v="181"/>
    <d v="2007-11-01T00:00:00"/>
    <x v="12"/>
    <n v="14"/>
    <x v="0"/>
    <x v="12"/>
    <n v="24"/>
    <x v="2"/>
    <s v="Bahamas"/>
    <x v="1"/>
    <x v="5"/>
    <x v="5"/>
    <x v="17"/>
    <m/>
    <x v="0"/>
    <x v="0"/>
    <m/>
    <s v="MDR49002"/>
    <m/>
    <m/>
    <x v="0"/>
    <m/>
    <m/>
    <x v="0"/>
    <x v="2"/>
    <n v="30000"/>
    <x v="0"/>
    <m/>
    <n v="30000"/>
    <x v="4"/>
    <x v="0"/>
    <x v="0"/>
    <m/>
    <x v="0"/>
    <x v="0"/>
    <x v="0"/>
    <x v="0"/>
    <x v="0"/>
    <x v="0"/>
    <x v="0"/>
    <x v="0"/>
    <x v="0"/>
    <x v="0"/>
    <x v="0"/>
    <x v="0"/>
    <x v="0"/>
    <x v="0"/>
    <m/>
    <n v="7440"/>
    <n v="37440"/>
    <x v="0"/>
    <x v="0"/>
    <m/>
    <n v="37440"/>
    <x v="57"/>
    <s v="Noel"/>
    <x v="196"/>
    <x v="0"/>
    <x v="0"/>
  </r>
  <r>
    <s v="FL-2007-000200-MEX"/>
    <n v="184"/>
    <x v="6"/>
    <d v="2007-11-01T00:00:00"/>
    <x v="12"/>
    <n v="15"/>
    <x v="0"/>
    <x v="12"/>
    <n v="25"/>
    <x v="2"/>
    <s v="Mexico"/>
    <x v="1"/>
    <x v="2"/>
    <x v="2"/>
    <x v="2"/>
    <n v="1000000"/>
    <x v="1"/>
    <x v="1"/>
    <n v="1800000"/>
    <s v="MDRMX002"/>
    <n v="9.2820555555555559E-2"/>
    <n v="1"/>
    <x v="0"/>
    <m/>
    <n v="44380"/>
    <x v="6"/>
    <x v="1"/>
    <n v="167077"/>
    <x v="0"/>
    <n v="350000"/>
    <n v="517077"/>
    <x v="2"/>
    <x v="0"/>
    <x v="0"/>
    <n v="15500"/>
    <x v="0"/>
    <x v="11"/>
    <x v="0"/>
    <x v="0"/>
    <x v="0"/>
    <x v="0"/>
    <x v="2"/>
    <x v="0"/>
    <x v="1"/>
    <x v="0"/>
    <x v="0"/>
    <x v="0"/>
    <x v="0"/>
    <x v="0"/>
    <n v="143415"/>
    <n v="357"/>
    <n v="660849"/>
    <x v="0"/>
    <x v="0"/>
    <m/>
    <n v="1900000"/>
    <x v="84"/>
    <s v="Tabasco"/>
    <x v="197"/>
    <x v="0"/>
    <x v="0"/>
  </r>
  <r>
    <s v="TC-2007-00178-VNM"/>
    <n v="185"/>
    <x v="182"/>
    <d v="2007-11-01T00:00:00"/>
    <x v="12"/>
    <n v="16"/>
    <x v="0"/>
    <x v="12"/>
    <n v="26"/>
    <x v="3"/>
    <s v="Vietnam"/>
    <x v="1"/>
    <x v="5"/>
    <x v="5"/>
    <x v="22"/>
    <n v="600000"/>
    <x v="1"/>
    <x v="1"/>
    <n v="2700000"/>
    <s v="MDRVN002"/>
    <n v="4.2592592592592592E-2"/>
    <n v="0.77"/>
    <x v="0"/>
    <m/>
    <n v="180000"/>
    <x v="0"/>
    <x v="1"/>
    <n v="115000"/>
    <x v="0"/>
    <m/>
    <n v="115000"/>
    <x v="0"/>
    <x v="0"/>
    <x v="0"/>
    <m/>
    <x v="0"/>
    <x v="0"/>
    <x v="0"/>
    <x v="0"/>
    <x v="0"/>
    <x v="0"/>
    <x v="0"/>
    <x v="0"/>
    <x v="0"/>
    <x v="0"/>
    <x v="0"/>
    <x v="0"/>
    <x v="0"/>
    <x v="0"/>
    <m/>
    <m/>
    <n v="115000"/>
    <x v="0"/>
    <x v="0"/>
    <m/>
    <n v="115000"/>
    <x v="85"/>
    <s v="Lekima"/>
    <x v="198"/>
    <x v="1"/>
    <x v="0"/>
  </r>
  <r>
    <s v="FF-2007-000080-BGD"/>
    <n v="186"/>
    <x v="183"/>
    <d v="2007-11-01T00:00:00"/>
    <x v="12"/>
    <n v="17"/>
    <x v="0"/>
    <x v="12"/>
    <n v="27"/>
    <x v="3"/>
    <s v="Bangladesh"/>
    <x v="1"/>
    <x v="5"/>
    <x v="5"/>
    <x v="8"/>
    <n v="8500000"/>
    <x v="1"/>
    <x v="1"/>
    <n v="22000000"/>
    <s v="MDRBD002"/>
    <n v="4.926618181818182E-2"/>
    <n v="0.66"/>
    <x v="0"/>
    <m/>
    <n v="1215000"/>
    <x v="0"/>
    <x v="1"/>
    <n v="1083856"/>
    <x v="0"/>
    <m/>
    <n v="1083856"/>
    <x v="5"/>
    <x v="0"/>
    <x v="0"/>
    <n v="39000"/>
    <x v="0"/>
    <x v="12"/>
    <x v="12"/>
    <x v="0"/>
    <x v="0"/>
    <x v="0"/>
    <x v="0"/>
    <x v="0"/>
    <x v="0"/>
    <x v="0"/>
    <x v="11"/>
    <x v="0"/>
    <x v="0"/>
    <x v="0"/>
    <n v="260798"/>
    <n v="12000"/>
    <n v="1356654"/>
    <x v="0"/>
    <x v="0"/>
    <m/>
    <n v="1356654"/>
    <x v="86"/>
    <s v="Sidr"/>
    <x v="199"/>
    <x v="0"/>
    <x v="0"/>
  </r>
  <r>
    <s v="FL-2007-000209-PNG"/>
    <n v="187"/>
    <x v="184"/>
    <d v="2007-11-01T00:00:00"/>
    <x v="12"/>
    <n v="18"/>
    <x v="0"/>
    <x v="12"/>
    <n v="28"/>
    <x v="3"/>
    <s v="Papua New Guinea"/>
    <x v="1"/>
    <x v="5"/>
    <x v="5"/>
    <x v="8"/>
    <n v="162000"/>
    <x v="1"/>
    <x v="1"/>
    <n v="672000"/>
    <s v="MDRPG002"/>
    <n v="3.5342261904761904E-2"/>
    <n v="0.76"/>
    <x v="0"/>
    <m/>
    <n v="13000"/>
    <x v="0"/>
    <x v="2"/>
    <n v="23750"/>
    <x v="0"/>
    <m/>
    <n v="23750"/>
    <x v="0"/>
    <x v="0"/>
    <x v="0"/>
    <m/>
    <x v="0"/>
    <x v="0"/>
    <x v="0"/>
    <x v="0"/>
    <x v="0"/>
    <x v="0"/>
    <x v="0"/>
    <x v="0"/>
    <x v="0"/>
    <x v="0"/>
    <x v="0"/>
    <x v="0"/>
    <x v="0"/>
    <x v="0"/>
    <m/>
    <m/>
    <n v="23750"/>
    <x v="0"/>
    <x v="0"/>
    <m/>
    <n v="23750"/>
    <x v="35"/>
    <s v="Guba"/>
    <x v="200"/>
    <x v="0"/>
    <x v="0"/>
  </r>
  <r>
    <m/>
    <n v="188"/>
    <x v="185"/>
    <d v="2008-01-01T00:00:00"/>
    <x v="12"/>
    <n v="19"/>
    <x v="0"/>
    <x v="13"/>
    <n v="1"/>
    <x v="1"/>
    <s v="Kenya"/>
    <x v="2"/>
    <x v="19"/>
    <x v="27"/>
    <x v="28"/>
    <n v="500000"/>
    <x v="1"/>
    <x v="3"/>
    <n v="14200000"/>
    <m/>
    <n v="1.7605633802816902E-2"/>
    <m/>
    <x v="0"/>
    <m/>
    <n v="500000"/>
    <x v="0"/>
    <x v="1"/>
    <m/>
    <x v="5"/>
    <n v="50000"/>
    <n v="300000"/>
    <x v="0"/>
    <x v="0"/>
    <x v="0"/>
    <m/>
    <x v="0"/>
    <x v="0"/>
    <x v="0"/>
    <x v="0"/>
    <x v="0"/>
    <x v="0"/>
    <x v="0"/>
    <x v="0"/>
    <x v="0"/>
    <x v="0"/>
    <x v="0"/>
    <x v="0"/>
    <x v="0"/>
    <x v="0"/>
    <m/>
    <m/>
    <n v="300000"/>
    <x v="0"/>
    <x v="0"/>
    <m/>
    <n v="300000"/>
    <x v="87"/>
    <s v="Elections"/>
    <x v="201"/>
    <x v="0"/>
    <x v="0"/>
  </r>
  <r>
    <s v="CW-2008-000013-CHN"/>
    <n v="189"/>
    <x v="186"/>
    <d v="2008-02-01T00:00:00"/>
    <x v="12"/>
    <n v="20"/>
    <x v="0"/>
    <x v="13"/>
    <n v="2"/>
    <x v="3"/>
    <s v="China"/>
    <x v="1"/>
    <x v="5"/>
    <x v="12"/>
    <x v="13"/>
    <n v="7800000"/>
    <x v="0"/>
    <x v="0"/>
    <s v="n/a"/>
    <m/>
    <m/>
    <m/>
    <x v="0"/>
    <m/>
    <s v="n/a"/>
    <x v="7"/>
    <x v="0"/>
    <m/>
    <x v="0"/>
    <n v="867000"/>
    <n v="867000"/>
    <x v="0"/>
    <x v="0"/>
    <x v="0"/>
    <m/>
    <x v="0"/>
    <x v="0"/>
    <x v="0"/>
    <x v="0"/>
    <x v="0"/>
    <x v="0"/>
    <x v="0"/>
    <x v="0"/>
    <x v="0"/>
    <x v="0"/>
    <x v="0"/>
    <x v="0"/>
    <x v="0"/>
    <x v="0"/>
    <m/>
    <m/>
    <n v="867000"/>
    <x v="0"/>
    <x v="0"/>
    <m/>
    <n v="867000"/>
    <x v="2"/>
    <m/>
    <x v="202"/>
    <x v="0"/>
    <x v="1"/>
  </r>
  <r>
    <m/>
    <n v="190"/>
    <x v="187"/>
    <d v="2008-02-01T00:00:00"/>
    <x v="12"/>
    <n v="21"/>
    <x v="0"/>
    <x v="13"/>
    <n v="3"/>
    <x v="1"/>
    <s v="Guyana"/>
    <x v="2"/>
    <x v="19"/>
    <x v="27"/>
    <x v="28"/>
    <m/>
    <x v="0"/>
    <x v="0"/>
    <s v="n/a"/>
    <m/>
    <m/>
    <m/>
    <x v="0"/>
    <m/>
    <n v="0"/>
    <x v="8"/>
    <x v="0"/>
    <m/>
    <x v="0"/>
    <n v="2400"/>
    <n v="2400"/>
    <x v="4"/>
    <x v="0"/>
    <x v="0"/>
    <m/>
    <x v="0"/>
    <x v="0"/>
    <x v="0"/>
    <x v="0"/>
    <x v="0"/>
    <x v="0"/>
    <x v="0"/>
    <x v="0"/>
    <x v="0"/>
    <x v="0"/>
    <x v="0"/>
    <x v="0"/>
    <x v="0"/>
    <x v="0"/>
    <m/>
    <n v="10000"/>
    <n v="12400"/>
    <x v="0"/>
    <x v="0"/>
    <m/>
    <n v="12400"/>
    <x v="65"/>
    <s v="Violence"/>
    <x v="203"/>
    <x v="0"/>
    <x v="0"/>
  </r>
  <r>
    <m/>
    <n v="191"/>
    <x v="125"/>
    <d v="2008-02-01T00:00:00"/>
    <x v="12"/>
    <n v="22"/>
    <x v="0"/>
    <x v="13"/>
    <n v="4"/>
    <x v="1"/>
    <s v="Sudan"/>
    <x v="2"/>
    <x v="8"/>
    <x v="7"/>
    <x v="7"/>
    <n v="2000000"/>
    <x v="1"/>
    <x v="3"/>
    <n v="94000000"/>
    <m/>
    <n v="7.5957446808510637E-3"/>
    <m/>
    <x v="0"/>
    <m/>
    <n v="600000"/>
    <x v="0"/>
    <x v="1"/>
    <m/>
    <x v="10"/>
    <m/>
    <n v="714000"/>
    <x v="0"/>
    <x v="0"/>
    <x v="0"/>
    <m/>
    <x v="0"/>
    <x v="0"/>
    <x v="0"/>
    <x v="0"/>
    <x v="0"/>
    <x v="0"/>
    <x v="0"/>
    <x v="0"/>
    <x v="0"/>
    <x v="0"/>
    <x v="0"/>
    <x v="0"/>
    <x v="0"/>
    <x v="0"/>
    <m/>
    <m/>
    <n v="714000"/>
    <x v="0"/>
    <x v="0"/>
    <m/>
    <n v="714000"/>
    <x v="77"/>
    <m/>
    <x v="204"/>
    <x v="0"/>
    <x v="0"/>
  </r>
  <r>
    <s v="FL-2008-000018-ECU"/>
    <n v="192"/>
    <x v="188"/>
    <d v="2008-02-01T00:00:00"/>
    <x v="12"/>
    <n v="23"/>
    <x v="0"/>
    <x v="13"/>
    <n v="5"/>
    <x v="2"/>
    <s v="Ecuador"/>
    <x v="1"/>
    <x v="2"/>
    <x v="2"/>
    <x v="2"/>
    <n v="315000"/>
    <x v="0"/>
    <x v="6"/>
    <n v="700000"/>
    <m/>
    <n v="0"/>
    <m/>
    <x v="0"/>
    <m/>
    <n v="15220"/>
    <x v="9"/>
    <x v="0"/>
    <m/>
    <x v="0"/>
    <n v="245000"/>
    <n v="245000"/>
    <x v="0"/>
    <x v="0"/>
    <x v="0"/>
    <m/>
    <x v="0"/>
    <x v="0"/>
    <x v="0"/>
    <x v="0"/>
    <x v="0"/>
    <x v="0"/>
    <x v="0"/>
    <x v="0"/>
    <x v="0"/>
    <x v="0"/>
    <x v="0"/>
    <x v="0"/>
    <x v="0"/>
    <x v="0"/>
    <m/>
    <m/>
    <n v="245000"/>
    <x v="0"/>
    <x v="0"/>
    <m/>
    <n v="245000"/>
    <x v="88"/>
    <s v="Pacific Coast"/>
    <x v="205"/>
    <x v="0"/>
    <x v="0"/>
  </r>
  <r>
    <m/>
    <n v="193"/>
    <x v="105"/>
    <d v="2008-03-08T00:00:00"/>
    <x v="12"/>
    <n v="24"/>
    <x v="0"/>
    <x v="13"/>
    <n v="6"/>
    <x v="3"/>
    <s v="Iraq"/>
    <x v="2"/>
    <x v="8"/>
    <x v="7"/>
    <x v="7"/>
    <n v="4000000"/>
    <x v="1"/>
    <x v="1"/>
    <n v="18900000"/>
    <m/>
    <n v="1.4232804232804232E-2"/>
    <m/>
    <x v="0"/>
    <m/>
    <n v="900000"/>
    <x v="0"/>
    <x v="1"/>
    <n v="269000"/>
    <x v="0"/>
    <m/>
    <n v="269000"/>
    <x v="0"/>
    <x v="0"/>
    <x v="0"/>
    <m/>
    <x v="0"/>
    <x v="0"/>
    <x v="0"/>
    <x v="0"/>
    <x v="0"/>
    <x v="0"/>
    <x v="0"/>
    <x v="0"/>
    <x v="0"/>
    <x v="0"/>
    <x v="0"/>
    <x v="0"/>
    <x v="0"/>
    <x v="0"/>
    <m/>
    <m/>
    <n v="269000"/>
    <x v="0"/>
    <x v="0"/>
    <m/>
    <n v="269000"/>
    <x v="89"/>
    <s v="Country-wide"/>
    <x v="206"/>
    <x v="0"/>
    <x v="0"/>
  </r>
  <r>
    <s v="TC-2008-000023-MDG"/>
    <n v="194"/>
    <x v="189"/>
    <d v="2008-03-08T00:00:00"/>
    <x v="12"/>
    <n v="25"/>
    <x v="0"/>
    <x v="13"/>
    <n v="7"/>
    <x v="1"/>
    <s v="Madagascar"/>
    <x v="1"/>
    <x v="5"/>
    <x v="5"/>
    <x v="8"/>
    <n v="322000"/>
    <x v="1"/>
    <x v="1"/>
    <n v="1000000"/>
    <s v="MDRMG003"/>
    <n v="0"/>
    <m/>
    <x v="0"/>
    <m/>
    <n v="50000"/>
    <x v="0"/>
    <x v="0"/>
    <m/>
    <x v="0"/>
    <m/>
    <n v="0"/>
    <x v="0"/>
    <x v="0"/>
    <x v="0"/>
    <n v="10000"/>
    <x v="0"/>
    <x v="0"/>
    <x v="0"/>
    <x v="0"/>
    <x v="0"/>
    <x v="0"/>
    <x v="0"/>
    <x v="0"/>
    <x v="1"/>
    <x v="0"/>
    <x v="0"/>
    <x v="0"/>
    <x v="0"/>
    <x v="0"/>
    <n v="50000"/>
    <m/>
    <n v="50000"/>
    <x v="0"/>
    <x v="0"/>
    <m/>
    <n v="50000"/>
    <x v="65"/>
    <s v="Ivan"/>
    <x v="0"/>
    <x v="0"/>
    <x v="0"/>
  </r>
  <r>
    <s v="TC-2008-000033-MOZ"/>
    <n v="195"/>
    <x v="190"/>
    <d v="2008-03-08T00:00:00"/>
    <x v="12"/>
    <n v="26"/>
    <x v="0"/>
    <x v="13"/>
    <n v="8"/>
    <x v="1"/>
    <s v="Mozambique"/>
    <x v="1"/>
    <x v="2"/>
    <x v="2"/>
    <x v="2"/>
    <n v="400000"/>
    <x v="1"/>
    <x v="0"/>
    <n v="8400000"/>
    <m/>
    <n v="3.5714285714285712E-2"/>
    <m/>
    <x v="0"/>
    <m/>
    <n v="97550"/>
    <x v="10"/>
    <x v="1"/>
    <n v="300000"/>
    <x v="0"/>
    <m/>
    <n v="300000"/>
    <x v="0"/>
    <x v="0"/>
    <x v="0"/>
    <m/>
    <x v="0"/>
    <x v="0"/>
    <x v="0"/>
    <x v="0"/>
    <x v="0"/>
    <x v="0"/>
    <x v="0"/>
    <x v="0"/>
    <x v="0"/>
    <x v="0"/>
    <x v="0"/>
    <x v="0"/>
    <x v="0"/>
    <x v="0"/>
    <m/>
    <m/>
    <n v="300000"/>
    <x v="0"/>
    <x v="0"/>
    <m/>
    <n v="300000"/>
    <x v="90"/>
    <s v="Southern Africa"/>
    <x v="207"/>
    <x v="1"/>
    <x v="0"/>
  </r>
  <r>
    <s v="TC-2008-000033-MOZ"/>
    <n v="196"/>
    <x v="190"/>
    <d v="2008-03-08T00:00:00"/>
    <x v="12"/>
    <n v="27"/>
    <x v="0"/>
    <x v="13"/>
    <n v="9"/>
    <x v="1"/>
    <s v="Tanzania"/>
    <x v="1"/>
    <x v="2"/>
    <x v="2"/>
    <x v="2"/>
    <n v="2700"/>
    <x v="0"/>
    <x v="0"/>
    <s v="n/a"/>
    <m/>
    <m/>
    <m/>
    <x v="0"/>
    <m/>
    <n v="2700"/>
    <x v="0"/>
    <x v="0"/>
    <m/>
    <x v="0"/>
    <n v="48500"/>
    <n v="48500"/>
    <x v="0"/>
    <x v="0"/>
    <x v="0"/>
    <m/>
    <x v="0"/>
    <x v="0"/>
    <x v="0"/>
    <x v="0"/>
    <x v="0"/>
    <x v="0"/>
    <x v="0"/>
    <x v="0"/>
    <x v="0"/>
    <x v="0"/>
    <x v="0"/>
    <x v="0"/>
    <x v="0"/>
    <x v="0"/>
    <m/>
    <m/>
    <n v="48500"/>
    <x v="0"/>
    <x v="0"/>
    <m/>
    <n v="48500"/>
    <x v="91"/>
    <s v="Flood/Mine"/>
    <x v="208"/>
    <x v="0"/>
    <x v="0"/>
  </r>
  <r>
    <s v="TC-2008-000057-MMR"/>
    <n v="197"/>
    <x v="191"/>
    <d v="2008-05-08T00:00:00"/>
    <x v="12"/>
    <n v="28"/>
    <x v="0"/>
    <x v="13"/>
    <n v="10"/>
    <x v="3"/>
    <s v="Myanmar"/>
    <x v="1"/>
    <x v="5"/>
    <x v="5"/>
    <x v="8"/>
    <n v="2400000"/>
    <x v="1"/>
    <x v="1"/>
    <n v="72537164"/>
    <s v="MDRMM002"/>
    <n v="3.446509157705697E-3"/>
    <n v="0.9"/>
    <x v="0"/>
    <m/>
    <n v="500000"/>
    <x v="0"/>
    <x v="1"/>
    <n v="250000"/>
    <x v="0"/>
    <m/>
    <n v="250000"/>
    <x v="2"/>
    <x v="0"/>
    <x v="1"/>
    <n v="205000"/>
    <x v="0"/>
    <x v="0"/>
    <x v="12"/>
    <x v="0"/>
    <x v="0"/>
    <x v="0"/>
    <x v="4"/>
    <x v="0"/>
    <x v="2"/>
    <x v="0"/>
    <x v="12"/>
    <x v="0"/>
    <x v="0"/>
    <x v="0"/>
    <n v="900000"/>
    <m/>
    <n v="1150000"/>
    <x v="0"/>
    <x v="0"/>
    <m/>
    <n v="3400000"/>
    <x v="92"/>
    <s v="Nargis"/>
    <x v="209"/>
    <x v="0"/>
    <x v="1"/>
  </r>
  <r>
    <s v="EQ-2008-000062-CHN"/>
    <n v="198"/>
    <x v="192"/>
    <d v="2008-05-08T00:00:00"/>
    <x v="12"/>
    <n v="29"/>
    <x v="0"/>
    <x v="13"/>
    <n v="11"/>
    <x v="3"/>
    <s v="China"/>
    <x v="3"/>
    <x v="3"/>
    <x v="3"/>
    <x v="3"/>
    <n v="10000000"/>
    <x v="1"/>
    <x v="1"/>
    <n v="92700000"/>
    <s v="MDRCN003"/>
    <n v="0.10787486515641856"/>
    <n v="0.65"/>
    <x v="0"/>
    <m/>
    <n v="500000"/>
    <x v="0"/>
    <x v="1"/>
    <n v="10000000"/>
    <x v="0"/>
    <m/>
    <n v="10000000"/>
    <x v="5"/>
    <x v="0"/>
    <x v="0"/>
    <m/>
    <x v="0"/>
    <x v="0"/>
    <x v="0"/>
    <x v="0"/>
    <x v="0"/>
    <x v="0"/>
    <x v="0"/>
    <x v="0"/>
    <x v="0"/>
    <x v="0"/>
    <x v="0"/>
    <x v="0"/>
    <x v="0"/>
    <x v="0"/>
    <m/>
    <m/>
    <n v="10000000"/>
    <x v="0"/>
    <x v="0"/>
    <m/>
    <n v="55000000"/>
    <x v="2"/>
    <s v="Sichuan"/>
    <x v="210"/>
    <x v="0"/>
    <x v="1"/>
  </r>
  <r>
    <s v="DR-2008-000043-ETH"/>
    <n v="199"/>
    <x v="193"/>
    <d v="2008-06-08T00:00:00"/>
    <x v="12"/>
    <n v="32"/>
    <x v="0"/>
    <x v="13"/>
    <n v="14"/>
    <x v="1"/>
    <s v="Ethiopia"/>
    <x v="2"/>
    <x v="14"/>
    <x v="18"/>
    <x v="20"/>
    <n v="4500000"/>
    <x v="1"/>
    <x v="1"/>
    <n v="7920006"/>
    <s v="MDRET005"/>
    <n v="1.2626253060919398E-2"/>
    <m/>
    <x v="0"/>
    <m/>
    <n v="76075"/>
    <x v="0"/>
    <x v="1"/>
    <n v="100000"/>
    <x v="0"/>
    <m/>
    <n v="100000"/>
    <x v="0"/>
    <x v="0"/>
    <x v="0"/>
    <m/>
    <x v="0"/>
    <x v="0"/>
    <x v="0"/>
    <x v="0"/>
    <x v="0"/>
    <x v="0"/>
    <x v="0"/>
    <x v="0"/>
    <x v="0"/>
    <x v="0"/>
    <x v="0"/>
    <x v="0"/>
    <x v="0"/>
    <x v="0"/>
    <m/>
    <m/>
    <n v="100000"/>
    <x v="0"/>
    <x v="0"/>
    <m/>
    <n v="100000"/>
    <x v="61"/>
    <m/>
    <x v="211"/>
    <x v="0"/>
    <x v="0"/>
  </r>
  <r>
    <m/>
    <n v="200"/>
    <x v="194"/>
    <d v="2008-06-08T00:00:00"/>
    <x v="12"/>
    <n v="30"/>
    <x v="0"/>
    <x v="13"/>
    <n v="12"/>
    <x v="1"/>
    <s v="South Africa"/>
    <x v="2"/>
    <x v="19"/>
    <x v="27"/>
    <x v="28"/>
    <n v="50000"/>
    <x v="0"/>
    <x v="0"/>
    <s v="n/a"/>
    <m/>
    <m/>
    <m/>
    <x v="0"/>
    <m/>
    <n v="30000"/>
    <x v="8"/>
    <x v="0"/>
    <m/>
    <x v="0"/>
    <m/>
    <n v="0"/>
    <x v="2"/>
    <x v="0"/>
    <x v="0"/>
    <m/>
    <x v="0"/>
    <x v="0"/>
    <x v="0"/>
    <x v="0"/>
    <x v="0"/>
    <x v="0"/>
    <x v="0"/>
    <x v="0"/>
    <x v="0"/>
    <x v="0"/>
    <x v="0"/>
    <x v="0"/>
    <x v="0"/>
    <x v="0"/>
    <m/>
    <n v="10000"/>
    <n v="10000"/>
    <x v="0"/>
    <x v="0"/>
    <m/>
    <n v="10000"/>
    <x v="65"/>
    <s v="Urban Violence"/>
    <x v="212"/>
    <x v="0"/>
    <x v="0"/>
  </r>
  <r>
    <s v="FL-2008-000069-CHL"/>
    <n v="201"/>
    <x v="195"/>
    <d v="2008-06-08T00:00:00"/>
    <x v="12"/>
    <n v="31"/>
    <x v="0"/>
    <x v="13"/>
    <n v="13"/>
    <x v="2"/>
    <s v="Chile"/>
    <x v="1"/>
    <x v="2"/>
    <x v="2"/>
    <x v="2"/>
    <n v="50000"/>
    <x v="0"/>
    <x v="0"/>
    <s v="n/a"/>
    <m/>
    <m/>
    <m/>
    <x v="0"/>
    <m/>
    <n v="4000"/>
    <x v="11"/>
    <x v="2"/>
    <n v="2000"/>
    <x v="0"/>
    <m/>
    <n v="2000"/>
    <x v="2"/>
    <x v="0"/>
    <x v="0"/>
    <m/>
    <x v="0"/>
    <x v="0"/>
    <x v="0"/>
    <x v="0"/>
    <x v="0"/>
    <x v="0"/>
    <x v="0"/>
    <x v="0"/>
    <x v="0"/>
    <x v="0"/>
    <x v="0"/>
    <x v="0"/>
    <x v="0"/>
    <x v="0"/>
    <m/>
    <m/>
    <n v="2000"/>
    <x v="0"/>
    <x v="0"/>
    <m/>
    <n v="2000"/>
    <x v="65"/>
    <m/>
    <x v="213"/>
    <x v="0"/>
    <x v="0"/>
  </r>
  <r>
    <s v="TC-2008-000093-PHL"/>
    <n v="202"/>
    <x v="196"/>
    <d v="2008-06-08T00:00:00"/>
    <x v="12"/>
    <n v="33"/>
    <x v="0"/>
    <x v="13"/>
    <n v="15"/>
    <x v="3"/>
    <s v="Philippines"/>
    <x v="1"/>
    <x v="5"/>
    <x v="5"/>
    <x v="22"/>
    <n v="4800000"/>
    <x v="1"/>
    <x v="1"/>
    <n v="8000000"/>
    <s v="MDRPH004"/>
    <n v="2.3125E-2"/>
    <n v="1"/>
    <x v="0"/>
    <m/>
    <n v="30000"/>
    <x v="0"/>
    <x v="1"/>
    <n v="185000"/>
    <x v="0"/>
    <m/>
    <n v="185000"/>
    <x v="2"/>
    <x v="0"/>
    <x v="0"/>
    <m/>
    <x v="0"/>
    <x v="0"/>
    <x v="0"/>
    <x v="0"/>
    <x v="0"/>
    <x v="0"/>
    <x v="0"/>
    <x v="0"/>
    <x v="0"/>
    <x v="0"/>
    <x v="0"/>
    <x v="0"/>
    <x v="0"/>
    <x v="0"/>
    <m/>
    <m/>
    <n v="185000"/>
    <x v="0"/>
    <x v="0"/>
    <m/>
    <n v="185000"/>
    <x v="93"/>
    <s v="Fengshen"/>
    <x v="214"/>
    <x v="1"/>
    <x v="0"/>
  </r>
  <r>
    <m/>
    <n v="203"/>
    <x v="197"/>
    <d v="2008-07-08T00:00:00"/>
    <x v="13"/>
    <n v="1"/>
    <x v="0"/>
    <x v="13"/>
    <n v="16"/>
    <x v="3"/>
    <s v="Yemen"/>
    <x v="2"/>
    <x v="8"/>
    <x v="7"/>
    <x v="7"/>
    <n v="77000"/>
    <x v="1"/>
    <x v="3"/>
    <n v="13707000"/>
    <m/>
    <n v="3.6477712117895965E-3"/>
    <m/>
    <x v="0"/>
    <m/>
    <n v="80500"/>
    <x v="0"/>
    <x v="1"/>
    <m/>
    <x v="7"/>
    <m/>
    <n v="50000"/>
    <x v="0"/>
    <x v="0"/>
    <x v="0"/>
    <s v="-"/>
    <x v="0"/>
    <x v="0"/>
    <x v="0"/>
    <x v="0"/>
    <x v="0"/>
    <x v="0"/>
    <x v="0"/>
    <x v="0"/>
    <x v="0"/>
    <x v="0"/>
    <x v="0"/>
    <x v="0"/>
    <x v="0"/>
    <x v="0"/>
    <m/>
    <m/>
    <n v="50000"/>
    <x v="0"/>
    <x v="0"/>
    <m/>
    <n v="50000"/>
    <x v="65"/>
    <s v="Believing Youth"/>
    <x v="215"/>
    <x v="0"/>
    <x v="0"/>
  </r>
  <r>
    <s v="FL-2008-000095-SUR"/>
    <n v="204"/>
    <x v="198"/>
    <d v="2008-07-01T00:00:00"/>
    <x v="13"/>
    <n v="2"/>
    <x v="0"/>
    <x v="13"/>
    <n v="17"/>
    <x v="2"/>
    <s v="Suriname"/>
    <x v="1"/>
    <x v="2"/>
    <x v="2"/>
    <x v="2"/>
    <n v="49090"/>
    <x v="1"/>
    <x v="1"/>
    <n v="861000"/>
    <s v="MDRSR002"/>
    <m/>
    <m/>
    <x v="0"/>
    <m/>
    <n v="3000"/>
    <x v="0"/>
    <x v="0"/>
    <m/>
    <x v="0"/>
    <m/>
    <s v="-"/>
    <x v="4"/>
    <x v="2"/>
    <x v="2"/>
    <s v="-"/>
    <x v="0"/>
    <x v="0"/>
    <x v="0"/>
    <x v="0"/>
    <x v="0"/>
    <x v="0"/>
    <x v="0"/>
    <x v="0"/>
    <x v="0"/>
    <x v="0"/>
    <x v="0"/>
    <x v="0"/>
    <x v="0"/>
    <x v="0"/>
    <s v="-"/>
    <s v="-"/>
    <n v="0"/>
    <x v="0"/>
    <x v="0"/>
    <m/>
    <n v="0"/>
    <x v="65"/>
    <m/>
    <x v="216"/>
    <x v="0"/>
    <x v="0"/>
  </r>
  <r>
    <s v="FL-2008-000122-UKR/MDA"/>
    <n v="205"/>
    <x v="199"/>
    <d v="2008-08-01T00:00:00"/>
    <x v="13"/>
    <n v="3"/>
    <x v="0"/>
    <x v="13"/>
    <n v="18"/>
    <x v="3"/>
    <s v="Ukraine"/>
    <x v="1"/>
    <x v="2"/>
    <x v="2"/>
    <x v="2"/>
    <n v="30000"/>
    <x v="1"/>
    <x v="1"/>
    <n v="1193000"/>
    <s v="MDR67003"/>
    <n v="3.7091366303436714E-2"/>
    <n v="0.54"/>
    <x v="0"/>
    <m/>
    <n v="60000"/>
    <x v="0"/>
    <x v="1"/>
    <n v="44250"/>
    <x v="0"/>
    <m/>
    <n v="44250"/>
    <x v="0"/>
    <x v="0"/>
    <x v="0"/>
    <s v="-"/>
    <x v="0"/>
    <x v="0"/>
    <x v="0"/>
    <x v="0"/>
    <x v="0"/>
    <x v="0"/>
    <x v="0"/>
    <x v="0"/>
    <x v="0"/>
    <x v="0"/>
    <x v="0"/>
    <x v="0"/>
    <x v="0"/>
    <x v="0"/>
    <m/>
    <m/>
    <n v="44250"/>
    <x v="0"/>
    <x v="0"/>
    <m/>
    <n v="44250"/>
    <x v="94"/>
    <m/>
    <x v="217"/>
    <x v="0"/>
    <x v="0"/>
  </r>
  <r>
    <m/>
    <n v="206"/>
    <x v="200"/>
    <d v="2008-08-01T00:00:00"/>
    <x v="13"/>
    <n v="4"/>
    <x v="0"/>
    <x v="13"/>
    <n v="19"/>
    <x v="3"/>
    <s v="Georgia"/>
    <x v="2"/>
    <x v="8"/>
    <x v="7"/>
    <x v="7"/>
    <n v="72000"/>
    <x v="1"/>
    <x v="3"/>
    <n v="7395000"/>
    <s v="REX08/555"/>
    <m/>
    <m/>
    <x v="0"/>
    <m/>
    <n v="50000"/>
    <x v="0"/>
    <x v="1"/>
    <m/>
    <x v="2"/>
    <m/>
    <n v="100000"/>
    <x v="0"/>
    <x v="0"/>
    <x v="0"/>
    <s v="-"/>
    <x v="0"/>
    <x v="0"/>
    <x v="0"/>
    <x v="0"/>
    <x v="0"/>
    <x v="0"/>
    <x v="0"/>
    <x v="0"/>
    <x v="0"/>
    <x v="0"/>
    <x v="0"/>
    <x v="0"/>
    <x v="0"/>
    <x v="0"/>
    <m/>
    <m/>
    <n v="100000"/>
    <x v="0"/>
    <x v="0"/>
    <m/>
    <n v="100000"/>
    <x v="65"/>
    <s v="S. Ossetia"/>
    <x v="218"/>
    <x v="0"/>
    <x v="0"/>
  </r>
  <r>
    <s v="FL-2008-000104-NPL"/>
    <n v="207"/>
    <x v="174"/>
    <d v="2008-09-08T00:00:00"/>
    <x v="13"/>
    <n v="5"/>
    <x v="0"/>
    <x v="13"/>
    <n v="20"/>
    <x v="3"/>
    <s v="Nepal"/>
    <x v="1"/>
    <x v="2"/>
    <x v="2"/>
    <x v="2"/>
    <n v="70000"/>
    <x v="1"/>
    <x v="1"/>
    <n v="2647699"/>
    <s v="MDRNP002"/>
    <n v="1.8884321820569483E-2"/>
    <n v="0.72"/>
    <x v="0"/>
    <m/>
    <n v="150000"/>
    <x v="0"/>
    <x v="1"/>
    <n v="50000"/>
    <x v="0"/>
    <m/>
    <n v="50000"/>
    <x v="0"/>
    <x v="0"/>
    <x v="0"/>
    <s v="-"/>
    <x v="0"/>
    <x v="0"/>
    <x v="0"/>
    <x v="0"/>
    <x v="0"/>
    <x v="0"/>
    <x v="0"/>
    <x v="0"/>
    <x v="0"/>
    <x v="0"/>
    <x v="0"/>
    <x v="0"/>
    <x v="0"/>
    <x v="0"/>
    <m/>
    <m/>
    <n v="50000"/>
    <x v="0"/>
    <x v="0"/>
    <m/>
    <n v="50000"/>
    <x v="65"/>
    <s v="Koshi River Embankment Breach"/>
    <x v="219"/>
    <x v="0"/>
    <x v="0"/>
  </r>
  <r>
    <s v="TC-2008-000147-HTI"/>
    <n v="208"/>
    <x v="201"/>
    <d v="2008-09-08T00:00:00"/>
    <x v="13"/>
    <n v="6"/>
    <x v="0"/>
    <x v="13"/>
    <n v="21"/>
    <x v="2"/>
    <s v="Haiti"/>
    <x v="1"/>
    <x v="5"/>
    <x v="5"/>
    <x v="5"/>
    <n v="800000"/>
    <x v="1"/>
    <x v="1"/>
    <n v="7600000"/>
    <s v="MDRHT005"/>
    <n v="3.7326578947368419E-2"/>
    <n v="1.04"/>
    <x v="0"/>
    <m/>
    <n v="50000"/>
    <x v="0"/>
    <x v="1"/>
    <n v="283682"/>
    <x v="0"/>
    <m/>
    <n v="283682"/>
    <x v="10"/>
    <x v="1"/>
    <x v="3"/>
    <n v="19100"/>
    <x v="0"/>
    <x v="12"/>
    <x v="0"/>
    <x v="0"/>
    <x v="2"/>
    <x v="0"/>
    <x v="5"/>
    <x v="0"/>
    <x v="4"/>
    <x v="0"/>
    <x v="13"/>
    <x v="0"/>
    <x v="0"/>
    <x v="0"/>
    <n v="340000"/>
    <m/>
    <n v="1532876"/>
    <x v="0"/>
    <x v="0"/>
    <m/>
    <n v="1532876"/>
    <x v="95"/>
    <s v="Gustav, Hanna, Ike"/>
    <x v="220"/>
    <x v="2"/>
    <x v="1"/>
  </r>
  <r>
    <s v="TC-2008-000143"/>
    <n v="209"/>
    <x v="202"/>
    <d v="2008-09-08T00:00:00"/>
    <x v="13"/>
    <n v="7"/>
    <x v="0"/>
    <x v="13"/>
    <n v="22"/>
    <x v="2"/>
    <s v="Bahamas"/>
    <x v="1"/>
    <x v="5"/>
    <x v="5"/>
    <x v="5"/>
    <n v="9750"/>
    <x v="1"/>
    <x v="1"/>
    <n v="1638300"/>
    <s v="MDR49003"/>
    <n v="7.3883904046877863E-2"/>
    <n v="0.77"/>
    <x v="0"/>
    <m/>
    <n v="20000"/>
    <x v="0"/>
    <x v="1"/>
    <n v="121044"/>
    <x v="0"/>
    <m/>
    <n v="121044"/>
    <x v="2"/>
    <x v="0"/>
    <x v="1"/>
    <s v="-"/>
    <x v="0"/>
    <x v="0"/>
    <x v="0"/>
    <x v="0"/>
    <x v="0"/>
    <x v="0"/>
    <x v="0"/>
    <x v="0"/>
    <x v="0"/>
    <x v="0"/>
    <x v="0"/>
    <x v="0"/>
    <x v="0"/>
    <x v="0"/>
    <m/>
    <m/>
    <n v="121044"/>
    <x v="0"/>
    <x v="0"/>
    <m/>
    <n v="121044"/>
    <x v="65"/>
    <s v="Bahamas, Jamaica"/>
    <x v="221"/>
    <x v="0"/>
    <x v="1"/>
  </r>
  <r>
    <s v="TC-2008-000143"/>
    <n v="209"/>
    <x v="203"/>
    <d v="2008-09-08T00:00:00"/>
    <x v="13"/>
    <n v="7"/>
    <x v="0"/>
    <x v="13"/>
    <n v="22"/>
    <x v="2"/>
    <s v="Jamaica"/>
    <x v="1"/>
    <x v="5"/>
    <x v="5"/>
    <x v="5"/>
    <n v="4000"/>
    <x v="0"/>
    <x v="0"/>
    <s v="-"/>
    <s v="MDR49003"/>
    <m/>
    <m/>
    <x v="0"/>
    <m/>
    <s v="-"/>
    <x v="12"/>
    <x v="0"/>
    <m/>
    <x v="0"/>
    <m/>
    <m/>
    <x v="0"/>
    <x v="0"/>
    <x v="0"/>
    <s v="-"/>
    <x v="0"/>
    <x v="0"/>
    <x v="0"/>
    <x v="0"/>
    <x v="0"/>
    <x v="0"/>
    <x v="0"/>
    <x v="0"/>
    <x v="0"/>
    <x v="0"/>
    <x v="0"/>
    <x v="0"/>
    <x v="0"/>
    <x v="0"/>
    <m/>
    <m/>
    <s v="-"/>
    <x v="0"/>
    <x v="0"/>
    <m/>
    <s v="-"/>
    <x v="0"/>
    <s v="Bahamas, Jamaica"/>
    <x v="222"/>
    <x v="0"/>
    <x v="1"/>
  </r>
  <r>
    <s v="TC-2008-000143"/>
    <n v="210"/>
    <x v="204"/>
    <d v="2008-09-08T00:00:00"/>
    <x v="13"/>
    <n v="8"/>
    <x v="0"/>
    <x v="13"/>
    <n v="23"/>
    <x v="2"/>
    <s v="Cuba"/>
    <x v="1"/>
    <x v="5"/>
    <x v="5"/>
    <x v="5"/>
    <n v="2900000"/>
    <x v="1"/>
    <x v="1"/>
    <n v="8811345"/>
    <s v="MDRCU001"/>
    <n v="0.12823728953979216"/>
    <n v="0.66"/>
    <x v="0"/>
    <m/>
    <n v="60000"/>
    <x v="13"/>
    <x v="1"/>
    <n v="1129943"/>
    <x v="0"/>
    <m/>
    <n v="1129943"/>
    <x v="0"/>
    <x v="0"/>
    <x v="0"/>
    <s v="-"/>
    <x v="0"/>
    <x v="0"/>
    <x v="0"/>
    <x v="0"/>
    <x v="0"/>
    <x v="0"/>
    <x v="0"/>
    <x v="0"/>
    <x v="0"/>
    <x v="0"/>
    <x v="0"/>
    <x v="0"/>
    <x v="0"/>
    <x v="0"/>
    <m/>
    <m/>
    <n v="1129943"/>
    <x v="0"/>
    <x v="0"/>
    <m/>
    <n v="1129943"/>
    <x v="27"/>
    <s v="Gustav, Ike"/>
    <x v="223"/>
    <x v="0"/>
    <x v="1"/>
  </r>
  <r>
    <s v="FL-2008-000198"/>
    <n v="211"/>
    <x v="205"/>
    <d v="2008-10-01T00:00:00"/>
    <x v="13"/>
    <n v="9"/>
    <x v="0"/>
    <x v="13"/>
    <n v="24"/>
    <x v="2"/>
    <s v="Nicaragua"/>
    <x v="1"/>
    <x v="2"/>
    <x v="8"/>
    <x v="9"/>
    <s v="-"/>
    <x v="0"/>
    <x v="0"/>
    <s v="-"/>
    <m/>
    <m/>
    <m/>
    <x v="0"/>
    <m/>
    <s v="-"/>
    <x v="12"/>
    <x v="0"/>
    <m/>
    <x v="0"/>
    <m/>
    <m/>
    <x v="0"/>
    <x v="0"/>
    <x v="0"/>
    <s v="-"/>
    <x v="0"/>
    <x v="0"/>
    <x v="0"/>
    <x v="0"/>
    <x v="0"/>
    <x v="0"/>
    <x v="0"/>
    <x v="0"/>
    <x v="0"/>
    <x v="0"/>
    <x v="0"/>
    <x v="0"/>
    <x v="0"/>
    <x v="0"/>
    <m/>
    <m/>
    <s v="-"/>
    <x v="0"/>
    <x v="0"/>
    <m/>
    <s v="-"/>
    <x v="0"/>
    <m/>
    <x v="0"/>
    <x v="0"/>
    <x v="1"/>
  </r>
  <r>
    <s v="FL-2008-000198"/>
    <n v="211"/>
    <x v="205"/>
    <d v="2008-10-01T00:00:00"/>
    <x v="13"/>
    <n v="9"/>
    <x v="0"/>
    <x v="13"/>
    <n v="24"/>
    <x v="2"/>
    <s v="Honduras"/>
    <x v="1"/>
    <x v="2"/>
    <x v="8"/>
    <x v="9"/>
    <s v="-"/>
    <x v="0"/>
    <x v="0"/>
    <s v="-"/>
    <m/>
    <m/>
    <m/>
    <x v="0"/>
    <m/>
    <s v="-"/>
    <x v="12"/>
    <x v="2"/>
    <n v="25000"/>
    <x v="0"/>
    <m/>
    <m/>
    <x v="0"/>
    <x v="0"/>
    <x v="0"/>
    <s v="-"/>
    <x v="0"/>
    <x v="0"/>
    <x v="0"/>
    <x v="0"/>
    <x v="0"/>
    <x v="0"/>
    <x v="0"/>
    <x v="0"/>
    <x v="0"/>
    <x v="0"/>
    <x v="0"/>
    <x v="0"/>
    <x v="0"/>
    <x v="0"/>
    <m/>
    <m/>
    <s v="-"/>
    <x v="0"/>
    <x v="0"/>
    <m/>
    <s v="-"/>
    <x v="96"/>
    <m/>
    <x v="224"/>
    <x v="0"/>
    <x v="1"/>
  </r>
  <r>
    <s v="FL-2008-000198"/>
    <n v="211"/>
    <x v="205"/>
    <d v="2008-10-01T00:00:00"/>
    <x v="13"/>
    <n v="9"/>
    <x v="0"/>
    <x v="13"/>
    <n v="24"/>
    <x v="2"/>
    <s v="[rollup]"/>
    <x v="1"/>
    <x v="2"/>
    <x v="8"/>
    <x v="9"/>
    <n v="328000"/>
    <x v="1"/>
    <x v="1"/>
    <n v="1388924"/>
    <s v="MDR43004"/>
    <n v="0.17760727008821217"/>
    <n v="0.67"/>
    <x v="0"/>
    <m/>
    <n v="32000"/>
    <x v="0"/>
    <x v="1"/>
    <n v="246683"/>
    <x v="0"/>
    <m/>
    <n v="246683"/>
    <x v="0"/>
    <x v="0"/>
    <x v="0"/>
    <s v="-"/>
    <x v="0"/>
    <x v="0"/>
    <x v="0"/>
    <x v="0"/>
    <x v="0"/>
    <x v="0"/>
    <x v="0"/>
    <x v="0"/>
    <x v="0"/>
    <x v="0"/>
    <x v="0"/>
    <x v="0"/>
    <x v="0"/>
    <x v="0"/>
    <m/>
    <m/>
    <n v="246683"/>
    <x v="0"/>
    <x v="0"/>
    <m/>
    <n v="246683"/>
    <x v="97"/>
    <m/>
    <x v="225"/>
    <x v="3"/>
    <x v="1"/>
  </r>
  <r>
    <s v="FL-2008-000198"/>
    <n v="211"/>
    <x v="205"/>
    <d v="2008-10-01T00:00:00"/>
    <x v="13"/>
    <n v="9"/>
    <x v="0"/>
    <x v="13"/>
    <n v="24"/>
    <x v="2"/>
    <s v="Guatemala"/>
    <x v="1"/>
    <x v="2"/>
    <x v="8"/>
    <x v="9"/>
    <m/>
    <x v="0"/>
    <x v="0"/>
    <m/>
    <m/>
    <m/>
    <m/>
    <x v="0"/>
    <m/>
    <m/>
    <x v="0"/>
    <x v="0"/>
    <m/>
    <x v="0"/>
    <m/>
    <m/>
    <x v="0"/>
    <x v="0"/>
    <x v="0"/>
    <s v="-"/>
    <x v="0"/>
    <x v="0"/>
    <x v="0"/>
    <x v="0"/>
    <x v="0"/>
    <x v="0"/>
    <x v="0"/>
    <x v="0"/>
    <x v="0"/>
    <x v="0"/>
    <x v="0"/>
    <x v="0"/>
    <x v="0"/>
    <x v="0"/>
    <m/>
    <m/>
    <m/>
    <x v="0"/>
    <x v="0"/>
    <m/>
    <n v="0"/>
    <x v="0"/>
    <m/>
    <x v="0"/>
    <x v="0"/>
    <x v="1"/>
  </r>
  <r>
    <s v="EQ-2008-000206-PAK"/>
    <n v="212"/>
    <x v="206"/>
    <d v="2008-11-08T00:00:00"/>
    <x v="13"/>
    <n v="10"/>
    <x v="0"/>
    <x v="13"/>
    <n v="25"/>
    <x v="3"/>
    <s v="Pakistan"/>
    <x v="3"/>
    <x v="3"/>
    <x v="3"/>
    <x v="3"/>
    <n v="366000"/>
    <x v="1"/>
    <x v="7"/>
    <n v="9880000"/>
    <s v="REX08/722 &amp; MDRPK002"/>
    <m/>
    <m/>
    <x v="0"/>
    <m/>
    <n v="37930"/>
    <x v="0"/>
    <x v="0"/>
    <m/>
    <x v="0"/>
    <n v="100000"/>
    <n v="100000"/>
    <x v="0"/>
    <x v="0"/>
    <x v="0"/>
    <s v="-"/>
    <x v="0"/>
    <x v="0"/>
    <x v="0"/>
    <x v="0"/>
    <x v="0"/>
    <x v="0"/>
    <x v="0"/>
    <x v="0"/>
    <x v="0"/>
    <x v="0"/>
    <x v="0"/>
    <x v="0"/>
    <x v="0"/>
    <x v="0"/>
    <m/>
    <m/>
    <n v="100000"/>
    <x v="0"/>
    <x v="0"/>
    <n v="37930"/>
    <n v="100000"/>
    <x v="65"/>
    <s v="Baluchistan"/>
    <x v="226"/>
    <x v="0"/>
    <x v="0"/>
  </r>
  <r>
    <s v="FF-2008-000211-VNM"/>
    <n v="213"/>
    <x v="21"/>
    <d v="2008-11-08T00:00:00"/>
    <x v="13"/>
    <n v="11"/>
    <x v="0"/>
    <x v="13"/>
    <n v="26"/>
    <x v="3"/>
    <s v="Vietnam"/>
    <x v="1"/>
    <x v="2"/>
    <x v="2"/>
    <x v="2"/>
    <n v="600000"/>
    <x v="1"/>
    <x v="1"/>
    <n v="4000000"/>
    <s v="MDRVN005"/>
    <n v="1.2500000000000001E-2"/>
    <n v="0.47"/>
    <x v="0"/>
    <m/>
    <n v="300000"/>
    <x v="0"/>
    <x v="1"/>
    <n v="50000"/>
    <x v="0"/>
    <m/>
    <n v="50000"/>
    <x v="0"/>
    <x v="0"/>
    <x v="0"/>
    <s v="-"/>
    <x v="0"/>
    <x v="0"/>
    <x v="0"/>
    <x v="0"/>
    <x v="0"/>
    <x v="0"/>
    <x v="0"/>
    <x v="0"/>
    <x v="0"/>
    <x v="0"/>
    <x v="0"/>
    <x v="0"/>
    <x v="0"/>
    <x v="0"/>
    <m/>
    <m/>
    <n v="50000"/>
    <x v="0"/>
    <x v="0"/>
    <m/>
    <n v="50000"/>
    <x v="65"/>
    <s v="North and Central Regions"/>
    <x v="227"/>
    <x v="0"/>
    <x v="0"/>
  </r>
  <r>
    <s v="FL-2008-000232-CRI"/>
    <n v="214"/>
    <x v="207"/>
    <d v="2008-12-09T00:00:00"/>
    <x v="13"/>
    <n v="12"/>
    <x v="0"/>
    <x v="13"/>
    <n v="27"/>
    <x v="2"/>
    <s v="Costa Rica"/>
    <x v="1"/>
    <x v="2"/>
    <x v="2"/>
    <x v="0"/>
    <s v="-"/>
    <x v="0"/>
    <x v="0"/>
    <s v="-"/>
    <m/>
    <m/>
    <m/>
    <x v="0"/>
    <m/>
    <s v="-"/>
    <x v="12"/>
    <x v="0"/>
    <m/>
    <x v="0"/>
    <m/>
    <m/>
    <x v="0"/>
    <x v="0"/>
    <x v="0"/>
    <s v="-"/>
    <x v="0"/>
    <x v="0"/>
    <x v="0"/>
    <x v="0"/>
    <x v="0"/>
    <x v="0"/>
    <x v="0"/>
    <x v="0"/>
    <x v="0"/>
    <x v="0"/>
    <x v="0"/>
    <x v="0"/>
    <x v="0"/>
    <x v="0"/>
    <m/>
    <m/>
    <s v="-"/>
    <x v="0"/>
    <x v="0"/>
    <m/>
    <s v="-"/>
    <x v="0"/>
    <m/>
    <x v="0"/>
    <x v="0"/>
    <x v="0"/>
  </r>
  <r>
    <s v="FL-2008-000158-PAN"/>
    <n v="214"/>
    <x v="207"/>
    <d v="2008-12-08T00:00:00"/>
    <x v="13"/>
    <n v="12"/>
    <x v="0"/>
    <x v="13"/>
    <n v="27"/>
    <x v="2"/>
    <s v="Panama"/>
    <x v="1"/>
    <x v="2"/>
    <x v="2"/>
    <x v="0"/>
    <n v="40158"/>
    <x v="1"/>
    <x v="1"/>
    <n v="571953"/>
    <s v="MDR43005"/>
    <n v="0.17483954101123694"/>
    <n v="0.39"/>
    <x v="0"/>
    <m/>
    <n v="15000"/>
    <x v="0"/>
    <x v="1"/>
    <n v="100000"/>
    <x v="0"/>
    <m/>
    <n v="100000"/>
    <x v="0"/>
    <x v="0"/>
    <x v="0"/>
    <s v="-"/>
    <x v="0"/>
    <x v="0"/>
    <x v="0"/>
    <x v="0"/>
    <x v="0"/>
    <x v="0"/>
    <x v="0"/>
    <x v="0"/>
    <x v="0"/>
    <x v="0"/>
    <x v="0"/>
    <x v="0"/>
    <x v="0"/>
    <x v="0"/>
    <m/>
    <m/>
    <n v="100000"/>
    <x v="0"/>
    <x v="0"/>
    <m/>
    <n v="100000"/>
    <x v="65"/>
    <m/>
    <x v="228"/>
    <x v="0"/>
    <x v="0"/>
  </r>
  <r>
    <m/>
    <n v="215"/>
    <x v="208"/>
    <d v="2008-12-11T00:00:00"/>
    <x v="13"/>
    <n v="13"/>
    <x v="0"/>
    <x v="13"/>
    <n v="28"/>
    <x v="1"/>
    <s v="Ethiopia"/>
    <x v="2"/>
    <x v="14"/>
    <x v="18"/>
    <x v="0"/>
    <s v="-"/>
    <x v="0"/>
    <x v="0"/>
    <s v="-"/>
    <m/>
    <m/>
    <m/>
    <x v="0"/>
    <m/>
    <s v="-"/>
    <x v="12"/>
    <x v="0"/>
    <m/>
    <x v="0"/>
    <m/>
    <m/>
    <x v="0"/>
    <x v="0"/>
    <x v="0"/>
    <s v="-"/>
    <x v="0"/>
    <x v="0"/>
    <x v="0"/>
    <x v="0"/>
    <x v="0"/>
    <x v="0"/>
    <x v="0"/>
    <x v="0"/>
    <x v="0"/>
    <x v="0"/>
    <x v="0"/>
    <x v="0"/>
    <x v="0"/>
    <x v="0"/>
    <m/>
    <m/>
    <s v="-"/>
    <x v="0"/>
    <x v="0"/>
    <m/>
    <s v="-"/>
    <x v="0"/>
    <m/>
    <x v="0"/>
    <x v="0"/>
    <x v="0"/>
  </r>
  <r>
    <m/>
    <n v="215"/>
    <x v="208"/>
    <d v="2008-12-12T00:00:00"/>
    <x v="13"/>
    <n v="13"/>
    <x v="0"/>
    <x v="13"/>
    <n v="28"/>
    <x v="1"/>
    <s v="Kenya"/>
    <x v="2"/>
    <x v="14"/>
    <x v="18"/>
    <x v="0"/>
    <s v="-"/>
    <x v="0"/>
    <x v="0"/>
    <s v="-"/>
    <m/>
    <m/>
    <m/>
    <x v="0"/>
    <m/>
    <s v="-"/>
    <x v="12"/>
    <x v="0"/>
    <m/>
    <x v="0"/>
    <m/>
    <m/>
    <x v="0"/>
    <x v="0"/>
    <x v="0"/>
    <s v="-"/>
    <x v="0"/>
    <x v="0"/>
    <x v="0"/>
    <x v="0"/>
    <x v="0"/>
    <x v="0"/>
    <x v="0"/>
    <x v="0"/>
    <x v="0"/>
    <x v="0"/>
    <x v="0"/>
    <x v="0"/>
    <x v="0"/>
    <x v="0"/>
    <m/>
    <m/>
    <s v="-"/>
    <x v="0"/>
    <x v="0"/>
    <m/>
    <s v="-"/>
    <x v="0"/>
    <m/>
    <x v="0"/>
    <x v="0"/>
    <x v="0"/>
  </r>
  <r>
    <m/>
    <n v="215"/>
    <x v="208"/>
    <d v="2008-12-13T00:00:00"/>
    <x v="13"/>
    <n v="13"/>
    <x v="0"/>
    <x v="13"/>
    <n v="28"/>
    <x v="1"/>
    <s v="Somalia"/>
    <x v="2"/>
    <x v="14"/>
    <x v="18"/>
    <x v="0"/>
    <s v="-"/>
    <x v="0"/>
    <x v="0"/>
    <s v="-"/>
    <m/>
    <m/>
    <m/>
    <x v="0"/>
    <m/>
    <s v="-"/>
    <x v="12"/>
    <x v="0"/>
    <m/>
    <x v="0"/>
    <m/>
    <m/>
    <x v="0"/>
    <x v="0"/>
    <x v="0"/>
    <s v="-"/>
    <x v="0"/>
    <x v="0"/>
    <x v="0"/>
    <x v="0"/>
    <x v="0"/>
    <x v="0"/>
    <x v="0"/>
    <x v="0"/>
    <x v="0"/>
    <x v="0"/>
    <x v="0"/>
    <x v="0"/>
    <x v="0"/>
    <x v="0"/>
    <m/>
    <m/>
    <s v="-"/>
    <x v="0"/>
    <x v="0"/>
    <m/>
    <s v="-"/>
    <x v="0"/>
    <m/>
    <x v="0"/>
    <x v="0"/>
    <x v="0"/>
  </r>
  <r>
    <s v="OT-2008-000196-DJI/ERI/ETH/KEN/SOM"/>
    <n v="215"/>
    <x v="208"/>
    <d v="2008-12-10T00:00:00"/>
    <x v="13"/>
    <n v="13"/>
    <x v="0"/>
    <x v="13"/>
    <n v="28"/>
    <x v="1"/>
    <s v="Djibouti"/>
    <x v="2"/>
    <x v="14"/>
    <x v="18"/>
    <x v="0"/>
    <n v="16800000"/>
    <x v="1"/>
    <x v="1"/>
    <n v="66586679"/>
    <s v="MDR64003"/>
    <n v="0"/>
    <n v="0.09"/>
    <x v="1"/>
    <n v="118830"/>
    <n v="2488500"/>
    <x v="0"/>
    <x v="0"/>
    <m/>
    <x v="0"/>
    <n v="500000"/>
    <m/>
    <x v="2"/>
    <x v="0"/>
    <x v="1"/>
    <s v="-"/>
    <x v="0"/>
    <x v="0"/>
    <x v="0"/>
    <x v="0"/>
    <x v="0"/>
    <x v="0"/>
    <x v="0"/>
    <x v="0"/>
    <x v="0"/>
    <x v="0"/>
    <x v="0"/>
    <x v="0"/>
    <x v="0"/>
    <x v="0"/>
    <m/>
    <m/>
    <n v="0"/>
    <x v="0"/>
    <x v="0"/>
    <m/>
    <n v="0"/>
    <x v="65"/>
    <m/>
    <x v="229"/>
    <x v="0"/>
    <x v="0"/>
  </r>
  <r>
    <m/>
    <n v="216"/>
    <x v="209"/>
    <d v="2008-12-14T00:00:00"/>
    <x v="13"/>
    <n v="14"/>
    <x v="0"/>
    <x v="13"/>
    <n v="29"/>
    <x v="1"/>
    <s v="Uganda"/>
    <x v="2"/>
    <x v="8"/>
    <x v="7"/>
    <x v="7"/>
    <n v="280000"/>
    <x v="1"/>
    <x v="1"/>
    <n v="1437632"/>
    <s v="MDR64004"/>
    <n v="3.4779415038062589E-2"/>
    <n v="0.62"/>
    <x v="1"/>
    <n v="201571"/>
    <n v="60000"/>
    <x v="0"/>
    <x v="1"/>
    <n v="50000"/>
    <x v="0"/>
    <m/>
    <n v="50000"/>
    <x v="2"/>
    <x v="0"/>
    <x v="1"/>
    <s v="-"/>
    <x v="0"/>
    <x v="0"/>
    <x v="0"/>
    <x v="0"/>
    <x v="0"/>
    <x v="0"/>
    <x v="0"/>
    <x v="0"/>
    <x v="0"/>
    <x v="0"/>
    <x v="0"/>
    <x v="0"/>
    <x v="0"/>
    <x v="0"/>
    <m/>
    <m/>
    <n v="50000"/>
    <x v="0"/>
    <x v="0"/>
    <m/>
    <n v="50000"/>
    <x v="65"/>
    <m/>
    <x v="230"/>
    <x v="0"/>
    <x v="0"/>
  </r>
  <r>
    <s v="EP-2008-000218-ZWE"/>
    <n v="217"/>
    <x v="210"/>
    <d v="2008-12-17T00:00:00"/>
    <x v="13"/>
    <n v="15"/>
    <x v="0"/>
    <x v="13"/>
    <n v="30"/>
    <x v="1"/>
    <s v="Zimbabwe"/>
    <x v="4"/>
    <x v="11"/>
    <x v="28"/>
    <x v="29"/>
    <n v="50000"/>
    <x v="1"/>
    <x v="1"/>
    <n v="9200000"/>
    <s v="MDRZW004"/>
    <n v="1.0869565217391304E-2"/>
    <n v="0.64"/>
    <x v="1"/>
    <n v="359374"/>
    <n v="1500000"/>
    <x v="0"/>
    <x v="1"/>
    <n v="100000"/>
    <x v="0"/>
    <m/>
    <n v="100000"/>
    <x v="0"/>
    <x v="0"/>
    <x v="0"/>
    <s v="-"/>
    <x v="0"/>
    <x v="0"/>
    <x v="0"/>
    <x v="0"/>
    <x v="0"/>
    <x v="0"/>
    <x v="0"/>
    <x v="0"/>
    <x v="0"/>
    <x v="0"/>
    <x v="0"/>
    <x v="0"/>
    <x v="0"/>
    <x v="0"/>
    <m/>
    <m/>
    <n v="100000"/>
    <x v="0"/>
    <x v="0"/>
    <m/>
    <n v="100000"/>
    <x v="65"/>
    <m/>
    <x v="231"/>
    <x v="0"/>
    <x v="0"/>
  </r>
  <r>
    <m/>
    <n v="218"/>
    <x v="211"/>
    <d v="2008-12-17T00:00:00"/>
    <x v="13"/>
    <n v="16"/>
    <x v="0"/>
    <x v="13"/>
    <n v="31"/>
    <x v="3"/>
    <s v="Israel"/>
    <x v="2"/>
    <x v="8"/>
    <x v="7"/>
    <x v="7"/>
    <s v="-"/>
    <x v="1"/>
    <x v="8"/>
    <s v="-"/>
    <m/>
    <m/>
    <m/>
    <x v="0"/>
    <m/>
    <s v="-"/>
    <x v="12"/>
    <x v="0"/>
    <m/>
    <x v="11"/>
    <n v="200000"/>
    <m/>
    <x v="0"/>
    <x v="0"/>
    <x v="0"/>
    <s v="-"/>
    <x v="0"/>
    <x v="0"/>
    <x v="0"/>
    <x v="0"/>
    <x v="0"/>
    <x v="0"/>
    <x v="0"/>
    <x v="0"/>
    <x v="0"/>
    <x v="0"/>
    <x v="0"/>
    <x v="0"/>
    <x v="0"/>
    <x v="0"/>
    <m/>
    <m/>
    <s v="-"/>
    <x v="0"/>
    <x v="0"/>
    <m/>
    <s v="-"/>
    <x v="27"/>
    <m/>
    <x v="232"/>
    <x v="0"/>
    <x v="0"/>
  </r>
  <r>
    <m/>
    <n v="218"/>
    <x v="212"/>
    <d v="2008-12-17T00:00:00"/>
    <x v="13"/>
    <n v="16"/>
    <x v="0"/>
    <x v="13"/>
    <n v="31"/>
    <x v="3"/>
    <s v="Palestine"/>
    <x v="2"/>
    <x v="8"/>
    <x v="7"/>
    <x v="7"/>
    <n v="90000"/>
    <x v="1"/>
    <x v="8"/>
    <m/>
    <m/>
    <m/>
    <m/>
    <x v="1"/>
    <n v="310244"/>
    <n v="50000"/>
    <x v="0"/>
    <x v="1"/>
    <m/>
    <x v="12"/>
    <n v="560625"/>
    <n v="921250"/>
    <x v="0"/>
    <x v="0"/>
    <x v="0"/>
    <s v="-"/>
    <x v="0"/>
    <x v="0"/>
    <x v="0"/>
    <x v="0"/>
    <x v="0"/>
    <x v="0"/>
    <x v="0"/>
    <x v="0"/>
    <x v="0"/>
    <x v="0"/>
    <x v="0"/>
    <x v="0"/>
    <x v="0"/>
    <x v="0"/>
    <m/>
    <m/>
    <n v="921250"/>
    <x v="0"/>
    <x v="0"/>
    <m/>
    <n v="921250"/>
    <x v="98"/>
    <m/>
    <x v="232"/>
    <x v="0"/>
    <x v="0"/>
  </r>
  <r>
    <s v="EQ-2009-000009-CRI"/>
    <n v="219"/>
    <x v="213"/>
    <d v="2009-01-08T00:00:00"/>
    <x v="13"/>
    <n v="17"/>
    <x v="1"/>
    <x v="14"/>
    <n v="2"/>
    <x v="2"/>
    <s v="Costa Rica"/>
    <x v="3"/>
    <x v="3"/>
    <x v="3"/>
    <x v="3"/>
    <n v="2943"/>
    <x v="2"/>
    <x v="0"/>
    <s v="-"/>
    <m/>
    <m/>
    <m/>
    <x v="1"/>
    <n v="49273"/>
    <s v="-"/>
    <x v="14"/>
    <x v="0"/>
    <m/>
    <x v="0"/>
    <n v="62250"/>
    <n v="62250"/>
    <x v="4"/>
    <x v="0"/>
    <x v="2"/>
    <m/>
    <x v="0"/>
    <x v="0"/>
    <x v="0"/>
    <x v="0"/>
    <x v="0"/>
    <x v="0"/>
    <x v="0"/>
    <x v="0"/>
    <x v="0"/>
    <x v="0"/>
    <x v="0"/>
    <x v="0"/>
    <x v="0"/>
    <x v="0"/>
    <m/>
    <n v="11950"/>
    <n v="74200"/>
    <x v="0"/>
    <x v="0"/>
    <m/>
    <n v="74200"/>
    <x v="96"/>
    <s v="Earthquake"/>
    <x v="233"/>
    <x v="0"/>
    <x v="0"/>
  </r>
  <r>
    <s v="WF-2009-000035-AUS"/>
    <n v="220"/>
    <x v="214"/>
    <d v="2009-02-07T00:00:00"/>
    <x v="13"/>
    <n v="18"/>
    <x v="1"/>
    <x v="14"/>
    <n v="3"/>
    <x v="3"/>
    <s v="Australia"/>
    <x v="1"/>
    <x v="15"/>
    <x v="0"/>
    <x v="0"/>
    <n v="22000"/>
    <x v="2"/>
    <x v="0"/>
    <m/>
    <m/>
    <m/>
    <m/>
    <x v="0"/>
    <m/>
    <m/>
    <x v="0"/>
    <x v="0"/>
    <m/>
    <x v="0"/>
    <n v="1520000"/>
    <n v="1520000"/>
    <x v="0"/>
    <x v="0"/>
    <x v="0"/>
    <m/>
    <x v="0"/>
    <x v="0"/>
    <x v="0"/>
    <x v="0"/>
    <x v="0"/>
    <x v="0"/>
    <x v="0"/>
    <x v="0"/>
    <x v="0"/>
    <x v="0"/>
    <x v="0"/>
    <x v="0"/>
    <x v="0"/>
    <x v="0"/>
    <m/>
    <m/>
    <n v="1520000"/>
    <x v="0"/>
    <x v="0"/>
    <m/>
    <n v="1520000"/>
    <x v="35"/>
    <m/>
    <x v="234"/>
    <x v="0"/>
    <x v="0"/>
  </r>
  <r>
    <m/>
    <n v="221"/>
    <x v="167"/>
    <d v="2009-03-05T00:00:00"/>
    <x v="13"/>
    <n v="19"/>
    <x v="1"/>
    <x v="14"/>
    <n v="4"/>
    <x v="3"/>
    <s v="Sri Lanka"/>
    <x v="2"/>
    <x v="8"/>
    <x v="0"/>
    <x v="0"/>
    <n v="250000"/>
    <x v="1"/>
    <x v="3"/>
    <m/>
    <m/>
    <m/>
    <m/>
    <x v="0"/>
    <m/>
    <m/>
    <x v="15"/>
    <x v="1"/>
    <m/>
    <x v="13"/>
    <m/>
    <n v="500000"/>
    <x v="2"/>
    <x v="0"/>
    <x v="1"/>
    <m/>
    <x v="0"/>
    <x v="0"/>
    <x v="0"/>
    <x v="0"/>
    <x v="0"/>
    <x v="0"/>
    <x v="0"/>
    <x v="0"/>
    <x v="0"/>
    <x v="0"/>
    <x v="0"/>
    <x v="0"/>
    <x v="0"/>
    <x v="0"/>
    <m/>
    <m/>
    <n v="500000"/>
    <x v="0"/>
    <x v="0"/>
    <m/>
    <n v="500000"/>
    <x v="99"/>
    <s v="Sri Lanka Conflict"/>
    <x v="235"/>
    <x v="0"/>
    <x v="0"/>
  </r>
  <r>
    <s v="FL-2009-000052-COL"/>
    <n v="222"/>
    <x v="157"/>
    <d v="2009-03-19T00:00:00"/>
    <x v="13"/>
    <n v="20"/>
    <x v="1"/>
    <x v="14"/>
    <n v="5"/>
    <x v="2"/>
    <s v="Colombia"/>
    <x v="1"/>
    <x v="2"/>
    <x v="0"/>
    <x v="0"/>
    <n v="31250"/>
    <x v="1"/>
    <x v="1"/>
    <n v="957924"/>
    <s v="MDRCO006"/>
    <m/>
    <n v="0.99"/>
    <x v="1"/>
    <n v="152369"/>
    <n v="25000"/>
    <x v="0"/>
    <x v="0"/>
    <m/>
    <x v="0"/>
    <m/>
    <m/>
    <x v="0"/>
    <x v="0"/>
    <x v="0"/>
    <n v="8000"/>
    <x v="0"/>
    <x v="0"/>
    <x v="0"/>
    <x v="8"/>
    <x v="0"/>
    <x v="0"/>
    <x v="0"/>
    <x v="0"/>
    <x v="0"/>
    <x v="0"/>
    <x v="0"/>
    <x v="0"/>
    <x v="0"/>
    <x v="0"/>
    <n v="30000"/>
    <m/>
    <n v="30000"/>
    <x v="0"/>
    <x v="0"/>
    <m/>
    <n v="30000"/>
    <x v="65"/>
    <s v="Colombia Floods"/>
    <x v="236"/>
    <x v="0"/>
    <x v="0"/>
  </r>
  <r>
    <s v="EQ-2009-000072-ITA"/>
    <n v="223"/>
    <x v="96"/>
    <d v="2009-04-07T00:00:00"/>
    <x v="13"/>
    <n v="21"/>
    <x v="2"/>
    <x v="14"/>
    <n v="6"/>
    <x v="3"/>
    <s v="Italy"/>
    <x v="3"/>
    <x v="3"/>
    <x v="0"/>
    <x v="0"/>
    <n v="48000"/>
    <x v="2"/>
    <x v="0"/>
    <m/>
    <m/>
    <m/>
    <m/>
    <x v="1"/>
    <n v="613944"/>
    <m/>
    <x v="0"/>
    <x v="0"/>
    <m/>
    <x v="0"/>
    <n v="981315"/>
    <n v="981315"/>
    <x v="0"/>
    <x v="0"/>
    <x v="0"/>
    <m/>
    <x v="0"/>
    <x v="0"/>
    <x v="0"/>
    <x v="0"/>
    <x v="0"/>
    <x v="0"/>
    <x v="0"/>
    <x v="0"/>
    <x v="0"/>
    <x v="0"/>
    <x v="0"/>
    <x v="0"/>
    <x v="0"/>
    <x v="0"/>
    <m/>
    <m/>
    <n v="981315"/>
    <x v="0"/>
    <x v="0"/>
    <m/>
    <n v="981315"/>
    <x v="100"/>
    <s v="L'Aquila Earthquake"/>
    <x v="237"/>
    <x v="0"/>
    <x v="0"/>
  </r>
  <r>
    <s v="Fl-2009-000062-NAM"/>
    <n v="224"/>
    <x v="215"/>
    <d v="2009-05-15T00:00:00"/>
    <x v="13"/>
    <n v="22"/>
    <x v="2"/>
    <x v="14"/>
    <n v="7"/>
    <x v="1"/>
    <s v="Namibia"/>
    <x v="1"/>
    <x v="2"/>
    <x v="0"/>
    <x v="0"/>
    <n v="700000"/>
    <x v="1"/>
    <x v="1"/>
    <n v="1878181"/>
    <s v="MDRNA004"/>
    <n v="2.6621502400460871E-2"/>
    <n v="0.91"/>
    <x v="1"/>
    <n v="128552"/>
    <n v="20000"/>
    <x v="0"/>
    <x v="1"/>
    <n v="50000"/>
    <x v="0"/>
    <m/>
    <n v="50000"/>
    <x v="0"/>
    <x v="0"/>
    <x v="0"/>
    <m/>
    <x v="0"/>
    <x v="0"/>
    <x v="0"/>
    <x v="0"/>
    <x v="0"/>
    <x v="0"/>
    <x v="0"/>
    <x v="0"/>
    <x v="0"/>
    <x v="0"/>
    <x v="0"/>
    <x v="0"/>
    <x v="0"/>
    <x v="0"/>
    <m/>
    <m/>
    <n v="50000"/>
    <x v="0"/>
    <x v="0"/>
    <m/>
    <n v="50000"/>
    <x v="65"/>
    <m/>
    <x v="238"/>
    <x v="0"/>
    <x v="0"/>
  </r>
  <r>
    <m/>
    <n v="225"/>
    <x v="216"/>
    <d v="2009-05-15T00:00:00"/>
    <x v="13"/>
    <n v="23"/>
    <x v="2"/>
    <x v="14"/>
    <n v="8"/>
    <x v="1"/>
    <s v="Sudan"/>
    <x v="4"/>
    <x v="11"/>
    <x v="0"/>
    <x v="0"/>
    <n v="25000000"/>
    <x v="1"/>
    <x v="1"/>
    <n v="2200000"/>
    <s v="MDR61004; MDR64004; MDR63002"/>
    <n v="9.0909090909090912E-2"/>
    <s v="various"/>
    <x v="1"/>
    <n v="315628"/>
    <n v="25000000"/>
    <x v="0"/>
    <x v="1"/>
    <n v="200000"/>
    <x v="0"/>
    <m/>
    <n v="200000"/>
    <x v="0"/>
    <x v="0"/>
    <x v="0"/>
    <m/>
    <x v="0"/>
    <x v="0"/>
    <x v="0"/>
    <x v="0"/>
    <x v="0"/>
    <x v="0"/>
    <x v="0"/>
    <x v="0"/>
    <x v="0"/>
    <x v="0"/>
    <x v="0"/>
    <x v="0"/>
    <x v="0"/>
    <x v="0"/>
    <m/>
    <m/>
    <n v="200000"/>
    <x v="0"/>
    <x v="0"/>
    <m/>
    <n v="200000"/>
    <x v="101"/>
    <s v="Polio - Sudan"/>
    <x v="239"/>
    <x v="4"/>
    <x v="0"/>
  </r>
  <r>
    <m/>
    <n v="226"/>
    <x v="217"/>
    <d v="2009-05-15T00:00:00"/>
    <x v="13"/>
    <n v="24"/>
    <x v="2"/>
    <x v="14"/>
    <n v="9"/>
    <x v="3"/>
    <s v="Pakistan"/>
    <x v="2"/>
    <x v="8"/>
    <x v="0"/>
    <x v="0"/>
    <n v="2000000"/>
    <x v="1"/>
    <x v="1"/>
    <n v="7300000"/>
    <s v="MDRPK003"/>
    <n v="3.4246575342465752E-2"/>
    <n v="0.45"/>
    <x v="0"/>
    <m/>
    <n v="91000"/>
    <x v="0"/>
    <x v="1"/>
    <n v="250000"/>
    <x v="0"/>
    <m/>
    <n v="250000"/>
    <x v="0"/>
    <x v="0"/>
    <x v="0"/>
    <n v="5150"/>
    <x v="0"/>
    <x v="0"/>
    <x v="0"/>
    <x v="0"/>
    <x v="0"/>
    <x v="0"/>
    <x v="0"/>
    <x v="0"/>
    <x v="0"/>
    <x v="0"/>
    <x v="0"/>
    <x v="0"/>
    <x v="0"/>
    <x v="0"/>
    <n v="80000"/>
    <m/>
    <n v="330000"/>
    <x v="0"/>
    <x v="0"/>
    <m/>
    <n v="330000"/>
    <x v="65"/>
    <s v="Pakistan Complex Emergency"/>
    <x v="240"/>
    <x v="0"/>
    <x v="0"/>
  </r>
  <r>
    <s v="TC-2009-000105-BGD"/>
    <n v="227"/>
    <x v="218"/>
    <d v="2009-06-26T00:00:00"/>
    <x v="13"/>
    <n v="25"/>
    <x v="2"/>
    <x v="14"/>
    <n v="10"/>
    <x v="3"/>
    <s v="Bangladesh"/>
    <x v="1"/>
    <x v="5"/>
    <x v="0"/>
    <x v="0"/>
    <n v="3928238"/>
    <x v="1"/>
    <x v="1"/>
    <n v="2200000"/>
    <s v="MDRBD004"/>
    <n v="0"/>
    <m/>
    <x v="1"/>
    <n v="230677"/>
    <n v="184000"/>
    <x v="0"/>
    <x v="0"/>
    <m/>
    <x v="0"/>
    <m/>
    <m/>
    <x v="2"/>
    <x v="0"/>
    <x v="1"/>
    <m/>
    <x v="0"/>
    <x v="0"/>
    <x v="0"/>
    <x v="0"/>
    <x v="0"/>
    <x v="0"/>
    <x v="0"/>
    <x v="0"/>
    <x v="0"/>
    <x v="0"/>
    <x v="0"/>
    <x v="0"/>
    <x v="0"/>
    <x v="0"/>
    <m/>
    <m/>
    <n v="0"/>
    <x v="0"/>
    <x v="0"/>
    <m/>
    <n v="0"/>
    <x v="56"/>
    <s v="Bangladesh Cyclone Aila"/>
    <x v="241"/>
    <x v="0"/>
    <x v="0"/>
  </r>
  <r>
    <s v="FL-2009-000095-TJK"/>
    <n v="228"/>
    <x v="219"/>
    <d v="2009-08-12T00:00:00"/>
    <x v="14"/>
    <n v="1"/>
    <x v="3"/>
    <x v="14"/>
    <n v="11"/>
    <x v="3"/>
    <s v="Tajikistan"/>
    <x v="1"/>
    <x v="2"/>
    <x v="0"/>
    <x v="0"/>
    <n v="12000"/>
    <x v="1"/>
    <x v="1"/>
    <n v="806936"/>
    <s v="MDRTJ005"/>
    <n v="1.4251440015069349E-2"/>
    <n v="0.61"/>
    <x v="1"/>
    <n v="118472"/>
    <n v="4320"/>
    <x v="16"/>
    <x v="0"/>
    <n v="11500"/>
    <x v="0"/>
    <m/>
    <n v="11500"/>
    <x v="0"/>
    <x v="0"/>
    <x v="0"/>
    <m/>
    <x v="0"/>
    <x v="0"/>
    <x v="0"/>
    <x v="0"/>
    <x v="0"/>
    <x v="0"/>
    <x v="0"/>
    <x v="0"/>
    <x v="0"/>
    <x v="0"/>
    <x v="0"/>
    <x v="0"/>
    <x v="0"/>
    <x v="0"/>
    <m/>
    <m/>
    <n v="11500"/>
    <x v="0"/>
    <x v="0"/>
    <m/>
    <n v="11500"/>
    <x v="65"/>
    <m/>
    <x v="242"/>
    <x v="0"/>
    <x v="0"/>
  </r>
  <r>
    <s v="DR-2009-00149-SYR"/>
    <n v="229"/>
    <x v="220"/>
    <d v="2009-09-01T00:00:00"/>
    <x v="14"/>
    <n v="2"/>
    <x v="3"/>
    <x v="14"/>
    <n v="12"/>
    <x v="3"/>
    <s v="Syria"/>
    <x v="1"/>
    <x v="1"/>
    <x v="0"/>
    <x v="0"/>
    <n v="1300000"/>
    <x v="1"/>
    <x v="1"/>
    <n v="3076415"/>
    <s v="MDRSY001"/>
    <n v="1.6252683724399992E-2"/>
    <n v="0.34"/>
    <x v="1"/>
    <n v="303195"/>
    <n v="260000"/>
    <x v="0"/>
    <x v="1"/>
    <n v="50000"/>
    <x v="0"/>
    <m/>
    <n v="50000"/>
    <x v="0"/>
    <x v="0"/>
    <x v="0"/>
    <m/>
    <x v="0"/>
    <x v="0"/>
    <x v="0"/>
    <x v="0"/>
    <x v="0"/>
    <x v="0"/>
    <x v="0"/>
    <x v="0"/>
    <x v="0"/>
    <x v="0"/>
    <x v="0"/>
    <x v="0"/>
    <x v="0"/>
    <x v="0"/>
    <m/>
    <m/>
    <n v="50000"/>
    <x v="0"/>
    <x v="0"/>
    <m/>
    <n v="50000"/>
    <x v="101"/>
    <m/>
    <x v="243"/>
    <x v="5"/>
    <x v="0"/>
  </r>
  <r>
    <s v="FL-2009-000172-BFA "/>
    <n v="230"/>
    <x v="221"/>
    <d v="2009-09-10T00:00:00"/>
    <x v="14"/>
    <n v="3"/>
    <x v="3"/>
    <x v="14"/>
    <n v="13"/>
    <x v="1"/>
    <s v="Burkina Faso"/>
    <x v="1"/>
    <x v="2"/>
    <x v="0"/>
    <x v="0"/>
    <n v="600000"/>
    <x v="1"/>
    <x v="1"/>
    <n v="2600000"/>
    <s v="MDRBF008 &amp; MDRSN002"/>
    <n v="0"/>
    <n v="0.32"/>
    <x v="1"/>
    <n v="419190"/>
    <n v="40000"/>
    <x v="0"/>
    <x v="0"/>
    <m/>
    <x v="0"/>
    <m/>
    <n v="0"/>
    <x v="2"/>
    <x v="0"/>
    <x v="1"/>
    <m/>
    <x v="0"/>
    <x v="13"/>
    <x v="13"/>
    <x v="9"/>
    <x v="3"/>
    <x v="11"/>
    <x v="6"/>
    <x v="0"/>
    <x v="0"/>
    <x v="0"/>
    <x v="0"/>
    <x v="0"/>
    <x v="0"/>
    <x v="0"/>
    <m/>
    <m/>
    <n v="0"/>
    <x v="0"/>
    <x v="0"/>
    <m/>
    <n v="0"/>
    <x v="65"/>
    <m/>
    <x v="244"/>
    <x v="0"/>
    <x v="0"/>
  </r>
  <r>
    <s v="FL-2009-000164-SEN"/>
    <n v="230"/>
    <x v="222"/>
    <d v="2009-09-10T00:00:00"/>
    <x v="14"/>
    <n v="3"/>
    <x v="3"/>
    <x v="14"/>
    <n v="13"/>
    <x v="1"/>
    <s v="Senegal"/>
    <x v="1"/>
    <x v="2"/>
    <x v="0"/>
    <x v="0"/>
    <n v="156000"/>
    <x v="1"/>
    <x v="1"/>
    <n v="2000000"/>
    <s v="MDRBF008 &amp; MDRSN002"/>
    <n v="0"/>
    <n v="0.47"/>
    <x v="1"/>
    <n v="419190"/>
    <n v="25000"/>
    <x v="0"/>
    <x v="0"/>
    <m/>
    <x v="0"/>
    <m/>
    <n v="0"/>
    <x v="5"/>
    <x v="1"/>
    <x v="4"/>
    <m/>
    <x v="0"/>
    <x v="0"/>
    <x v="0"/>
    <x v="0"/>
    <x v="0"/>
    <x v="0"/>
    <x v="0"/>
    <x v="0"/>
    <x v="0"/>
    <x v="0"/>
    <x v="0"/>
    <x v="0"/>
    <x v="0"/>
    <x v="0"/>
    <m/>
    <m/>
    <n v="0"/>
    <x v="0"/>
    <x v="0"/>
    <m/>
    <n v="0"/>
    <x v="65"/>
    <m/>
    <x v="245"/>
    <x v="0"/>
    <x v="0"/>
  </r>
  <r>
    <s v="TC-2009-000167-MEX"/>
    <n v="231"/>
    <x v="223"/>
    <d v="2009-09-03T00:00:00"/>
    <x v="14"/>
    <n v="4"/>
    <x v="3"/>
    <x v="14"/>
    <n v="14"/>
    <x v="2"/>
    <s v="Mexico"/>
    <x v="1"/>
    <x v="20"/>
    <x v="0"/>
    <x v="0"/>
    <n v="100000"/>
    <x v="2"/>
    <x v="0"/>
    <m/>
    <m/>
    <m/>
    <m/>
    <x v="1"/>
    <n v="319632"/>
    <m/>
    <x v="10"/>
    <x v="0"/>
    <m/>
    <x v="0"/>
    <m/>
    <n v="0"/>
    <x v="2"/>
    <x v="0"/>
    <x v="1"/>
    <n v="13840"/>
    <x v="1"/>
    <x v="14"/>
    <x v="0"/>
    <x v="0"/>
    <x v="0"/>
    <x v="0"/>
    <x v="5"/>
    <x v="0"/>
    <x v="4"/>
    <x v="0"/>
    <x v="0"/>
    <x v="0"/>
    <x v="1"/>
    <x v="0"/>
    <n v="259500"/>
    <m/>
    <n v="259500"/>
    <x v="0"/>
    <x v="0"/>
    <m/>
    <n v="259500"/>
    <x v="102"/>
    <m/>
    <x v="246"/>
    <x v="0"/>
    <x v="0"/>
  </r>
  <r>
    <s v="EQ-2009-000173-IDN"/>
    <n v="232"/>
    <x v="224"/>
    <d v="2009-09-02T00:00:00"/>
    <x v="14"/>
    <n v="5"/>
    <x v="3"/>
    <x v="14"/>
    <n v="15"/>
    <x v="3"/>
    <s v="Indonesia"/>
    <x v="3"/>
    <x v="3"/>
    <x v="0"/>
    <x v="0"/>
    <n v="90000"/>
    <x v="2"/>
    <x v="0"/>
    <m/>
    <m/>
    <m/>
    <m/>
    <x v="2"/>
    <m/>
    <m/>
    <x v="0"/>
    <x v="0"/>
    <m/>
    <x v="0"/>
    <m/>
    <n v="0"/>
    <x v="2"/>
    <x v="0"/>
    <x v="1"/>
    <m/>
    <x v="0"/>
    <x v="0"/>
    <x v="0"/>
    <x v="0"/>
    <x v="0"/>
    <x v="0"/>
    <x v="0"/>
    <x v="0"/>
    <x v="0"/>
    <x v="0"/>
    <x v="0"/>
    <x v="0"/>
    <x v="0"/>
    <x v="0"/>
    <m/>
    <m/>
    <n v="0"/>
    <x v="0"/>
    <x v="0"/>
    <m/>
    <n v="0"/>
    <x v="65"/>
    <m/>
    <x v="247"/>
    <x v="0"/>
    <x v="0"/>
  </r>
  <r>
    <s v="TC-2009-000205-PHL"/>
    <n v="233"/>
    <x v="225"/>
    <d v="2009-09-02T00:00:00"/>
    <x v="14"/>
    <n v="6"/>
    <x v="3"/>
    <x v="14"/>
    <n v="16"/>
    <x v="3"/>
    <s v="Philippines"/>
    <x v="1"/>
    <x v="20"/>
    <x v="0"/>
    <x v="0"/>
    <n v="1000000"/>
    <x v="1"/>
    <x v="1"/>
    <n v="6650000"/>
    <s v="MDRPH005"/>
    <n v="8.2706766917293228E-2"/>
    <n v="0.53"/>
    <x v="1"/>
    <n v="242000"/>
    <n v="200000"/>
    <x v="17"/>
    <x v="1"/>
    <n v="550000"/>
    <x v="0"/>
    <n v="500000"/>
    <n v="1050000"/>
    <x v="4"/>
    <x v="0"/>
    <x v="2"/>
    <n v="22300"/>
    <x v="2"/>
    <x v="0"/>
    <x v="14"/>
    <x v="10"/>
    <x v="0"/>
    <x v="0"/>
    <x v="7"/>
    <x v="0"/>
    <x v="5"/>
    <x v="0"/>
    <x v="0"/>
    <x v="0"/>
    <x v="0"/>
    <x v="0"/>
    <n v="118000"/>
    <m/>
    <n v="1168000"/>
    <x v="0"/>
    <x v="0"/>
    <m/>
    <n v="1168000"/>
    <x v="103"/>
    <m/>
    <x v="248"/>
    <x v="6"/>
    <x v="0"/>
  </r>
  <r>
    <s v="FL-2009-000207-VNM"/>
    <n v="233"/>
    <x v="226"/>
    <d v="2009-09-02T00:00:00"/>
    <x v="14"/>
    <n v="6"/>
    <x v="3"/>
    <x v="14"/>
    <n v="16"/>
    <x v="3"/>
    <s v="Vietnam"/>
    <x v="1"/>
    <x v="20"/>
    <x v="0"/>
    <x v="0"/>
    <n v="3000000"/>
    <x v="1"/>
    <x v="1"/>
    <n v="5470000"/>
    <s v="MDRRVN006"/>
    <n v="8.226691042047532E-2"/>
    <n v="0.77"/>
    <x v="1"/>
    <n v="324167"/>
    <n v="270000"/>
    <x v="0"/>
    <x v="1"/>
    <n v="450000"/>
    <x v="0"/>
    <n v="500000"/>
    <n v="950000"/>
    <x v="2"/>
    <x v="0"/>
    <x v="1"/>
    <m/>
    <x v="0"/>
    <x v="0"/>
    <x v="0"/>
    <x v="0"/>
    <x v="0"/>
    <x v="0"/>
    <x v="0"/>
    <x v="0"/>
    <x v="0"/>
    <x v="0"/>
    <x v="0"/>
    <x v="0"/>
    <x v="0"/>
    <x v="0"/>
    <m/>
    <m/>
    <n v="950000"/>
    <x v="2"/>
    <x v="0"/>
    <m/>
    <n v="2150000"/>
    <x v="103"/>
    <m/>
    <x v="249"/>
    <x v="7"/>
    <x v="0"/>
  </r>
  <r>
    <s v="TS-2009-000211-IDN"/>
    <n v="234"/>
    <x v="227"/>
    <d v="2009-09-02T00:00:00"/>
    <x v="14"/>
    <n v="7"/>
    <x v="3"/>
    <x v="14"/>
    <n v="17"/>
    <x v="3"/>
    <s v="Indonesia"/>
    <x v="3"/>
    <x v="3"/>
    <x v="0"/>
    <x v="0"/>
    <n v="1000000"/>
    <x v="1"/>
    <x v="1"/>
    <n v="18600000"/>
    <s v="MDRID004"/>
    <n v="4.8387096774193547E-2"/>
    <n v="0.93"/>
    <x v="1"/>
    <n v="227106"/>
    <n v="100000"/>
    <x v="18"/>
    <x v="1"/>
    <m/>
    <x v="0"/>
    <n v="500000"/>
    <n v="500000"/>
    <x v="2"/>
    <x v="0"/>
    <x v="1"/>
    <n v="44181"/>
    <x v="2"/>
    <x v="0"/>
    <x v="15"/>
    <x v="0"/>
    <x v="0"/>
    <x v="0"/>
    <x v="0"/>
    <x v="0"/>
    <x v="6"/>
    <x v="0"/>
    <x v="11"/>
    <x v="0"/>
    <x v="0"/>
    <x v="0"/>
    <n v="400000"/>
    <m/>
    <n v="900000"/>
    <x v="3"/>
    <x v="0"/>
    <m/>
    <n v="1664192.86"/>
    <x v="104"/>
    <m/>
    <x v="250"/>
    <x v="6"/>
    <x v="0"/>
  </r>
  <r>
    <s v="2009-000209 - ASM; 2009-000210-WSM"/>
    <n v="235"/>
    <x v="228"/>
    <d v="2009-10-01T00:00:00"/>
    <x v="14"/>
    <n v="8"/>
    <x v="4"/>
    <x v="14"/>
    <n v="18"/>
    <x v="3"/>
    <s v="Samoa"/>
    <x v="1"/>
    <x v="16"/>
    <x v="0"/>
    <x v="0"/>
    <n v="10000"/>
    <x v="1"/>
    <x v="1"/>
    <n v="2450000"/>
    <s v="MDRWS001"/>
    <n v="4.0816326530612242E-2"/>
    <n v="0.25"/>
    <x v="1"/>
    <n v="313729"/>
    <n v="5000"/>
    <x v="1"/>
    <x v="1"/>
    <n v="100000"/>
    <x v="0"/>
    <m/>
    <n v="100000"/>
    <x v="0"/>
    <x v="0"/>
    <x v="0"/>
    <m/>
    <x v="0"/>
    <x v="0"/>
    <x v="0"/>
    <x v="0"/>
    <x v="0"/>
    <x v="0"/>
    <x v="0"/>
    <x v="0"/>
    <x v="0"/>
    <x v="0"/>
    <x v="0"/>
    <x v="0"/>
    <x v="0"/>
    <x v="0"/>
    <m/>
    <m/>
    <n v="100000"/>
    <x v="0"/>
    <x v="0"/>
    <m/>
    <n v="100000"/>
    <x v="65"/>
    <m/>
    <x v="251"/>
    <x v="0"/>
    <x v="0"/>
  </r>
  <r>
    <s v="FL-2009-000217-IND"/>
    <n v="236"/>
    <x v="33"/>
    <d v="2009-10-27T00:00:00"/>
    <x v="14"/>
    <n v="9"/>
    <x v="4"/>
    <x v="14"/>
    <n v="19"/>
    <x v="3"/>
    <s v="India"/>
    <x v="1"/>
    <x v="2"/>
    <x v="0"/>
    <x v="0"/>
    <n v="4100000"/>
    <x v="1"/>
    <x v="5"/>
    <n v="3100000"/>
    <s v="MDRIN004"/>
    <n v="0"/>
    <m/>
    <x v="1"/>
    <n v="51364"/>
    <n v="125000"/>
    <x v="0"/>
    <x v="0"/>
    <m/>
    <x v="0"/>
    <m/>
    <n v="0"/>
    <x v="0"/>
    <x v="0"/>
    <x v="0"/>
    <n v="7500"/>
    <x v="3"/>
    <x v="0"/>
    <x v="0"/>
    <x v="0"/>
    <x v="0"/>
    <x v="0"/>
    <x v="6"/>
    <x v="0"/>
    <x v="0"/>
    <x v="0"/>
    <x v="0"/>
    <x v="0"/>
    <x v="0"/>
    <x v="0"/>
    <n v="190000"/>
    <m/>
    <n v="190000"/>
    <x v="0"/>
    <x v="0"/>
    <m/>
    <n v="190000"/>
    <x v="105"/>
    <m/>
    <x v="252"/>
    <x v="0"/>
    <x v="0"/>
  </r>
  <r>
    <s v="DR-2009-000197-KEN"/>
    <n v="237"/>
    <x v="229"/>
    <d v="2009-11-05T00:00:00"/>
    <x v="14"/>
    <n v="10"/>
    <x v="4"/>
    <x v="14"/>
    <n v="20"/>
    <x v="1"/>
    <s v="Kenya"/>
    <x v="1"/>
    <x v="1"/>
    <x v="0"/>
    <x v="0"/>
    <n v="3800000"/>
    <x v="1"/>
    <x v="1"/>
    <n v="8427856"/>
    <s v="MDRKE009"/>
    <n v="1.1865413932084269E-2"/>
    <n v="0.06"/>
    <x v="1"/>
    <n v="500000"/>
    <n v="1692428"/>
    <x v="19"/>
    <x v="1"/>
    <n v="100000"/>
    <x v="0"/>
    <m/>
    <n v="100000"/>
    <x v="0"/>
    <x v="0"/>
    <x v="0"/>
    <m/>
    <x v="0"/>
    <x v="0"/>
    <x v="0"/>
    <x v="0"/>
    <x v="0"/>
    <x v="0"/>
    <x v="0"/>
    <x v="0"/>
    <x v="0"/>
    <x v="0"/>
    <x v="0"/>
    <x v="0"/>
    <x v="0"/>
    <x v="0"/>
    <m/>
    <m/>
    <n v="100000"/>
    <x v="0"/>
    <x v="0"/>
    <m/>
    <n v="100000"/>
    <x v="65"/>
    <m/>
    <x v="253"/>
    <x v="0"/>
    <x v="0"/>
  </r>
  <r>
    <s v="FL-2009-000206-HTI"/>
    <n v="238"/>
    <x v="120"/>
    <d v="2009-11-12T00:00:00"/>
    <x v="14"/>
    <n v="11"/>
    <x v="4"/>
    <x v="14"/>
    <n v="21"/>
    <x v="2"/>
    <s v="Haiti"/>
    <x v="1"/>
    <x v="2"/>
    <x v="0"/>
    <x v="0"/>
    <n v="2500"/>
    <x v="2"/>
    <x v="0"/>
    <m/>
    <m/>
    <m/>
    <m/>
    <x v="1"/>
    <n v="103918"/>
    <n v="2500"/>
    <x v="0"/>
    <x v="0"/>
    <m/>
    <x v="0"/>
    <m/>
    <n v="0"/>
    <x v="2"/>
    <x v="0"/>
    <x v="1"/>
    <m/>
    <x v="0"/>
    <x v="0"/>
    <x v="0"/>
    <x v="0"/>
    <x v="0"/>
    <x v="0"/>
    <x v="0"/>
    <x v="0"/>
    <x v="0"/>
    <x v="0"/>
    <x v="0"/>
    <x v="0"/>
    <x v="0"/>
    <x v="0"/>
    <m/>
    <m/>
    <n v="0"/>
    <x v="0"/>
    <x v="0"/>
    <m/>
    <n v="0"/>
    <x v="106"/>
    <m/>
    <x v="254"/>
    <x v="0"/>
    <x v="0"/>
  </r>
  <r>
    <s v="FL-2009-000238-SLV"/>
    <n v="239"/>
    <x v="230"/>
    <d v="2009-11-16T00:00:00"/>
    <x v="14"/>
    <n v="12"/>
    <x v="4"/>
    <x v="14"/>
    <n v="22"/>
    <x v="2"/>
    <s v="El Salvador"/>
    <x v="1"/>
    <x v="2"/>
    <x v="0"/>
    <x v="0"/>
    <n v="75000"/>
    <x v="1"/>
    <x v="1"/>
    <n v="1681039"/>
    <s v="MDRSV002"/>
    <n v="0.14491335418155082"/>
    <n v="0.92"/>
    <x v="1"/>
    <n v="180614"/>
    <n v="10000"/>
    <x v="0"/>
    <x v="1"/>
    <n v="243605"/>
    <x v="0"/>
    <m/>
    <n v="243605"/>
    <x v="0"/>
    <x v="0"/>
    <x v="0"/>
    <n v="1000"/>
    <x v="2"/>
    <x v="3"/>
    <x v="0"/>
    <x v="0"/>
    <x v="0"/>
    <x v="0"/>
    <x v="8"/>
    <x v="0"/>
    <x v="0"/>
    <x v="0"/>
    <x v="0"/>
    <x v="0"/>
    <x v="0"/>
    <x v="0"/>
    <n v="31240"/>
    <m/>
    <n v="274845"/>
    <x v="0"/>
    <x v="0"/>
    <m/>
    <n v="274845"/>
    <x v="96"/>
    <m/>
    <x v="255"/>
    <x v="8"/>
    <x v="2"/>
  </r>
  <r>
    <s v="EQ-2010-000009-HTI"/>
    <n v="240"/>
    <x v="231"/>
    <d v="2010-01-12T00:00:00"/>
    <x v="14"/>
    <n v="13"/>
    <x v="1"/>
    <x v="15"/>
    <n v="1"/>
    <x v="2"/>
    <s v="Haiti"/>
    <x v="3"/>
    <x v="3"/>
    <x v="0"/>
    <x v="0"/>
    <n v="2000000"/>
    <x v="1"/>
    <x v="1"/>
    <n v="200000000"/>
    <s v="MDRHT008"/>
    <m/>
    <n v="0.94"/>
    <x v="1"/>
    <n v="491265"/>
    <n v="400000"/>
    <x v="0"/>
    <x v="1"/>
    <n v="30000000"/>
    <x v="14"/>
    <m/>
    <m/>
    <x v="18"/>
    <x v="3"/>
    <x v="5"/>
    <n v="5143307"/>
    <x v="2"/>
    <x v="0"/>
    <x v="0"/>
    <x v="0"/>
    <x v="0"/>
    <x v="0"/>
    <x v="0"/>
    <x v="0"/>
    <x v="0"/>
    <x v="0"/>
    <x v="0"/>
    <x v="0"/>
    <x v="0"/>
    <x v="0"/>
    <n v="15266353"/>
    <m/>
    <n v="139611532"/>
    <x v="4"/>
    <x v="0"/>
    <m/>
    <n v="139611532"/>
    <x v="107"/>
    <n v="476611532"/>
    <x v="256"/>
    <x v="9"/>
    <x v="3"/>
  </r>
  <r>
    <s v="FL-2009-000264-TZA"/>
    <n v="241"/>
    <x v="232"/>
    <d v="2010-01-25T00:00:00"/>
    <x v="14"/>
    <n v="14"/>
    <x v="1"/>
    <x v="15"/>
    <n v="2"/>
    <x v="1"/>
    <s v="Tanzania"/>
    <x v="0"/>
    <x v="2"/>
    <x v="0"/>
    <x v="0"/>
    <n v="50000"/>
    <x v="1"/>
    <x v="1"/>
    <n v="1625152"/>
    <s v="MDRTZ010"/>
    <n v="0.44"/>
    <n v="0.89"/>
    <x v="1"/>
    <n v="313536"/>
    <n v="23000"/>
    <x v="0"/>
    <x v="1"/>
    <n v="200000"/>
    <x v="0"/>
    <m/>
    <n v="200000"/>
    <x v="0"/>
    <x v="0"/>
    <x v="0"/>
    <m/>
    <x v="0"/>
    <x v="0"/>
    <x v="0"/>
    <x v="0"/>
    <x v="0"/>
    <x v="0"/>
    <x v="0"/>
    <x v="0"/>
    <x v="0"/>
    <x v="0"/>
    <x v="0"/>
    <x v="0"/>
    <x v="0"/>
    <x v="0"/>
    <m/>
    <m/>
    <n v="200000"/>
    <x v="0"/>
    <x v="0"/>
    <m/>
    <n v="200000"/>
    <x v="101"/>
    <m/>
    <x v="257"/>
    <x v="10"/>
    <x v="2"/>
  </r>
  <r>
    <s v="EQ-2010-000034-CHL "/>
    <n v="242"/>
    <x v="233"/>
    <d v="2010-02-27T00:00:00"/>
    <x v="14"/>
    <n v="15"/>
    <x v="1"/>
    <x v="15"/>
    <n v="3"/>
    <x v="2"/>
    <s v="Chile"/>
    <x v="0"/>
    <x v="3"/>
    <x v="0"/>
    <x v="0"/>
    <n v="2000000"/>
    <x v="1"/>
    <x v="1"/>
    <n v="6400000"/>
    <s v="MDRCL006"/>
    <n v="8.5000000000000006E-2"/>
    <n v="0.79"/>
    <x v="1"/>
    <n v="279350"/>
    <n v="100000"/>
    <x v="0"/>
    <x v="1"/>
    <n v="500000"/>
    <x v="0"/>
    <n v="500000"/>
    <n v="1000000"/>
    <x v="4"/>
    <x v="0"/>
    <x v="2"/>
    <n v="6160"/>
    <x v="2"/>
    <x v="15"/>
    <x v="0"/>
    <x v="11"/>
    <x v="0"/>
    <x v="0"/>
    <x v="0"/>
    <x v="0"/>
    <x v="0"/>
    <x v="0"/>
    <x v="0"/>
    <x v="0"/>
    <x v="0"/>
    <x v="0"/>
    <n v="96000"/>
    <m/>
    <n v="1096000"/>
    <x v="5"/>
    <x v="0"/>
    <m/>
    <n v="6400000"/>
    <x v="108"/>
    <m/>
    <x v="258"/>
    <x v="0"/>
    <x v="0"/>
  </r>
  <r>
    <s v="EQ-2010-000073-CHN"/>
    <n v="243"/>
    <x v="104"/>
    <d v="2010-04-10T00:00:00"/>
    <x v="14"/>
    <n v="16"/>
    <x v="2"/>
    <x v="15"/>
    <n v="4"/>
    <x v="3"/>
    <s v="China"/>
    <x v="0"/>
    <x v="3"/>
    <x v="0"/>
    <x v="0"/>
    <n v="100000"/>
    <x v="1"/>
    <x v="5"/>
    <m/>
    <m/>
    <m/>
    <m/>
    <x v="0"/>
    <m/>
    <s v="tbd"/>
    <x v="0"/>
    <x v="0"/>
    <n v="0"/>
    <x v="0"/>
    <n v="500000"/>
    <n v="500000"/>
    <x v="0"/>
    <x v="0"/>
    <x v="0"/>
    <m/>
    <x v="0"/>
    <x v="0"/>
    <x v="16"/>
    <x v="0"/>
    <x v="0"/>
    <x v="0"/>
    <x v="0"/>
    <x v="0"/>
    <x v="0"/>
    <x v="0"/>
    <x v="0"/>
    <x v="0"/>
    <x v="0"/>
    <x v="0"/>
    <m/>
    <m/>
    <n v="500000"/>
    <x v="0"/>
    <x v="1"/>
    <m/>
    <n v="1000000"/>
    <x v="109"/>
    <m/>
    <x v="259"/>
    <x v="0"/>
    <x v="0"/>
  </r>
  <r>
    <s v="CW-2010-000010-MNG"/>
    <n v="244"/>
    <x v="234"/>
    <d v="2010-05-10T00:00:00"/>
    <x v="14"/>
    <n v="17"/>
    <x v="2"/>
    <x v="15"/>
    <n v="5"/>
    <x v="3"/>
    <s v="Mongolia"/>
    <x v="0"/>
    <x v="21"/>
    <x v="0"/>
    <x v="0"/>
    <n v="507000"/>
    <x v="1"/>
    <x v="1"/>
    <n v="991697"/>
    <s v="    MDRMN004"/>
    <n v="0.32"/>
    <n v="0.35"/>
    <x v="1"/>
    <n v="93924"/>
    <n v="13600"/>
    <x v="0"/>
    <x v="1"/>
    <n v="145000"/>
    <x v="0"/>
    <m/>
    <n v="145000"/>
    <x v="0"/>
    <x v="0"/>
    <x v="0"/>
    <m/>
    <x v="0"/>
    <x v="0"/>
    <x v="0"/>
    <x v="0"/>
    <x v="0"/>
    <x v="0"/>
    <x v="0"/>
    <x v="0"/>
    <x v="0"/>
    <x v="0"/>
    <x v="0"/>
    <x v="0"/>
    <x v="0"/>
    <x v="0"/>
    <m/>
    <m/>
    <n v="145000"/>
    <x v="0"/>
    <x v="0"/>
    <m/>
    <n v="145000"/>
    <x v="101"/>
    <m/>
    <x v="260"/>
    <x v="1"/>
    <x v="2"/>
  </r>
  <r>
    <m/>
    <n v="245"/>
    <x v="235"/>
    <d v="2010-05-20T00:00:00"/>
    <x v="14"/>
    <n v="18"/>
    <x v="2"/>
    <x v="15"/>
    <n v="6"/>
    <x v="3"/>
    <s v="Nepal"/>
    <x v="0"/>
    <x v="11"/>
    <x v="0"/>
    <x v="0"/>
    <n v="67000"/>
    <x v="1"/>
    <x v="1"/>
    <n v="664175"/>
    <m/>
    <m/>
    <m/>
    <x v="1"/>
    <n v="179855"/>
    <n v="189000"/>
    <x v="0"/>
    <x v="1"/>
    <n v="50000"/>
    <x v="0"/>
    <m/>
    <n v="50000"/>
    <x v="0"/>
    <x v="0"/>
    <x v="0"/>
    <m/>
    <x v="0"/>
    <x v="0"/>
    <x v="0"/>
    <x v="0"/>
    <x v="0"/>
    <x v="0"/>
    <x v="0"/>
    <x v="0"/>
    <x v="0"/>
    <x v="0"/>
    <x v="0"/>
    <x v="0"/>
    <x v="0"/>
    <x v="0"/>
    <m/>
    <m/>
    <n v="50000"/>
    <x v="0"/>
    <x v="0"/>
    <m/>
    <n v="50000"/>
    <x v="65"/>
    <m/>
    <x v="261"/>
    <x v="0"/>
    <x v="0"/>
  </r>
  <r>
    <s v="TC-2010-000105-GTM"/>
    <n v="246"/>
    <x v="236"/>
    <d v="2010-06-01T00:00:00"/>
    <x v="14"/>
    <n v="19"/>
    <x v="2"/>
    <x v="15"/>
    <n v="7"/>
    <x v="2"/>
    <s v="Guatemala"/>
    <x v="0"/>
    <x v="17"/>
    <x v="0"/>
    <x v="0"/>
    <n v="173518"/>
    <x v="1"/>
    <x v="1"/>
    <n v="1112170"/>
    <s v="MDRGT002"/>
    <n v="8.9914311660987081E-2"/>
    <m/>
    <x v="1"/>
    <n v="307254"/>
    <n v="7500"/>
    <x v="11"/>
    <x v="1"/>
    <n v="100000"/>
    <x v="0"/>
    <m/>
    <n v="100000"/>
    <x v="0"/>
    <x v="0"/>
    <x v="0"/>
    <n v="9900"/>
    <x v="2"/>
    <x v="6"/>
    <x v="17"/>
    <x v="12"/>
    <x v="0"/>
    <x v="0"/>
    <x v="8"/>
    <x v="0"/>
    <x v="0"/>
    <x v="0"/>
    <x v="0"/>
    <x v="0"/>
    <x v="0"/>
    <x v="0"/>
    <n v="80000"/>
    <m/>
    <n v="180000"/>
    <x v="0"/>
    <x v="0"/>
    <m/>
    <n v="180000"/>
    <x v="65"/>
    <m/>
    <x v="262"/>
    <x v="0"/>
    <x v="0"/>
  </r>
  <r>
    <s v="OT-2010-000113-KGZ"/>
    <n v="247"/>
    <x v="237"/>
    <d v="2010-06-01T00:00:00"/>
    <x v="14"/>
    <n v="20"/>
    <x v="2"/>
    <x v="15"/>
    <n v="8"/>
    <x v="3"/>
    <s v="Kyrgyzstan"/>
    <x v="0"/>
    <x v="8"/>
    <x v="0"/>
    <x v="0"/>
    <n v="375000"/>
    <x v="1"/>
    <x v="9"/>
    <s v="8800000 +1166159"/>
    <s v="MDRUZ002"/>
    <m/>
    <m/>
    <x v="1"/>
    <n v="269348"/>
    <n v="124000"/>
    <x v="0"/>
    <x v="1"/>
    <n v="50000"/>
    <x v="7"/>
    <m/>
    <n v="100000"/>
    <x v="0"/>
    <x v="0"/>
    <x v="0"/>
    <m/>
    <x v="0"/>
    <x v="0"/>
    <x v="0"/>
    <x v="0"/>
    <x v="0"/>
    <x v="0"/>
    <x v="0"/>
    <x v="0"/>
    <x v="0"/>
    <x v="0"/>
    <x v="0"/>
    <x v="0"/>
    <x v="0"/>
    <x v="0"/>
    <m/>
    <m/>
    <n v="100000"/>
    <x v="0"/>
    <x v="0"/>
    <m/>
    <n v="100000"/>
    <x v="110"/>
    <m/>
    <x v="263"/>
    <x v="0"/>
    <x v="0"/>
  </r>
  <r>
    <s v="OT-2010-000113-KGZ"/>
    <n v="247"/>
    <x v="237"/>
    <d v="2010-06-01T00:00:00"/>
    <x v="14"/>
    <n v="20"/>
    <x v="2"/>
    <x v="15"/>
    <n v="8"/>
    <x v="3"/>
    <s v="Uzbekistan"/>
    <x v="0"/>
    <x v="8"/>
    <x v="0"/>
    <x v="0"/>
    <m/>
    <x v="1"/>
    <x v="1"/>
    <n v="911836"/>
    <s v="MDRKG007"/>
    <n v="0.10966884395878206"/>
    <m/>
    <x v="0"/>
    <m/>
    <n v="5265"/>
    <x v="0"/>
    <x v="1"/>
    <n v="100000"/>
    <x v="0"/>
    <m/>
    <n v="100000"/>
    <x v="0"/>
    <x v="0"/>
    <x v="0"/>
    <m/>
    <x v="0"/>
    <x v="0"/>
    <x v="0"/>
    <x v="0"/>
    <x v="0"/>
    <x v="0"/>
    <x v="0"/>
    <x v="0"/>
    <x v="0"/>
    <x v="0"/>
    <x v="0"/>
    <x v="0"/>
    <x v="0"/>
    <x v="0"/>
    <m/>
    <m/>
    <n v="100000"/>
    <x v="0"/>
    <x v="0"/>
    <m/>
    <n v="100000"/>
    <x v="0"/>
    <m/>
    <x v="264"/>
    <x v="0"/>
    <x v="0"/>
  </r>
  <r>
    <s v="FL-2010-00141-PAK"/>
    <n v="248"/>
    <x v="238"/>
    <d v="2010-08-02T00:00:00"/>
    <x v="15"/>
    <n v="1"/>
    <x v="3"/>
    <x v="15"/>
    <n v="9"/>
    <x v="3"/>
    <s v="Pakistan"/>
    <x v="0"/>
    <x v="2"/>
    <x v="0"/>
    <x v="0"/>
    <n v="20000000"/>
    <x v="1"/>
    <x v="10"/>
    <n v="148500000"/>
    <s v="MDRPK006"/>
    <n v="2.7609427609427608E-2"/>
    <m/>
    <x v="1"/>
    <n v="239406"/>
    <n v="2600000"/>
    <x v="0"/>
    <x v="1"/>
    <n v="4100000"/>
    <x v="0"/>
    <m/>
    <n v="4850000"/>
    <x v="4"/>
    <x v="0"/>
    <x v="2"/>
    <n v="99900"/>
    <x v="2"/>
    <x v="0"/>
    <x v="18"/>
    <x v="13"/>
    <x v="4"/>
    <x v="0"/>
    <x v="9"/>
    <x v="0"/>
    <x v="2"/>
    <x v="0"/>
    <x v="11"/>
    <x v="0"/>
    <x v="2"/>
    <x v="0"/>
    <n v="824977"/>
    <m/>
    <n v="5674977"/>
    <x v="6"/>
    <x v="0"/>
    <m/>
    <n v="8200000"/>
    <x v="111"/>
    <m/>
    <x v="265"/>
    <x v="0"/>
    <x v="0"/>
  </r>
  <r>
    <m/>
    <n v="249"/>
    <x v="6"/>
    <d v="2010-10-01T00:00:00"/>
    <x v="15"/>
    <n v="2"/>
    <x v="4"/>
    <x v="15"/>
    <n v="10"/>
    <x v="2"/>
    <s v="Mexico"/>
    <x v="0"/>
    <x v="2"/>
    <x v="0"/>
    <x v="0"/>
    <n v="500000"/>
    <x v="2"/>
    <x v="0"/>
    <m/>
    <m/>
    <m/>
    <m/>
    <x v="2"/>
    <m/>
    <m/>
    <x v="17"/>
    <x v="0"/>
    <m/>
    <x v="0"/>
    <n v="200000"/>
    <n v="200000"/>
    <x v="0"/>
    <x v="0"/>
    <x v="0"/>
    <m/>
    <x v="0"/>
    <x v="0"/>
    <x v="0"/>
    <x v="0"/>
    <x v="0"/>
    <x v="0"/>
    <x v="0"/>
    <x v="0"/>
    <x v="0"/>
    <x v="0"/>
    <x v="0"/>
    <x v="0"/>
    <x v="0"/>
    <x v="0"/>
    <m/>
    <m/>
    <n v="200000"/>
    <x v="0"/>
    <x v="0"/>
    <m/>
    <n v="200000"/>
    <x v="101"/>
    <m/>
    <x v="266"/>
    <x v="10"/>
    <x v="2"/>
  </r>
  <r>
    <s v="FL-2010-00194-VNM"/>
    <n v="250"/>
    <x v="21"/>
    <d v="2010-10-18T00:00:00"/>
    <x v="15"/>
    <n v="3"/>
    <x v="4"/>
    <x v="15"/>
    <n v="11"/>
    <x v="3"/>
    <s v="Vietnam"/>
    <x v="0"/>
    <x v="2"/>
    <x v="0"/>
    <x v="0"/>
    <n v="660000"/>
    <x v="1"/>
    <x v="1"/>
    <n v="1080000"/>
    <s v="MDRVN007"/>
    <n v="2.7777777777777776E-2"/>
    <m/>
    <x v="1"/>
    <n v="160853"/>
    <n v="120000"/>
    <x v="0"/>
    <x v="0"/>
    <n v="30000"/>
    <x v="0"/>
    <m/>
    <n v="30000"/>
    <x v="0"/>
    <x v="0"/>
    <x v="0"/>
    <m/>
    <x v="0"/>
    <x v="0"/>
    <x v="0"/>
    <x v="0"/>
    <x v="0"/>
    <x v="0"/>
    <x v="0"/>
    <x v="0"/>
    <x v="0"/>
    <x v="0"/>
    <x v="0"/>
    <x v="0"/>
    <x v="0"/>
    <x v="0"/>
    <m/>
    <m/>
    <n v="30000"/>
    <x v="0"/>
    <x v="0"/>
    <m/>
    <n v="30000"/>
    <x v="65"/>
    <m/>
    <x v="267"/>
    <x v="0"/>
    <x v="0"/>
  </r>
  <r>
    <s v="EP-2010-000210-HTI"/>
    <n v="251"/>
    <x v="239"/>
    <d v="2010-10-24T00:00:00"/>
    <x v="15"/>
    <n v="4"/>
    <x v="4"/>
    <x v="15"/>
    <n v="12"/>
    <x v="2"/>
    <s v="Haiti"/>
    <x v="0"/>
    <x v="11"/>
    <x v="0"/>
    <x v="0"/>
    <m/>
    <x v="1"/>
    <x v="1"/>
    <n v="6000000"/>
    <s v="MDR49007"/>
    <n v="0.36102216666666664"/>
    <m/>
    <x v="1"/>
    <n v="80618"/>
    <n v="1500000"/>
    <x v="0"/>
    <x v="1"/>
    <n v="2166133"/>
    <x v="0"/>
    <m/>
    <n v="2320081"/>
    <x v="0"/>
    <x v="0"/>
    <x v="0"/>
    <m/>
    <x v="0"/>
    <x v="0"/>
    <x v="0"/>
    <x v="0"/>
    <x v="0"/>
    <x v="0"/>
    <x v="0"/>
    <x v="0"/>
    <x v="0"/>
    <x v="0"/>
    <x v="0"/>
    <x v="0"/>
    <x v="0"/>
    <x v="0"/>
    <n v="694910"/>
    <m/>
    <n v="16068357"/>
    <x v="0"/>
    <x v="0"/>
    <m/>
    <n v="16068357"/>
    <x v="107"/>
    <m/>
    <x v="268"/>
    <x v="0"/>
    <x v="0"/>
  </r>
  <r>
    <s v="TC-2010-000205-PHL"/>
    <n v="252"/>
    <x v="240"/>
    <d v="2010-10-26T00:00:00"/>
    <x v="15"/>
    <n v="5"/>
    <x v="4"/>
    <x v="15"/>
    <n v="13"/>
    <x v="3"/>
    <s v="Philippines"/>
    <x v="0"/>
    <x v="17"/>
    <x v="0"/>
    <x v="0"/>
    <n v="2000000"/>
    <x v="1"/>
    <x v="1"/>
    <n v="4310000"/>
    <s v="MDRPH006"/>
    <n v="6.9605568445475635E-3"/>
    <m/>
    <x v="1"/>
    <n v="214855"/>
    <n v="60000"/>
    <x v="0"/>
    <x v="0"/>
    <n v="30000"/>
    <x v="0"/>
    <m/>
    <n v="30000"/>
    <x v="0"/>
    <x v="0"/>
    <x v="0"/>
    <m/>
    <x v="0"/>
    <x v="0"/>
    <x v="0"/>
    <x v="0"/>
    <x v="0"/>
    <x v="0"/>
    <x v="0"/>
    <x v="0"/>
    <x v="0"/>
    <x v="0"/>
    <x v="0"/>
    <x v="0"/>
    <x v="0"/>
    <x v="0"/>
    <m/>
    <m/>
    <n v="30000"/>
    <x v="0"/>
    <x v="0"/>
    <m/>
    <n v="30000"/>
    <x v="66"/>
    <m/>
    <x v="269"/>
    <x v="0"/>
    <x v="0"/>
  </r>
  <r>
    <s v="EQ-2010-000213-IDN &amp; VO-2010-000214-IDN"/>
    <n v="253"/>
    <x v="241"/>
    <d v="2010-11-08T00:00:00"/>
    <x v="15"/>
    <n v="6"/>
    <x v="4"/>
    <x v="15"/>
    <n v="14"/>
    <x v="3"/>
    <s v="Indonesia"/>
    <x v="0"/>
    <x v="22"/>
    <x v="0"/>
    <x v="0"/>
    <n v="215000"/>
    <x v="1"/>
    <x v="1"/>
    <n v="2865860"/>
    <s v="MDRID006"/>
    <n v="1.7446769905019786E-2"/>
    <m/>
    <x v="1"/>
    <m/>
    <n v="25000"/>
    <x v="0"/>
    <x v="1"/>
    <n v="50000"/>
    <x v="0"/>
    <m/>
    <n v="50000"/>
    <x v="0"/>
    <x v="0"/>
    <x v="0"/>
    <m/>
    <x v="0"/>
    <x v="0"/>
    <x v="0"/>
    <x v="0"/>
    <x v="0"/>
    <x v="0"/>
    <x v="0"/>
    <x v="0"/>
    <x v="0"/>
    <x v="0"/>
    <x v="0"/>
    <x v="0"/>
    <x v="0"/>
    <x v="0"/>
    <m/>
    <m/>
    <n v="50000"/>
    <x v="0"/>
    <x v="0"/>
    <m/>
    <n v="50000"/>
    <x v="65"/>
    <m/>
    <x v="270"/>
    <x v="0"/>
    <x v="0"/>
  </r>
  <r>
    <s v="TC-2010-000216-BRB/LCA/VCT"/>
    <n v="254"/>
    <x v="242"/>
    <d v="2010-11-03T00:00:00"/>
    <x v="15"/>
    <n v="7"/>
    <x v="4"/>
    <x v="15"/>
    <n v="15"/>
    <x v="2"/>
    <s v="Saint Lucia/ Saint Vincent and the Grenadines/ Barbados "/>
    <x v="0"/>
    <x v="17"/>
    <x v="0"/>
    <x v="0"/>
    <n v="9500"/>
    <x v="1"/>
    <x v="1"/>
    <n v="622109"/>
    <s v="MDR49006"/>
    <n v="0.23307812618046034"/>
    <m/>
    <x v="0"/>
    <m/>
    <n v="7500"/>
    <x v="0"/>
    <x v="1"/>
    <n v="145000"/>
    <x v="0"/>
    <m/>
    <n v="145000"/>
    <x v="16"/>
    <x v="0"/>
    <x v="6"/>
    <m/>
    <x v="0"/>
    <x v="0"/>
    <x v="0"/>
    <x v="0"/>
    <x v="0"/>
    <x v="0"/>
    <x v="0"/>
    <x v="0"/>
    <x v="0"/>
    <x v="0"/>
    <x v="0"/>
    <x v="0"/>
    <x v="0"/>
    <x v="0"/>
    <m/>
    <m/>
    <n v="145000"/>
    <x v="0"/>
    <x v="0"/>
    <m/>
    <n v="145000"/>
    <x v="65"/>
    <m/>
    <x v="271"/>
    <x v="0"/>
    <x v="0"/>
  </r>
  <r>
    <m/>
    <n v="255"/>
    <x v="243"/>
    <d v="2010-11-09T00:00:00"/>
    <x v="15"/>
    <n v="8"/>
    <x v="4"/>
    <x v="15"/>
    <n v="16"/>
    <x v="2"/>
    <s v="Belize"/>
    <x v="0"/>
    <x v="17"/>
    <x v="0"/>
    <x v="0"/>
    <m/>
    <x v="2"/>
    <x v="0"/>
    <m/>
    <s v="MDRBZ002"/>
    <m/>
    <m/>
    <x v="1"/>
    <n v="56303"/>
    <m/>
    <x v="20"/>
    <x v="0"/>
    <m/>
    <x v="0"/>
    <n v="80000"/>
    <n v="80000"/>
    <x v="2"/>
    <x v="0"/>
    <x v="1"/>
    <m/>
    <x v="0"/>
    <x v="0"/>
    <x v="0"/>
    <x v="0"/>
    <x v="0"/>
    <x v="0"/>
    <x v="0"/>
    <x v="0"/>
    <x v="0"/>
    <x v="0"/>
    <x v="0"/>
    <x v="0"/>
    <x v="0"/>
    <x v="0"/>
    <m/>
    <m/>
    <n v="80000"/>
    <x v="0"/>
    <x v="0"/>
    <m/>
    <n v="80000"/>
    <x v="65"/>
    <m/>
    <x v="272"/>
    <x v="0"/>
    <x v="0"/>
  </r>
  <r>
    <s v="EQ-2010-000251-CRI"/>
    <n v="256"/>
    <x v="7"/>
    <d v="2010-11-10T00:00:00"/>
    <x v="15"/>
    <n v="9"/>
    <x v="4"/>
    <x v="15"/>
    <n v="17"/>
    <x v="2"/>
    <s v="Costa Rica"/>
    <x v="0"/>
    <x v="2"/>
    <x v="0"/>
    <x v="0"/>
    <n v="13500"/>
    <x v="2"/>
    <x v="0"/>
    <m/>
    <m/>
    <m/>
    <m/>
    <x v="1"/>
    <n v="123611"/>
    <n v="1000"/>
    <x v="21"/>
    <x v="0"/>
    <m/>
    <x v="0"/>
    <n v="322330"/>
    <n v="322330"/>
    <x v="0"/>
    <x v="0"/>
    <x v="0"/>
    <m/>
    <x v="0"/>
    <x v="0"/>
    <x v="0"/>
    <x v="0"/>
    <x v="0"/>
    <x v="0"/>
    <x v="0"/>
    <x v="0"/>
    <x v="0"/>
    <x v="0"/>
    <x v="0"/>
    <x v="0"/>
    <x v="0"/>
    <x v="0"/>
    <m/>
    <m/>
    <n v="322330"/>
    <x v="0"/>
    <x v="0"/>
    <m/>
    <n v="322330"/>
    <x v="112"/>
    <m/>
    <x v="273"/>
    <x v="11"/>
    <x v="0"/>
  </r>
  <r>
    <s v="FL-2010-000076-COL"/>
    <n v="257"/>
    <x v="244"/>
    <d v="2010-12-16T00:00:00"/>
    <x v="15"/>
    <n v="10"/>
    <x v="4"/>
    <x v="15"/>
    <n v="18"/>
    <x v="2"/>
    <s v="Colombia"/>
    <x v="0"/>
    <x v="2"/>
    <x v="0"/>
    <x v="0"/>
    <n v="1500000"/>
    <x v="1"/>
    <x v="1"/>
    <n v="1109939"/>
    <s v="MDRCO008"/>
    <n v="7.207603300721932E-2"/>
    <m/>
    <x v="1"/>
    <n v="64807"/>
    <n v="71500"/>
    <x v="22"/>
    <x v="1"/>
    <n v="80000"/>
    <x v="0"/>
    <n v="120000"/>
    <n v="200000"/>
    <x v="0"/>
    <x v="0"/>
    <x v="0"/>
    <n v="6000"/>
    <x v="2"/>
    <x v="0"/>
    <x v="0"/>
    <x v="0"/>
    <x v="0"/>
    <x v="0"/>
    <x v="0"/>
    <x v="0"/>
    <x v="4"/>
    <x v="0"/>
    <x v="0"/>
    <x v="0"/>
    <x v="0"/>
    <x v="0"/>
    <n v="40000"/>
    <m/>
    <n v="240000"/>
    <x v="0"/>
    <x v="0"/>
    <m/>
    <n v="240000"/>
    <x v="113"/>
    <m/>
    <x v="274"/>
    <x v="0"/>
    <x v="0"/>
  </r>
  <r>
    <s v="FL-2010-000225-PAN"/>
    <n v="258"/>
    <x v="80"/>
    <d v="2010-11-30T00:00:00"/>
    <x v="15"/>
    <n v="11"/>
    <x v="4"/>
    <x v="15"/>
    <n v="19"/>
    <x v="2"/>
    <s v="Panama"/>
    <x v="0"/>
    <x v="2"/>
    <x v="0"/>
    <x v="0"/>
    <n v="6200"/>
    <x v="1"/>
    <x v="1"/>
    <n v="364732"/>
    <s v="MDRPA007"/>
    <m/>
    <m/>
    <x v="1"/>
    <n v="82608"/>
    <n v="10225"/>
    <x v="23"/>
    <x v="0"/>
    <m/>
    <x v="0"/>
    <m/>
    <m/>
    <x v="0"/>
    <x v="0"/>
    <x v="0"/>
    <n v="1714"/>
    <x v="2"/>
    <x v="16"/>
    <x v="19"/>
    <x v="0"/>
    <x v="0"/>
    <x v="0"/>
    <x v="0"/>
    <x v="0"/>
    <x v="0"/>
    <x v="0"/>
    <x v="0"/>
    <x v="0"/>
    <x v="0"/>
    <x v="0"/>
    <n v="9812"/>
    <m/>
    <n v="9812"/>
    <x v="0"/>
    <x v="0"/>
    <m/>
    <n v="9812"/>
    <x v="65"/>
    <m/>
    <x v="275"/>
    <x v="0"/>
    <x v="0"/>
  </r>
  <r>
    <s v="OT-2011-000025-TUN/LBY/EGY"/>
    <n v="259"/>
    <x v="245"/>
    <d v="2011-02-28T00:00:00"/>
    <x v="15"/>
    <n v="12"/>
    <x v="1"/>
    <x v="16"/>
    <n v="1"/>
    <x v="3"/>
    <s v="Tunisia"/>
    <x v="0"/>
    <x v="19"/>
    <x v="0"/>
    <x v="0"/>
    <m/>
    <x v="1"/>
    <x v="10"/>
    <n v="45216000"/>
    <s v="MDR82001 &amp; REX2011/114"/>
    <m/>
    <m/>
    <x v="1"/>
    <n v="431000"/>
    <n v="306000"/>
    <x v="0"/>
    <x v="1"/>
    <n v="212270"/>
    <x v="2"/>
    <m/>
    <n v="312270"/>
    <x v="10"/>
    <x v="0"/>
    <x v="0"/>
    <n v="1500"/>
    <x v="2"/>
    <x v="0"/>
    <x v="0"/>
    <x v="0"/>
    <x v="0"/>
    <x v="0"/>
    <x v="0"/>
    <x v="0"/>
    <x v="0"/>
    <x v="0"/>
    <x v="14"/>
    <x v="0"/>
    <x v="0"/>
    <x v="0"/>
    <n v="43000"/>
    <m/>
    <n v="355270"/>
    <x v="0"/>
    <x v="0"/>
    <m/>
    <n v="355270"/>
    <x v="114"/>
    <m/>
    <x v="276"/>
    <x v="12"/>
    <x v="0"/>
  </r>
  <r>
    <s v="EQ-2011-000024-NZL"/>
    <n v="260"/>
    <x v="246"/>
    <d v="2011-02-23T00:00:00"/>
    <x v="15"/>
    <n v="13"/>
    <x v="1"/>
    <x v="16"/>
    <n v="2"/>
    <x v="3"/>
    <s v="New Zealand"/>
    <x v="0"/>
    <x v="3"/>
    <x v="0"/>
    <x v="0"/>
    <m/>
    <x v="2"/>
    <x v="0"/>
    <m/>
    <m/>
    <m/>
    <m/>
    <x v="0"/>
    <m/>
    <n v="47800"/>
    <x v="0"/>
    <x v="0"/>
    <m/>
    <x v="0"/>
    <n v="826450"/>
    <n v="826450"/>
    <x v="0"/>
    <x v="0"/>
    <x v="0"/>
    <m/>
    <x v="0"/>
    <x v="0"/>
    <x v="0"/>
    <x v="0"/>
    <x v="0"/>
    <x v="0"/>
    <x v="0"/>
    <x v="0"/>
    <x v="0"/>
    <x v="0"/>
    <x v="0"/>
    <x v="0"/>
    <x v="0"/>
    <x v="0"/>
    <m/>
    <m/>
    <n v="826450"/>
    <x v="0"/>
    <x v="0"/>
    <m/>
    <n v="826450"/>
    <x v="35"/>
    <m/>
    <x v="277"/>
    <x v="0"/>
    <x v="0"/>
  </r>
  <r>
    <m/>
    <n v="261"/>
    <x v="247"/>
    <d v="2011-03-01T00:00:00"/>
    <x v="15"/>
    <n v="14"/>
    <x v="1"/>
    <x v="16"/>
    <n v="3"/>
    <x v="2"/>
    <s v="Paraguay"/>
    <x v="0"/>
    <x v="11"/>
    <x v="0"/>
    <x v="0"/>
    <m/>
    <x v="2"/>
    <x v="0"/>
    <m/>
    <m/>
    <m/>
    <m/>
    <x v="2"/>
    <m/>
    <m/>
    <x v="24"/>
    <x v="0"/>
    <m/>
    <x v="0"/>
    <n v="56000"/>
    <n v="56000"/>
    <x v="0"/>
    <x v="0"/>
    <x v="0"/>
    <m/>
    <x v="0"/>
    <x v="0"/>
    <x v="0"/>
    <x v="0"/>
    <x v="0"/>
    <x v="0"/>
    <x v="0"/>
    <x v="0"/>
    <x v="0"/>
    <x v="0"/>
    <x v="0"/>
    <x v="0"/>
    <x v="0"/>
    <x v="0"/>
    <m/>
    <m/>
    <n v="56000"/>
    <x v="0"/>
    <x v="0"/>
    <m/>
    <n v="56000"/>
    <x v="115"/>
    <m/>
    <x v="278"/>
    <x v="0"/>
    <x v="0"/>
  </r>
  <r>
    <s v="EQ-2011-000028-JPN"/>
    <n v="262"/>
    <x v="248"/>
    <d v="2011-03-11T00:00:00"/>
    <x v="15"/>
    <n v="15"/>
    <x v="1"/>
    <x v="16"/>
    <n v="4"/>
    <x v="3"/>
    <s v="Japan"/>
    <x v="0"/>
    <x v="23"/>
    <x v="0"/>
    <x v="0"/>
    <n v="300000"/>
    <x v="2"/>
    <x v="0"/>
    <m/>
    <m/>
    <m/>
    <m/>
    <x v="0"/>
    <m/>
    <n v="225000"/>
    <x v="0"/>
    <x v="0"/>
    <m/>
    <x v="0"/>
    <n v="241000000"/>
    <n v="244800000"/>
    <x v="5"/>
    <x v="0"/>
    <x v="0"/>
    <m/>
    <x v="0"/>
    <x v="0"/>
    <x v="0"/>
    <x v="0"/>
    <x v="0"/>
    <x v="0"/>
    <x v="0"/>
    <x v="0"/>
    <x v="0"/>
    <x v="0"/>
    <x v="0"/>
    <x v="0"/>
    <x v="0"/>
    <x v="0"/>
    <m/>
    <m/>
    <n v="244800000"/>
    <x v="0"/>
    <x v="2"/>
    <m/>
    <n v="248600000"/>
    <x v="116"/>
    <m/>
    <x v="279"/>
    <x v="0"/>
    <x v="0"/>
  </r>
  <r>
    <s v="FL-2011-000020-BOL"/>
    <n v="263"/>
    <x v="48"/>
    <d v="2011-03-23T00:00:00"/>
    <x v="15"/>
    <n v="16"/>
    <x v="1"/>
    <x v="16"/>
    <n v="5"/>
    <x v="2"/>
    <s v="Bolivia"/>
    <x v="0"/>
    <x v="2"/>
    <x v="0"/>
    <x v="0"/>
    <n v="70000"/>
    <x v="1"/>
    <x v="1"/>
    <n v="571602"/>
    <s v="MDRBO006"/>
    <n v="0.31840336457885032"/>
    <m/>
    <x v="0"/>
    <m/>
    <n v="2500"/>
    <x v="0"/>
    <x v="1"/>
    <n v="182000"/>
    <x v="0"/>
    <m/>
    <n v="182000"/>
    <x v="0"/>
    <x v="0"/>
    <x v="0"/>
    <m/>
    <x v="0"/>
    <x v="0"/>
    <x v="0"/>
    <x v="0"/>
    <x v="0"/>
    <x v="0"/>
    <x v="0"/>
    <x v="0"/>
    <x v="0"/>
    <x v="0"/>
    <x v="0"/>
    <x v="0"/>
    <x v="0"/>
    <x v="0"/>
    <m/>
    <m/>
    <n v="182000"/>
    <x v="0"/>
    <x v="0"/>
    <m/>
    <n v="182000"/>
    <x v="117"/>
    <m/>
    <x v="280"/>
    <x v="12"/>
    <x v="0"/>
  </r>
  <r>
    <s v="OT-2010-000255-CIV"/>
    <n v="264"/>
    <x v="249"/>
    <d v="2011-04-01T00:00:00"/>
    <x v="15"/>
    <n v="17"/>
    <x v="2"/>
    <x v="16"/>
    <n v="6"/>
    <x v="1"/>
    <s v="Liberia"/>
    <x v="0"/>
    <x v="24"/>
    <x v="0"/>
    <x v="0"/>
    <m/>
    <x v="1"/>
    <x v="1"/>
    <n v="4340568"/>
    <s v="MDR61007"/>
    <n v="3.4557689224083116E-2"/>
    <m/>
    <x v="0"/>
    <m/>
    <n v="67500"/>
    <x v="0"/>
    <x v="1"/>
    <n v="150000"/>
    <x v="0"/>
    <m/>
    <n v="150000"/>
    <x v="0"/>
    <x v="0"/>
    <x v="0"/>
    <m/>
    <x v="0"/>
    <x v="0"/>
    <x v="0"/>
    <x v="0"/>
    <x v="0"/>
    <x v="0"/>
    <x v="0"/>
    <x v="0"/>
    <x v="0"/>
    <x v="0"/>
    <x v="0"/>
    <x v="0"/>
    <x v="0"/>
    <x v="0"/>
    <m/>
    <m/>
    <n v="150000"/>
    <x v="0"/>
    <x v="0"/>
    <m/>
    <n v="150000"/>
    <x v="65"/>
    <m/>
    <x v="281"/>
    <x v="0"/>
    <x v="0"/>
  </r>
  <r>
    <s v="FL-2011-000007-NAM"/>
    <n v="265"/>
    <x v="215"/>
    <d v="2011-03-25T00:00:00"/>
    <x v="15"/>
    <n v="18"/>
    <x v="2"/>
    <x v="16"/>
    <n v="7"/>
    <x v="1"/>
    <s v="Namibia"/>
    <x v="0"/>
    <x v="2"/>
    <x v="0"/>
    <x v="0"/>
    <n v="228500"/>
    <x v="1"/>
    <x v="1"/>
    <n v="2032221"/>
    <s v="MDRNA006"/>
    <n v="2.4603623326400034E-2"/>
    <m/>
    <x v="0"/>
    <m/>
    <n v="37457"/>
    <x v="0"/>
    <x v="1"/>
    <n v="50000"/>
    <x v="0"/>
    <m/>
    <n v="50000"/>
    <x v="0"/>
    <x v="0"/>
    <x v="0"/>
    <m/>
    <x v="0"/>
    <x v="0"/>
    <x v="0"/>
    <x v="0"/>
    <x v="0"/>
    <x v="0"/>
    <x v="0"/>
    <x v="0"/>
    <x v="0"/>
    <x v="0"/>
    <x v="0"/>
    <x v="0"/>
    <x v="0"/>
    <x v="0"/>
    <m/>
    <m/>
    <n v="50000"/>
    <x v="0"/>
    <x v="0"/>
    <m/>
    <n v="50000"/>
    <x v="65"/>
    <m/>
    <x v="282"/>
    <x v="0"/>
    <x v="0"/>
  </r>
  <r>
    <s v="DR-2011-000029-KEN"/>
    <n v="266"/>
    <x v="250"/>
    <d v="2011-07-28T00:00:00"/>
    <x v="16"/>
    <n v="1"/>
    <x v="3"/>
    <x v="16"/>
    <n v="8"/>
    <x v="1"/>
    <s v="Somalia/Kenya/Ethiopia"/>
    <x v="0"/>
    <x v="1"/>
    <x v="0"/>
    <x v="0"/>
    <n v="11500000"/>
    <x v="1"/>
    <x v="10"/>
    <n v="97900000"/>
    <s v="MDRKE016/EA2011"/>
    <n v="1.2073544433094994E-2"/>
    <m/>
    <x v="0"/>
    <m/>
    <n v="2265000"/>
    <x v="0"/>
    <x v="1"/>
    <n v="1600000"/>
    <x v="15"/>
    <m/>
    <n v="2782000"/>
    <x v="0"/>
    <x v="0"/>
    <x v="0"/>
    <m/>
    <x v="0"/>
    <x v="0"/>
    <x v="0"/>
    <x v="0"/>
    <x v="0"/>
    <x v="0"/>
    <x v="0"/>
    <x v="0"/>
    <x v="0"/>
    <x v="0"/>
    <x v="0"/>
    <x v="0"/>
    <x v="0"/>
    <x v="0"/>
    <m/>
    <m/>
    <n v="2782000"/>
    <x v="0"/>
    <x v="0"/>
    <m/>
    <n v="2782000"/>
    <x v="118"/>
    <m/>
    <x v="283"/>
    <x v="13"/>
    <x v="0"/>
  </r>
  <r>
    <s v="FL-2011-000096-PRK"/>
    <n v="267"/>
    <x v="251"/>
    <d v="2011-08-24T00:00:00"/>
    <x v="16"/>
    <n v="2"/>
    <x v="3"/>
    <x v="16"/>
    <n v="9"/>
    <x v="3"/>
    <s v="DPRK/North Korea"/>
    <x v="0"/>
    <x v="2"/>
    <x v="0"/>
    <x v="0"/>
    <n v="45000"/>
    <x v="1"/>
    <x v="1"/>
    <n v="4400000"/>
    <s v="MDRKP003"/>
    <n v="0.01"/>
    <m/>
    <x v="1"/>
    <n v="575551"/>
    <n v="30000"/>
    <x v="0"/>
    <x v="1"/>
    <n v="50000"/>
    <x v="0"/>
    <m/>
    <n v="50000"/>
    <x v="0"/>
    <x v="0"/>
    <x v="0"/>
    <m/>
    <x v="0"/>
    <x v="0"/>
    <x v="0"/>
    <x v="0"/>
    <x v="0"/>
    <x v="0"/>
    <x v="0"/>
    <x v="0"/>
    <x v="0"/>
    <x v="0"/>
    <x v="0"/>
    <x v="0"/>
    <x v="0"/>
    <x v="0"/>
    <m/>
    <m/>
    <n v="50000"/>
    <x v="0"/>
    <x v="0"/>
    <m/>
    <n v="50000"/>
    <x v="65"/>
    <m/>
    <x v="284"/>
    <x v="0"/>
    <x v="0"/>
  </r>
  <r>
    <s v="FL-2011-000093-BGD"/>
    <n v="268"/>
    <x v="19"/>
    <d v="2011-08-31T00:00:00"/>
    <x v="16"/>
    <n v="3"/>
    <x v="3"/>
    <x v="16"/>
    <n v="10"/>
    <x v="3"/>
    <s v="Bangladesh"/>
    <x v="0"/>
    <x v="2"/>
    <x v="0"/>
    <x v="0"/>
    <n v="700000"/>
    <x v="1"/>
    <x v="1"/>
    <n v="1500000"/>
    <s v="MDRBD009"/>
    <n v="0.03"/>
    <m/>
    <x v="1"/>
    <m/>
    <n v="50000"/>
    <x v="0"/>
    <x v="1"/>
    <n v="50000"/>
    <x v="0"/>
    <m/>
    <n v="50000"/>
    <x v="0"/>
    <x v="0"/>
    <x v="0"/>
    <m/>
    <x v="0"/>
    <x v="0"/>
    <x v="0"/>
    <x v="0"/>
    <x v="0"/>
    <x v="0"/>
    <x v="0"/>
    <x v="0"/>
    <x v="0"/>
    <x v="0"/>
    <x v="0"/>
    <x v="0"/>
    <x v="0"/>
    <x v="0"/>
    <m/>
    <m/>
    <n v="50000"/>
    <x v="0"/>
    <x v="0"/>
    <m/>
    <n v="50000"/>
    <x v="65"/>
    <m/>
    <x v="285"/>
    <x v="0"/>
    <x v="0"/>
  </r>
  <r>
    <s v="FL-2011-000130-PAK"/>
    <n v="269"/>
    <x v="252"/>
    <d v="2011-09-12T00:00:00"/>
    <x v="16"/>
    <n v="4"/>
    <x v="3"/>
    <x v="16"/>
    <n v="11"/>
    <x v="3"/>
    <s v="Pakistan"/>
    <x v="0"/>
    <x v="2"/>
    <x v="0"/>
    <x v="0"/>
    <n v="5000000"/>
    <x v="1"/>
    <x v="1"/>
    <n v="11900000"/>
    <s v="MDRPK007"/>
    <n v="4.0000000000000001E-3"/>
    <m/>
    <x v="1"/>
    <m/>
    <n v="105000"/>
    <x v="0"/>
    <x v="1"/>
    <n v="50000"/>
    <x v="0"/>
    <m/>
    <n v="50000"/>
    <x v="0"/>
    <x v="0"/>
    <x v="0"/>
    <m/>
    <x v="0"/>
    <x v="0"/>
    <x v="0"/>
    <x v="0"/>
    <x v="0"/>
    <x v="0"/>
    <x v="0"/>
    <x v="0"/>
    <x v="0"/>
    <x v="0"/>
    <x v="0"/>
    <x v="0"/>
    <x v="0"/>
    <x v="0"/>
    <m/>
    <m/>
    <n v="50000"/>
    <x v="0"/>
    <x v="0"/>
    <m/>
    <n v="50000"/>
    <x v="65"/>
    <m/>
    <x v="285"/>
    <x v="0"/>
    <x v="0"/>
  </r>
  <r>
    <m/>
    <m/>
    <x v="253"/>
    <m/>
    <x v="17"/>
    <m/>
    <x v="0"/>
    <x v="17"/>
    <m/>
    <x v="0"/>
    <m/>
    <x v="0"/>
    <x v="0"/>
    <x v="0"/>
    <x v="0"/>
    <m/>
    <x v="0"/>
    <x v="0"/>
    <m/>
    <m/>
    <m/>
    <m/>
    <x v="0"/>
    <m/>
    <m/>
    <x v="0"/>
    <x v="0"/>
    <m/>
    <x v="0"/>
    <m/>
    <n v="0"/>
    <x v="0"/>
    <x v="0"/>
    <x v="0"/>
    <m/>
    <x v="0"/>
    <x v="0"/>
    <x v="0"/>
    <x v="0"/>
    <x v="0"/>
    <x v="0"/>
    <x v="0"/>
    <x v="0"/>
    <x v="0"/>
    <x v="0"/>
    <x v="0"/>
    <x v="0"/>
    <x v="0"/>
    <x v="0"/>
    <m/>
    <m/>
    <n v="0"/>
    <x v="0"/>
    <x v="0"/>
    <m/>
    <n v="0"/>
    <x v="0"/>
    <m/>
    <x v="0"/>
    <x v="0"/>
    <x v="0"/>
  </r>
  <r>
    <m/>
    <m/>
    <x v="253"/>
    <m/>
    <x v="17"/>
    <m/>
    <x v="0"/>
    <x v="17"/>
    <m/>
    <x v="0"/>
    <m/>
    <x v="0"/>
    <x v="0"/>
    <x v="0"/>
    <x v="0"/>
    <m/>
    <x v="0"/>
    <x v="0"/>
    <m/>
    <m/>
    <m/>
    <m/>
    <x v="0"/>
    <m/>
    <m/>
    <x v="0"/>
    <x v="0"/>
    <m/>
    <x v="0"/>
    <m/>
    <n v="0"/>
    <x v="0"/>
    <x v="0"/>
    <x v="0"/>
    <m/>
    <x v="0"/>
    <x v="0"/>
    <x v="0"/>
    <x v="0"/>
    <x v="0"/>
    <x v="0"/>
    <x v="0"/>
    <x v="0"/>
    <x v="0"/>
    <x v="0"/>
    <x v="0"/>
    <x v="0"/>
    <x v="0"/>
    <x v="0"/>
    <m/>
    <m/>
    <n v="0"/>
    <x v="0"/>
    <x v="0"/>
    <m/>
    <n v="0"/>
    <x v="0"/>
    <m/>
    <x v="0"/>
    <x v="0"/>
    <x v="0"/>
  </r>
  <r>
    <m/>
    <m/>
    <x v="253"/>
    <m/>
    <x v="17"/>
    <m/>
    <x v="0"/>
    <x v="17"/>
    <m/>
    <x v="0"/>
    <m/>
    <x v="0"/>
    <x v="0"/>
    <x v="0"/>
    <x v="0"/>
    <m/>
    <x v="0"/>
    <x v="0"/>
    <m/>
    <m/>
    <m/>
    <m/>
    <x v="0"/>
    <m/>
    <m/>
    <x v="0"/>
    <x v="0"/>
    <m/>
    <x v="0"/>
    <m/>
    <n v="0"/>
    <x v="0"/>
    <x v="0"/>
    <x v="0"/>
    <m/>
    <x v="0"/>
    <x v="0"/>
    <x v="0"/>
    <x v="0"/>
    <x v="0"/>
    <x v="0"/>
    <x v="0"/>
    <x v="0"/>
    <x v="0"/>
    <x v="0"/>
    <x v="0"/>
    <x v="0"/>
    <x v="0"/>
    <x v="0"/>
    <m/>
    <m/>
    <n v="0"/>
    <x v="0"/>
    <x v="0"/>
    <m/>
    <n v="0"/>
    <x v="0"/>
    <m/>
    <x v="0"/>
    <x v="0"/>
    <x v="0"/>
  </r>
  <r>
    <m/>
    <m/>
    <x v="253"/>
    <m/>
    <x v="17"/>
    <m/>
    <x v="0"/>
    <x v="17"/>
    <m/>
    <x v="0"/>
    <m/>
    <x v="0"/>
    <x v="0"/>
    <x v="0"/>
    <x v="0"/>
    <m/>
    <x v="0"/>
    <x v="0"/>
    <m/>
    <m/>
    <m/>
    <m/>
    <x v="0"/>
    <m/>
    <m/>
    <x v="0"/>
    <x v="0"/>
    <m/>
    <x v="0"/>
    <m/>
    <n v="0"/>
    <x v="0"/>
    <x v="0"/>
    <x v="0"/>
    <m/>
    <x v="0"/>
    <x v="0"/>
    <x v="0"/>
    <x v="0"/>
    <x v="0"/>
    <x v="0"/>
    <x v="0"/>
    <x v="0"/>
    <x v="0"/>
    <x v="0"/>
    <x v="0"/>
    <x v="0"/>
    <x v="0"/>
    <x v="0"/>
    <m/>
    <m/>
    <n v="0"/>
    <x v="0"/>
    <x v="0"/>
    <m/>
    <n v="0"/>
    <x v="0"/>
    <m/>
    <x v="0"/>
    <x v="0"/>
    <x v="0"/>
  </r>
  <r>
    <m/>
    <m/>
    <x v="253"/>
    <m/>
    <x v="17"/>
    <m/>
    <x v="0"/>
    <x v="17"/>
    <m/>
    <x v="0"/>
    <m/>
    <x v="0"/>
    <x v="0"/>
    <x v="0"/>
    <x v="0"/>
    <m/>
    <x v="0"/>
    <x v="0"/>
    <m/>
    <m/>
    <m/>
    <m/>
    <x v="0"/>
    <m/>
    <m/>
    <x v="0"/>
    <x v="0"/>
    <m/>
    <x v="0"/>
    <m/>
    <n v="0"/>
    <x v="0"/>
    <x v="0"/>
    <x v="0"/>
    <m/>
    <x v="0"/>
    <x v="0"/>
    <x v="0"/>
    <x v="0"/>
    <x v="0"/>
    <x v="0"/>
    <x v="0"/>
    <x v="0"/>
    <x v="0"/>
    <x v="0"/>
    <x v="0"/>
    <x v="0"/>
    <x v="0"/>
    <x v="0"/>
    <m/>
    <m/>
    <n v="0"/>
    <x v="0"/>
    <x v="0"/>
    <m/>
    <n v="0"/>
    <x v="0"/>
    <m/>
    <x v="0"/>
    <x v="0"/>
    <x v="0"/>
  </r>
  <r>
    <m/>
    <m/>
    <x v="253"/>
    <m/>
    <x v="17"/>
    <m/>
    <x v="0"/>
    <x v="17"/>
    <m/>
    <x v="0"/>
    <m/>
    <x v="0"/>
    <x v="0"/>
    <x v="0"/>
    <x v="0"/>
    <m/>
    <x v="0"/>
    <x v="0"/>
    <m/>
    <m/>
    <m/>
    <m/>
    <x v="0"/>
    <m/>
    <m/>
    <x v="0"/>
    <x v="0"/>
    <m/>
    <x v="0"/>
    <m/>
    <n v="0"/>
    <x v="0"/>
    <x v="0"/>
    <x v="0"/>
    <m/>
    <x v="0"/>
    <x v="0"/>
    <x v="0"/>
    <x v="0"/>
    <x v="0"/>
    <x v="0"/>
    <x v="0"/>
    <x v="0"/>
    <x v="0"/>
    <x v="0"/>
    <x v="0"/>
    <x v="0"/>
    <x v="0"/>
    <x v="0"/>
    <m/>
    <m/>
    <n v="0"/>
    <x v="0"/>
    <x v="0"/>
    <m/>
    <n v="0"/>
    <x v="0"/>
    <m/>
    <x v="0"/>
    <x v="0"/>
    <x v="0"/>
  </r>
  <r>
    <m/>
    <m/>
    <x v="253"/>
    <m/>
    <x v="17"/>
    <m/>
    <x v="0"/>
    <x v="17"/>
    <m/>
    <x v="0"/>
    <m/>
    <x v="0"/>
    <x v="0"/>
    <x v="0"/>
    <x v="0"/>
    <m/>
    <x v="0"/>
    <x v="0"/>
    <m/>
    <m/>
    <m/>
    <m/>
    <x v="0"/>
    <m/>
    <m/>
    <x v="0"/>
    <x v="0"/>
    <m/>
    <x v="0"/>
    <m/>
    <n v="0"/>
    <x v="0"/>
    <x v="0"/>
    <x v="0"/>
    <m/>
    <x v="0"/>
    <x v="0"/>
    <x v="0"/>
    <x v="0"/>
    <x v="0"/>
    <x v="0"/>
    <x v="0"/>
    <x v="0"/>
    <x v="0"/>
    <x v="0"/>
    <x v="0"/>
    <x v="0"/>
    <x v="0"/>
    <x v="0"/>
    <m/>
    <m/>
    <n v="0"/>
    <x v="0"/>
    <x v="0"/>
    <m/>
    <n v="0"/>
    <x v="0"/>
    <m/>
    <x v="0"/>
    <x v="0"/>
    <x v="0"/>
  </r>
  <r>
    <m/>
    <m/>
    <x v="253"/>
    <m/>
    <x v="17"/>
    <m/>
    <x v="0"/>
    <x v="17"/>
    <m/>
    <x v="0"/>
    <m/>
    <x v="0"/>
    <x v="0"/>
    <x v="0"/>
    <x v="0"/>
    <m/>
    <x v="0"/>
    <x v="0"/>
    <m/>
    <m/>
    <m/>
    <m/>
    <x v="0"/>
    <m/>
    <m/>
    <x v="0"/>
    <x v="0"/>
    <m/>
    <x v="0"/>
    <m/>
    <n v="0"/>
    <x v="0"/>
    <x v="0"/>
    <x v="0"/>
    <m/>
    <x v="0"/>
    <x v="0"/>
    <x v="0"/>
    <x v="0"/>
    <x v="0"/>
    <x v="0"/>
    <x v="0"/>
    <x v="0"/>
    <x v="0"/>
    <x v="0"/>
    <x v="0"/>
    <x v="0"/>
    <x v="0"/>
    <x v="0"/>
    <m/>
    <m/>
    <n v="0"/>
    <x v="0"/>
    <x v="0"/>
    <m/>
    <n v="0"/>
    <x v="0"/>
    <m/>
    <x v="0"/>
    <x v="0"/>
    <x v="0"/>
  </r>
  <r>
    <m/>
    <m/>
    <x v="253"/>
    <m/>
    <x v="17"/>
    <m/>
    <x v="0"/>
    <x v="17"/>
    <m/>
    <x v="0"/>
    <m/>
    <x v="0"/>
    <x v="0"/>
    <x v="0"/>
    <x v="0"/>
    <m/>
    <x v="0"/>
    <x v="0"/>
    <m/>
    <m/>
    <m/>
    <m/>
    <x v="0"/>
    <m/>
    <m/>
    <x v="0"/>
    <x v="0"/>
    <m/>
    <x v="0"/>
    <m/>
    <m/>
    <x v="0"/>
    <x v="0"/>
    <x v="0"/>
    <m/>
    <x v="0"/>
    <x v="0"/>
    <x v="0"/>
    <x v="0"/>
    <x v="0"/>
    <x v="0"/>
    <x v="0"/>
    <x v="0"/>
    <x v="0"/>
    <x v="0"/>
    <x v="0"/>
    <x v="0"/>
    <x v="0"/>
    <x v="0"/>
    <m/>
    <m/>
    <m/>
    <x v="0"/>
    <x v="0"/>
    <m/>
    <m/>
    <x v="0"/>
    <m/>
    <x v="0"/>
    <x v="0"/>
    <x v="0"/>
  </r>
  <r>
    <m/>
    <m/>
    <x v="253"/>
    <m/>
    <x v="17"/>
    <m/>
    <x v="0"/>
    <x v="17"/>
    <m/>
    <x v="0"/>
    <m/>
    <x v="0"/>
    <x v="0"/>
    <x v="0"/>
    <x v="0"/>
    <m/>
    <x v="0"/>
    <x v="0"/>
    <m/>
    <m/>
    <m/>
    <m/>
    <x v="0"/>
    <m/>
    <m/>
    <x v="0"/>
    <x v="0"/>
    <m/>
    <x v="0"/>
    <m/>
    <m/>
    <x v="0"/>
    <x v="0"/>
    <x v="0"/>
    <m/>
    <x v="0"/>
    <x v="0"/>
    <x v="0"/>
    <x v="0"/>
    <x v="0"/>
    <x v="0"/>
    <x v="0"/>
    <x v="0"/>
    <x v="0"/>
    <x v="0"/>
    <x v="0"/>
    <x v="0"/>
    <x v="0"/>
    <x v="0"/>
    <m/>
    <m/>
    <m/>
    <x v="0"/>
    <x v="0"/>
    <m/>
    <m/>
    <x v="0"/>
    <m/>
    <x v="0"/>
    <x v="0"/>
    <x v="0"/>
  </r>
  <r>
    <m/>
    <m/>
    <x v="253"/>
    <m/>
    <x v="17"/>
    <m/>
    <x v="0"/>
    <x v="17"/>
    <m/>
    <x v="0"/>
    <m/>
    <x v="0"/>
    <x v="0"/>
    <x v="0"/>
    <x v="0"/>
    <m/>
    <x v="0"/>
    <x v="0"/>
    <m/>
    <m/>
    <m/>
    <m/>
    <x v="0"/>
    <m/>
    <m/>
    <x v="0"/>
    <x v="0"/>
    <m/>
    <x v="0"/>
    <m/>
    <m/>
    <x v="0"/>
    <x v="0"/>
    <x v="0"/>
    <m/>
    <x v="0"/>
    <x v="0"/>
    <x v="0"/>
    <x v="0"/>
    <x v="0"/>
    <x v="0"/>
    <x v="0"/>
    <x v="0"/>
    <x v="0"/>
    <x v="0"/>
    <x v="0"/>
    <x v="0"/>
    <x v="0"/>
    <x v="0"/>
    <m/>
    <m/>
    <m/>
    <x v="0"/>
    <x v="0"/>
    <m/>
    <m/>
    <x v="0"/>
    <m/>
    <x v="0"/>
    <x v="0"/>
    <x v="0"/>
  </r>
  <r>
    <m/>
    <m/>
    <x v="253"/>
    <m/>
    <x v="17"/>
    <m/>
    <x v="0"/>
    <x v="17"/>
    <m/>
    <x v="0"/>
    <m/>
    <x v="0"/>
    <x v="0"/>
    <x v="0"/>
    <x v="0"/>
    <m/>
    <x v="0"/>
    <x v="0"/>
    <m/>
    <m/>
    <m/>
    <m/>
    <x v="0"/>
    <m/>
    <m/>
    <x v="0"/>
    <x v="0"/>
    <m/>
    <x v="0"/>
    <m/>
    <m/>
    <x v="0"/>
    <x v="0"/>
    <x v="0"/>
    <m/>
    <x v="0"/>
    <x v="0"/>
    <x v="0"/>
    <x v="0"/>
    <x v="0"/>
    <x v="0"/>
    <x v="0"/>
    <x v="0"/>
    <x v="0"/>
    <x v="0"/>
    <x v="0"/>
    <x v="0"/>
    <x v="0"/>
    <x v="0"/>
    <m/>
    <m/>
    <m/>
    <x v="0"/>
    <x v="0"/>
    <m/>
    <m/>
    <x v="0"/>
    <m/>
    <x v="0"/>
    <x v="0"/>
    <x v="0"/>
  </r>
  <r>
    <m/>
    <m/>
    <x v="253"/>
    <m/>
    <x v="17"/>
    <m/>
    <x v="0"/>
    <x v="17"/>
    <m/>
    <x v="0"/>
    <m/>
    <x v="0"/>
    <x v="0"/>
    <x v="0"/>
    <x v="0"/>
    <m/>
    <x v="0"/>
    <x v="0"/>
    <m/>
    <m/>
    <m/>
    <m/>
    <x v="0"/>
    <m/>
    <m/>
    <x v="0"/>
    <x v="0"/>
    <m/>
    <x v="0"/>
    <m/>
    <m/>
    <x v="0"/>
    <x v="0"/>
    <x v="0"/>
    <m/>
    <x v="0"/>
    <x v="0"/>
    <x v="0"/>
    <x v="0"/>
    <x v="0"/>
    <x v="0"/>
    <x v="0"/>
    <x v="0"/>
    <x v="0"/>
    <x v="0"/>
    <x v="0"/>
    <x v="0"/>
    <x v="0"/>
    <x v="0"/>
    <m/>
    <m/>
    <m/>
    <x v="0"/>
    <x v="0"/>
    <m/>
    <m/>
    <x v="0"/>
    <m/>
    <x v="0"/>
    <x v="0"/>
    <x v="0"/>
  </r>
  <r>
    <m/>
    <m/>
    <x v="253"/>
    <m/>
    <x v="17"/>
    <m/>
    <x v="0"/>
    <x v="17"/>
    <m/>
    <x v="0"/>
    <m/>
    <x v="0"/>
    <x v="0"/>
    <x v="0"/>
    <x v="0"/>
    <m/>
    <x v="0"/>
    <x v="0"/>
    <m/>
    <m/>
    <m/>
    <m/>
    <x v="0"/>
    <m/>
    <m/>
    <x v="0"/>
    <x v="0"/>
    <m/>
    <x v="0"/>
    <m/>
    <m/>
    <x v="0"/>
    <x v="0"/>
    <x v="0"/>
    <m/>
    <x v="0"/>
    <x v="0"/>
    <x v="0"/>
    <x v="0"/>
    <x v="0"/>
    <x v="0"/>
    <x v="0"/>
    <x v="0"/>
    <x v="0"/>
    <x v="0"/>
    <x v="0"/>
    <x v="0"/>
    <x v="0"/>
    <x v="0"/>
    <m/>
    <m/>
    <m/>
    <x v="0"/>
    <x v="0"/>
    <m/>
    <m/>
    <x v="0"/>
    <m/>
    <x v="0"/>
    <x v="0"/>
    <x v="0"/>
  </r>
  <r>
    <m/>
    <m/>
    <x v="253"/>
    <m/>
    <x v="17"/>
    <m/>
    <x v="0"/>
    <x v="17"/>
    <m/>
    <x v="0"/>
    <m/>
    <x v="0"/>
    <x v="0"/>
    <x v="0"/>
    <x v="0"/>
    <m/>
    <x v="0"/>
    <x v="0"/>
    <m/>
    <m/>
    <m/>
    <m/>
    <x v="0"/>
    <m/>
    <m/>
    <x v="0"/>
    <x v="0"/>
    <m/>
    <x v="0"/>
    <m/>
    <m/>
    <x v="0"/>
    <x v="0"/>
    <x v="0"/>
    <m/>
    <x v="0"/>
    <x v="0"/>
    <x v="0"/>
    <x v="0"/>
    <x v="0"/>
    <x v="0"/>
    <x v="0"/>
    <x v="0"/>
    <x v="0"/>
    <x v="0"/>
    <x v="0"/>
    <x v="0"/>
    <x v="0"/>
    <x v="0"/>
    <m/>
    <m/>
    <m/>
    <x v="0"/>
    <x v="0"/>
    <m/>
    <m/>
    <x v="0"/>
    <m/>
    <x v="0"/>
    <x v="0"/>
    <x v="0"/>
  </r>
  <r>
    <m/>
    <m/>
    <x v="253"/>
    <m/>
    <x v="17"/>
    <m/>
    <x v="0"/>
    <x v="17"/>
    <m/>
    <x v="0"/>
    <m/>
    <x v="0"/>
    <x v="0"/>
    <x v="0"/>
    <x v="0"/>
    <m/>
    <x v="0"/>
    <x v="0"/>
    <m/>
    <m/>
    <m/>
    <m/>
    <x v="0"/>
    <m/>
    <m/>
    <x v="0"/>
    <x v="0"/>
    <m/>
    <x v="0"/>
    <m/>
    <m/>
    <x v="0"/>
    <x v="0"/>
    <x v="0"/>
    <m/>
    <x v="0"/>
    <x v="0"/>
    <x v="0"/>
    <x v="0"/>
    <x v="0"/>
    <x v="0"/>
    <x v="0"/>
    <x v="0"/>
    <x v="0"/>
    <x v="0"/>
    <x v="0"/>
    <x v="0"/>
    <x v="0"/>
    <x v="0"/>
    <m/>
    <m/>
    <m/>
    <x v="0"/>
    <x v="0"/>
    <m/>
    <m/>
    <x v="0"/>
    <m/>
    <x v="0"/>
    <x v="0"/>
    <x v="0"/>
  </r>
  <r>
    <m/>
    <m/>
    <x v="253"/>
    <m/>
    <x v="17"/>
    <m/>
    <x v="0"/>
    <x v="17"/>
    <m/>
    <x v="0"/>
    <m/>
    <x v="0"/>
    <x v="0"/>
    <x v="0"/>
    <x v="0"/>
    <m/>
    <x v="0"/>
    <x v="0"/>
    <m/>
    <m/>
    <m/>
    <m/>
    <x v="0"/>
    <m/>
    <m/>
    <x v="0"/>
    <x v="0"/>
    <m/>
    <x v="0"/>
    <m/>
    <m/>
    <x v="0"/>
    <x v="0"/>
    <x v="0"/>
    <m/>
    <x v="0"/>
    <x v="0"/>
    <x v="0"/>
    <x v="0"/>
    <x v="0"/>
    <x v="0"/>
    <x v="0"/>
    <x v="0"/>
    <x v="0"/>
    <x v="0"/>
    <x v="0"/>
    <x v="0"/>
    <x v="0"/>
    <x v="0"/>
    <m/>
    <m/>
    <m/>
    <x v="0"/>
    <x v="0"/>
    <m/>
    <m/>
    <x v="0"/>
    <m/>
    <x v="0"/>
    <x v="0"/>
    <x v="0"/>
  </r>
  <r>
    <m/>
    <m/>
    <x v="253"/>
    <m/>
    <x v="17"/>
    <m/>
    <x v="0"/>
    <x v="17"/>
    <m/>
    <x v="0"/>
    <m/>
    <x v="0"/>
    <x v="0"/>
    <x v="0"/>
    <x v="0"/>
    <m/>
    <x v="0"/>
    <x v="0"/>
    <m/>
    <m/>
    <m/>
    <m/>
    <x v="0"/>
    <m/>
    <m/>
    <x v="0"/>
    <x v="0"/>
    <m/>
    <x v="0"/>
    <m/>
    <m/>
    <x v="0"/>
    <x v="0"/>
    <x v="0"/>
    <m/>
    <x v="0"/>
    <x v="0"/>
    <x v="0"/>
    <x v="0"/>
    <x v="0"/>
    <x v="0"/>
    <x v="0"/>
    <x v="0"/>
    <x v="0"/>
    <x v="0"/>
    <x v="0"/>
    <x v="0"/>
    <x v="0"/>
    <x v="0"/>
    <m/>
    <m/>
    <m/>
    <x v="0"/>
    <x v="0"/>
    <m/>
    <m/>
    <x v="0"/>
    <m/>
    <x v="0"/>
    <x v="0"/>
    <x v="0"/>
  </r>
  <r>
    <m/>
    <m/>
    <x v="253"/>
    <m/>
    <x v="17"/>
    <m/>
    <x v="0"/>
    <x v="17"/>
    <m/>
    <x v="0"/>
    <m/>
    <x v="0"/>
    <x v="0"/>
    <x v="0"/>
    <x v="0"/>
    <m/>
    <x v="0"/>
    <x v="0"/>
    <m/>
    <m/>
    <m/>
    <m/>
    <x v="0"/>
    <m/>
    <m/>
    <x v="0"/>
    <x v="0"/>
    <m/>
    <x v="0"/>
    <m/>
    <m/>
    <x v="0"/>
    <x v="0"/>
    <x v="0"/>
    <m/>
    <x v="0"/>
    <x v="0"/>
    <x v="0"/>
    <x v="0"/>
    <x v="0"/>
    <x v="0"/>
    <x v="0"/>
    <x v="0"/>
    <x v="0"/>
    <x v="0"/>
    <x v="0"/>
    <x v="0"/>
    <x v="0"/>
    <x v="0"/>
    <m/>
    <m/>
    <m/>
    <x v="0"/>
    <x v="0"/>
    <m/>
    <m/>
    <x v="0"/>
    <m/>
    <x v="0"/>
    <x v="0"/>
    <x v="0"/>
  </r>
  <r>
    <m/>
    <m/>
    <x v="253"/>
    <m/>
    <x v="17"/>
    <m/>
    <x v="0"/>
    <x v="17"/>
    <m/>
    <x v="0"/>
    <m/>
    <x v="0"/>
    <x v="0"/>
    <x v="0"/>
    <x v="0"/>
    <m/>
    <x v="0"/>
    <x v="0"/>
    <m/>
    <m/>
    <m/>
    <m/>
    <x v="0"/>
    <m/>
    <m/>
    <x v="0"/>
    <x v="0"/>
    <m/>
    <x v="0"/>
    <m/>
    <m/>
    <x v="0"/>
    <x v="0"/>
    <x v="0"/>
    <m/>
    <x v="0"/>
    <x v="0"/>
    <x v="0"/>
    <x v="0"/>
    <x v="0"/>
    <x v="0"/>
    <x v="0"/>
    <x v="0"/>
    <x v="0"/>
    <x v="0"/>
    <x v="0"/>
    <x v="0"/>
    <x v="0"/>
    <x v="0"/>
    <m/>
    <m/>
    <m/>
    <x v="0"/>
    <x v="0"/>
    <m/>
    <m/>
    <x v="0"/>
    <m/>
    <x v="0"/>
    <x v="0"/>
    <x v="0"/>
  </r>
  <r>
    <m/>
    <m/>
    <x v="253"/>
    <m/>
    <x v="17"/>
    <m/>
    <x v="0"/>
    <x v="17"/>
    <m/>
    <x v="0"/>
    <m/>
    <x v="0"/>
    <x v="0"/>
    <x v="0"/>
    <x v="0"/>
    <m/>
    <x v="0"/>
    <x v="0"/>
    <m/>
    <m/>
    <m/>
    <m/>
    <x v="0"/>
    <m/>
    <m/>
    <x v="0"/>
    <x v="0"/>
    <m/>
    <x v="0"/>
    <m/>
    <m/>
    <x v="0"/>
    <x v="0"/>
    <x v="0"/>
    <m/>
    <x v="0"/>
    <x v="0"/>
    <x v="0"/>
    <x v="0"/>
    <x v="0"/>
    <x v="0"/>
    <x v="0"/>
    <x v="0"/>
    <x v="0"/>
    <x v="0"/>
    <x v="0"/>
    <x v="0"/>
    <x v="0"/>
    <x v="0"/>
    <m/>
    <m/>
    <m/>
    <x v="0"/>
    <x v="0"/>
    <m/>
    <m/>
    <x v="0"/>
    <m/>
    <x v="0"/>
    <x v="0"/>
    <x v="0"/>
  </r>
  <r>
    <m/>
    <m/>
    <x v="253"/>
    <m/>
    <x v="17"/>
    <m/>
    <x v="0"/>
    <x v="17"/>
    <m/>
    <x v="0"/>
    <m/>
    <x v="0"/>
    <x v="0"/>
    <x v="0"/>
    <x v="0"/>
    <m/>
    <x v="0"/>
    <x v="0"/>
    <m/>
    <m/>
    <m/>
    <m/>
    <x v="0"/>
    <m/>
    <m/>
    <x v="0"/>
    <x v="0"/>
    <m/>
    <x v="0"/>
    <m/>
    <m/>
    <x v="0"/>
    <x v="0"/>
    <x v="0"/>
    <m/>
    <x v="0"/>
    <x v="0"/>
    <x v="0"/>
    <x v="0"/>
    <x v="0"/>
    <x v="0"/>
    <x v="0"/>
    <x v="0"/>
    <x v="0"/>
    <x v="0"/>
    <x v="0"/>
    <x v="0"/>
    <x v="0"/>
    <x v="0"/>
    <m/>
    <m/>
    <m/>
    <x v="0"/>
    <x v="0"/>
    <m/>
    <m/>
    <x v="0"/>
    <m/>
    <x v="0"/>
    <x v="0"/>
    <x v="0"/>
  </r>
  <r>
    <m/>
    <m/>
    <x v="253"/>
    <m/>
    <x v="17"/>
    <m/>
    <x v="0"/>
    <x v="17"/>
    <m/>
    <x v="0"/>
    <m/>
    <x v="0"/>
    <x v="0"/>
    <x v="0"/>
    <x v="0"/>
    <m/>
    <x v="0"/>
    <x v="0"/>
    <m/>
    <m/>
    <m/>
    <m/>
    <x v="0"/>
    <m/>
    <m/>
    <x v="0"/>
    <x v="0"/>
    <m/>
    <x v="0"/>
    <m/>
    <m/>
    <x v="0"/>
    <x v="0"/>
    <x v="0"/>
    <m/>
    <x v="0"/>
    <x v="0"/>
    <x v="0"/>
    <x v="0"/>
    <x v="0"/>
    <x v="0"/>
    <x v="0"/>
    <x v="0"/>
    <x v="0"/>
    <x v="0"/>
    <x v="0"/>
    <x v="0"/>
    <x v="0"/>
    <x v="0"/>
    <m/>
    <m/>
    <m/>
    <x v="0"/>
    <x v="0"/>
    <m/>
    <m/>
    <x v="0"/>
    <m/>
    <x v="0"/>
    <x v="0"/>
    <x v="0"/>
  </r>
  <r>
    <m/>
    <m/>
    <x v="253"/>
    <m/>
    <x v="17"/>
    <m/>
    <x v="0"/>
    <x v="17"/>
    <m/>
    <x v="0"/>
    <m/>
    <x v="0"/>
    <x v="0"/>
    <x v="0"/>
    <x v="0"/>
    <m/>
    <x v="0"/>
    <x v="0"/>
    <m/>
    <m/>
    <m/>
    <m/>
    <x v="0"/>
    <m/>
    <m/>
    <x v="0"/>
    <x v="0"/>
    <m/>
    <x v="0"/>
    <m/>
    <m/>
    <x v="0"/>
    <x v="0"/>
    <x v="0"/>
    <m/>
    <x v="0"/>
    <x v="0"/>
    <x v="0"/>
    <x v="0"/>
    <x v="0"/>
    <x v="0"/>
    <x v="0"/>
    <x v="0"/>
    <x v="0"/>
    <x v="0"/>
    <x v="0"/>
    <x v="0"/>
    <x v="0"/>
    <x v="0"/>
    <m/>
    <m/>
    <m/>
    <x v="0"/>
    <x v="0"/>
    <m/>
    <m/>
    <x v="0"/>
    <m/>
    <x v="0"/>
    <x v="0"/>
    <x v="0"/>
  </r>
  <r>
    <m/>
    <m/>
    <x v="253"/>
    <m/>
    <x v="17"/>
    <m/>
    <x v="0"/>
    <x v="17"/>
    <m/>
    <x v="0"/>
    <m/>
    <x v="0"/>
    <x v="0"/>
    <x v="0"/>
    <x v="0"/>
    <m/>
    <x v="0"/>
    <x v="0"/>
    <m/>
    <m/>
    <m/>
    <m/>
    <x v="0"/>
    <m/>
    <m/>
    <x v="0"/>
    <x v="0"/>
    <m/>
    <x v="0"/>
    <m/>
    <m/>
    <x v="0"/>
    <x v="0"/>
    <x v="0"/>
    <m/>
    <x v="0"/>
    <x v="0"/>
    <x v="0"/>
    <x v="0"/>
    <x v="0"/>
    <x v="0"/>
    <x v="0"/>
    <x v="0"/>
    <x v="0"/>
    <x v="0"/>
    <x v="0"/>
    <x v="0"/>
    <x v="0"/>
    <x v="0"/>
    <m/>
    <m/>
    <m/>
    <x v="0"/>
    <x v="0"/>
    <m/>
    <m/>
    <x v="0"/>
    <m/>
    <x v="0"/>
    <x v="0"/>
    <x v="0"/>
  </r>
  <r>
    <m/>
    <m/>
    <x v="253"/>
    <m/>
    <x v="17"/>
    <m/>
    <x v="0"/>
    <x v="17"/>
    <m/>
    <x v="0"/>
    <m/>
    <x v="0"/>
    <x v="0"/>
    <x v="0"/>
    <x v="0"/>
    <m/>
    <x v="0"/>
    <x v="0"/>
    <m/>
    <m/>
    <m/>
    <m/>
    <x v="0"/>
    <m/>
    <m/>
    <x v="0"/>
    <x v="0"/>
    <m/>
    <x v="0"/>
    <m/>
    <m/>
    <x v="0"/>
    <x v="0"/>
    <x v="0"/>
    <m/>
    <x v="0"/>
    <x v="0"/>
    <x v="0"/>
    <x v="0"/>
    <x v="0"/>
    <x v="0"/>
    <x v="0"/>
    <x v="0"/>
    <x v="0"/>
    <x v="0"/>
    <x v="0"/>
    <x v="0"/>
    <x v="0"/>
    <x v="0"/>
    <m/>
    <m/>
    <m/>
    <x v="0"/>
    <x v="0"/>
    <m/>
    <m/>
    <x v="0"/>
    <m/>
    <x v="0"/>
    <x v="0"/>
    <x v="0"/>
  </r>
  <r>
    <m/>
    <m/>
    <x v="253"/>
    <m/>
    <x v="17"/>
    <m/>
    <x v="0"/>
    <x v="17"/>
    <m/>
    <x v="0"/>
    <m/>
    <x v="0"/>
    <x v="0"/>
    <x v="0"/>
    <x v="0"/>
    <m/>
    <x v="0"/>
    <x v="0"/>
    <m/>
    <m/>
    <m/>
    <m/>
    <x v="0"/>
    <m/>
    <m/>
    <x v="0"/>
    <x v="0"/>
    <m/>
    <x v="0"/>
    <m/>
    <m/>
    <x v="0"/>
    <x v="0"/>
    <x v="0"/>
    <m/>
    <x v="0"/>
    <x v="0"/>
    <x v="0"/>
    <x v="0"/>
    <x v="0"/>
    <x v="0"/>
    <x v="0"/>
    <x v="0"/>
    <x v="0"/>
    <x v="0"/>
    <x v="0"/>
    <x v="0"/>
    <x v="0"/>
    <x v="0"/>
    <m/>
    <m/>
    <m/>
    <x v="0"/>
    <x v="0"/>
    <m/>
    <m/>
    <x v="0"/>
    <m/>
    <x v="0"/>
    <x v="0"/>
    <x v="0"/>
  </r>
  <r>
    <m/>
    <m/>
    <x v="253"/>
    <m/>
    <x v="17"/>
    <m/>
    <x v="0"/>
    <x v="17"/>
    <m/>
    <x v="0"/>
    <m/>
    <x v="0"/>
    <x v="0"/>
    <x v="0"/>
    <x v="0"/>
    <m/>
    <x v="0"/>
    <x v="0"/>
    <m/>
    <m/>
    <m/>
    <m/>
    <x v="0"/>
    <m/>
    <m/>
    <x v="0"/>
    <x v="0"/>
    <m/>
    <x v="0"/>
    <m/>
    <m/>
    <x v="0"/>
    <x v="0"/>
    <x v="0"/>
    <m/>
    <x v="0"/>
    <x v="0"/>
    <x v="0"/>
    <x v="0"/>
    <x v="0"/>
    <x v="0"/>
    <x v="0"/>
    <x v="0"/>
    <x v="0"/>
    <x v="0"/>
    <x v="0"/>
    <x v="0"/>
    <x v="0"/>
    <x v="0"/>
    <m/>
    <m/>
    <m/>
    <x v="0"/>
    <x v="0"/>
    <m/>
    <m/>
    <x v="0"/>
    <m/>
    <x v="0"/>
    <x v="0"/>
    <x v="0"/>
  </r>
  <r>
    <m/>
    <m/>
    <x v="253"/>
    <m/>
    <x v="17"/>
    <m/>
    <x v="0"/>
    <x v="17"/>
    <m/>
    <x v="0"/>
    <m/>
    <x v="0"/>
    <x v="0"/>
    <x v="0"/>
    <x v="0"/>
    <m/>
    <x v="0"/>
    <x v="0"/>
    <m/>
    <m/>
    <m/>
    <m/>
    <x v="0"/>
    <m/>
    <m/>
    <x v="0"/>
    <x v="0"/>
    <m/>
    <x v="0"/>
    <m/>
    <m/>
    <x v="0"/>
    <x v="0"/>
    <x v="0"/>
    <m/>
    <x v="0"/>
    <x v="0"/>
    <x v="0"/>
    <x v="0"/>
    <x v="0"/>
    <x v="0"/>
    <x v="0"/>
    <x v="0"/>
    <x v="0"/>
    <x v="0"/>
    <x v="0"/>
    <x v="0"/>
    <x v="0"/>
    <x v="0"/>
    <m/>
    <m/>
    <m/>
    <x v="0"/>
    <x v="0"/>
    <m/>
    <m/>
    <x v="0"/>
    <m/>
    <x v="0"/>
    <x v="0"/>
    <x v="0"/>
  </r>
  <r>
    <m/>
    <m/>
    <x v="253"/>
    <m/>
    <x v="17"/>
    <m/>
    <x v="0"/>
    <x v="17"/>
    <m/>
    <x v="0"/>
    <m/>
    <x v="0"/>
    <x v="0"/>
    <x v="0"/>
    <x v="0"/>
    <m/>
    <x v="0"/>
    <x v="0"/>
    <m/>
    <m/>
    <m/>
    <m/>
    <x v="0"/>
    <m/>
    <m/>
    <x v="0"/>
    <x v="0"/>
    <m/>
    <x v="0"/>
    <m/>
    <m/>
    <x v="0"/>
    <x v="0"/>
    <x v="0"/>
    <m/>
    <x v="0"/>
    <x v="0"/>
    <x v="0"/>
    <x v="0"/>
    <x v="0"/>
    <x v="0"/>
    <x v="0"/>
    <x v="0"/>
    <x v="0"/>
    <x v="0"/>
    <x v="0"/>
    <x v="0"/>
    <x v="0"/>
    <x v="0"/>
    <m/>
    <m/>
    <m/>
    <x v="0"/>
    <x v="0"/>
    <m/>
    <m/>
    <x v="0"/>
    <m/>
    <x v="0"/>
    <x v="0"/>
    <x v="0"/>
  </r>
  <r>
    <m/>
    <m/>
    <x v="253"/>
    <m/>
    <x v="17"/>
    <m/>
    <x v="0"/>
    <x v="17"/>
    <m/>
    <x v="0"/>
    <m/>
    <x v="0"/>
    <x v="0"/>
    <x v="0"/>
    <x v="0"/>
    <m/>
    <x v="0"/>
    <x v="0"/>
    <m/>
    <m/>
    <m/>
    <m/>
    <x v="0"/>
    <m/>
    <m/>
    <x v="0"/>
    <x v="0"/>
    <m/>
    <x v="0"/>
    <m/>
    <m/>
    <x v="0"/>
    <x v="0"/>
    <x v="0"/>
    <m/>
    <x v="0"/>
    <x v="0"/>
    <x v="0"/>
    <x v="0"/>
    <x v="0"/>
    <x v="0"/>
    <x v="0"/>
    <x v="0"/>
    <x v="0"/>
    <x v="0"/>
    <x v="0"/>
    <x v="0"/>
    <x v="0"/>
    <x v="0"/>
    <m/>
    <m/>
    <m/>
    <x v="0"/>
    <x v="0"/>
    <m/>
    <m/>
    <x v="0"/>
    <m/>
    <x v="0"/>
    <x v="0"/>
    <x v="0"/>
  </r>
  <r>
    <m/>
    <m/>
    <x v="253"/>
    <m/>
    <x v="17"/>
    <m/>
    <x v="0"/>
    <x v="17"/>
    <m/>
    <x v="0"/>
    <m/>
    <x v="0"/>
    <x v="0"/>
    <x v="0"/>
    <x v="0"/>
    <m/>
    <x v="0"/>
    <x v="0"/>
    <m/>
    <m/>
    <m/>
    <m/>
    <x v="0"/>
    <m/>
    <m/>
    <x v="0"/>
    <x v="0"/>
    <m/>
    <x v="0"/>
    <m/>
    <m/>
    <x v="0"/>
    <x v="0"/>
    <x v="0"/>
    <m/>
    <x v="0"/>
    <x v="0"/>
    <x v="0"/>
    <x v="0"/>
    <x v="0"/>
    <x v="0"/>
    <x v="0"/>
    <x v="0"/>
    <x v="0"/>
    <x v="0"/>
    <x v="0"/>
    <x v="0"/>
    <x v="0"/>
    <x v="0"/>
    <m/>
    <m/>
    <m/>
    <x v="0"/>
    <x v="0"/>
    <m/>
    <m/>
    <x v="0"/>
    <m/>
    <x v="0"/>
    <x v="0"/>
    <x v="0"/>
  </r>
  <r>
    <m/>
    <m/>
    <x v="253"/>
    <m/>
    <x v="17"/>
    <m/>
    <x v="0"/>
    <x v="17"/>
    <m/>
    <x v="0"/>
    <m/>
    <x v="0"/>
    <x v="0"/>
    <x v="0"/>
    <x v="0"/>
    <m/>
    <x v="0"/>
    <x v="0"/>
    <m/>
    <m/>
    <m/>
    <m/>
    <x v="0"/>
    <m/>
    <m/>
    <x v="0"/>
    <x v="0"/>
    <m/>
    <x v="0"/>
    <m/>
    <m/>
    <x v="0"/>
    <x v="0"/>
    <x v="0"/>
    <m/>
    <x v="0"/>
    <x v="0"/>
    <x v="0"/>
    <x v="0"/>
    <x v="0"/>
    <x v="0"/>
    <x v="0"/>
    <x v="0"/>
    <x v="0"/>
    <x v="0"/>
    <x v="0"/>
    <x v="0"/>
    <x v="0"/>
    <x v="0"/>
    <m/>
    <m/>
    <m/>
    <x v="0"/>
    <x v="0"/>
    <m/>
    <m/>
    <x v="0"/>
    <m/>
    <x v="0"/>
    <x v="0"/>
    <x v="0"/>
  </r>
  <r>
    <m/>
    <m/>
    <x v="253"/>
    <m/>
    <x v="17"/>
    <m/>
    <x v="0"/>
    <x v="17"/>
    <m/>
    <x v="0"/>
    <m/>
    <x v="0"/>
    <x v="0"/>
    <x v="0"/>
    <x v="0"/>
    <m/>
    <x v="0"/>
    <x v="0"/>
    <m/>
    <m/>
    <m/>
    <m/>
    <x v="0"/>
    <m/>
    <m/>
    <x v="0"/>
    <x v="0"/>
    <m/>
    <x v="0"/>
    <m/>
    <m/>
    <x v="0"/>
    <x v="0"/>
    <x v="0"/>
    <m/>
    <x v="0"/>
    <x v="0"/>
    <x v="0"/>
    <x v="0"/>
    <x v="0"/>
    <x v="0"/>
    <x v="0"/>
    <x v="0"/>
    <x v="0"/>
    <x v="0"/>
    <x v="0"/>
    <x v="0"/>
    <x v="0"/>
    <x v="0"/>
    <m/>
    <m/>
    <m/>
    <x v="0"/>
    <x v="0"/>
    <m/>
    <m/>
    <x v="0"/>
    <m/>
    <x v="0"/>
    <x v="0"/>
    <x v="0"/>
  </r>
  <r>
    <m/>
    <m/>
    <x v="253"/>
    <m/>
    <x v="17"/>
    <m/>
    <x v="0"/>
    <x v="17"/>
    <m/>
    <x v="0"/>
    <m/>
    <x v="0"/>
    <x v="0"/>
    <x v="0"/>
    <x v="0"/>
    <m/>
    <x v="0"/>
    <x v="0"/>
    <m/>
    <m/>
    <m/>
    <m/>
    <x v="0"/>
    <m/>
    <m/>
    <x v="0"/>
    <x v="0"/>
    <m/>
    <x v="0"/>
    <m/>
    <m/>
    <x v="0"/>
    <x v="0"/>
    <x v="0"/>
    <m/>
    <x v="0"/>
    <x v="0"/>
    <x v="0"/>
    <x v="0"/>
    <x v="0"/>
    <x v="0"/>
    <x v="0"/>
    <x v="0"/>
    <x v="0"/>
    <x v="0"/>
    <x v="0"/>
    <x v="0"/>
    <x v="0"/>
    <x v="0"/>
    <m/>
    <m/>
    <m/>
    <x v="0"/>
    <x v="0"/>
    <m/>
    <m/>
    <x v="0"/>
    <m/>
    <x v="0"/>
    <x v="0"/>
    <x v="0"/>
  </r>
  <r>
    <m/>
    <m/>
    <x v="253"/>
    <m/>
    <x v="17"/>
    <m/>
    <x v="0"/>
    <x v="17"/>
    <m/>
    <x v="0"/>
    <m/>
    <x v="0"/>
    <x v="0"/>
    <x v="0"/>
    <x v="0"/>
    <m/>
    <x v="0"/>
    <x v="0"/>
    <m/>
    <m/>
    <m/>
    <m/>
    <x v="0"/>
    <m/>
    <m/>
    <x v="0"/>
    <x v="0"/>
    <m/>
    <x v="0"/>
    <m/>
    <m/>
    <x v="0"/>
    <x v="0"/>
    <x v="0"/>
    <m/>
    <x v="0"/>
    <x v="0"/>
    <x v="0"/>
    <x v="0"/>
    <x v="0"/>
    <x v="0"/>
    <x v="0"/>
    <x v="0"/>
    <x v="0"/>
    <x v="0"/>
    <x v="0"/>
    <x v="0"/>
    <x v="0"/>
    <x v="0"/>
    <m/>
    <m/>
    <m/>
    <x v="0"/>
    <x v="0"/>
    <m/>
    <m/>
    <x v="0"/>
    <m/>
    <x v="0"/>
    <x v="0"/>
    <x v="0"/>
  </r>
  <r>
    <m/>
    <m/>
    <x v="253"/>
    <m/>
    <x v="17"/>
    <m/>
    <x v="0"/>
    <x v="17"/>
    <m/>
    <x v="0"/>
    <m/>
    <x v="0"/>
    <x v="0"/>
    <x v="0"/>
    <x v="0"/>
    <m/>
    <x v="0"/>
    <x v="0"/>
    <m/>
    <m/>
    <m/>
    <m/>
    <x v="0"/>
    <m/>
    <m/>
    <x v="0"/>
    <x v="0"/>
    <m/>
    <x v="0"/>
    <m/>
    <m/>
    <x v="0"/>
    <x v="0"/>
    <x v="0"/>
    <m/>
    <x v="0"/>
    <x v="0"/>
    <x v="0"/>
    <x v="0"/>
    <x v="0"/>
    <x v="0"/>
    <x v="0"/>
    <x v="0"/>
    <x v="0"/>
    <x v="0"/>
    <x v="0"/>
    <x v="0"/>
    <x v="0"/>
    <x v="0"/>
    <m/>
    <m/>
    <m/>
    <x v="0"/>
    <x v="0"/>
    <m/>
    <m/>
    <x v="0"/>
    <m/>
    <x v="0"/>
    <x v="0"/>
    <x v="0"/>
  </r>
  <r>
    <m/>
    <m/>
    <x v="253"/>
    <m/>
    <x v="17"/>
    <m/>
    <x v="0"/>
    <x v="17"/>
    <m/>
    <x v="0"/>
    <m/>
    <x v="0"/>
    <x v="0"/>
    <x v="0"/>
    <x v="0"/>
    <m/>
    <x v="0"/>
    <x v="0"/>
    <m/>
    <m/>
    <m/>
    <m/>
    <x v="0"/>
    <m/>
    <m/>
    <x v="0"/>
    <x v="0"/>
    <m/>
    <x v="0"/>
    <m/>
    <m/>
    <x v="0"/>
    <x v="0"/>
    <x v="0"/>
    <m/>
    <x v="0"/>
    <x v="0"/>
    <x v="0"/>
    <x v="0"/>
    <x v="0"/>
    <x v="0"/>
    <x v="0"/>
    <x v="0"/>
    <x v="0"/>
    <x v="0"/>
    <x v="0"/>
    <x v="0"/>
    <x v="0"/>
    <x v="0"/>
    <m/>
    <m/>
    <m/>
    <x v="0"/>
    <x v="0"/>
    <m/>
    <m/>
    <x v="0"/>
    <m/>
    <x v="0"/>
    <x v="0"/>
    <x v="0"/>
  </r>
  <r>
    <m/>
    <m/>
    <x v="253"/>
    <m/>
    <x v="17"/>
    <m/>
    <x v="0"/>
    <x v="17"/>
    <m/>
    <x v="0"/>
    <m/>
    <x v="0"/>
    <x v="0"/>
    <x v="0"/>
    <x v="0"/>
    <m/>
    <x v="0"/>
    <x v="0"/>
    <m/>
    <m/>
    <m/>
    <m/>
    <x v="0"/>
    <m/>
    <m/>
    <x v="0"/>
    <x v="0"/>
    <m/>
    <x v="0"/>
    <m/>
    <m/>
    <x v="0"/>
    <x v="0"/>
    <x v="0"/>
    <m/>
    <x v="0"/>
    <x v="0"/>
    <x v="0"/>
    <x v="0"/>
    <x v="0"/>
    <x v="0"/>
    <x v="0"/>
    <x v="0"/>
    <x v="0"/>
    <x v="0"/>
    <x v="0"/>
    <x v="0"/>
    <x v="0"/>
    <x v="0"/>
    <m/>
    <m/>
    <m/>
    <x v="0"/>
    <x v="0"/>
    <m/>
    <m/>
    <x v="0"/>
    <m/>
    <x v="0"/>
    <x v="0"/>
    <x v="0"/>
  </r>
  <r>
    <m/>
    <m/>
    <x v="253"/>
    <m/>
    <x v="17"/>
    <m/>
    <x v="0"/>
    <x v="17"/>
    <m/>
    <x v="0"/>
    <m/>
    <x v="0"/>
    <x v="0"/>
    <x v="0"/>
    <x v="0"/>
    <m/>
    <x v="0"/>
    <x v="0"/>
    <m/>
    <m/>
    <m/>
    <m/>
    <x v="0"/>
    <m/>
    <m/>
    <x v="0"/>
    <x v="0"/>
    <m/>
    <x v="0"/>
    <m/>
    <m/>
    <x v="0"/>
    <x v="0"/>
    <x v="0"/>
    <m/>
    <x v="0"/>
    <x v="0"/>
    <x v="0"/>
    <x v="0"/>
    <x v="0"/>
    <x v="0"/>
    <x v="0"/>
    <x v="0"/>
    <x v="0"/>
    <x v="0"/>
    <x v="0"/>
    <x v="0"/>
    <x v="0"/>
    <x v="0"/>
    <m/>
    <m/>
    <m/>
    <x v="0"/>
    <x v="0"/>
    <m/>
    <m/>
    <x v="0"/>
    <m/>
    <x v="0"/>
    <x v="0"/>
    <x v="0"/>
  </r>
  <r>
    <m/>
    <m/>
    <x v="253"/>
    <m/>
    <x v="17"/>
    <m/>
    <x v="0"/>
    <x v="17"/>
    <m/>
    <x v="0"/>
    <m/>
    <x v="0"/>
    <x v="0"/>
    <x v="0"/>
    <x v="0"/>
    <m/>
    <x v="0"/>
    <x v="0"/>
    <m/>
    <m/>
    <m/>
    <m/>
    <x v="0"/>
    <m/>
    <m/>
    <x v="0"/>
    <x v="0"/>
    <m/>
    <x v="0"/>
    <m/>
    <m/>
    <x v="0"/>
    <x v="0"/>
    <x v="0"/>
    <m/>
    <x v="0"/>
    <x v="0"/>
    <x v="0"/>
    <x v="0"/>
    <x v="0"/>
    <x v="0"/>
    <x v="0"/>
    <x v="0"/>
    <x v="0"/>
    <x v="0"/>
    <x v="0"/>
    <x v="0"/>
    <x v="0"/>
    <x v="0"/>
    <m/>
    <m/>
    <m/>
    <x v="0"/>
    <x v="0"/>
    <m/>
    <m/>
    <x v="0"/>
    <m/>
    <x v="0"/>
    <x v="0"/>
    <x v="0"/>
  </r>
  <r>
    <m/>
    <m/>
    <x v="253"/>
    <m/>
    <x v="17"/>
    <m/>
    <x v="0"/>
    <x v="17"/>
    <m/>
    <x v="0"/>
    <m/>
    <x v="0"/>
    <x v="0"/>
    <x v="0"/>
    <x v="0"/>
    <m/>
    <x v="0"/>
    <x v="0"/>
    <m/>
    <m/>
    <m/>
    <m/>
    <x v="0"/>
    <m/>
    <m/>
    <x v="0"/>
    <x v="0"/>
    <m/>
    <x v="0"/>
    <m/>
    <m/>
    <x v="0"/>
    <x v="0"/>
    <x v="0"/>
    <m/>
    <x v="0"/>
    <x v="0"/>
    <x v="0"/>
    <x v="0"/>
    <x v="0"/>
    <x v="0"/>
    <x v="0"/>
    <x v="0"/>
    <x v="0"/>
    <x v="0"/>
    <x v="0"/>
    <x v="0"/>
    <x v="0"/>
    <x v="0"/>
    <m/>
    <m/>
    <m/>
    <x v="0"/>
    <x v="0"/>
    <m/>
    <m/>
    <x v="0"/>
    <m/>
    <x v="0"/>
    <x v="0"/>
    <x v="0"/>
  </r>
</pivotCacheRecords>
</file>

<file path=xl/pivotCache/pivotCacheRecords3.xml><?xml version="1.0" encoding="utf-8"?>
<pivotCacheRecords xmlns="http://schemas.openxmlformats.org/spreadsheetml/2006/main" xmlns:r="http://schemas.openxmlformats.org/officeDocument/2006/relationships" count="159">
  <r>
    <n v="1"/>
    <s v="Myanmar"/>
    <s v="Cyclone"/>
    <s v="Colin Chaperon"/>
    <s v="Monitoring"/>
    <s v="DM Delegate"/>
    <s v="Myanmar"/>
    <d v="2008-07-23T00:00:00"/>
    <d v="2008-08-23T00:00:00"/>
    <s v="Disaster"/>
    <s v="Q4"/>
    <x v="0"/>
    <s v="Staff"/>
    <x v="0"/>
    <s v="Alex/Greg"/>
    <m/>
  </r>
  <r>
    <n v="1"/>
    <s v="East Africa  in Nairobi for  Uganda, Rwanda Burundi Nairobi Pop Mvt"/>
    <s v="Food Insecurity"/>
    <s v="Brennan Banks"/>
    <s v="DM Delegate "/>
    <s v="DM Delegate"/>
    <s v="Kenya"/>
    <d v="2008-10-28T00:00:00"/>
    <d v="2008-12-07T00:00:00"/>
    <s v="Disaster"/>
    <s v="Q2"/>
    <x v="1"/>
    <s v="Roster"/>
    <x v="1"/>
    <s v="Greg "/>
    <m/>
  </r>
  <r>
    <n v="1"/>
    <s v="East Africa"/>
    <s v="Food Insecurity"/>
    <s v="Tracy Reines"/>
    <s v="Relief on Fed Assessment Team"/>
    <s v="Assessment Team"/>
    <m/>
    <d v="2008-10-26T00:00:00"/>
    <d v="2008-11-08T00:00:00"/>
    <s v="Disaster"/>
    <s v="Q2"/>
    <x v="1"/>
    <s v="Staff"/>
    <x v="1"/>
    <s v="Stacy"/>
    <m/>
  </r>
  <r>
    <n v="1"/>
    <s v="Indonesia"/>
    <s v="Capacity Building"/>
    <s v="Roger Palmer"/>
    <s v="IT Telecoms Delegates"/>
    <s v="DM Delegate"/>
    <s v="Indonesia"/>
    <d v="2009-01-07T00:00:00"/>
    <d v="2009-04-18T00:00:00"/>
    <s v="Non"/>
    <s v="Q3"/>
    <x v="1"/>
    <s v="Roster"/>
    <x v="2"/>
    <s v="Travis"/>
    <m/>
  </r>
  <r>
    <n v="1"/>
    <s v="Indonesia"/>
    <s v="Capacity Building"/>
    <s v="Glen Bradley"/>
    <s v="IT Telecoms Delegates"/>
    <s v="DM Delegate"/>
    <s v="Indonesia"/>
    <d v="2009-01-07T00:00:00"/>
    <d v="2009-02-18T00:00:00"/>
    <s v="Non"/>
    <s v="Q3"/>
    <x v="1"/>
    <s v="Roster"/>
    <x v="2"/>
    <s v="Travis"/>
    <m/>
  </r>
  <r>
    <n v="1"/>
    <s v="SriLanka"/>
    <s v="Conflict"/>
    <s v="Gina Guinta"/>
    <s v="ICRC Relief Delegate: Gina recently served with the International Committee of the Red Cross (ICRC) in northern Sri Lanka. She worked in the Internally Displaced Persons camps distributing relief items.  Gina works for the American Red Cross with the Tsun"/>
    <s v="Seconded Delegate"/>
    <s v="Sri Lanka"/>
    <d v="2009-05-12T00:00:00"/>
    <d v="2009-06-09T00:00:00"/>
    <s v="Disaster"/>
    <s v="Q4"/>
    <x v="1"/>
    <s v="Staff"/>
    <x v="2"/>
    <s v="Jennifer Durben"/>
    <m/>
  </r>
  <r>
    <n v="1"/>
    <s v="Bangladesh "/>
    <s v="Cyclone Aila"/>
    <s v="Travis Betz"/>
    <s v="Relief Operations Support Delegate: Travis Betz deployed as a Relief Operations Support Delegate to support BDRCS in assessments, planning and coordination in response to Cyclone Aila. _x000a_"/>
    <s v="Seconded Delegate"/>
    <s v="Bangladesh"/>
    <d v="2009-06-30T00:00:00"/>
    <d v="2009-08-01T00:00:00"/>
    <s v="Disaster"/>
    <s v="Q4"/>
    <x v="1"/>
    <s v="Staff"/>
    <x v="2"/>
    <s v="Alex Mahoney"/>
    <m/>
  </r>
  <r>
    <n v="1"/>
    <s v="Kuala Lumpur"/>
    <s v="Capacity Building"/>
    <s v="Deb Castellano"/>
    <s v="Logistics Intern at KL RLU"/>
    <s v="Logistics Delegate"/>
    <s v="KL Zone Office"/>
    <d v="2008-09-22T00:00:00"/>
    <d v="2008-03-22T00:00:00"/>
    <s v="Non"/>
    <s v="Q1"/>
    <x v="1"/>
    <s v="Roster"/>
    <x v="3"/>
    <s v="Travis"/>
    <m/>
  </r>
  <r>
    <n v="1"/>
    <s v="Panama"/>
    <s v="Capacity Building"/>
    <s v="Chris Bell"/>
    <s v="Regional Intervention Team Member: deployed to monitor ongoing operations and provide surge capacity to disaster management team."/>
    <s v="RIT"/>
    <s v="Panama PADRU"/>
    <d v="2009-04-01T00:00:00"/>
    <d v="2009-04-30T00:00:00"/>
    <s v="Non"/>
    <s v="Q4"/>
    <x v="1"/>
    <s v="Roster"/>
    <x v="3"/>
    <s v="Guillermo"/>
    <m/>
  </r>
  <r>
    <n v="1"/>
    <s v="Panama "/>
    <s v="Capacity Building"/>
    <s v="Charles Blake"/>
    <s v="Business Continuity Planning: Charles deployed to Panama to support the Americas Zone in developing a Crisis Management Plan (CMP) for the IFRC Americas Zone with the Disaster Response Unit PADRU and Regional Representation Offices (RRO) to ensure that es"/>
    <s v="DM Delegate"/>
    <s v="Panama PADRU"/>
    <d v="2009-06-22T00:00:00"/>
    <d v="2009-07-15T00:00:00"/>
    <s v="Non"/>
    <s v="Q4"/>
    <x v="1"/>
    <s v="Roster"/>
    <x v="3"/>
    <s v="Guillermo"/>
    <m/>
  </r>
  <r>
    <n v="1"/>
    <s v="Panama "/>
    <s v="Capacity Building"/>
    <s v="Travis Betz"/>
    <s v="Interim DM Delegate"/>
    <s v="DM Delegate"/>
    <s v="Panama PADRU"/>
    <d v="2008-12-01T00:00:00"/>
    <d v="2008-01-04T00:00:00"/>
    <s v="Non"/>
    <s v="Q2"/>
    <x v="1"/>
    <s v="Staff"/>
    <x v="3"/>
    <s v="Guillermo "/>
    <m/>
  </r>
  <r>
    <n v="1"/>
    <s v="Kuala Lumpur"/>
    <s v="Capacity Building"/>
    <s v="Stacy Ragan"/>
    <s v="Staff on Loan to APDMU: Stacy deployed to provide HR support for monsoon and typhoon season and to assist with response and response preparedness activities. This was a generalist role supporting DM activities and operations coordination and support._x000a_"/>
    <s v="Staff on Loan"/>
    <s v="KL Zone Office/DMU"/>
    <d v="2009-06-01T00:00:00"/>
    <d v="2009-06-21T00:00:00"/>
    <s v="Non"/>
    <s v="Q4"/>
    <x v="1"/>
    <s v="Staff"/>
    <x v="3"/>
    <s v="Tracy Reines"/>
    <m/>
  </r>
  <r>
    <n v="1"/>
    <s v="Kuala Lumpur"/>
    <s v="Capacity Building"/>
    <s v="Alex Mahoney"/>
    <s v="Staff on Loan to APDMU: Alex deployed to provide HR support for monsoon and typhoon season and to assist with response and response preparedness activities. This was a generalist role supporting DM activities and operations coordination and support._x000a_"/>
    <s v="Staff on Loan"/>
    <s v="KL Zone Office/DMU"/>
    <d v="2009-06-21T00:00:00"/>
    <d v="2009-07-10T00:00:00"/>
    <s v="Non"/>
    <s v="Q4"/>
    <x v="1"/>
    <s v="Staff"/>
    <x v="3"/>
    <s v="N/A"/>
    <m/>
  </r>
  <r>
    <n v="1"/>
    <s v="Malaysia,KL"/>
    <s v="Capacity Building"/>
    <s v="Anne Reynolds"/>
    <s v="Contingency planning w/ APDMU: Anne deployed to support the project design and test of a complimentary tool for the Fed’s Disaster Response and Contingency Guide. The project will review existing disaster contingency plans in Asia Pacific and past practic"/>
    <s v="DM Delegate"/>
    <s v="KL Zone Office/DMU"/>
    <d v="2009-06-22T00:00:00"/>
    <d v="2009-07-09T00:00:00"/>
    <s v="Non"/>
    <s v="Q4"/>
    <x v="1"/>
    <s v="Staff"/>
    <x v="3"/>
    <s v="Alex in country "/>
    <m/>
  </r>
  <r>
    <n v="1"/>
    <s v="Suriname"/>
    <s v="Floods"/>
    <s v="Roger Palmer"/>
    <s v="IT &amp; Telecoms"/>
    <s v="IT/Telecom ERU"/>
    <s v="Suriname"/>
    <d v="2008-08-26T00:00:00"/>
    <d v="2008-09-15T00:00:00"/>
    <s v="Disaster"/>
    <s v="Q1"/>
    <x v="1"/>
    <s v="Roster"/>
    <x v="4"/>
    <s v="Christine/Greg"/>
    <m/>
  </r>
  <r>
    <n v="1"/>
    <s v="Suriname"/>
    <s v="Floods"/>
    <s v="Mark Million"/>
    <s v="IT &amp; Telecoms"/>
    <s v="IT/Telecom ERU"/>
    <s v="Suriname"/>
    <d v="2008-08-26T00:00:00"/>
    <d v="2008-09-15T00:00:00"/>
    <s v="Disaster"/>
    <s v="Q1"/>
    <x v="1"/>
    <s v="Roster"/>
    <x v="4"/>
    <s v="Christine /Greg"/>
    <m/>
  </r>
  <r>
    <n v="1"/>
    <s v="Haiti"/>
    <s v="Hurricanes"/>
    <s v="Brigitte Gaillis"/>
    <s v="FACT Team Lead (9/3/08 - 10/30/08) Head of Ops (11/12/08 - 5/12/09)"/>
    <s v="FACT"/>
    <s v="Haiti"/>
    <d v="2008-09-03T00:00:00"/>
    <d v="2008-10-30T00:00:00"/>
    <s v="Disaster"/>
    <s v="Q1"/>
    <x v="1"/>
    <s v="Roster"/>
    <x v="4"/>
    <s v="Christine/Travis"/>
    <m/>
  </r>
  <r>
    <n v="1"/>
    <s v="Bahamas"/>
    <s v="Hurricane"/>
    <s v="Christina Hammond"/>
    <s v="RIT"/>
    <s v="RIT"/>
    <s v="Bahamas"/>
    <d v="2008-09-04T00:00:00"/>
    <d v="2008-09-25T00:00:00"/>
    <s v="Disaster"/>
    <s v="Q1"/>
    <x v="1"/>
    <s v="Roster"/>
    <x v="4"/>
    <s v="Shelley"/>
    <m/>
  </r>
  <r>
    <n v="1"/>
    <s v="Haiti"/>
    <s v="Hurricanes"/>
    <s v="John Manley"/>
    <s v="Relief ERU Member + Team Lead"/>
    <s v="Relief ERU"/>
    <s v="Haiti"/>
    <d v="2008-10-01T00:00:00"/>
    <d v="2008-11-25T00:00:00"/>
    <s v="Disaster"/>
    <s v="Q2"/>
    <x v="1"/>
    <s v="Roster"/>
    <x v="4"/>
    <s v="Christine/Travis"/>
    <m/>
  </r>
  <r>
    <n v="1"/>
    <s v="Costa Rica"/>
    <s v="Earthquake"/>
    <s v="Scott DiPretoro"/>
    <s v="Cash Voucher Delegate"/>
    <s v="DM Delegate"/>
    <s v="Costa Rica"/>
    <d v="2009-01-25T00:00:00"/>
    <d v="2009-02-21T00:00:00"/>
    <s v="Disaster"/>
    <s v="Q3"/>
    <x v="1"/>
    <s v="Roster"/>
    <x v="4"/>
    <s v="Christine"/>
    <m/>
  </r>
  <r>
    <n v="1"/>
    <s v="US"/>
    <s v="Hurricane Ike"/>
    <s v="Dario Diaz"/>
    <s v="Liaison to Mexican RC"/>
    <s v="DM Delegate"/>
    <s v="Texas"/>
    <d v="2008-09-18T00:00:00"/>
    <s v="3 weeks"/>
    <s v="Non"/>
    <s v="Q1"/>
    <x v="1"/>
    <s v="Roster"/>
    <x v="4"/>
    <s v="Travis"/>
    <m/>
  </r>
  <r>
    <n v="1"/>
    <s v="Belize"/>
    <s v="Capacity Building"/>
    <s v="Brennan Banks"/>
    <s v="DM Delegate for Disaster Planning"/>
    <s v="DM Delegate"/>
    <s v="Belize"/>
    <d v="2009-01-01T00:00:00"/>
    <s v="3 weeks"/>
    <s v="Non"/>
    <s v="Q3"/>
    <x v="1"/>
    <s v="Roster"/>
    <x v="4"/>
    <s v="Guillermo"/>
    <m/>
  </r>
  <r>
    <n v="1"/>
    <s v="Haiti"/>
    <s v="Hurricanes"/>
    <s v="Matt Marek"/>
    <s v="Relief ERU Member"/>
    <s v="Relief ERU"/>
    <s v="Haiti"/>
    <d v="2008-09-06T00:00:00"/>
    <s v="1 month"/>
    <s v="Disaster"/>
    <s v="Q1"/>
    <x v="1"/>
    <s v="Staff"/>
    <x v="4"/>
    <s v="Christine/Travis"/>
    <m/>
  </r>
  <r>
    <n v="1"/>
    <s v="Haiti"/>
    <s v="Hurricanes"/>
    <s v="Colin Chaperon"/>
    <s v="Relief ERU Team Lead"/>
    <s v="Relief ERU"/>
    <s v="Haiti"/>
    <d v="2008-09-06T00:00:00"/>
    <d v="2008-10-03T00:00:00"/>
    <s v="Disaster"/>
    <s v="Q1"/>
    <x v="1"/>
    <s v="Staff"/>
    <x v="4"/>
    <s v="Christine/Travis"/>
    <m/>
  </r>
  <r>
    <n v="1"/>
    <s v="Haiti"/>
    <s v="Hurricanes"/>
    <s v="Greg Matthews"/>
    <s v="Relief ERU Member "/>
    <s v="Relief ERU"/>
    <s v="Haiti"/>
    <d v="2008-10-11T00:00:00"/>
    <d v="2008-11-01T00:00:00"/>
    <s v="Disaster"/>
    <s v="Q2"/>
    <x v="1"/>
    <s v="Staff"/>
    <x v="4"/>
    <s v="Christine/Travis"/>
    <m/>
  </r>
  <r>
    <n v="1"/>
    <s v="Costa Rica"/>
    <s v="Earthquake"/>
    <s v="A. Vargas (Panama staff deployed for ARC)"/>
    <s v="Cash Voucher Delegate"/>
    <s v="DM Delegate"/>
    <s v="Costa Rica"/>
    <d v="2009-01-25T00:00:00"/>
    <d v="2009-02-21T00:00:00"/>
    <s v="Disaster"/>
    <s v="Q3"/>
    <x v="1"/>
    <s v="Staff"/>
    <x v="4"/>
    <s v="Christine"/>
    <m/>
  </r>
  <r>
    <n v="1"/>
    <s v="US"/>
    <s v="Capacity Building"/>
    <s v="Deb Castellano"/>
    <s v="Logistics"/>
    <s v="Logistics Delegate"/>
    <s v="NHQ"/>
    <d v="2008-07-07T00:00:00"/>
    <s v="2 months"/>
    <s v="Non"/>
    <s v="Q1"/>
    <x v="1"/>
    <s v="Roster"/>
    <x v="5"/>
    <s v="Liz"/>
    <m/>
  </r>
  <r>
    <n v="1"/>
    <s v="US"/>
    <s v="H1N1 Flu Outbreak"/>
    <s v="Cristina Hammond"/>
    <s v="Support N1H1 Pandemic preparedness/monitoring: Cristina provided technical surge capacity and supported information management during the H1N1 Flu Outbreak under the direction of ISD’s Senior Pandemic Advisor. _x000a_"/>
    <s v="Operations Support Delegate"/>
    <s v="NHQ"/>
    <d v="2009-05-03T00:00:00"/>
    <d v="2009-05-24T00:00:00"/>
    <s v="Non"/>
    <s v="Q4"/>
    <x v="1"/>
    <s v="Roster"/>
    <x v="5"/>
    <s v="Jeanne Koepsell"/>
    <m/>
  </r>
  <r>
    <n v="1"/>
    <s v="Burkina Faso"/>
    <s v="West African Floods"/>
    <s v="John Manley"/>
    <s v="Relief FACT Team member "/>
    <s v="FACT"/>
    <s v="Burkina Faso"/>
    <d v="2009-09-10T00:00:00"/>
    <d v="2009-10-12T00:00:00"/>
    <s v="Disaster"/>
    <s v="Q1"/>
    <x v="2"/>
    <s v="Roster"/>
    <x v="1"/>
    <s v="Colin Chaperon"/>
    <s v="RRF 2799"/>
  </r>
  <r>
    <n v="1"/>
    <s v="Senegal"/>
    <s v="West African Floods"/>
    <s v="Steve McAndrew"/>
    <s v="Relief ERU Team Leader (AmCross lead joint ERU with Danish RC)"/>
    <s v="Relief ERU"/>
    <s v="Senegal"/>
    <d v="2009-09-12T00:00:00"/>
    <d v="2009-10-12T00:00:00"/>
    <s v="Disaster"/>
    <s v="Q1"/>
    <x v="2"/>
    <s v="Roster"/>
    <x v="1"/>
    <s v="Colin Chaperon"/>
    <s v="RRF 2799"/>
  </r>
  <r>
    <n v="1"/>
    <s v="Senegal"/>
    <s v="West African Floods"/>
    <s v="Shinko Mondori"/>
    <s v="Relief ERU Team Member (AmCross lead joint ERU with Danish RC)"/>
    <s v="Relief ERU"/>
    <s v="Senegal"/>
    <d v="2009-09-12T00:00:00"/>
    <d v="2009-10-12T00:00:00"/>
    <s v="Disaster"/>
    <s v="Q1"/>
    <x v="2"/>
    <s v="Roster"/>
    <x v="1"/>
    <s v="Colin Chaperon"/>
    <s v="RRF 2799"/>
  </r>
  <r>
    <n v="1"/>
    <s v="Senegal"/>
    <s v="West African Floods"/>
    <s v="Luis Matnog"/>
    <s v="Relief ERU Team Member (AmCross lead joint ERU with Danish RC)"/>
    <s v="Relief ERU"/>
    <s v="Senegal"/>
    <d v="2009-09-12T00:00:00"/>
    <d v="2009-10-12T00:00:00"/>
    <s v="Disaster"/>
    <s v="Q1"/>
    <x v="2"/>
    <s v="Roster"/>
    <x v="1"/>
    <s v="Colin Chaperon"/>
    <s v="RRF 2799"/>
  </r>
  <r>
    <n v="1"/>
    <s v="Indonesia"/>
    <s v="West Java Earthquake"/>
    <s v="Cristina Hammond"/>
    <s v="Shelter Cluster Information Manager Delegate deployed to Indonesia to fill the role of IFRC Shelter Cluster Information Manager for Java Earthquake response"/>
    <s v="Shelter Cluster"/>
    <s v="Indonesia"/>
    <d v="2009-09-16T00:00:00"/>
    <d v="2009-10-16T00:00:00"/>
    <s v="Disaster"/>
    <s v="Q1"/>
    <x v="2"/>
    <s v="Roster"/>
    <x v="2"/>
    <s v="Colin Chaperon"/>
    <s v="RRF 2799"/>
  </r>
  <r>
    <n v="1"/>
    <s v="Philippines"/>
    <s v="Typhoons"/>
    <s v="Cristina Hammond"/>
    <s v="Coordinate OFDA grant funded NFI distributions with PNRC"/>
    <s v="Operations Support Delegate"/>
    <s v="Phillippines"/>
    <d v="2009-10-16T00:00:00"/>
    <d v="2009-12-16T00:00:00"/>
    <s v="Disaster"/>
    <s v="Q1"/>
    <x v="2"/>
    <s v="Roster"/>
    <x v="2"/>
    <s v="Stacy Ragan"/>
    <n v="2698"/>
  </r>
  <r>
    <n v="1"/>
    <s v="Philippines"/>
    <s v="Typhoons"/>
    <s v="Mariza Rogers"/>
    <s v="Shelter Cluster Coordinator Delegate deployed to Philippines"/>
    <s v="Shelter Cluster"/>
    <s v="Phillippines"/>
    <d v="2009-10-05T00:00:00"/>
    <d v="2009-11-05T00:00:00"/>
    <s v="Disaster"/>
    <s v="Q1"/>
    <x v="2"/>
    <s v="Roster"/>
    <x v="2"/>
    <s v="Stacy Ragan"/>
    <n v="2698"/>
  </r>
  <r>
    <n v="1"/>
    <s v="Vietnam"/>
    <s v="Typhoons"/>
    <s v="Michael Zeleke"/>
    <s v="Coordinate OFDA grant Cash Transfer Programming in Vietnam"/>
    <s v="DM Delegate"/>
    <s v="Vietnam"/>
    <d v="2009-10-16T00:00:00"/>
    <s v="TBD"/>
    <s v="Disaster"/>
    <s v="Q1"/>
    <x v="2"/>
    <s v="Staff"/>
    <x v="2"/>
    <s v="Alex Mahoney"/>
    <n v="2698"/>
  </r>
  <r>
    <n v="1"/>
    <s v="Mexico"/>
    <s v="Mexico Hurricane Jimena"/>
    <s v="Jono Anzalone"/>
    <s v="Delegate working with Mexican Red Cross on M &amp; E for relief distribution"/>
    <s v="DM Delegate"/>
    <s v="Mexico"/>
    <d v="2010-12-01T00:00:00"/>
    <d v="2010-12-20T00:00:00"/>
    <s v="Disaster"/>
    <s v="Q1"/>
    <x v="2"/>
    <s v="Roster"/>
    <x v="4"/>
    <s v="Stacy"/>
    <m/>
  </r>
  <r>
    <n v="1"/>
    <s v="Indonesia"/>
    <s v="Earthquake"/>
    <s v="Alex Mahoney"/>
    <s v="Coordinate OFDA grant funded NFI distributions with PMI"/>
    <s v="Operations Support Delegate"/>
    <s v="Indonesia"/>
    <d v="2009-10-19T00:00:00"/>
    <d v="2009-11-10T00:00:00"/>
    <s v="Disaster"/>
    <s v="Q1"/>
    <x v="2"/>
    <s v="Staff"/>
    <x v="2"/>
    <s v="Christy Ferguson"/>
    <n v="2930"/>
  </r>
  <r>
    <n v="1"/>
    <s v="Haiti"/>
    <s v="Floods"/>
    <s v="John Manley"/>
    <s v="Deployed to Haiti NRC as a RIT for DREF operation."/>
    <s v="RIT"/>
    <s v="Haiti"/>
    <d v="2009-11-13T00:00:00"/>
    <d v="2009-12-13T00:00:00"/>
    <s v="Disaster"/>
    <s v="Q2"/>
    <x v="2"/>
    <s v="Roster"/>
    <x v="4"/>
    <s v="Scott DiPretoro"/>
    <n v="2885"/>
  </r>
  <r>
    <n v="1"/>
    <s v="China"/>
    <s v="Capacity Building"/>
    <s v="Amanda West"/>
    <s v="Staff on loan working with Federation Zone on PMER in China and Mongolia"/>
    <s v="Staff on Loan"/>
    <s v="China/_x000a_Mongolia"/>
    <d v="2009-11-29T00:00:00"/>
    <d v="2009-12-22T00:00:00"/>
    <s v="Non"/>
    <s v="Q2"/>
    <x v="2"/>
    <s v="Staff"/>
    <x v="2"/>
    <s v="Stacy"/>
    <s v="China EQ AP"/>
  </r>
  <r>
    <n v="1"/>
    <s v="Nepal"/>
    <s v="Capacity Building"/>
    <s v="Tracy Reines"/>
    <s v="Delegate working with Nepal Red Cross on disaster management planning"/>
    <s v="DM Delegate"/>
    <s v="Nepal"/>
    <d v="2009-10-31T00:00:00"/>
    <d v="2009-12-05T00:00:00"/>
    <s v="Non"/>
    <s v="Q2"/>
    <x v="2"/>
    <s v="Staff"/>
    <x v="2"/>
    <s v="Stacy"/>
    <s v="SIF/3809 – Fed to reimburse "/>
  </r>
  <r>
    <m/>
    <m/>
    <m/>
    <m/>
    <m/>
    <m/>
    <m/>
    <m/>
    <m/>
    <m/>
    <m/>
    <x v="3"/>
    <m/>
    <x v="0"/>
    <m/>
    <m/>
  </r>
  <r>
    <m/>
    <m/>
    <m/>
    <m/>
    <m/>
    <m/>
    <m/>
    <m/>
    <m/>
    <m/>
    <m/>
    <x v="3"/>
    <m/>
    <x v="0"/>
    <m/>
    <m/>
  </r>
  <r>
    <n v="1"/>
    <s v="Haiti"/>
    <s v="Earthquake"/>
    <s v="Colin Chaperon"/>
    <s v="Relief ERU Team Leader"/>
    <s v="Relief ERU"/>
    <s v="Haiti"/>
    <d v="2010-01-13T00:00:00"/>
    <d v="2010-02-10T00:00:00"/>
    <s v="Disaster"/>
    <s v="Q3"/>
    <x v="2"/>
    <s v="Staff"/>
    <x v="4"/>
    <s v="Stacy/Ops Team"/>
    <n v="2888"/>
  </r>
  <r>
    <n v="1"/>
    <s v="Haiti"/>
    <s v="Earthquake"/>
    <s v="Steve McAndrew"/>
    <s v="Relief  FACT team"/>
    <s v="Relief ERU"/>
    <s v="Haiti"/>
    <d v="2010-01-13T00:00:00"/>
    <d v="2010-02-04T00:00:00"/>
    <s v="Disaster"/>
    <s v="Q3"/>
    <x v="2"/>
    <s v="Roster"/>
    <x v="4"/>
    <s v="Stacy/Ops Team"/>
    <n v="2888"/>
  </r>
  <r>
    <n v="1"/>
    <s v="Haiti"/>
    <s v="Earthquake"/>
    <s v="Eric Baranick"/>
    <s v="Relief ERU Team Member"/>
    <s v="Relief ERU"/>
    <s v="Haiti"/>
    <d v="2010-01-13T00:00:00"/>
    <d v="2010-01-30T00:00:00"/>
    <s v="Disaster"/>
    <s v="Q3"/>
    <x v="2"/>
    <s v="Staff"/>
    <x v="4"/>
    <s v="Stacy/Ops Team"/>
    <n v="2888"/>
  </r>
  <r>
    <n v="1"/>
    <s v="Haiti"/>
    <s v="Earthquake"/>
    <s v="Gavin White"/>
    <s v="Relief ERU Team Member"/>
    <s v="Relief ERU"/>
    <s v="Haiti"/>
    <d v="2010-01-13T00:00:00"/>
    <d v="2010-01-30T00:00:00"/>
    <s v="Disaster"/>
    <s v="Q3"/>
    <x v="2"/>
    <s v="Staff"/>
    <x v="4"/>
    <s v="Stacy/Ops Team"/>
    <n v="2888"/>
  </r>
  <r>
    <n v="1"/>
    <s v="Haiti"/>
    <s v="Earthquake"/>
    <s v="Brigitte Gaillis"/>
    <s v="Relief ERU Team Member"/>
    <s v="Relief ERU"/>
    <s v="Haiti"/>
    <d v="2010-01-13T00:00:00"/>
    <d v="2010-01-30T00:00:00"/>
    <s v="Disaster"/>
    <s v="Q3"/>
    <x v="2"/>
    <s v="Roster"/>
    <x v="4"/>
    <s v="Stacy/Ops Team"/>
    <n v="2888"/>
  </r>
  <r>
    <n v="1"/>
    <s v="Haiti"/>
    <s v="Earthquake"/>
    <s v="Rosemary Parnell"/>
    <s v="IFRC Logistics Delegate"/>
    <s v="Logistics Delegate"/>
    <s v="Haiti"/>
    <d v="2010-01-19T00:00:00"/>
    <d v="2010-02-28T00:00:00"/>
    <s v="Disaster"/>
    <s v="Q3"/>
    <x v="2"/>
    <s v="Staff"/>
    <x v="4"/>
    <s v="Stacy/Ops Team"/>
    <n v="2888"/>
  </r>
  <r>
    <n v="1"/>
    <s v="Haiti"/>
    <s v="Earthquake"/>
    <s v="Glen Bradley"/>
    <s v="IT/Telecoms ERU joint with Danish RC"/>
    <s v="IT/Telecom ERU"/>
    <s v="Haiti"/>
    <d v="2010-01-13T00:00:00"/>
    <d v="2010-02-14T00:00:00"/>
    <s v="Disaster"/>
    <s v="Q3"/>
    <x v="2"/>
    <s v="Roster"/>
    <x v="4"/>
    <s v="Stacy/Ops Team"/>
    <n v="2888"/>
  </r>
  <r>
    <n v="1"/>
    <s v="Haiti"/>
    <s v="Earthquake"/>
    <s v="Mark Million"/>
    <s v="IT/Telecoms ERU joint with Danish RC"/>
    <s v="IT/Telecom ERU"/>
    <s v="Haiti"/>
    <d v="2010-01-13T00:00:00"/>
    <d v="2010-02-14T00:00:00"/>
    <s v="Disaster"/>
    <s v="Q3"/>
    <x v="2"/>
    <s v="Roster"/>
    <x v="4"/>
    <s v="Stacy/Ops Team"/>
    <n v="2888"/>
  </r>
  <r>
    <n v="1"/>
    <s v="Haiti"/>
    <s v="Earthquake"/>
    <s v="Joe Becker"/>
    <s v="IFRC Operations Liaison"/>
    <s v="Operations Support Delegate"/>
    <s v="Haiti"/>
    <d v="2010-01-24T00:00:00"/>
    <d v="2010-01-31T00:00:00"/>
    <s v="Disaster"/>
    <s v="Q3"/>
    <x v="2"/>
    <s v="Staff"/>
    <x v="4"/>
    <s v="Stacy/Ops Team"/>
    <n v="2888"/>
  </r>
  <r>
    <n v="1"/>
    <s v="Haiti"/>
    <s v="Earthquake"/>
    <s v="Nate Cooper"/>
    <s v="IFRC Logistics Delegate"/>
    <s v="Logistics Delegate"/>
    <s v="Haiti"/>
    <d v="2010-01-25T00:00:00"/>
    <d v="2010-02-04T00:00:00"/>
    <s v="Disaster"/>
    <s v="Q3"/>
    <x v="2"/>
    <s v="Staff"/>
    <x v="4"/>
    <s v="Stacy/Ops Team"/>
    <n v="2888"/>
  </r>
  <r>
    <n v="1"/>
    <s v="Haiti"/>
    <s v="Earthquake"/>
    <s v="Mark Smith"/>
    <s v="IFRC Logistics Delegate"/>
    <s v="Logistics Delegate"/>
    <s v="Haiti"/>
    <d v="2010-01-25T00:00:00"/>
    <d v="2010-02-14T00:00:00"/>
    <s v="Disaster"/>
    <s v="Q3"/>
    <x v="2"/>
    <s v="Roster"/>
    <x v="4"/>
    <s v="Stacy/Ops Team"/>
    <n v="2888"/>
  </r>
  <r>
    <n v="1"/>
    <s v="Haiti"/>
    <s v="Earthquake"/>
    <s v="Lindsay Lincoln"/>
    <s v="FACT Team Admin &amp; Reporting"/>
    <s v="FACT"/>
    <s v="Haiti"/>
    <d v="2010-01-22T00:00:00"/>
    <d v="2010-02-06T00:00:00"/>
    <s v="Disaster"/>
    <s v="Q3"/>
    <x v="2"/>
    <s v="Staff"/>
    <x v="4"/>
    <s v="Stacy/Ops Team"/>
    <n v="2888"/>
  </r>
  <r>
    <n v="1"/>
    <s v="Haiti"/>
    <s v="Earthquake"/>
    <s v="Charles Blake"/>
    <s v="Relief ERU Team Member"/>
    <s v="Relief ERU"/>
    <s v="Haiti"/>
    <d v="2010-01-22T00:00:00"/>
    <d v="2010-02-16T00:00:00"/>
    <s v="Disaster"/>
    <s v="Q3"/>
    <x v="2"/>
    <s v="Roster"/>
    <x v="4"/>
    <s v="Stacy/Ops Team"/>
    <n v="2888"/>
  </r>
  <r>
    <n v="1"/>
    <s v="Haiti"/>
    <s v="Earthquake"/>
    <s v="Luis Matnog"/>
    <s v="Relief ERU Team Member"/>
    <s v="Relief ERU"/>
    <s v="Haiti"/>
    <d v="2010-01-31T00:00:00"/>
    <d v="2010-02-26T00:00:00"/>
    <s v="Disaster"/>
    <s v="Q3"/>
    <x v="2"/>
    <s v="Roster"/>
    <x v="4"/>
    <s v="Stacy/Ops Team"/>
    <n v="2888"/>
  </r>
  <r>
    <n v="1"/>
    <s v="Haiti"/>
    <s v="Earthquake"/>
    <s v="Christophe Lobry-Boulanger"/>
    <s v="Relief ERU Team Member"/>
    <s v="Relief ERU"/>
    <s v="Haiti"/>
    <d v="2010-01-31T00:00:00"/>
    <d v="2010-02-26T00:00:00"/>
    <s v="Disaster"/>
    <s v="Q3"/>
    <x v="2"/>
    <s v="Roster"/>
    <x v="4"/>
    <s v="Stacy/Ops Team"/>
    <n v="2888"/>
  </r>
  <r>
    <n v="1"/>
    <s v="Haiti"/>
    <s v="Earthquake"/>
    <s v="Chris Darlington"/>
    <s v="Relief ERU Team Leader"/>
    <s v="Relief ERU"/>
    <s v="Haiti"/>
    <d v="2010-01-31T00:00:00"/>
    <d v="2010-02-26T00:00:00"/>
    <s v="Disaster"/>
    <s v="Q3"/>
    <x v="2"/>
    <s v="Roster"/>
    <x v="4"/>
    <s v="Stacy/Ops Team"/>
    <n v="2888"/>
  </r>
  <r>
    <n v="1"/>
    <s v="Haiti"/>
    <s v="Earthquake"/>
    <s v="Ori Shaham (MDA)"/>
    <s v="Relief ERU Team Member"/>
    <s v="Relief ERU"/>
    <s v="Haiti"/>
    <d v="2010-01-31T00:00:00"/>
    <d v="2010-02-26T00:00:00"/>
    <s v="Disaster"/>
    <s v="Q3"/>
    <x v="2"/>
    <s v="Roster"/>
    <x v="4"/>
    <s v="Stacy/Ops Team"/>
    <n v="2888"/>
  </r>
  <r>
    <n v="1"/>
    <s v="Haiti"/>
    <s v="Earthquake"/>
    <s v="Haim Budin (MDA)"/>
    <s v="Relief ERU Team Member"/>
    <s v="Relief ERU"/>
    <s v="Haiti"/>
    <d v="2010-01-31T00:00:00"/>
    <d v="2010-02-26T00:00:00"/>
    <s v="Disaster"/>
    <s v="Q3"/>
    <x v="2"/>
    <s v="Roster"/>
    <x v="4"/>
    <s v="Stacy/Ops Team"/>
    <n v="2888"/>
  </r>
  <r>
    <n v="1"/>
    <s v="Haiti"/>
    <s v="Earthquake"/>
    <s v="Kelly Hurd"/>
    <s v="Relief ERU Team Member"/>
    <s v="Relief ERU"/>
    <s v="Haiti"/>
    <d v="2010-02-03T00:00:00"/>
    <d v="2010-02-26T00:00:00"/>
    <s v="Disaster"/>
    <s v="Q3"/>
    <x v="2"/>
    <s v="Roster"/>
    <x v="4"/>
    <s v="Stacy/Ops Team"/>
    <n v="2888"/>
  </r>
  <r>
    <n v="1"/>
    <s v="Haiti"/>
    <s v="Earthquake"/>
    <s v="Scott DiPretoro"/>
    <s v="Cash Transfer Programming Delegate (Alt Relief Team)"/>
    <s v="Cash Transfer Delegate"/>
    <s v="Haiti"/>
    <d v="2010-01-31T00:00:00"/>
    <d v="2010-04-01T00:00:00"/>
    <s v="Disaster"/>
    <s v="Q3"/>
    <x v="2"/>
    <s v="Staff"/>
    <x v="4"/>
    <s v="Stacy/Ops Team"/>
    <n v="2888"/>
  </r>
  <r>
    <n v="1"/>
    <s v="Haiti"/>
    <s v="Earthquake"/>
    <s v="Omar Abou-Samra"/>
    <s v="Cash Transfer Programming Delegate (Alt Relief Team)"/>
    <s v="Cash Transfer Delegate"/>
    <s v="Haiti"/>
    <d v="2010-01-31T00:00:00"/>
    <d v="2010-02-26T00:00:00"/>
    <s v="Disaster"/>
    <s v="Q3"/>
    <x v="2"/>
    <s v="Staff"/>
    <x v="4"/>
    <s v="Stacy/Ops Team"/>
    <n v="2888"/>
  </r>
  <r>
    <n v="1"/>
    <s v="Haiti"/>
    <s v="Earthquake"/>
    <s v="Sharon Truelove"/>
    <s v="Cash Transfer Programming Delegate (Alt Relief Team)"/>
    <s v="Cash Transfer Delegate"/>
    <s v="Haiti"/>
    <d v="2010-02-02T00:00:00"/>
    <d v="2010-02-26T00:00:00"/>
    <s v="Disaster"/>
    <s v="Q3"/>
    <x v="2"/>
    <s v="Roster"/>
    <x v="4"/>
    <s v="Stacy/Ops Team"/>
    <n v="2888"/>
  </r>
  <r>
    <n v="1"/>
    <s v="Haiti"/>
    <s v="Earthquake"/>
    <s v="Heidi Gilert"/>
    <s v="Cash Transfer Programming Delegate (Alt Relief Team)"/>
    <s v="Cash Transfer Delegate"/>
    <s v="Haiti"/>
    <d v="2010-02-02T00:00:00"/>
    <d v="2010-02-26T00:00:00"/>
    <s v="Disaster"/>
    <s v="Q3"/>
    <x v="2"/>
    <s v="Roster"/>
    <x v="4"/>
    <s v="Stacy/Ops Team"/>
    <n v="2888"/>
  </r>
  <r>
    <n v="1"/>
    <s v="Haiti"/>
    <s v="Earthquake"/>
    <s v="Rod Snider"/>
    <s v="Cash Transfer Programming Delegate (Alt Relief Team)"/>
    <s v="Cash Transfer Delegate"/>
    <s v="Haiti"/>
    <d v="2010-02-13T00:00:00"/>
    <d v="2010-04-03T00:00:00"/>
    <s v="Disaster"/>
    <s v="Q3"/>
    <x v="2"/>
    <s v="Staff"/>
    <x v="4"/>
    <s v="Stacy/Ops Team"/>
    <n v="2888"/>
  </r>
  <r>
    <n v="1"/>
    <s v="Haiti"/>
    <s v="Earthquake"/>
    <s v="Roby Jacob"/>
    <s v="IFRC &amp; Bilateral (ARC) Finance Delegate"/>
    <s v="Operations Support Delegate"/>
    <s v="Haiti"/>
    <d v="2010-02-17T00:00:00"/>
    <d v="2010-03-03T00:00:00"/>
    <s v="Disaster"/>
    <s v="Q3"/>
    <x v="2"/>
    <s v="Staff"/>
    <x v="4"/>
    <s v="Stacy/Ops Team"/>
    <n v="2888"/>
  </r>
  <r>
    <n v="1"/>
    <s v="Haiti"/>
    <s v="Earthquake"/>
    <s v="Laky Pissalidis"/>
    <s v="IFRC Security Delegate"/>
    <s v="Operations Support Delegate"/>
    <s v="Haiti"/>
    <d v="2010-02-17T00:00:00"/>
    <d v="2010-04-03T00:00:00"/>
    <s v="Disaster"/>
    <s v="Q3"/>
    <x v="2"/>
    <s v="Staff"/>
    <x v="4"/>
    <s v="Stacy/Ops Team"/>
    <n v="2888"/>
  </r>
  <r>
    <n v="1"/>
    <s v="Haiti"/>
    <s v="Earthquake"/>
    <s v="Deborah Castellano"/>
    <s v="IFRC Logistics Delegate"/>
    <s v="Logistics Delegate"/>
    <s v="Haiti"/>
    <d v="2010-02-14T00:00:00"/>
    <d v="2010-03-10T00:00:00"/>
    <s v="Disaster"/>
    <s v="Q3"/>
    <x v="2"/>
    <s v="Roster"/>
    <x v="4"/>
    <s v="Stacy/Ops Team"/>
    <n v="2888"/>
  </r>
  <r>
    <n v="1"/>
    <s v="Haiti"/>
    <s v="Earthquake"/>
    <s v="Roger Shelton"/>
    <s v="IFRC Program Coordinator"/>
    <s v="Operations Support Delegate"/>
    <s v="Haiti"/>
    <d v="2010-02-08T00:00:00"/>
    <d v="2010-03-31T00:00:00"/>
    <s v="Disaster"/>
    <s v="Q3"/>
    <x v="2"/>
    <s v="Staff"/>
    <x v="4"/>
    <s v="Stacy/Ops Team"/>
    <n v="2888"/>
  </r>
  <r>
    <n v="1"/>
    <s v="Haiti"/>
    <s v="Earthquake"/>
    <s v="Sohrab Rezvan"/>
    <s v="IT/Telecoms ERU joint with Danish RC"/>
    <s v="IT/Telecom ERU"/>
    <s v="Haiti"/>
    <d v="2010-02-13T00:00:00"/>
    <d v="2010-04-03T00:00:00"/>
    <s v="Disaster"/>
    <s v="Q3"/>
    <x v="2"/>
    <s v="Roster"/>
    <x v="4"/>
    <s v="Stacy/Ops Team"/>
    <n v="2888"/>
  </r>
  <r>
    <n v="1"/>
    <s v="Haiti"/>
    <s v="Earthquake"/>
    <s v="Michael Zeleke"/>
    <s v="Recovery Assessment Team Leader"/>
    <s v="Recovery Delegate"/>
    <s v="Haiti"/>
    <d v="2010-02-03T00:00:00"/>
    <d v="2010-03-03T00:00:00"/>
    <s v="Disaster"/>
    <s v="Q3"/>
    <x v="2"/>
    <s v="Staff"/>
    <x v="4"/>
    <s v="Stacy/Ops Team"/>
    <n v="2888"/>
  </r>
  <r>
    <n v="1"/>
    <s v="Haiti"/>
    <s v="Earthquake"/>
    <s v="Meghan DiCarlo"/>
    <s v="Recovery Assessment Team Member"/>
    <s v="Recovery Delegate"/>
    <s v="Haiti"/>
    <d v="2010-02-13T00:00:00"/>
    <d v="2010-03-03T00:00:00"/>
    <s v="Disaster"/>
    <s v="Q3"/>
    <x v="2"/>
    <s v="Staff"/>
    <x v="4"/>
    <s v="Stacy/Ops Team"/>
    <n v="2888"/>
  </r>
  <r>
    <n v="1"/>
    <s v="Haiti"/>
    <s v="Earthquake"/>
    <s v="Joscelyn Silsby"/>
    <s v="Recovery Assessment Team Member"/>
    <s v="Recovery Delegate"/>
    <s v="Haiti"/>
    <d v="2010-02-13T00:00:00"/>
    <d v="2010-03-03T00:00:00"/>
    <s v="Disaster"/>
    <s v="Q3"/>
    <x v="2"/>
    <s v="Roster"/>
    <x v="4"/>
    <s v="Stacy/Ops Team"/>
    <n v="2888"/>
  </r>
  <r>
    <n v="1"/>
    <s v="Haiti"/>
    <s v="Earthquake"/>
    <s v="Julie Archer"/>
    <s v="Recovery Assessment Team Member"/>
    <s v="Recovery Delegate"/>
    <s v="Haiti"/>
    <d v="2010-02-13T00:00:00"/>
    <d v="2010-03-03T00:00:00"/>
    <s v="Disaster"/>
    <s v="Q3"/>
    <x v="2"/>
    <s v="Roster"/>
    <x v="4"/>
    <s v="Stacy/Ops Team"/>
    <n v="2888"/>
  </r>
  <r>
    <n v="1"/>
    <s v="Haiti"/>
    <s v="Earthquake"/>
    <s v="Lee Malaney"/>
    <s v="Recovery Assessment Team Member"/>
    <s v="Recovery Delegate"/>
    <s v="Haiti"/>
    <d v="2010-02-08T00:00:00"/>
    <d v="2010-03-03T00:00:00"/>
    <s v="Disaster"/>
    <s v="Q3"/>
    <x v="2"/>
    <s v="Roster"/>
    <x v="4"/>
    <s v="Stacy/Ops Team"/>
    <n v="2888"/>
  </r>
  <r>
    <n v="1"/>
    <s v="Haiti"/>
    <s v="Earthquake"/>
    <s v="Greg Matthews"/>
    <s v="Emergency Markets Analysis Assessment (EMMA) team member"/>
    <s v="Recovery Delegate"/>
    <s v="Haiti"/>
    <d v="2010-02-08T00:00:00"/>
    <d v="2010-02-18T00:00:00"/>
    <s v="Disaster"/>
    <s v="Q3"/>
    <x v="2"/>
    <s v="Roster"/>
    <x v="4"/>
    <s v="Stacy/Ops Team"/>
    <n v="2888"/>
  </r>
  <r>
    <n v="1"/>
    <s v="Haiti"/>
    <s v="Earthquake"/>
    <s v="Gina Guinta"/>
    <s v="FACT Admin &amp; Reporting"/>
    <s v="FACT"/>
    <s v="Haiti"/>
    <d v="2010-02-07T00:00:00"/>
    <d v="2010-03-08T00:00:00"/>
    <s v="Disaster"/>
    <s v="Q3"/>
    <x v="2"/>
    <s v="Roster"/>
    <x v="4"/>
    <s v="Stacy/Ops Team"/>
    <n v="2888"/>
  </r>
  <r>
    <n v="1"/>
    <s v="Haiti"/>
    <s v="Earthquake"/>
    <s v="Dario Diaz"/>
    <s v="IFRC Logistics Delegate - at Red Cross logistics hub in Dominican Republic"/>
    <s v="Logistics Delegate"/>
    <s v="Dominican Republic"/>
    <d v="2010-01-19T00:00:00"/>
    <d v="2010-02-15T00:00:00"/>
    <s v="Disaster"/>
    <s v="Q3"/>
    <x v="2"/>
    <s v="Staff"/>
    <x v="4"/>
    <s v="Stacy/Ops Team"/>
    <n v="2888"/>
  </r>
  <r>
    <n v="1"/>
    <s v="Haiti"/>
    <s v="Earthquake"/>
    <s v="Nate Cooper"/>
    <s v="IFRC Logistics Delegate - at PADRU"/>
    <s v="Logistics Delegate"/>
    <s v="Panama PADRU"/>
    <d v="2010-01-12T00:00:00"/>
    <d v="2010-01-24T00:00:00"/>
    <s v="Disaster"/>
    <s v="Q3"/>
    <x v="2"/>
    <s v="Staff"/>
    <x v="4"/>
    <s v="Stacy/Ops Team"/>
    <n v="2888"/>
  </r>
  <r>
    <n v="1"/>
    <s v="Haiti"/>
    <s v="Earthquake"/>
    <s v="Robin Younger"/>
    <s v="IFRC Reporting Delegate - at PADRU"/>
    <s v="Operations Support Delegate"/>
    <s v="Panama PADRU"/>
    <d v="2010-01-18T00:00:00"/>
    <d v="2010-02-16T00:00:00"/>
    <s v="Disaster"/>
    <s v="Q3"/>
    <x v="2"/>
    <s v="Roster"/>
    <x v="4"/>
    <s v="Stacy/Ops Team"/>
    <n v="2888"/>
  </r>
  <r>
    <n v="1"/>
    <s v="Haiti"/>
    <s v="Earthquake"/>
    <s v="Greg Matthews"/>
    <s v="Personnel support for IROC"/>
    <s v="NHQ Operations Support"/>
    <s v="NHQ"/>
    <d v="2010-01-18T00:00:00"/>
    <d v="2010-01-31T00:00:00"/>
    <s v="Disaster"/>
    <s v="Q3"/>
    <x v="2"/>
    <s v="Roster"/>
    <x v="4"/>
    <s v="Stacy/Ops Team"/>
    <n v="2888"/>
  </r>
  <r>
    <n v="1"/>
    <s v="Haiti"/>
    <s v="Earthquake"/>
    <s v="Winnie Romeril"/>
    <s v="Bilateral Communications Delegate supporting ARC delegation"/>
    <s v="Bilateral Operations Support"/>
    <s v="Haiti"/>
    <d v="2010-01-12T00:00:00"/>
    <d v="2010-01-31T00:00:00"/>
    <s v="Disaster"/>
    <s v="Q3"/>
    <x v="2"/>
    <s v="Roster"/>
    <x v="4"/>
    <s v="Stacy/Ops Team"/>
    <n v="2888"/>
  </r>
  <r>
    <n v="1"/>
    <s v="Haiti"/>
    <s v="Earthquake"/>
    <s v="Kelly Hurd"/>
    <s v="Bilateral Communications Delegate supporting ARC delegation office"/>
    <s v="Bilateral Operations Support"/>
    <s v="Haiti"/>
    <d v="2010-01-23T00:00:00"/>
    <d v="2010-02-02T00:00:00"/>
    <s v="Disaster"/>
    <s v="Q3"/>
    <x v="2"/>
    <s v="Roster"/>
    <x v="4"/>
    <s v="Stacy/Ops Team"/>
    <n v="2888"/>
  </r>
  <r>
    <n v="1"/>
    <s v="Haiti"/>
    <s v="Earthquake"/>
    <s v="Bonnie Gillespie"/>
    <s v="Bilateral Communications Delegate supporting ARC delegation office"/>
    <s v="Bilateral Operations Support"/>
    <s v="Haiti"/>
    <d v="2010-01-21T00:00:00"/>
    <d v="2010-02-21T00:00:00"/>
    <s v="Disaster"/>
    <s v="Q3"/>
    <x v="2"/>
    <s v="Roster"/>
    <x v="4"/>
    <s v="Stacy/Ops Team"/>
    <n v="2888"/>
  </r>
  <r>
    <n v="1"/>
    <s v="Haiti"/>
    <s v="Earthquake"/>
    <s v="Svafa Asgeirdottir"/>
    <s v="Bilateral Admin/Compliance Delegate supporting ARC delegation office"/>
    <s v="Bilateral Operations Support"/>
    <s v="Haiti"/>
    <d v="2010-01-22T00:00:00"/>
    <d v="2010-02-09T00:00:00"/>
    <s v="Disaster"/>
    <s v="Q3"/>
    <x v="2"/>
    <s v="Staff"/>
    <x v="4"/>
    <s v="Stacy/Ops Team"/>
    <n v="2888"/>
  </r>
  <r>
    <n v="1"/>
    <s v="Haiti"/>
    <s v="Earthquake"/>
    <s v="Nancy Campbell"/>
    <s v="Bilateral Finance/Admin Delegate supporting ARC delegation office"/>
    <s v="Bilateral Operations Support"/>
    <s v="Haiti"/>
    <d v="2010-01-22T00:00:00"/>
    <d v="2010-02-10T00:00:00"/>
    <s v="Disaster"/>
    <s v="Q3"/>
    <x v="2"/>
    <s v="Staff"/>
    <x v="4"/>
    <s v="Stacy/Ops Team"/>
    <n v="2888"/>
  </r>
  <r>
    <n v="1"/>
    <s v="Haiti"/>
    <s v="Earthquake"/>
    <s v="Tony Stitt"/>
    <s v="Bilateral Deputy Head of Operations supporting ARC delegation office"/>
    <s v="Bilateral Operations Support"/>
    <s v="Haiti"/>
    <d v="2010-02-04T00:00:00"/>
    <d v="2010-04-01T00:00:00"/>
    <s v="Disaster"/>
    <s v="Q3"/>
    <x v="2"/>
    <s v="Roster"/>
    <x v="4"/>
    <s v="Stacy/Ops Team"/>
    <n v="2888"/>
  </r>
  <r>
    <n v="1"/>
    <s v="Haiti"/>
    <s v="Earthquake"/>
    <s v="Judy Nicholson"/>
    <s v="Bilateral Psychosocial Support for ARC delegation office"/>
    <s v="Bilateral Operations Support"/>
    <s v="Haiti"/>
    <d v="2010-01-19T00:00:00"/>
    <d v="2010-01-31T00:00:00"/>
    <s v="Disaster"/>
    <s v="Q3"/>
    <x v="2"/>
    <s v="Staff"/>
    <x v="4"/>
    <s v="Stacy/Ops Team"/>
    <n v="2888"/>
  </r>
  <r>
    <n v="1"/>
    <s v="Haiti"/>
    <s v="Earthquake"/>
    <s v="Howard Smith"/>
    <s v="Bilateral Psychosocial Support for ARC delegation office"/>
    <s v="Bilateral Operations Support"/>
    <s v="Haiti"/>
    <d v="2010-01-19T00:00:00"/>
    <d v="2010-01-31T00:00:00"/>
    <s v="Disaster"/>
    <s v="Q3"/>
    <x v="2"/>
    <s v="Staff"/>
    <x v="4"/>
    <s v="Stacy/Ops Team"/>
    <n v="2888"/>
  </r>
  <r>
    <n v="1"/>
    <s v="Haiti"/>
    <s v="Earthquake"/>
    <s v="Lee Malany"/>
    <s v="Bilateral Shelter Technical Delegate Bilateral Program"/>
    <s v="Bilateral Operations Support"/>
    <s v="Haiti"/>
    <d v="2010-01-22T00:00:00"/>
    <d v="2010-02-07T00:00:00"/>
    <s v="Disaster"/>
    <s v="Q3"/>
    <x v="2"/>
    <s v="Roster"/>
    <x v="4"/>
    <s v="Stacy/Ops Team"/>
    <n v="2888"/>
  </r>
  <r>
    <n v="1"/>
    <s v="Haiti"/>
    <s v="Earthquake"/>
    <s v="Rebecca Scheurer"/>
    <s v="Bilateral Program Manager ARC "/>
    <s v="Bilateral Operations Support"/>
    <s v="Haiti"/>
    <d v="2010-02-04T00:00:00"/>
    <d v="2010-04-01T00:00:00"/>
    <s v="Disaster"/>
    <s v="Q3"/>
    <x v="2"/>
    <s v="Staff"/>
    <x v="4"/>
    <s v="Stacy/Ops Team"/>
    <n v="2888"/>
  </r>
  <r>
    <n v="1"/>
    <s v="Haiti"/>
    <s v="Earthquake"/>
    <s v="Roger Palmer"/>
    <s v="Equipment Support for IROC"/>
    <s v="NHQ Operations Support"/>
    <s v="NHQ"/>
    <d v="2010-01-20T00:00:00"/>
    <d v="2010-02-21T00:00:00"/>
    <s v="Disaster"/>
    <s v="Q3"/>
    <x v="2"/>
    <s v="Roster"/>
    <x v="4"/>
    <s v="Stacy/Ops Team"/>
    <n v="2888"/>
  </r>
  <r>
    <n v="1"/>
    <s v="Haiti"/>
    <s v="Earthquake"/>
    <s v="Mat Morgan"/>
    <s v="Billateral Communications Delegate "/>
    <s v="Bilateral Operations Support"/>
    <s v="Haiti"/>
    <d v="2010-02-01T00:00:00"/>
    <d v="2010-03-15T00:00:00"/>
    <s v="Disaster"/>
    <s v="Q3"/>
    <x v="2"/>
    <s v="Staff"/>
    <x v="4"/>
    <s v="Stacy/Ops Team"/>
    <m/>
  </r>
  <r>
    <n v="1"/>
    <s v="Haiti"/>
    <s v="Earthquake"/>
    <s v="Robin Younger"/>
    <s v="Relief ERU Team Leader"/>
    <s v="Relief ERU"/>
    <s v="Haiti"/>
    <d v="2010-02-21T00:00:00"/>
    <d v="2010-03-25T00:00:00"/>
    <s v="Disaster"/>
    <s v="Q3"/>
    <x v="2"/>
    <s v="Roster"/>
    <x v="4"/>
    <s v="Stacy/Ops Team"/>
    <n v="2888"/>
  </r>
  <r>
    <n v="1"/>
    <s v="Haiti"/>
    <s v="Earthquake"/>
    <s v="Chris Bell"/>
    <s v="Relief ERU Team Member"/>
    <s v="Relief ERU"/>
    <s v="Haiti"/>
    <d v="2010-02-21T00:00:00"/>
    <d v="2010-03-25T00:00:00"/>
    <s v="Disaster"/>
    <s v="Q3"/>
    <x v="2"/>
    <s v="Roster"/>
    <x v="4"/>
    <s v="Stacy/Ops Team"/>
    <n v="2888"/>
  </r>
  <r>
    <n v="1"/>
    <s v="Haiti"/>
    <s v="Earthquake"/>
    <s v="Shavkut Ismailov "/>
    <s v="Relief ERU Team Member"/>
    <s v="Relief ERU"/>
    <s v="Haiti"/>
    <d v="2010-02-21T00:00:00"/>
    <d v="2010-03-25T00:00:00"/>
    <s v="Disaster"/>
    <s v="Q3"/>
    <x v="2"/>
    <s v="Staff"/>
    <x v="4"/>
    <s v="Stacy/Ops Team"/>
    <n v="2888"/>
  </r>
  <r>
    <n v="1"/>
    <s v="Haiti"/>
    <s v="Earthquake"/>
    <s v="Michael Segal"/>
    <s v="Relief ERU Team Member"/>
    <s v="Relief ERU"/>
    <s v="Haiti"/>
    <d v="2010-02-21T00:00:00"/>
    <d v="2010-03-25T00:00:00"/>
    <s v="Disaster"/>
    <s v="Q3"/>
    <x v="2"/>
    <s v="Roster"/>
    <x v="4"/>
    <s v="Stacy/Ops Team"/>
    <n v="2888"/>
  </r>
  <r>
    <n v="1"/>
    <s v="Haiti"/>
    <s v="Earthquake"/>
    <s v="Ofer Snir (MDA)"/>
    <s v="Relief ERU Team Member"/>
    <s v="Relief ERU"/>
    <s v="Haiti"/>
    <d v="2010-02-21T00:00:00"/>
    <d v="2010-03-25T00:00:00"/>
    <s v="Disaster"/>
    <s v="Q3"/>
    <x v="2"/>
    <s v="Roster"/>
    <x v="4"/>
    <s v="Stacy/Ops Team"/>
    <n v="2888"/>
  </r>
  <r>
    <n v="1"/>
    <s v="Haiti"/>
    <s v="Earthquake"/>
    <s v="Raj Zafar"/>
    <s v="Relief ERU Team Member"/>
    <s v="Relief ERU"/>
    <s v="Haiti"/>
    <d v="2010-03-06T00:00:00"/>
    <d v="2010-03-25T00:00:00"/>
    <s v="Disaster"/>
    <s v="Q3"/>
    <x v="2"/>
    <s v="Roster"/>
    <x v="4"/>
    <s v="Stacy/Ops Team"/>
    <n v="2888"/>
  </r>
  <r>
    <n v="1"/>
    <s v="Haiti"/>
    <s v="Earthquake"/>
    <s v="Tom Worthington"/>
    <s v="Equipment Support for IROC"/>
    <s v="Operations Support Delegate"/>
    <s v="NHQ"/>
    <d v="2010-02-22T00:00:00"/>
    <d v="2010-03-21T00:00:00"/>
    <s v="Disaster"/>
    <s v="Q3"/>
    <x v="2"/>
    <s v="Roster"/>
    <x v="4"/>
    <s v="Stacy/Ops Team"/>
    <n v="2888"/>
  </r>
  <r>
    <n v="1"/>
    <s v="Haiti"/>
    <s v="Earthquake"/>
    <s v="Lynette Nyman"/>
    <s v="Communications Support"/>
    <s v="Communications Delegate"/>
    <s v="NHQ"/>
    <d v="2010-02-22T00:00:00"/>
    <d v="2010-03-21T00:00:00"/>
    <s v="Disaster"/>
    <s v="Q3"/>
    <x v="2"/>
    <s v="Staff"/>
    <x v="4"/>
    <s v="Andrea Koppel"/>
    <m/>
  </r>
  <r>
    <n v="1"/>
    <s v="Haiti"/>
    <s v="Earthquake"/>
    <s v="Tom McAloon"/>
    <s v="Bilateral Wat/San"/>
    <s v="Operations Support Delegate"/>
    <s v="Haiti"/>
    <d v="2010-02-15T00:00:00"/>
    <d v="2010-03-31T00:00:00"/>
    <s v="Disaster"/>
    <s v="Q3"/>
    <x v="2"/>
    <s v="Roster"/>
    <x v="4"/>
    <s v="Stacy/Ops Team"/>
    <n v="2888"/>
  </r>
  <r>
    <n v="1"/>
    <s v="Haiti"/>
    <s v="Earthquake"/>
    <s v="Lyle O'Neel"/>
    <s v="Disaster Mental Health Support for IROC"/>
    <s v="Operations Support Delegate"/>
    <s v="NHQ"/>
    <d v="2010-02-08T00:00:00"/>
    <d v="2010-03-07T00:00:00"/>
    <s v="Disaster"/>
    <s v="Q3"/>
    <x v="2"/>
    <s v="Staff"/>
    <x v="4"/>
    <s v="Stacy/Ops Team"/>
    <n v="2888"/>
  </r>
  <r>
    <n v="1"/>
    <s v="Haiti"/>
    <s v="Earthquake"/>
    <s v="Laura Hevesi"/>
    <s v="Relief ERU Team Leader"/>
    <s v="Relief ERU"/>
    <s v="Haiti"/>
    <d v="2010-03-22T00:00:00"/>
    <d v="2010-04-21T00:00:00"/>
    <s v="Disaster"/>
    <s v="Q3"/>
    <x v="2"/>
    <s v="Roster"/>
    <x v="4"/>
    <s v="Stacy/Ops Team"/>
    <n v="2888"/>
  </r>
  <r>
    <n v="1"/>
    <s v="Haiti"/>
    <s v="Earthquake"/>
    <s v="Kate Schilling"/>
    <s v="Relief ERU Team Member"/>
    <s v="Relief ERU"/>
    <s v="Haiti"/>
    <d v="2010-03-22T00:00:00"/>
    <d v="2010-04-21T00:00:00"/>
    <s v="Disaster"/>
    <s v="Q3"/>
    <x v="2"/>
    <s v="Roster"/>
    <x v="4"/>
    <s v="Stacy/Ops Team"/>
    <n v="2888"/>
  </r>
  <r>
    <n v="1"/>
    <s v="Haiti"/>
    <s v="Earthquake"/>
    <s v="James Stephenson"/>
    <s v="Relief ERU Team Member"/>
    <s v="Relief ERU"/>
    <s v="Haiti"/>
    <d v="2010-03-22T00:00:00"/>
    <d v="2010-04-21T00:00:00"/>
    <s v="Disaster"/>
    <s v="Q3"/>
    <x v="2"/>
    <s v="Roster"/>
    <x v="4"/>
    <s v="Stacy/Ops Team"/>
    <n v="2888"/>
  </r>
  <r>
    <n v="1"/>
    <s v="Haiti"/>
    <s v="Earthquake"/>
    <s v="Lynette Nyman"/>
    <s v="Communications Delegate to IFRC"/>
    <s v="Communications Delegate"/>
    <s v="Haiti"/>
    <d v="2010-03-20T00:00:00"/>
    <d v="2010-04-30T00:00:00"/>
    <s v="Disaster"/>
    <s v="Q3"/>
    <x v="2"/>
    <s v="Staff"/>
    <x v="4"/>
    <s v="Stacy/Ops Team"/>
    <n v="2888"/>
  </r>
  <r>
    <n v="1"/>
    <s v="Haiti"/>
    <s v="Earthquake"/>
    <s v="Cristina Hammond"/>
    <s v="Cash Transfer Programming Delegate "/>
    <s v="Cash Transfer Delegate"/>
    <s v="Haiti"/>
    <d v="2010-03-20T00:00:00"/>
    <d v="2010-04-10T00:00:00"/>
    <s v="Disaster"/>
    <s v="Q3"/>
    <x v="2"/>
    <s v="Roster"/>
    <x v="4"/>
    <s v="Stacy/Ops Team"/>
    <n v="2888"/>
  </r>
  <r>
    <n v="1"/>
    <s v="Haiti"/>
    <s v="Earthquake"/>
    <s v="Omar Abou-Samra"/>
    <s v="Cash Transfer Programming Delegate "/>
    <s v="Cash Transfer Delegate"/>
    <s v="Haiti"/>
    <d v="2010-03-13T00:00:00"/>
    <d v="2010-04-01T00:00:00"/>
    <s v="Disaster"/>
    <s v="Q3"/>
    <x v="2"/>
    <s v="Staff"/>
    <x v="4"/>
    <s v="Stacy/Ops Team"/>
    <n v="2888"/>
  </r>
  <r>
    <n v="1"/>
    <s v="Haiti"/>
    <s v="Earthquake"/>
    <s v="Anne Palmer"/>
    <s v="Cash Transfer Programming Delegate "/>
    <s v="Cash Transfer Delegate"/>
    <s v="Haiti"/>
    <d v="2010-03-27T00:00:00"/>
    <d v="2010-04-21T00:00:00"/>
    <s v="Disaster"/>
    <s v="Q3"/>
    <x v="2"/>
    <s v="Roster"/>
    <x v="4"/>
    <s v="Stacy/Ops Team"/>
    <n v="2888"/>
  </r>
  <r>
    <n v="1"/>
    <s v="Haiti"/>
    <s v="Earthquake"/>
    <s v="Jana Sweeney"/>
    <s v="Cash Transfer Programming Delegate "/>
    <s v="Cash Transfer Delegate"/>
    <s v="Haiti"/>
    <d v="2010-03-27T00:00:00"/>
    <d v="2010-04-21T00:00:00"/>
    <s v="Disaster"/>
    <s v="Q3"/>
    <x v="2"/>
    <s v="Roster"/>
    <x v="4"/>
    <s v="Stacy/Ops Team"/>
    <n v="2888"/>
  </r>
  <r>
    <n v="1"/>
    <s v="Haiti"/>
    <s v="Earthquake"/>
    <s v="Glen Bradley"/>
    <s v="Equipment Support for IROC"/>
    <s v="NHQ Operations Support"/>
    <s v="NHQ"/>
    <d v="2010-03-22T00:00:00"/>
    <d v="2010-04-15T00:00:00"/>
    <s v="Disaster"/>
    <s v="Q3"/>
    <x v="2"/>
    <s v="Roster"/>
    <x v="4"/>
    <s v="Stacy/Ops Team"/>
    <n v="2888"/>
  </r>
  <r>
    <n v="1"/>
    <s v="Haiti"/>
    <s v="Earthquake"/>
    <s v="Julie Archer"/>
    <s v="Equipment Support for IROC"/>
    <s v="NHQ Operations Support"/>
    <s v="NHQ"/>
    <d v="2010-03-22T00:00:00"/>
    <d v="2010-04-15T00:00:00"/>
    <s v="Disaster"/>
    <s v="Q3"/>
    <x v="2"/>
    <s v="Roster"/>
    <x v="4"/>
    <s v="Stacy/Ops Team"/>
    <n v="2888"/>
  </r>
  <r>
    <n v="1"/>
    <s v="Haiti"/>
    <s v="Earthquake"/>
    <s v="Cathy Scruggs"/>
    <s v="Personnel Support for IROC"/>
    <s v="NHQ Operations Support"/>
    <s v="NHQ"/>
    <d v="2010-02-16T00:00:00"/>
    <d v="2010-03-15T00:00:00"/>
    <s v="Disaster"/>
    <s v="Q3"/>
    <x v="2"/>
    <s v="Roster"/>
    <x v="4"/>
    <s v="Stacy/Ops Team"/>
    <n v="2888"/>
  </r>
  <r>
    <n v="1"/>
    <s v="Haiti"/>
    <s v="Earthquake"/>
    <s v="Emily Hall"/>
    <s v="Personnel Support for IROC"/>
    <s v="NHQ Operations Support"/>
    <s v="NHQ"/>
    <d v="2010-03-16T00:00:00"/>
    <d v="2010-04-15T00:00:00"/>
    <s v="Disaster"/>
    <s v="Q3"/>
    <x v="2"/>
    <s v="Roster"/>
    <x v="4"/>
    <s v="Stacy/Ops Team"/>
    <n v="2888"/>
  </r>
  <r>
    <n v="1"/>
    <s v="Haiti"/>
    <s v="Earthquake"/>
    <s v="Andrew Bhattacharya"/>
    <s v="Bilateral Operations Support"/>
    <s v="Bilateral Operations Support"/>
    <s v="Haiti"/>
    <d v="2010-02-20T00:00:00"/>
    <d v="2010-03-13T00:00:00"/>
    <s v="Disaster"/>
    <s v="Q3"/>
    <x v="2"/>
    <s v="Staff"/>
    <x v="4"/>
    <s v="Stacy/Ops Team"/>
    <n v="2888"/>
  </r>
  <r>
    <n v="1"/>
    <s v="Haiti"/>
    <s v="Earthquake"/>
    <s v="Eileen Kurtz"/>
    <s v="Bilateral Human Resources Support"/>
    <s v="Bilateral Operations Support"/>
    <s v="Haiti"/>
    <d v="2010-03-24T00:00:00"/>
    <d v="2010-04-21T00:00:00"/>
    <s v="Disaster"/>
    <s v="Q3"/>
    <x v="2"/>
    <s v="Staff"/>
    <x v="4"/>
    <s v="Stacy/Ops Team"/>
    <n v="2888"/>
  </r>
  <r>
    <n v="1"/>
    <s v="Haiti"/>
    <s v="Earthquake"/>
    <s v="Alex Mahoney"/>
    <s v="Bilateral Shelter Advisor"/>
    <s v="Bilateral Operations Support"/>
    <s v="Haiti"/>
    <d v="2010-03-11T00:00:00"/>
    <d v="2010-04-03T00:00:00"/>
    <s v="Disaster"/>
    <s v="Q3"/>
    <x v="2"/>
    <s v="Staff"/>
    <x v="4"/>
    <s v="Stacy/Ops Team"/>
    <n v="2888"/>
  </r>
  <r>
    <n v="1"/>
    <s v="Haiti"/>
    <s v="Earthquake"/>
    <s v="Alex Robinson"/>
    <s v="Relief ERU Team Member"/>
    <s v="Relief ERU"/>
    <s v="Haiti"/>
    <d v="2010-04-07T00:00:00"/>
    <d v="2010-04-29T00:00:00"/>
    <s v="Disaster"/>
    <s v="Q4"/>
    <x v="2"/>
    <s v="Staff"/>
    <x v="4"/>
    <s v="Stacy/Ops Team"/>
    <n v="2888"/>
  </r>
  <r>
    <n v="1"/>
    <s v="Haiti"/>
    <s v="Earthquake"/>
    <s v="Lauren Twohig"/>
    <s v="Relief ERU Team Member"/>
    <s v="Relief ERU"/>
    <s v="Haiti"/>
    <d v="2010-04-07T00:00:00"/>
    <d v="2010-04-29T00:00:00"/>
    <s v="Disaster"/>
    <s v="Q4"/>
    <x v="2"/>
    <s v="Staff"/>
    <x v="4"/>
    <s v="Stacy/Ops Team"/>
    <n v="2888"/>
  </r>
  <r>
    <n v="1"/>
    <s v="Haiti"/>
    <s v="Earthquake"/>
    <s v="Wendy Brightman"/>
    <s v="Cash Transfer Programming Delegate "/>
    <s v="Cash Transfer Delegate"/>
    <s v="Haiti"/>
    <d v="2010-04-04T00:00:00"/>
    <d v="2010-04-23T00:00:00"/>
    <s v="Disaster"/>
    <s v="Q4"/>
    <x v="2"/>
    <s v="Staff"/>
    <x v="4"/>
    <s v="Stacy/Ops Team"/>
    <n v="2888"/>
  </r>
  <r>
    <n v="1"/>
    <s v="Haiti"/>
    <s v="Earthquake"/>
    <s v="George Sykes"/>
    <s v="Cash Transfer Programming Delegate "/>
    <s v="Cash Transfer Delegate"/>
    <s v="Haiti"/>
    <d v="2010-04-07T00:00:00"/>
    <d v="2010-05-06T00:00:00"/>
    <s v="Disaster"/>
    <s v="Q4"/>
    <x v="2"/>
    <s v="Roster"/>
    <x v="4"/>
    <s v="Stacy/Ops Team"/>
    <n v="2888"/>
  </r>
  <r>
    <n v="1"/>
    <s v="Haiti"/>
    <s v="Earthquake"/>
    <s v="Tracy Reines"/>
    <s v="Cash Transfer Programming Delegate "/>
    <s v="Cash Transfer Delegate"/>
    <s v="Haiti"/>
    <d v="2010-04-05T00:00:00"/>
    <d v="2010-04-16T00:00:00"/>
    <s v="Disaster"/>
    <s v="Q4"/>
    <x v="2"/>
    <s v="Staff"/>
    <x v="4"/>
    <s v="Stacy/Ops Team"/>
    <n v="2888"/>
  </r>
  <r>
    <n v="1"/>
    <s v="Haiti"/>
    <s v="Earthquake"/>
    <s v="Rod Snider"/>
    <s v="Cash Transfer Programming Delegate "/>
    <s v="Cash Transfer Delegate"/>
    <s v="Haiti"/>
    <d v="2010-05-04T00:00:00"/>
    <d v="2010-05-10T00:00:00"/>
    <s v="Disaster"/>
    <s v="Q4"/>
    <x v="2"/>
    <s v="Staff"/>
    <x v="4"/>
    <s v="Stacy/Ops Team"/>
    <n v="2888"/>
  </r>
  <r>
    <n v="1"/>
    <s v="Haiti"/>
    <s v="Earthquake"/>
    <s v="Stacy Ragan"/>
    <s v="Bilateral Operations Delegate"/>
    <s v="Bilateral Operations Support"/>
    <s v="Haiti"/>
    <d v="2010-05-25T00:00:00"/>
    <d v="2010-06-02T00:00:00"/>
    <s v="Disaster"/>
    <s v="Q4"/>
    <x v="2"/>
    <s v="Staff"/>
    <x v="4"/>
    <s v="Stacy/Ops Team"/>
    <n v="2888"/>
  </r>
  <r>
    <n v="1"/>
    <s v="Haiti"/>
    <s v="Earthquake"/>
    <s v="Amanda West"/>
    <s v="Bilateral Information Delegate"/>
    <s v="Bilateral Operations Support"/>
    <s v="Haiti"/>
    <d v="2010-05-04T00:00:00"/>
    <d v="2010-06-24T00:00:00"/>
    <s v="Disaster"/>
    <s v="Q4"/>
    <x v="2"/>
    <s v="Staff"/>
    <x v="4"/>
    <s v="Stacy/Ops Team"/>
    <n v="2888"/>
  </r>
  <r>
    <m/>
    <m/>
    <m/>
    <m/>
    <m/>
    <m/>
    <m/>
    <m/>
    <m/>
    <m/>
    <m/>
    <x v="3"/>
    <m/>
    <x v="0"/>
    <m/>
    <m/>
  </r>
  <r>
    <n v="1"/>
    <s v="Chile"/>
    <s v="Earthquake"/>
    <s v="Alvaro Garita"/>
    <s v="Relief Delegate"/>
    <s v="Relief Delegate"/>
    <s v="Chile"/>
    <d v="2010-03-02T00:00:00"/>
    <m/>
    <s v="Disaster"/>
    <s v="Q3"/>
    <x v="2"/>
    <s v="Staff"/>
    <x v="4"/>
    <s v="Guillermo/LAC"/>
    <n v="2896"/>
  </r>
  <r>
    <n v="1"/>
    <s v="Chile"/>
    <s v="Earthquake"/>
    <s v="Gonzalo Aquino"/>
    <s v="Water and Sanitation Delegate"/>
    <s v="Operations Support Delegate"/>
    <s v="Chile"/>
    <d v="2010-03-18T00:00:00"/>
    <d v="2010-03-31T00:00:00"/>
    <s v="Disaster"/>
    <s v="Q3"/>
    <x v="2"/>
    <s v="Staff"/>
    <x v="4"/>
    <s v="Guillermo/LAC"/>
    <n v="2896"/>
  </r>
  <r>
    <n v="1"/>
    <s v="Pakistan"/>
    <s v="Floods"/>
    <s v="Raj Zafar"/>
    <s v="Delegation Surge Support Federation in Islamabad"/>
    <s v="Relief Delegate"/>
    <s v="Pakistan"/>
    <m/>
    <m/>
    <s v="Disaster"/>
    <s v="Q3"/>
    <x v="2"/>
    <s v="Staff"/>
    <x v="2"/>
    <s v="Stacy/Ops Team"/>
    <m/>
  </r>
  <r>
    <n v="1"/>
    <s v="Pakistan"/>
    <s v="Floods"/>
    <s v="Robin Younger"/>
    <s v="Relief Delegate"/>
    <s v="Relief Delegate"/>
    <s v="Pakistan"/>
    <d v="2010-08-27T00:00:00"/>
    <d v="2010-09-30T00:00:00"/>
    <s v="Disaster"/>
    <s v="Q1"/>
    <x v="4"/>
    <s v="Roster"/>
    <x v="2"/>
    <s v="Stacy/Ops Team"/>
    <n v="2699"/>
  </r>
  <r>
    <n v="1"/>
    <s v="Pakistan"/>
    <s v="Floods"/>
    <s v="Christophe Lobry-Boulanger"/>
    <s v="Relief Delegate"/>
    <s v="Relief Delegate"/>
    <s v="Pakistan"/>
    <d v="2010-08-27T00:00:00"/>
    <d v="2010-09-30T00:00:00"/>
    <s v="Disaster"/>
    <s v="Q1"/>
    <x v="4"/>
    <s v="Roster"/>
    <x v="2"/>
    <s v="Stacy/Ops Team"/>
    <n v="2699"/>
  </r>
  <r>
    <n v="1"/>
    <s v="Haiti"/>
    <s v="Epidemic"/>
    <s v="Alex Latour"/>
    <s v="Team Lead - Emergency Response Team Mbr"/>
    <s v="DM Delegate"/>
    <s v="Haiti"/>
    <d v="2010-10-25T00:00:00"/>
    <d v="2010-10-31T00:00:00"/>
    <s v="Disaster"/>
    <s v="Q2"/>
    <x v="4"/>
    <s v="Staff"/>
    <x v="4"/>
    <s v="ARC Haiti Office"/>
    <n v="2888"/>
  </r>
  <r>
    <n v="1"/>
    <s v="Haiti"/>
    <s v="Epidemic"/>
    <s v="George Sykes"/>
    <s v="Information &amp; Reporting - Emergency Response Team Mbr"/>
    <s v="DM Delegate"/>
    <s v="Haiti"/>
    <d v="2010-10-25T00:00:00"/>
    <d v="2010-10-31T00:00:00"/>
    <s v="Disaster"/>
    <s v="Q2"/>
    <x v="4"/>
    <s v="Staff"/>
    <x v="4"/>
    <s v="ARC Haiti Office"/>
    <n v="2888"/>
  </r>
  <r>
    <n v="1"/>
    <s v="Haiti"/>
    <s v="Epidemic"/>
    <s v="Bijou Phiness"/>
    <s v="Logistics - Emergency Response Team Mbr"/>
    <s v="DM Delegate"/>
    <s v="Haiti"/>
    <d v="2010-10-25T00:00:00"/>
    <d v="2010-10-31T00:00:00"/>
    <s v="Disaster"/>
    <s v="Q2"/>
    <x v="4"/>
    <s v="Staff"/>
    <x v="4"/>
    <s v="ARC Haiti Office"/>
    <n v="2888"/>
  </r>
  <r>
    <n v="1"/>
    <s v="Haiti"/>
    <s v="Epidemic"/>
    <s v="Lisa McGuire"/>
    <s v="Health - Emergency Response Team Mbr"/>
    <s v="DM Delegate"/>
    <s v="Haiti"/>
    <d v="2010-10-25T00:00:00"/>
    <d v="2010-10-31T00:00:00"/>
    <s v="Disaster"/>
    <s v="Q2"/>
    <x v="4"/>
    <s v="Staff"/>
    <x v="4"/>
    <s v="ARC Haiti Office"/>
    <n v="2888"/>
  </r>
  <r>
    <n v="1"/>
    <s v="Haiti"/>
    <s v="Epidemic"/>
    <s v="Franklin Vilsaint"/>
    <s v="WatSan - Emergency Response Team Mbr"/>
    <s v="DM Delegate"/>
    <s v="Haiti"/>
    <d v="2010-10-25T00:00:00"/>
    <d v="2010-10-31T00:00:00"/>
    <s v="Disaster"/>
    <s v="Q2"/>
    <x v="4"/>
    <s v="Staff"/>
    <x v="4"/>
    <s v="ARC Haiti Office"/>
    <n v="2888"/>
  </r>
  <r>
    <n v="1"/>
    <s v="Haiti"/>
    <s v="Epidemic"/>
    <s v="Madushi Lansakara"/>
    <s v="Information and Reporting - Seconded to Federation base camp operation"/>
    <s v="DM Delegate"/>
    <s v="Haiti"/>
    <d v="2010-10-23T00:00:00"/>
    <d v="2010-10-29T00:00:00"/>
    <s v="Disaster"/>
    <s v="Q2"/>
    <x v="4"/>
    <s v="Staff"/>
    <x v="4"/>
    <s v="ARC Haiti Office"/>
    <n v="2888"/>
  </r>
  <r>
    <n v="1"/>
    <s v="Belize"/>
    <s v="Hurricane Richard"/>
    <s v="Laura Havesi"/>
    <s v="Relief Delegate - Cash transfer/voucher program"/>
    <s v="Cash Transfer Delegate"/>
    <s v="Belize"/>
    <d v="2010-11-15T00:00:00"/>
    <d v="2010-12-17T00:00:00"/>
    <s v="Disaster"/>
    <s v="Q2"/>
    <x v="4"/>
    <s v="Staff"/>
    <x v="4"/>
    <s v="Colin Chaperon"/>
    <n v="2799"/>
  </r>
  <r>
    <n v="1"/>
    <s v="Bangladesh"/>
    <s v="Capacity Building"/>
    <s v="Roger Palmer"/>
    <s v="Telecoms assessment/Cyclone Preparedness Program"/>
    <m/>
    <s v="Bangladesh"/>
    <d v="2010-11-15T00:00:00"/>
    <d v="2010-12-04T00:00:00"/>
    <s v="Non"/>
    <s v="Q2"/>
    <x v="4"/>
    <s v="Roster"/>
    <x v="2"/>
    <s v="Colin Chaperon"/>
    <m/>
  </r>
  <r>
    <n v="1"/>
    <s v="North Africa &amp; Middle East Civil Unrest"/>
    <s v="Complex Emergency"/>
    <s v="Langdon Greenhalgh"/>
    <s v="FACT Team Leader"/>
    <s v="FACT Team Leader"/>
    <s v="Tunisia"/>
    <d v="2011-03-01T00:00:00"/>
    <d v="2011-03-20T00:00:00"/>
    <s v="Disaster"/>
    <s v="Q3"/>
    <x v="4"/>
    <s v="Roster"/>
    <x v="2"/>
    <s v="Colin Chaperon"/>
    <n v="2799"/>
  </r>
  <r>
    <n v="1"/>
    <s v="North Africa &amp; Middle East Civil Unrest"/>
    <s v="Complex Emergency"/>
    <s v="Marian Spivey-Estrada"/>
    <s v="FACT Information &amp; Reporting"/>
    <s v="FACT Information &amp; Reporting"/>
    <s v="Tunisia"/>
    <d v="2011-03-02T00:00:00"/>
    <d v="2011-03-24T00:00:00"/>
    <s v="Disaster"/>
    <s v="Q3"/>
    <x v="4"/>
    <s v="Roster"/>
    <x v="2"/>
    <s v="Colin Chaperon"/>
    <n v="2799"/>
  </r>
  <r>
    <n v="1"/>
    <s v="North Africa &amp; Middle East Civil Unrest"/>
    <s v="Complex Emergency"/>
    <s v="Colin Chaperon"/>
    <s v="FACT Relief Coordinator"/>
    <s v="FACT Relief Coordinator"/>
    <s v="Tunisia"/>
    <d v="2011-03-05T00:00:00"/>
    <d v="2011-04-02T00:00:00"/>
    <s v="Disaster"/>
    <s v="Q3"/>
    <x v="4"/>
    <s v="Roster"/>
    <x v="2"/>
    <s v="Colin Chaperon"/>
    <n v="2799"/>
  </r>
  <r>
    <n v="1"/>
    <s v="North Africa &amp; Middle East Civil Unrest"/>
    <s v="Complex Emergency"/>
    <s v="Gina Guinta"/>
    <s v="FACT Information &amp; Reporting"/>
    <s v="FACT Information &amp; Reporting"/>
    <s v="Tunisia"/>
    <d v="2011-03-19T00:00:00"/>
    <m/>
    <s v="Disaster"/>
    <s v="Q3"/>
    <x v="4"/>
    <s v="Roster"/>
    <x v="2"/>
    <s v="Marian Spivey-Estrada/ Tracy Reines"/>
    <n v="2799"/>
  </r>
  <r>
    <n v="1"/>
    <s v="North Africa &amp; Middle East Civil Unrest"/>
    <s v="Complex Emergency"/>
    <s v="Laura Hevesi"/>
    <s v="FACT Relief Coordinator"/>
    <s v="FACT Relief Coordinator"/>
    <s v="Tunisia"/>
    <d v="2011-03-30T00:00:00"/>
    <d v="2011-04-05T00:00:00"/>
    <s v="Disaster"/>
    <s v="Q3"/>
    <x v="4"/>
    <s v="Roster"/>
    <x v="2"/>
    <s v="Colin Chaperon"/>
    <n v="2799"/>
  </r>
  <r>
    <n v="1"/>
    <s v="Japan"/>
    <s v="Earthquake and Tsunami"/>
    <s v="Tom Alcedo"/>
    <s v="Federation reporting delegate &amp; ARC representative"/>
    <s v="Information &amp; Reporting Delegate"/>
    <s v="Japan"/>
    <d v="2011-04-03T00:00:00"/>
    <d v="2011-04-29T00:00:00"/>
    <s v="Disaster"/>
    <s v="Q4"/>
    <x v="4"/>
    <s v="Staff"/>
    <x v="2"/>
    <s v="Alex Mahoney"/>
    <s v="2841, Japan R&amp;D"/>
  </r>
  <r>
    <n v="1"/>
    <s v="Japan"/>
    <s v="Earthquake and Tsunami"/>
    <s v="Nan Buzard"/>
    <s v="ARC representative on high level Federation liaison team to Japanese RC"/>
    <s v="Advisor/Liaison"/>
    <s v="Japan"/>
    <m/>
    <m/>
    <s v="Disaster"/>
    <s v="Q4"/>
    <x v="4"/>
    <s v="Staff"/>
    <x v="2"/>
    <s v="Mark Preslan"/>
    <s v="2841, Japan R&amp;D"/>
  </r>
  <r>
    <n v="1"/>
    <s v="Japan"/>
    <s v="Earthquake and Tsunami"/>
    <s v="John Manley"/>
    <s v="Federation reporting delegate &amp; ARC representative"/>
    <s v="Information &amp; Reporting Delegate"/>
    <s v="Japan"/>
    <d v="2011-04-26T00:00:00"/>
    <d v="2011-05-24T00:00:00"/>
    <s v="Disaster"/>
    <s v="Q4"/>
    <x v="4"/>
    <s v="Staff"/>
    <x v="2"/>
    <s v="Alex Mahoney"/>
    <s v="2841, Japan R&amp;D"/>
  </r>
  <r>
    <m/>
    <m/>
    <m/>
    <m/>
    <m/>
    <m/>
    <m/>
    <m/>
    <m/>
    <m/>
    <m/>
    <x v="3"/>
    <m/>
    <x v="0"/>
    <m/>
    <m/>
  </r>
  <r>
    <m/>
    <m/>
    <m/>
    <m/>
    <m/>
    <m/>
    <m/>
    <m/>
    <m/>
    <m/>
    <m/>
    <x v="3"/>
    <m/>
    <x v="0"/>
    <m/>
    <m/>
  </r>
  <r>
    <m/>
    <m/>
    <m/>
    <m/>
    <m/>
    <m/>
    <m/>
    <m/>
    <m/>
    <m/>
    <m/>
    <x v="3"/>
    <m/>
    <x v="0"/>
    <m/>
    <m/>
  </r>
  <r>
    <m/>
    <m/>
    <m/>
    <m/>
    <m/>
    <m/>
    <m/>
    <m/>
    <m/>
    <m/>
    <m/>
    <x v="3"/>
    <m/>
    <x v="0"/>
    <m/>
    <m/>
  </r>
  <r>
    <m/>
    <m/>
    <m/>
    <m/>
    <m/>
    <m/>
    <m/>
    <m/>
    <m/>
    <m/>
    <m/>
    <x v="3"/>
    <m/>
    <x v="0"/>
    <m/>
    <m/>
  </r>
  <r>
    <m/>
    <m/>
    <m/>
    <m/>
    <m/>
    <m/>
    <m/>
    <m/>
    <m/>
    <m/>
    <m/>
    <x v="3"/>
    <m/>
    <x v="0"/>
    <m/>
    <m/>
  </r>
  <r>
    <m/>
    <m/>
    <m/>
    <m/>
    <m/>
    <m/>
    <m/>
    <m/>
    <m/>
    <m/>
    <m/>
    <x v="3"/>
    <m/>
    <x v="0"/>
    <m/>
    <m/>
  </r>
  <r>
    <m/>
    <m/>
    <m/>
    <m/>
    <m/>
    <m/>
    <m/>
    <m/>
    <m/>
    <m/>
    <m/>
    <x v="3"/>
    <m/>
    <x v="0"/>
    <m/>
    <m/>
  </r>
  <r>
    <m/>
    <m/>
    <m/>
    <m/>
    <m/>
    <m/>
    <m/>
    <m/>
    <m/>
    <m/>
    <m/>
    <x v="3"/>
    <m/>
    <x v="0"/>
    <m/>
    <m/>
  </r>
</pivotCacheRecords>
</file>

<file path=xl/pivotCache/pivotCacheRecords4.xml><?xml version="1.0" encoding="utf-8"?>
<pivotCacheRecords xmlns="http://schemas.openxmlformats.org/spreadsheetml/2006/main" xmlns:r="http://schemas.openxmlformats.org/officeDocument/2006/relationships" count="150">
  <r>
    <n v="1"/>
    <x v="0"/>
    <x v="0"/>
    <s v="Colin Chaperon"/>
    <s v="Monitoring"/>
    <s v="DM Delegate"/>
    <s v="Myanmar"/>
    <d v="2008-07-23T00:00:00"/>
    <d v="2008-08-23T00:00:00"/>
    <s v="Disaster"/>
    <s v="Q4"/>
    <x v="0"/>
    <s v="Staff"/>
    <x v="0"/>
    <s v="Alex/Greg"/>
    <m/>
  </r>
  <r>
    <n v="1"/>
    <x v="1"/>
    <x v="1"/>
    <s v="Brennan Banks"/>
    <s v="DM Delegate "/>
    <s v="DM Delegate"/>
    <s v="Kenya"/>
    <d v="2008-10-28T00:00:00"/>
    <d v="2008-12-07T00:00:00"/>
    <s v="Disaster"/>
    <s v="Q2"/>
    <x v="1"/>
    <s v="Roster"/>
    <x v="1"/>
    <s v="Greg "/>
    <m/>
  </r>
  <r>
    <n v="1"/>
    <x v="2"/>
    <x v="1"/>
    <s v="Tracy Reines"/>
    <s v="Relief on Fed Assessment Team"/>
    <s v="Assessment Team"/>
    <m/>
    <d v="2008-10-26T00:00:00"/>
    <d v="2008-11-08T00:00:00"/>
    <s v="Disaster"/>
    <s v="Q2"/>
    <x v="1"/>
    <s v="Staff"/>
    <x v="1"/>
    <s v="Stacy"/>
    <m/>
  </r>
  <r>
    <n v="1"/>
    <x v="3"/>
    <x v="2"/>
    <s v="Roger Palmer"/>
    <s v="IT Telecoms Delegates"/>
    <s v="DM Delegate"/>
    <s v="Indonesia"/>
    <d v="2009-01-07T00:00:00"/>
    <d v="2009-04-18T00:00:00"/>
    <s v="Non"/>
    <s v="Q3"/>
    <x v="1"/>
    <s v="Roster"/>
    <x v="2"/>
    <s v="Travis"/>
    <m/>
  </r>
  <r>
    <n v="1"/>
    <x v="3"/>
    <x v="2"/>
    <s v="Glen Bradley"/>
    <s v="IT Telecoms Delegates"/>
    <s v="DM Delegate"/>
    <s v="Indonesia"/>
    <d v="2009-01-07T00:00:00"/>
    <d v="2009-02-18T00:00:00"/>
    <s v="Non"/>
    <s v="Q3"/>
    <x v="1"/>
    <s v="Roster"/>
    <x v="2"/>
    <s v="Travis"/>
    <m/>
  </r>
  <r>
    <n v="1"/>
    <x v="4"/>
    <x v="3"/>
    <s v="Gina Guinta"/>
    <s v="ICRC Relief Delegate: Gina recently served with the International Committee of the Red Cross (ICRC) in northern Sri Lanka. She worked in the Internally Displaced Persons camps distributing relief items.  Gina works for the American Red Cross with the Tsun"/>
    <s v="Seconded Delegate"/>
    <s v="Sri Lanka"/>
    <d v="2009-05-12T00:00:00"/>
    <d v="2009-06-09T00:00:00"/>
    <s v="Disaster"/>
    <s v="Q4"/>
    <x v="1"/>
    <s v="Staff"/>
    <x v="2"/>
    <s v="Jennifer Durben"/>
    <m/>
  </r>
  <r>
    <n v="1"/>
    <x v="5"/>
    <x v="4"/>
    <s v="Travis Betz"/>
    <s v="Relief Operations Support Delegate: Travis Betz deployed as a Relief Operations Support Delegate to support BDRCS in assessments, planning and coordination in response to Cyclone Aila. _x000a_"/>
    <s v="Seconded Delegate"/>
    <s v="Bangladesh"/>
    <d v="2009-06-30T00:00:00"/>
    <d v="2009-08-01T00:00:00"/>
    <s v="Disaster"/>
    <s v="Q4"/>
    <x v="1"/>
    <s v="Staff"/>
    <x v="2"/>
    <s v="Alex Mahoney"/>
    <m/>
  </r>
  <r>
    <n v="1"/>
    <x v="6"/>
    <x v="2"/>
    <s v="Deb Castellano"/>
    <s v="Logistics Intern at KL RLU"/>
    <s v="Logistics Delegate"/>
    <s v="KL Zone Office"/>
    <d v="2008-09-22T00:00:00"/>
    <d v="2008-03-22T00:00:00"/>
    <s v="Non"/>
    <s v="Q1"/>
    <x v="1"/>
    <s v="Roster"/>
    <x v="3"/>
    <s v="Travis"/>
    <m/>
  </r>
  <r>
    <n v="1"/>
    <x v="7"/>
    <x v="2"/>
    <s v="Chris Bell"/>
    <s v="Regional Intervention Team Member: deployed to monitor ongoing operations and provide surge capacity to disaster management team."/>
    <s v="RIT"/>
    <s v="Panama PADRU"/>
    <d v="2009-04-01T00:00:00"/>
    <d v="2009-04-30T00:00:00"/>
    <s v="Non"/>
    <s v="Q4"/>
    <x v="1"/>
    <s v="Roster"/>
    <x v="3"/>
    <s v="Guillermo"/>
    <m/>
  </r>
  <r>
    <n v="1"/>
    <x v="8"/>
    <x v="2"/>
    <s v="Charles Blake"/>
    <s v="Business Continuity Planning: Charles deployed to Panama to support the Americas Zone in developing a Crisis Management Plan (CMP) for the IFRC Americas Zone with the Disaster Response Unit PADRU and Regional Representation Offices (RRO) to ensure that es"/>
    <s v="DM Delegate"/>
    <s v="Panama PADRU"/>
    <d v="2009-06-22T00:00:00"/>
    <d v="2009-07-15T00:00:00"/>
    <s v="Non"/>
    <s v="Q4"/>
    <x v="1"/>
    <s v="Roster"/>
    <x v="3"/>
    <s v="Guillermo"/>
    <m/>
  </r>
  <r>
    <n v="1"/>
    <x v="8"/>
    <x v="2"/>
    <s v="Travis Betz"/>
    <s v="Interim DM Delegate"/>
    <s v="DM Delegate"/>
    <s v="Panama PADRU"/>
    <d v="2008-12-01T00:00:00"/>
    <d v="2008-01-04T00:00:00"/>
    <s v="Non"/>
    <s v="Q2"/>
    <x v="1"/>
    <s v="Staff"/>
    <x v="3"/>
    <s v="Guillermo "/>
    <m/>
  </r>
  <r>
    <n v="1"/>
    <x v="6"/>
    <x v="2"/>
    <s v="Stacy Ragan"/>
    <s v="Staff on Loan to APDMU: Stacy deployed to provide HR support for monsoon and typhoon season and to assist with response and response preparedness activities. This was a generalist role supporting DM activities and operations coordination and support._x000a_"/>
    <s v="Staff on Loan"/>
    <s v="KL Zone Office/DMU"/>
    <d v="2009-06-01T00:00:00"/>
    <d v="2009-06-21T00:00:00"/>
    <s v="Non"/>
    <s v="Q4"/>
    <x v="1"/>
    <s v="Staff"/>
    <x v="3"/>
    <s v="Tracy Reines"/>
    <m/>
  </r>
  <r>
    <n v="1"/>
    <x v="6"/>
    <x v="2"/>
    <s v="Alex Mahoney"/>
    <s v="Staff on Loan to APDMU: Alex deployed to provide HR support for monsoon and typhoon season and to assist with response and response preparedness activities. This was a generalist role supporting DM activities and operations coordination and support._x000a_"/>
    <s v="Staff on Loan"/>
    <s v="KL Zone Office/DMU"/>
    <d v="2009-06-21T00:00:00"/>
    <d v="2009-07-10T00:00:00"/>
    <s v="Non"/>
    <s v="Q4"/>
    <x v="1"/>
    <s v="Staff"/>
    <x v="3"/>
    <s v="N/A"/>
    <m/>
  </r>
  <r>
    <n v="1"/>
    <x v="9"/>
    <x v="2"/>
    <s v="Anne Reynolds"/>
    <s v="Contingency planning w/ APDMU: Anne deployed to support the project design and test of a complimentary tool for the Fed’s Disaster Response and Contingency Guide. The project will review existing disaster contingency plans in Asia Pacific and past practic"/>
    <s v="DM Delegate"/>
    <s v="KL Zone Office/DMU"/>
    <d v="2009-06-22T00:00:00"/>
    <d v="2009-07-09T00:00:00"/>
    <s v="Non"/>
    <s v="Q4"/>
    <x v="1"/>
    <s v="Staff"/>
    <x v="3"/>
    <s v="Alex in country "/>
    <m/>
  </r>
  <r>
    <n v="1"/>
    <x v="10"/>
    <x v="5"/>
    <s v="Roger Palmer"/>
    <s v="IT &amp; Telecoms"/>
    <s v="IT/Telecom ERU"/>
    <s v="Suriname"/>
    <d v="2008-08-26T00:00:00"/>
    <d v="2008-09-15T00:00:00"/>
    <s v="Disaster"/>
    <s v="Q1"/>
    <x v="1"/>
    <s v="Roster"/>
    <x v="4"/>
    <s v="Christine/Greg"/>
    <m/>
  </r>
  <r>
    <n v="1"/>
    <x v="10"/>
    <x v="5"/>
    <s v="Mark Million"/>
    <s v="IT &amp; Telecoms"/>
    <s v="IT/Telecom ERU"/>
    <s v="Suriname"/>
    <d v="2008-08-26T00:00:00"/>
    <d v="2008-09-15T00:00:00"/>
    <s v="Disaster"/>
    <s v="Q1"/>
    <x v="1"/>
    <s v="Roster"/>
    <x v="4"/>
    <s v="Christine /Greg"/>
    <m/>
  </r>
  <r>
    <n v="1"/>
    <x v="11"/>
    <x v="6"/>
    <s v="Brigitte Gaillis"/>
    <s v="FACT Team Lead (9/3/08 - 10/30/08) Head of Ops (11/12/08 - 5/12/09)"/>
    <s v="FACT"/>
    <s v="Haiti"/>
    <d v="2008-09-03T00:00:00"/>
    <d v="2008-10-30T00:00:00"/>
    <s v="Disaster"/>
    <s v="Q1"/>
    <x v="1"/>
    <s v="Roster"/>
    <x v="4"/>
    <s v="Christine/Travis"/>
    <m/>
  </r>
  <r>
    <n v="1"/>
    <x v="12"/>
    <x v="7"/>
    <s v="Christina Hammond"/>
    <s v="RIT"/>
    <s v="RIT"/>
    <s v="Bahamas"/>
    <d v="2008-09-04T00:00:00"/>
    <d v="2008-09-25T00:00:00"/>
    <s v="Disaster"/>
    <s v="Q1"/>
    <x v="1"/>
    <s v="Roster"/>
    <x v="4"/>
    <s v="Shelley"/>
    <m/>
  </r>
  <r>
    <n v="1"/>
    <x v="11"/>
    <x v="6"/>
    <s v="John Manley"/>
    <s v="Relief ERU Member + Team Lead"/>
    <s v="Relief ERU"/>
    <s v="Haiti"/>
    <d v="2008-10-01T00:00:00"/>
    <d v="2008-11-25T00:00:00"/>
    <s v="Disaster"/>
    <s v="Q2"/>
    <x v="1"/>
    <s v="Roster"/>
    <x v="4"/>
    <s v="Christine/Travis"/>
    <m/>
  </r>
  <r>
    <n v="1"/>
    <x v="13"/>
    <x v="8"/>
    <s v="Scott DiPretoro"/>
    <s v="Cash Voucher Delegate"/>
    <s v="DM Delegate"/>
    <s v="Costa Rica"/>
    <d v="2009-01-25T00:00:00"/>
    <d v="2009-02-21T00:00:00"/>
    <s v="Disaster"/>
    <s v="Q3"/>
    <x v="1"/>
    <s v="Roster"/>
    <x v="4"/>
    <s v="Christine"/>
    <m/>
  </r>
  <r>
    <n v="1"/>
    <x v="14"/>
    <x v="9"/>
    <s v="Dario Diaz"/>
    <s v="Liaison to Mexican RC"/>
    <s v="DM Delegate"/>
    <s v="Texas"/>
    <d v="2008-09-18T00:00:00"/>
    <s v="3 weeks"/>
    <s v="Non"/>
    <s v="Q1"/>
    <x v="1"/>
    <s v="Roster"/>
    <x v="4"/>
    <s v="Travis"/>
    <m/>
  </r>
  <r>
    <n v="1"/>
    <x v="15"/>
    <x v="2"/>
    <s v="Brennan Banks"/>
    <s v="DM Delegate for Disaster Planning"/>
    <s v="DM Delegate"/>
    <s v="Belize"/>
    <d v="2009-01-01T00:00:00"/>
    <s v="3 weeks"/>
    <s v="Non"/>
    <s v="Q3"/>
    <x v="1"/>
    <s v="Roster"/>
    <x v="4"/>
    <s v="Guillermo"/>
    <m/>
  </r>
  <r>
    <n v="1"/>
    <x v="11"/>
    <x v="6"/>
    <s v="Matt Marek"/>
    <s v="Relief ERU Member"/>
    <s v="Relief ERU"/>
    <s v="Haiti"/>
    <d v="2008-09-06T00:00:00"/>
    <s v="1 month"/>
    <s v="Disaster"/>
    <s v="Q1"/>
    <x v="1"/>
    <s v="Staff"/>
    <x v="4"/>
    <s v="Christine/Travis"/>
    <m/>
  </r>
  <r>
    <n v="1"/>
    <x v="11"/>
    <x v="6"/>
    <s v="Colin Chaperon"/>
    <s v="Relief ERU Team Lead"/>
    <s v="Relief ERU"/>
    <s v="Haiti"/>
    <d v="2008-09-06T00:00:00"/>
    <d v="2008-10-03T00:00:00"/>
    <s v="Disaster"/>
    <s v="Q1"/>
    <x v="1"/>
    <s v="Staff"/>
    <x v="4"/>
    <s v="Christine/Travis"/>
    <m/>
  </r>
  <r>
    <n v="1"/>
    <x v="11"/>
    <x v="6"/>
    <s v="Greg Matthews"/>
    <s v="Relief ERU Member "/>
    <s v="Relief ERU"/>
    <s v="Haiti"/>
    <d v="2008-10-11T00:00:00"/>
    <d v="2008-11-01T00:00:00"/>
    <s v="Disaster"/>
    <s v="Q2"/>
    <x v="1"/>
    <s v="Staff"/>
    <x v="4"/>
    <s v="Christine/Travis"/>
    <m/>
  </r>
  <r>
    <n v="1"/>
    <x v="13"/>
    <x v="8"/>
    <s v="A. Vargas (Panama staff deployed for ARC)"/>
    <s v="Cash Voucher Delegate"/>
    <s v="DM Delegate"/>
    <s v="Costa Rica"/>
    <d v="2009-01-25T00:00:00"/>
    <d v="2009-02-21T00:00:00"/>
    <s v="Disaster"/>
    <s v="Q3"/>
    <x v="1"/>
    <s v="Staff"/>
    <x v="4"/>
    <s v="Christine"/>
    <m/>
  </r>
  <r>
    <n v="1"/>
    <x v="14"/>
    <x v="2"/>
    <s v="Deb Castellano"/>
    <s v="Logistics"/>
    <s v="Logistics Delegate"/>
    <s v="NHQ"/>
    <d v="2008-07-07T00:00:00"/>
    <s v="2 months"/>
    <s v="Non"/>
    <s v="Q1"/>
    <x v="1"/>
    <s v="Roster"/>
    <x v="5"/>
    <s v="Liz"/>
    <m/>
  </r>
  <r>
    <n v="1"/>
    <x v="14"/>
    <x v="10"/>
    <s v="Cristina Hammond"/>
    <s v="Support N1H1 Pandemic preparedness/monitoring: Cristina provided technical surge capacity and supported information management during the H1N1 Flu Outbreak under the direction of ISD’s Senior Pandemic Advisor. _x000a_"/>
    <s v="Operations Support Delegate"/>
    <s v="NHQ"/>
    <d v="2009-05-03T00:00:00"/>
    <d v="2009-05-24T00:00:00"/>
    <s v="Non"/>
    <s v="Q4"/>
    <x v="1"/>
    <s v="Roster"/>
    <x v="5"/>
    <s v="Jeanne Koepsell"/>
    <m/>
  </r>
  <r>
    <n v="1"/>
    <x v="16"/>
    <x v="11"/>
    <s v="John Manley"/>
    <s v="Relief FACT Team member "/>
    <s v="FACT"/>
    <s v="Burkina Faso"/>
    <d v="2009-09-10T00:00:00"/>
    <d v="2009-10-12T00:00:00"/>
    <s v="Disaster"/>
    <s v="Q1"/>
    <x v="2"/>
    <s v="Roster"/>
    <x v="1"/>
    <s v="Colin Chaperon"/>
    <s v="RRF 2799"/>
  </r>
  <r>
    <n v="1"/>
    <x v="17"/>
    <x v="11"/>
    <s v="Steve McAndrew"/>
    <s v="Relief ERU Team Leader (AmCross lead joint ERU with Danish RC)"/>
    <s v="Relief ERU"/>
    <s v="Senegal"/>
    <d v="2009-09-12T00:00:00"/>
    <d v="2009-10-12T00:00:00"/>
    <s v="Disaster"/>
    <s v="Q1"/>
    <x v="2"/>
    <s v="Roster"/>
    <x v="1"/>
    <s v="Colin Chaperon"/>
    <s v="RRF 2799"/>
  </r>
  <r>
    <n v="1"/>
    <x v="17"/>
    <x v="11"/>
    <s v="Shinko Mondori"/>
    <s v="Relief ERU Team Member (AmCross lead joint ERU with Danish RC)"/>
    <s v="Relief ERU"/>
    <s v="Senegal"/>
    <d v="2009-09-12T00:00:00"/>
    <d v="2009-10-12T00:00:00"/>
    <s v="Disaster"/>
    <s v="Q1"/>
    <x v="2"/>
    <s v="Roster"/>
    <x v="1"/>
    <s v="Colin Chaperon"/>
    <s v="RRF 2799"/>
  </r>
  <r>
    <n v="1"/>
    <x v="17"/>
    <x v="11"/>
    <s v="Luis Matnog"/>
    <s v="Relief ERU Team Member (AmCross lead joint ERU with Danish RC)"/>
    <s v="Relief ERU"/>
    <s v="Senegal"/>
    <d v="2009-09-12T00:00:00"/>
    <d v="2009-10-12T00:00:00"/>
    <s v="Disaster"/>
    <s v="Q1"/>
    <x v="2"/>
    <s v="Roster"/>
    <x v="1"/>
    <s v="Colin Chaperon"/>
    <s v="RRF 2799"/>
  </r>
  <r>
    <n v="1"/>
    <x v="3"/>
    <x v="12"/>
    <s v="Cristina Hammond"/>
    <s v="Shelter Cluster Information Manager Delegate deployed to Indonesia to fill the role of IFRC Shelter Cluster Information Manager for Java Earthquake response"/>
    <s v="Shelter Cluster"/>
    <s v="Indonesia"/>
    <d v="2009-09-16T00:00:00"/>
    <d v="2009-10-16T00:00:00"/>
    <s v="Disaster"/>
    <s v="Q1"/>
    <x v="2"/>
    <s v="Roster"/>
    <x v="2"/>
    <s v="Colin Chaperon"/>
    <s v="RRF 2799"/>
  </r>
  <r>
    <n v="1"/>
    <x v="18"/>
    <x v="13"/>
    <s v="Cristina Hammond"/>
    <s v="Coordinate OFDA grant funded NFI distributions with PNRC"/>
    <s v="Operations Support Delegate"/>
    <s v="Phillippines"/>
    <d v="2009-10-16T00:00:00"/>
    <d v="2009-12-16T00:00:00"/>
    <s v="Disaster"/>
    <s v="Q1"/>
    <x v="2"/>
    <s v="Roster"/>
    <x v="2"/>
    <s v="Stacy Ragan"/>
    <n v="2698"/>
  </r>
  <r>
    <n v="1"/>
    <x v="18"/>
    <x v="13"/>
    <s v="Mariza Rogers"/>
    <s v="Shelter Cluster Coordinator Delegate deployed to Philippines"/>
    <s v="Shelter Cluster"/>
    <s v="Phillippines"/>
    <d v="2009-10-05T00:00:00"/>
    <d v="2009-11-05T00:00:00"/>
    <s v="Disaster"/>
    <s v="Q1"/>
    <x v="2"/>
    <s v="Roster"/>
    <x v="2"/>
    <s v="Stacy Ragan"/>
    <n v="2698"/>
  </r>
  <r>
    <n v="1"/>
    <x v="19"/>
    <x v="13"/>
    <s v="Michael Zeleke"/>
    <s v="Coordinate OFDA grant Cash Transfer Programming in Vietnam"/>
    <s v="DM Delegate"/>
    <s v="Vietnam"/>
    <d v="2009-10-16T00:00:00"/>
    <s v="TBD"/>
    <s v="Disaster"/>
    <s v="Q1"/>
    <x v="2"/>
    <s v="Staff"/>
    <x v="2"/>
    <s v="Alex Mahoney"/>
    <n v="2698"/>
  </r>
  <r>
    <n v="1"/>
    <x v="20"/>
    <x v="14"/>
    <s v="Jono Anzalone"/>
    <s v="Delegate working with Mexican Red Cross on M &amp; E for relief distribution"/>
    <s v="DM Delegate"/>
    <s v="Mexico"/>
    <d v="2010-12-01T00:00:00"/>
    <d v="2010-12-20T00:00:00"/>
    <s v="Disaster"/>
    <s v="Q1"/>
    <x v="2"/>
    <s v="Roster"/>
    <x v="4"/>
    <s v="Stacy"/>
    <m/>
  </r>
  <r>
    <n v="1"/>
    <x v="3"/>
    <x v="8"/>
    <s v="Alex Mahoney"/>
    <s v="Coordinate OFDA grant funded NFI distributions with PMI"/>
    <s v="Operations Support Delegate"/>
    <s v="Indonesia"/>
    <d v="2009-10-19T00:00:00"/>
    <d v="2009-11-10T00:00:00"/>
    <s v="Disaster"/>
    <s v="Q1"/>
    <x v="2"/>
    <s v="Staff"/>
    <x v="2"/>
    <s v="Christy Ferguson"/>
    <n v="2930"/>
  </r>
  <r>
    <n v="1"/>
    <x v="11"/>
    <x v="5"/>
    <s v="John Manley"/>
    <s v="Deployed to Haiti NRC as a RIT for DREF operation."/>
    <s v="RIT"/>
    <s v="Haiti"/>
    <d v="2009-11-13T00:00:00"/>
    <d v="2009-12-13T00:00:00"/>
    <s v="Disaster"/>
    <s v="Q2"/>
    <x v="2"/>
    <s v="Roster"/>
    <x v="4"/>
    <s v="Scott DiPretoro"/>
    <n v="2885"/>
  </r>
  <r>
    <n v="1"/>
    <x v="21"/>
    <x v="2"/>
    <s v="Amanda West"/>
    <s v="Staff on loan working with Federation Zone on PMER in China and Mongolia"/>
    <s v="Staff on Loan"/>
    <s v="China/_x000a_Mongolia"/>
    <d v="2009-11-29T00:00:00"/>
    <d v="2009-12-22T00:00:00"/>
    <s v="Non"/>
    <s v="Q2"/>
    <x v="2"/>
    <s v="Staff"/>
    <x v="2"/>
    <s v="Stacy"/>
    <s v="China EQ AP"/>
  </r>
  <r>
    <n v="1"/>
    <x v="22"/>
    <x v="2"/>
    <s v="Tracy Reines"/>
    <s v="Delegate working with Nepal Red Cross on disaster management planning"/>
    <s v="DM Delegate"/>
    <s v="Nepal"/>
    <d v="2009-10-31T00:00:00"/>
    <d v="2009-12-05T00:00:00"/>
    <s v="Non"/>
    <s v="Q2"/>
    <x v="2"/>
    <s v="Staff"/>
    <x v="2"/>
    <s v="Stacy"/>
    <s v="SIF/3809 – Fed to reimburse "/>
  </r>
  <r>
    <m/>
    <x v="23"/>
    <x v="15"/>
    <m/>
    <m/>
    <m/>
    <m/>
    <m/>
    <m/>
    <m/>
    <m/>
    <x v="3"/>
    <m/>
    <x v="0"/>
    <m/>
    <m/>
  </r>
  <r>
    <m/>
    <x v="23"/>
    <x v="15"/>
    <m/>
    <m/>
    <m/>
    <m/>
    <m/>
    <m/>
    <m/>
    <m/>
    <x v="3"/>
    <m/>
    <x v="0"/>
    <m/>
    <m/>
  </r>
  <r>
    <n v="1"/>
    <x v="11"/>
    <x v="8"/>
    <s v="Colin Chaperon"/>
    <s v="Relief ERU Team Leader"/>
    <s v="Relief ERU"/>
    <s v="Haiti"/>
    <d v="2010-01-13T00:00:00"/>
    <d v="2010-02-10T00:00:00"/>
    <s v="Disaster"/>
    <s v="Q3"/>
    <x v="2"/>
    <s v="Staff"/>
    <x v="4"/>
    <s v="Stacy/Ops Team"/>
    <n v="2888"/>
  </r>
  <r>
    <n v="1"/>
    <x v="11"/>
    <x v="8"/>
    <s v="Steve McAndrew"/>
    <s v="Relief  FACT team"/>
    <s v="Relief ERU"/>
    <s v="Haiti"/>
    <d v="2010-01-13T00:00:00"/>
    <d v="2010-02-04T00:00:00"/>
    <s v="Disaster"/>
    <s v="Q3"/>
    <x v="2"/>
    <s v="Roster"/>
    <x v="4"/>
    <s v="Stacy/Ops Team"/>
    <n v="2888"/>
  </r>
  <r>
    <n v="1"/>
    <x v="11"/>
    <x v="8"/>
    <s v="Eric Baranick"/>
    <s v="Relief ERU Team Member"/>
    <s v="Relief ERU"/>
    <s v="Haiti"/>
    <d v="2010-01-13T00:00:00"/>
    <d v="2010-01-30T00:00:00"/>
    <s v="Disaster"/>
    <s v="Q3"/>
    <x v="2"/>
    <s v="Staff"/>
    <x v="4"/>
    <s v="Stacy/Ops Team"/>
    <n v="2888"/>
  </r>
  <r>
    <n v="1"/>
    <x v="11"/>
    <x v="8"/>
    <s v="Gavin White"/>
    <s v="Relief ERU Team Member"/>
    <s v="Relief ERU"/>
    <s v="Haiti"/>
    <d v="2010-01-13T00:00:00"/>
    <d v="2010-01-30T00:00:00"/>
    <s v="Disaster"/>
    <s v="Q3"/>
    <x v="2"/>
    <s v="Staff"/>
    <x v="4"/>
    <s v="Stacy/Ops Team"/>
    <n v="2888"/>
  </r>
  <r>
    <n v="1"/>
    <x v="11"/>
    <x v="8"/>
    <s v="Brigitte Gaillis"/>
    <s v="Relief ERU Team Member"/>
    <s v="Relief ERU"/>
    <s v="Haiti"/>
    <d v="2010-01-13T00:00:00"/>
    <d v="2010-01-30T00:00:00"/>
    <s v="Disaster"/>
    <s v="Q3"/>
    <x v="2"/>
    <s v="Roster"/>
    <x v="4"/>
    <s v="Stacy/Ops Team"/>
    <n v="2888"/>
  </r>
  <r>
    <n v="1"/>
    <x v="11"/>
    <x v="8"/>
    <s v="Rosemary Parnell"/>
    <s v="IFRC Logistics Delegate"/>
    <s v="Logistics Delegate"/>
    <s v="Haiti"/>
    <d v="2010-01-19T00:00:00"/>
    <d v="2010-02-28T00:00:00"/>
    <s v="Disaster"/>
    <s v="Q3"/>
    <x v="2"/>
    <s v="Staff"/>
    <x v="4"/>
    <s v="Stacy/Ops Team"/>
    <n v="2888"/>
  </r>
  <r>
    <n v="1"/>
    <x v="11"/>
    <x v="8"/>
    <s v="Glen Bradley"/>
    <s v="IT/Telecoms ERU joint with Danish RC"/>
    <s v="IT/Telecom ERU"/>
    <s v="Haiti"/>
    <d v="2010-01-13T00:00:00"/>
    <d v="2010-02-14T00:00:00"/>
    <s v="Disaster"/>
    <s v="Q3"/>
    <x v="2"/>
    <s v="Roster"/>
    <x v="4"/>
    <s v="Stacy/Ops Team"/>
    <n v="2888"/>
  </r>
  <r>
    <n v="1"/>
    <x v="11"/>
    <x v="8"/>
    <s v="Mark Million"/>
    <s v="IT/Telecoms ERU joint with Danish RC"/>
    <s v="IT/Telecom ERU"/>
    <s v="Haiti"/>
    <d v="2010-01-13T00:00:00"/>
    <d v="2010-02-14T00:00:00"/>
    <s v="Disaster"/>
    <s v="Q3"/>
    <x v="2"/>
    <s v="Roster"/>
    <x v="4"/>
    <s v="Stacy/Ops Team"/>
    <n v="2888"/>
  </r>
  <r>
    <n v="1"/>
    <x v="11"/>
    <x v="8"/>
    <s v="Joe Becker"/>
    <s v="IFRC Operations Liaison"/>
    <s v="Operations Support Delegate"/>
    <s v="Haiti"/>
    <d v="2010-01-24T00:00:00"/>
    <d v="2010-01-31T00:00:00"/>
    <s v="Disaster"/>
    <s v="Q3"/>
    <x v="2"/>
    <s v="Staff"/>
    <x v="4"/>
    <s v="Stacy/Ops Team"/>
    <n v="2888"/>
  </r>
  <r>
    <n v="1"/>
    <x v="11"/>
    <x v="8"/>
    <s v="Nate Cooper"/>
    <s v="IFRC Logistics Delegate"/>
    <s v="Logistics Delegate"/>
    <s v="Haiti"/>
    <d v="2010-01-25T00:00:00"/>
    <d v="2010-02-04T00:00:00"/>
    <s v="Disaster"/>
    <s v="Q3"/>
    <x v="2"/>
    <s v="Staff"/>
    <x v="4"/>
    <s v="Stacy/Ops Team"/>
    <n v="2888"/>
  </r>
  <r>
    <n v="1"/>
    <x v="11"/>
    <x v="8"/>
    <s v="Mark Smith"/>
    <s v="IFRC Logistics Delegate"/>
    <s v="Logistics Delegate"/>
    <s v="Haiti"/>
    <d v="2010-01-25T00:00:00"/>
    <d v="2010-02-14T00:00:00"/>
    <s v="Disaster"/>
    <s v="Q3"/>
    <x v="2"/>
    <s v="Roster"/>
    <x v="4"/>
    <s v="Stacy/Ops Team"/>
    <n v="2888"/>
  </r>
  <r>
    <n v="1"/>
    <x v="11"/>
    <x v="8"/>
    <s v="Lindsay Lincoln"/>
    <s v="FACT Team Admin &amp; Reporting"/>
    <s v="FACT"/>
    <s v="Haiti"/>
    <d v="2010-01-22T00:00:00"/>
    <d v="2010-02-06T00:00:00"/>
    <s v="Disaster"/>
    <s v="Q3"/>
    <x v="2"/>
    <s v="Staff"/>
    <x v="4"/>
    <s v="Stacy/Ops Team"/>
    <n v="2888"/>
  </r>
  <r>
    <n v="1"/>
    <x v="11"/>
    <x v="8"/>
    <s v="Charles Blake"/>
    <s v="Relief ERU Team Member"/>
    <s v="Relief ERU"/>
    <s v="Haiti"/>
    <d v="2010-01-22T00:00:00"/>
    <d v="2010-02-16T00:00:00"/>
    <s v="Disaster"/>
    <s v="Q3"/>
    <x v="2"/>
    <s v="Roster"/>
    <x v="4"/>
    <s v="Stacy/Ops Team"/>
    <n v="2888"/>
  </r>
  <r>
    <n v="1"/>
    <x v="11"/>
    <x v="8"/>
    <s v="Luis Matnog"/>
    <s v="Relief ERU Team Member"/>
    <s v="Relief ERU"/>
    <s v="Haiti"/>
    <d v="2010-01-31T00:00:00"/>
    <d v="2010-02-26T00:00:00"/>
    <s v="Disaster"/>
    <s v="Q3"/>
    <x v="2"/>
    <s v="Roster"/>
    <x v="4"/>
    <s v="Stacy/Ops Team"/>
    <n v="2888"/>
  </r>
  <r>
    <n v="1"/>
    <x v="11"/>
    <x v="8"/>
    <s v="Christophe Lobry-Boulanger"/>
    <s v="Relief ERU Team Member"/>
    <s v="Relief ERU"/>
    <s v="Haiti"/>
    <d v="2010-01-31T00:00:00"/>
    <d v="2010-02-26T00:00:00"/>
    <s v="Disaster"/>
    <s v="Q3"/>
    <x v="2"/>
    <s v="Roster"/>
    <x v="4"/>
    <s v="Stacy/Ops Team"/>
    <n v="2888"/>
  </r>
  <r>
    <n v="1"/>
    <x v="11"/>
    <x v="8"/>
    <s v="Chris Darlington"/>
    <s v="Relief ERU Team Leader"/>
    <s v="Relief ERU"/>
    <s v="Haiti"/>
    <d v="2010-01-31T00:00:00"/>
    <d v="2010-02-26T00:00:00"/>
    <s v="Disaster"/>
    <s v="Q3"/>
    <x v="2"/>
    <s v="Roster"/>
    <x v="4"/>
    <s v="Stacy/Ops Team"/>
    <n v="2888"/>
  </r>
  <r>
    <n v="1"/>
    <x v="11"/>
    <x v="8"/>
    <s v="Ori Shaham (MDA)"/>
    <s v="Relief ERU Team Member"/>
    <s v="Relief ERU"/>
    <s v="Haiti"/>
    <d v="2010-01-31T00:00:00"/>
    <d v="2010-02-26T00:00:00"/>
    <s v="Disaster"/>
    <s v="Q3"/>
    <x v="2"/>
    <s v="Roster"/>
    <x v="4"/>
    <s v="Stacy/Ops Team"/>
    <n v="2888"/>
  </r>
  <r>
    <n v="1"/>
    <x v="11"/>
    <x v="8"/>
    <s v="Haim Budin (MDA)"/>
    <s v="Relief ERU Team Member"/>
    <s v="Relief ERU"/>
    <s v="Haiti"/>
    <d v="2010-01-31T00:00:00"/>
    <d v="2010-02-26T00:00:00"/>
    <s v="Disaster"/>
    <s v="Q3"/>
    <x v="2"/>
    <s v="Roster"/>
    <x v="4"/>
    <s v="Stacy/Ops Team"/>
    <n v="2888"/>
  </r>
  <r>
    <n v="1"/>
    <x v="11"/>
    <x v="8"/>
    <s v="Kelly Hurd"/>
    <s v="Relief ERU Team Member"/>
    <s v="Relief ERU"/>
    <s v="Haiti"/>
    <d v="2010-02-03T00:00:00"/>
    <d v="2010-02-26T00:00:00"/>
    <s v="Disaster"/>
    <s v="Q3"/>
    <x v="2"/>
    <s v="Roster"/>
    <x v="4"/>
    <s v="Stacy/Ops Team"/>
    <n v="2888"/>
  </r>
  <r>
    <n v="1"/>
    <x v="11"/>
    <x v="8"/>
    <s v="Scott DiPretoro"/>
    <s v="Cash Transfer Programming Delegate (Alt Relief Team)"/>
    <s v="Cash Transfer Delegate"/>
    <s v="Haiti"/>
    <d v="2010-01-31T00:00:00"/>
    <d v="2010-04-01T00:00:00"/>
    <s v="Disaster"/>
    <s v="Q3"/>
    <x v="2"/>
    <s v="Staff"/>
    <x v="4"/>
    <s v="Stacy/Ops Team"/>
    <n v="2888"/>
  </r>
  <r>
    <n v="1"/>
    <x v="11"/>
    <x v="8"/>
    <s v="Omar Abou-Samra"/>
    <s v="Cash Transfer Programming Delegate (Alt Relief Team)"/>
    <s v="Cash Transfer Delegate"/>
    <s v="Haiti"/>
    <d v="2010-01-31T00:00:00"/>
    <d v="2010-02-26T00:00:00"/>
    <s v="Disaster"/>
    <s v="Q3"/>
    <x v="2"/>
    <s v="Staff"/>
    <x v="4"/>
    <s v="Stacy/Ops Team"/>
    <n v="2888"/>
  </r>
  <r>
    <n v="1"/>
    <x v="11"/>
    <x v="8"/>
    <s v="Sharon Truelove"/>
    <s v="Cash Transfer Programming Delegate (Alt Relief Team)"/>
    <s v="Cash Transfer Delegate"/>
    <s v="Haiti"/>
    <d v="2010-02-02T00:00:00"/>
    <d v="2010-02-26T00:00:00"/>
    <s v="Disaster"/>
    <s v="Q3"/>
    <x v="2"/>
    <s v="Roster"/>
    <x v="4"/>
    <s v="Stacy/Ops Team"/>
    <n v="2888"/>
  </r>
  <r>
    <n v="1"/>
    <x v="11"/>
    <x v="8"/>
    <s v="Heidi Gilert"/>
    <s v="Cash Transfer Programming Delegate (Alt Relief Team)"/>
    <s v="Cash Transfer Delegate"/>
    <s v="Haiti"/>
    <d v="2010-02-02T00:00:00"/>
    <d v="2010-02-26T00:00:00"/>
    <s v="Disaster"/>
    <s v="Q3"/>
    <x v="2"/>
    <s v="Roster"/>
    <x v="4"/>
    <s v="Stacy/Ops Team"/>
    <n v="2888"/>
  </r>
  <r>
    <n v="1"/>
    <x v="11"/>
    <x v="8"/>
    <s v="Rod Snider"/>
    <s v="Cash Transfer Programming Delegate (Alt Relief Team)"/>
    <s v="Cash Transfer Delegate"/>
    <s v="Haiti"/>
    <d v="2010-02-13T00:00:00"/>
    <d v="2010-04-03T00:00:00"/>
    <s v="Disaster"/>
    <s v="Q3"/>
    <x v="2"/>
    <s v="Staff"/>
    <x v="4"/>
    <s v="Stacy/Ops Team"/>
    <n v="2888"/>
  </r>
  <r>
    <n v="1"/>
    <x v="11"/>
    <x v="8"/>
    <s v="Roby Jacob"/>
    <s v="IFRC &amp; Bilateral (ARC) Finance Delegate"/>
    <s v="Operations Support Delegate"/>
    <s v="Haiti"/>
    <d v="2010-02-17T00:00:00"/>
    <d v="2010-03-03T00:00:00"/>
    <s v="Disaster"/>
    <s v="Q3"/>
    <x v="2"/>
    <s v="Staff"/>
    <x v="4"/>
    <s v="Stacy/Ops Team"/>
    <n v="2888"/>
  </r>
  <r>
    <n v="1"/>
    <x v="11"/>
    <x v="8"/>
    <s v="Laky Pissalidis"/>
    <s v="IFRC Security Delegate"/>
    <s v="Operations Support Delegate"/>
    <s v="Haiti"/>
    <d v="2010-02-17T00:00:00"/>
    <d v="2010-04-03T00:00:00"/>
    <s v="Disaster"/>
    <s v="Q3"/>
    <x v="2"/>
    <s v="Staff"/>
    <x v="4"/>
    <s v="Stacy/Ops Team"/>
    <n v="2888"/>
  </r>
  <r>
    <n v="1"/>
    <x v="11"/>
    <x v="8"/>
    <s v="Deborah Castellano"/>
    <s v="IFRC Logistics Delegate"/>
    <s v="Logistics Delegate"/>
    <s v="Haiti"/>
    <d v="2010-02-14T00:00:00"/>
    <d v="2010-03-10T00:00:00"/>
    <s v="Disaster"/>
    <s v="Q3"/>
    <x v="2"/>
    <s v="Roster"/>
    <x v="4"/>
    <s v="Stacy/Ops Team"/>
    <n v="2888"/>
  </r>
  <r>
    <n v="1"/>
    <x v="11"/>
    <x v="8"/>
    <s v="Roger Shelton"/>
    <s v="IFRC Program Coordinator"/>
    <s v="Operations Support Delegate"/>
    <s v="Haiti"/>
    <d v="2010-02-08T00:00:00"/>
    <d v="2010-03-31T00:00:00"/>
    <s v="Disaster"/>
    <s v="Q3"/>
    <x v="2"/>
    <s v="Staff"/>
    <x v="4"/>
    <s v="Stacy/Ops Team"/>
    <n v="2888"/>
  </r>
  <r>
    <n v="1"/>
    <x v="11"/>
    <x v="8"/>
    <s v="Sohrab Rezvan"/>
    <s v="IT/Telecoms ERU joint with Danish RC"/>
    <s v="IT/Telecom ERU"/>
    <s v="Haiti"/>
    <d v="2010-02-13T00:00:00"/>
    <d v="2010-04-03T00:00:00"/>
    <s v="Disaster"/>
    <s v="Q3"/>
    <x v="2"/>
    <s v="Roster"/>
    <x v="4"/>
    <s v="Stacy/Ops Team"/>
    <n v="2888"/>
  </r>
  <r>
    <n v="1"/>
    <x v="11"/>
    <x v="8"/>
    <s v="Michael Zeleke"/>
    <s v="Recovery Assessment Team Leader"/>
    <s v="Recovery Delegate"/>
    <s v="Haiti"/>
    <d v="2010-02-03T00:00:00"/>
    <d v="2010-03-03T00:00:00"/>
    <s v="Disaster"/>
    <s v="Q3"/>
    <x v="2"/>
    <s v="Staff"/>
    <x v="4"/>
    <s v="Stacy/Ops Team"/>
    <n v="2888"/>
  </r>
  <r>
    <n v="1"/>
    <x v="11"/>
    <x v="8"/>
    <s v="Meghan DiCarlo"/>
    <s v="Recovery Assessment Team Member"/>
    <s v="Recovery Delegate"/>
    <s v="Haiti"/>
    <d v="2010-02-13T00:00:00"/>
    <d v="2010-03-03T00:00:00"/>
    <s v="Disaster"/>
    <s v="Q3"/>
    <x v="2"/>
    <s v="Staff"/>
    <x v="4"/>
    <s v="Stacy/Ops Team"/>
    <n v="2888"/>
  </r>
  <r>
    <n v="1"/>
    <x v="11"/>
    <x v="8"/>
    <s v="Joscelyn Silsby"/>
    <s v="Recovery Assessment Team Member"/>
    <s v="Recovery Delegate"/>
    <s v="Haiti"/>
    <d v="2010-02-13T00:00:00"/>
    <d v="2010-03-03T00:00:00"/>
    <s v="Disaster"/>
    <s v="Q3"/>
    <x v="2"/>
    <s v="Roster"/>
    <x v="4"/>
    <s v="Stacy/Ops Team"/>
    <n v="2888"/>
  </r>
  <r>
    <n v="1"/>
    <x v="11"/>
    <x v="8"/>
    <s v="Julie Archer"/>
    <s v="Recovery Assessment Team Member"/>
    <s v="Recovery Delegate"/>
    <s v="Haiti"/>
    <d v="2010-02-13T00:00:00"/>
    <d v="2010-03-03T00:00:00"/>
    <s v="Disaster"/>
    <s v="Q3"/>
    <x v="2"/>
    <s v="Roster"/>
    <x v="4"/>
    <s v="Stacy/Ops Team"/>
    <n v="2888"/>
  </r>
  <r>
    <n v="1"/>
    <x v="11"/>
    <x v="8"/>
    <s v="Lee Malaney"/>
    <s v="Recovery Assessment Team Member"/>
    <s v="Recovery Delegate"/>
    <s v="Haiti"/>
    <d v="2010-02-08T00:00:00"/>
    <d v="2010-03-03T00:00:00"/>
    <s v="Disaster"/>
    <s v="Q3"/>
    <x v="2"/>
    <s v="Roster"/>
    <x v="4"/>
    <s v="Stacy/Ops Team"/>
    <n v="2888"/>
  </r>
  <r>
    <n v="1"/>
    <x v="11"/>
    <x v="8"/>
    <s v="Greg Matthews"/>
    <s v="Emergency Markets Analysis Assessment (EMMA) team member"/>
    <s v="Recovery Delegate"/>
    <s v="Haiti"/>
    <d v="2010-02-08T00:00:00"/>
    <d v="2010-02-18T00:00:00"/>
    <s v="Disaster"/>
    <s v="Q3"/>
    <x v="2"/>
    <s v="Roster"/>
    <x v="4"/>
    <s v="Stacy/Ops Team"/>
    <n v="2888"/>
  </r>
  <r>
    <n v="1"/>
    <x v="11"/>
    <x v="8"/>
    <s v="Gina Guinta"/>
    <s v="FACT Admin &amp; Reporting"/>
    <s v="FACT"/>
    <s v="Haiti"/>
    <d v="2010-02-07T00:00:00"/>
    <d v="2010-03-08T00:00:00"/>
    <s v="Disaster"/>
    <s v="Q3"/>
    <x v="2"/>
    <s v="Roster"/>
    <x v="4"/>
    <s v="Stacy/Ops Team"/>
    <n v="2888"/>
  </r>
  <r>
    <n v="1"/>
    <x v="11"/>
    <x v="8"/>
    <s v="Dario Diaz"/>
    <s v="IFRC Logistics Delegate - at Red Cross logistics hub in Dominican Republic"/>
    <s v="Logistics Delegate"/>
    <s v="Dominican Republic"/>
    <d v="2010-01-19T00:00:00"/>
    <d v="2010-02-15T00:00:00"/>
    <s v="Disaster"/>
    <s v="Q3"/>
    <x v="2"/>
    <s v="Staff"/>
    <x v="4"/>
    <s v="Stacy/Ops Team"/>
    <n v="2888"/>
  </r>
  <r>
    <n v="1"/>
    <x v="11"/>
    <x v="8"/>
    <s v="Nate Cooper"/>
    <s v="IFRC Logistics Delegate - at PADRU"/>
    <s v="Logistics Delegate"/>
    <s v="Panama PADRU"/>
    <d v="2010-01-12T00:00:00"/>
    <d v="2010-01-24T00:00:00"/>
    <s v="Disaster"/>
    <s v="Q3"/>
    <x v="2"/>
    <s v="Staff"/>
    <x v="4"/>
    <s v="Stacy/Ops Team"/>
    <n v="2888"/>
  </r>
  <r>
    <n v="1"/>
    <x v="11"/>
    <x v="8"/>
    <s v="Robin Younger"/>
    <s v="IFRC Reporting Delegate - at PADRU"/>
    <s v="Operations Support Delegate"/>
    <s v="Panama PADRU"/>
    <d v="2010-01-18T00:00:00"/>
    <d v="2010-02-16T00:00:00"/>
    <s v="Disaster"/>
    <s v="Q3"/>
    <x v="2"/>
    <s v="Roster"/>
    <x v="4"/>
    <s v="Stacy/Ops Team"/>
    <n v="2888"/>
  </r>
  <r>
    <n v="1"/>
    <x v="11"/>
    <x v="8"/>
    <s v="Greg Matthews"/>
    <s v="Personnel support for IROC"/>
    <s v="NHQ Operations Support"/>
    <s v="NHQ"/>
    <d v="2010-01-18T00:00:00"/>
    <d v="2010-01-31T00:00:00"/>
    <s v="Disaster"/>
    <s v="Q3"/>
    <x v="2"/>
    <s v="Roster"/>
    <x v="4"/>
    <s v="Stacy/Ops Team"/>
    <n v="2888"/>
  </r>
  <r>
    <n v="1"/>
    <x v="11"/>
    <x v="8"/>
    <s v="Winnie Romeril"/>
    <s v="Bilateral Communications Delegate supporting ARC delegation"/>
    <s v="Bilateral Operations Support"/>
    <s v="Haiti"/>
    <d v="2010-01-12T00:00:00"/>
    <d v="2010-01-31T00:00:00"/>
    <s v="Disaster"/>
    <s v="Q3"/>
    <x v="2"/>
    <s v="Roster"/>
    <x v="4"/>
    <s v="Stacy/Ops Team"/>
    <n v="2888"/>
  </r>
  <r>
    <n v="1"/>
    <x v="11"/>
    <x v="8"/>
    <s v="Kelly Hurd"/>
    <s v="Bilateral Communications Delegate supporting ARC delegation office"/>
    <s v="Bilateral Operations Support"/>
    <s v="Haiti"/>
    <d v="2010-01-23T00:00:00"/>
    <d v="2010-02-02T00:00:00"/>
    <s v="Disaster"/>
    <s v="Q3"/>
    <x v="2"/>
    <s v="Roster"/>
    <x v="4"/>
    <s v="Stacy/Ops Team"/>
    <n v="2888"/>
  </r>
  <r>
    <n v="1"/>
    <x v="11"/>
    <x v="8"/>
    <s v="Bonnie Gillespie"/>
    <s v="Bilateral Communications Delegate supporting ARC delegation office"/>
    <s v="Bilateral Operations Support"/>
    <s v="Haiti"/>
    <d v="2010-01-21T00:00:00"/>
    <d v="2010-02-21T00:00:00"/>
    <s v="Disaster"/>
    <s v="Q3"/>
    <x v="2"/>
    <s v="Roster"/>
    <x v="4"/>
    <s v="Stacy/Ops Team"/>
    <n v="2888"/>
  </r>
  <r>
    <n v="1"/>
    <x v="11"/>
    <x v="8"/>
    <s v="Svafa Asgeirdottir"/>
    <s v="Bilateral Admin/Compliance Delegate supporting ARC delegation office"/>
    <s v="Bilateral Operations Support"/>
    <s v="Haiti"/>
    <d v="2010-01-22T00:00:00"/>
    <d v="2010-02-09T00:00:00"/>
    <s v="Disaster"/>
    <s v="Q3"/>
    <x v="2"/>
    <s v="Staff"/>
    <x v="4"/>
    <s v="Stacy/Ops Team"/>
    <n v="2888"/>
  </r>
  <r>
    <n v="1"/>
    <x v="11"/>
    <x v="8"/>
    <s v="Nancy Campbell"/>
    <s v="Bilateral Finance/Admin Delegate supporting ARC delegation office"/>
    <s v="Bilateral Operations Support"/>
    <s v="Haiti"/>
    <d v="2010-01-22T00:00:00"/>
    <d v="2010-02-10T00:00:00"/>
    <s v="Disaster"/>
    <s v="Q3"/>
    <x v="2"/>
    <s v="Staff"/>
    <x v="4"/>
    <s v="Stacy/Ops Team"/>
    <n v="2888"/>
  </r>
  <r>
    <n v="1"/>
    <x v="11"/>
    <x v="8"/>
    <s v="Tony Stitt"/>
    <s v="Bilateral Deputy Head of Operations supporting ARC delegation office"/>
    <s v="Bilateral Operations Support"/>
    <s v="Haiti"/>
    <d v="2010-02-04T00:00:00"/>
    <d v="2010-04-01T00:00:00"/>
    <s v="Disaster"/>
    <s v="Q3"/>
    <x v="2"/>
    <s v="Roster"/>
    <x v="4"/>
    <s v="Stacy/Ops Team"/>
    <n v="2888"/>
  </r>
  <r>
    <n v="1"/>
    <x v="11"/>
    <x v="8"/>
    <s v="Judy Nicholson"/>
    <s v="Bilateral Psychosocial Support for ARC delegation office"/>
    <s v="Bilateral Operations Support"/>
    <s v="Haiti"/>
    <d v="2010-01-19T00:00:00"/>
    <d v="2010-01-31T00:00:00"/>
    <s v="Disaster"/>
    <s v="Q3"/>
    <x v="2"/>
    <s v="Staff"/>
    <x v="4"/>
    <s v="Stacy/Ops Team"/>
    <n v="2888"/>
  </r>
  <r>
    <n v="1"/>
    <x v="11"/>
    <x v="8"/>
    <s v="Howard Smith"/>
    <s v="Bilateral Psychosocial Support for ARC delegation office"/>
    <s v="Bilateral Operations Support"/>
    <s v="Haiti"/>
    <d v="2010-01-19T00:00:00"/>
    <d v="2010-01-31T00:00:00"/>
    <s v="Disaster"/>
    <s v="Q3"/>
    <x v="2"/>
    <s v="Staff"/>
    <x v="4"/>
    <s v="Stacy/Ops Team"/>
    <n v="2888"/>
  </r>
  <r>
    <n v="1"/>
    <x v="11"/>
    <x v="8"/>
    <s v="Lee Malany"/>
    <s v="Bilateral Shelter Technical Delegate Bilateral Program"/>
    <s v="Bilateral Operations Support"/>
    <s v="Haiti"/>
    <d v="2010-01-22T00:00:00"/>
    <d v="2010-02-07T00:00:00"/>
    <s v="Disaster"/>
    <s v="Q3"/>
    <x v="2"/>
    <s v="Roster"/>
    <x v="4"/>
    <s v="Stacy/Ops Team"/>
    <n v="2888"/>
  </r>
  <r>
    <n v="1"/>
    <x v="11"/>
    <x v="8"/>
    <s v="Rebecca Scheurer"/>
    <s v="Bilateral Program Manager ARC "/>
    <s v="Bilateral Operations Support"/>
    <s v="Haiti"/>
    <d v="2010-02-04T00:00:00"/>
    <d v="2010-04-01T00:00:00"/>
    <s v="Disaster"/>
    <s v="Q3"/>
    <x v="2"/>
    <s v="Staff"/>
    <x v="4"/>
    <s v="Stacy/Ops Team"/>
    <n v="2888"/>
  </r>
  <r>
    <n v="1"/>
    <x v="11"/>
    <x v="8"/>
    <s v="Roger Palmer"/>
    <s v="Equipment Support for IROC"/>
    <s v="NHQ Operations Support"/>
    <s v="NHQ"/>
    <d v="2010-01-20T00:00:00"/>
    <d v="2010-02-21T00:00:00"/>
    <s v="Disaster"/>
    <s v="Q3"/>
    <x v="2"/>
    <s v="Roster"/>
    <x v="4"/>
    <s v="Stacy/Ops Team"/>
    <n v="2888"/>
  </r>
  <r>
    <n v="1"/>
    <x v="11"/>
    <x v="8"/>
    <s v="Mat Morgan"/>
    <s v="Billateral Communications Delegate "/>
    <s v="Bilateral Operations Support"/>
    <s v="Haiti"/>
    <d v="2010-02-01T00:00:00"/>
    <d v="2010-03-15T00:00:00"/>
    <s v="Disaster"/>
    <s v="Q3"/>
    <x v="2"/>
    <s v="Staff"/>
    <x v="4"/>
    <s v="Stacy/Ops Team"/>
    <m/>
  </r>
  <r>
    <n v="1"/>
    <x v="11"/>
    <x v="8"/>
    <s v="Robin Younger"/>
    <s v="Relief ERU Team Leader"/>
    <s v="Relief ERU"/>
    <s v="Haiti"/>
    <d v="2010-02-21T00:00:00"/>
    <d v="2010-03-25T00:00:00"/>
    <s v="Disaster"/>
    <s v="Q3"/>
    <x v="2"/>
    <s v="Roster"/>
    <x v="4"/>
    <s v="Stacy/Ops Team"/>
    <n v="2888"/>
  </r>
  <r>
    <n v="1"/>
    <x v="11"/>
    <x v="8"/>
    <s v="Chris Bell"/>
    <s v="Relief ERU Team Member"/>
    <s v="Relief ERU"/>
    <s v="Haiti"/>
    <d v="2010-02-21T00:00:00"/>
    <d v="2010-03-25T00:00:00"/>
    <s v="Disaster"/>
    <s v="Q3"/>
    <x v="2"/>
    <s v="Roster"/>
    <x v="4"/>
    <s v="Stacy/Ops Team"/>
    <n v="2888"/>
  </r>
  <r>
    <n v="1"/>
    <x v="11"/>
    <x v="8"/>
    <s v="Shavkut Ismailov "/>
    <s v="Relief ERU Team Member"/>
    <s v="Relief ERU"/>
    <s v="Haiti"/>
    <d v="2010-02-21T00:00:00"/>
    <d v="2010-03-25T00:00:00"/>
    <s v="Disaster"/>
    <s v="Q3"/>
    <x v="2"/>
    <s v="Staff"/>
    <x v="4"/>
    <s v="Stacy/Ops Team"/>
    <n v="2888"/>
  </r>
  <r>
    <n v="1"/>
    <x v="11"/>
    <x v="8"/>
    <s v="Michael Segal"/>
    <s v="Relief ERU Team Member"/>
    <s v="Relief ERU"/>
    <s v="Haiti"/>
    <d v="2010-02-21T00:00:00"/>
    <d v="2010-03-25T00:00:00"/>
    <s v="Disaster"/>
    <s v="Q3"/>
    <x v="2"/>
    <s v="Roster"/>
    <x v="4"/>
    <s v="Stacy/Ops Team"/>
    <n v="2888"/>
  </r>
  <r>
    <n v="1"/>
    <x v="11"/>
    <x v="8"/>
    <s v="Ofer Snir (MDA)"/>
    <s v="Relief ERU Team Member"/>
    <s v="Relief ERU"/>
    <s v="Haiti"/>
    <d v="2010-02-21T00:00:00"/>
    <d v="2010-03-25T00:00:00"/>
    <s v="Disaster"/>
    <s v="Q3"/>
    <x v="2"/>
    <s v="Roster"/>
    <x v="4"/>
    <s v="Stacy/Ops Team"/>
    <n v="2888"/>
  </r>
  <r>
    <n v="1"/>
    <x v="11"/>
    <x v="8"/>
    <s v="Raj Zafar"/>
    <s v="Relief ERU Team Member"/>
    <s v="Relief ERU"/>
    <s v="Haiti"/>
    <d v="2010-03-06T00:00:00"/>
    <d v="2010-03-25T00:00:00"/>
    <s v="Disaster"/>
    <s v="Q3"/>
    <x v="2"/>
    <s v="Roster"/>
    <x v="4"/>
    <s v="Stacy/Ops Team"/>
    <n v="2888"/>
  </r>
  <r>
    <n v="1"/>
    <x v="11"/>
    <x v="8"/>
    <s v="Tom Worthington"/>
    <s v="Equipment Support for IROC"/>
    <s v="Operations Support Delegate"/>
    <s v="NHQ"/>
    <d v="2010-02-22T00:00:00"/>
    <d v="2010-03-21T00:00:00"/>
    <s v="Disaster"/>
    <s v="Q3"/>
    <x v="2"/>
    <s v="Roster"/>
    <x v="4"/>
    <s v="Stacy/Ops Team"/>
    <n v="2888"/>
  </r>
  <r>
    <n v="1"/>
    <x v="11"/>
    <x v="8"/>
    <s v="Lynette Nyman"/>
    <s v="Communications Support"/>
    <s v="Communications Delegate"/>
    <s v="NHQ"/>
    <d v="2010-02-22T00:00:00"/>
    <d v="2010-03-21T00:00:00"/>
    <s v="Disaster"/>
    <s v="Q3"/>
    <x v="2"/>
    <s v="Staff"/>
    <x v="4"/>
    <s v="Andrea Koppel"/>
    <m/>
  </r>
  <r>
    <n v="1"/>
    <x v="11"/>
    <x v="8"/>
    <s v="Tom McAloon"/>
    <s v="Bilateral Wat/San"/>
    <s v="Operations Support Delegate"/>
    <s v="Haiti"/>
    <d v="2010-02-15T00:00:00"/>
    <d v="2010-03-31T00:00:00"/>
    <s v="Disaster"/>
    <s v="Q3"/>
    <x v="2"/>
    <s v="Roster"/>
    <x v="4"/>
    <s v="Stacy/Ops Team"/>
    <n v="2888"/>
  </r>
  <r>
    <n v="1"/>
    <x v="11"/>
    <x v="8"/>
    <s v="Lyle O'Neel"/>
    <s v="Disaster Mental Health Support for IROC"/>
    <s v="Operations Support Delegate"/>
    <s v="NHQ"/>
    <d v="2010-02-08T00:00:00"/>
    <d v="2010-03-07T00:00:00"/>
    <s v="Disaster"/>
    <s v="Q3"/>
    <x v="2"/>
    <s v="Staff"/>
    <x v="4"/>
    <s v="Stacy/Ops Team"/>
    <n v="2888"/>
  </r>
  <r>
    <n v="1"/>
    <x v="11"/>
    <x v="8"/>
    <s v="Laura Hevesi"/>
    <s v="Relief ERU Team Leader"/>
    <s v="Relief ERU"/>
    <s v="Haiti"/>
    <d v="2010-03-22T00:00:00"/>
    <d v="2010-04-21T00:00:00"/>
    <s v="Disaster"/>
    <s v="Q3"/>
    <x v="2"/>
    <s v="Roster"/>
    <x v="4"/>
    <s v="Stacy/Ops Team"/>
    <n v="2888"/>
  </r>
  <r>
    <n v="1"/>
    <x v="11"/>
    <x v="8"/>
    <s v="Kate Schilling"/>
    <s v="Relief ERU Team Member"/>
    <s v="Relief ERU"/>
    <s v="Haiti"/>
    <d v="2010-03-22T00:00:00"/>
    <d v="2010-04-21T00:00:00"/>
    <s v="Disaster"/>
    <s v="Q3"/>
    <x v="2"/>
    <s v="Roster"/>
    <x v="4"/>
    <s v="Stacy/Ops Team"/>
    <n v="2888"/>
  </r>
  <r>
    <n v="1"/>
    <x v="11"/>
    <x v="8"/>
    <s v="James Stephenson"/>
    <s v="Relief ERU Team Member"/>
    <s v="Relief ERU"/>
    <s v="Haiti"/>
    <d v="2010-03-22T00:00:00"/>
    <d v="2010-04-21T00:00:00"/>
    <s v="Disaster"/>
    <s v="Q3"/>
    <x v="2"/>
    <s v="Roster"/>
    <x v="4"/>
    <s v="Stacy/Ops Team"/>
    <n v="2888"/>
  </r>
  <r>
    <n v="1"/>
    <x v="11"/>
    <x v="8"/>
    <s v="Lynette Nyman"/>
    <s v="Communications Delegate to IFRC"/>
    <s v="Communications Delegate"/>
    <s v="Haiti"/>
    <d v="2010-03-20T00:00:00"/>
    <d v="2010-04-30T00:00:00"/>
    <s v="Disaster"/>
    <s v="Q3"/>
    <x v="2"/>
    <s v="Staff"/>
    <x v="4"/>
    <s v="Stacy/Ops Team"/>
    <n v="2888"/>
  </r>
  <r>
    <n v="1"/>
    <x v="11"/>
    <x v="8"/>
    <s v="Cristina Hammond"/>
    <s v="Cash Transfer Programming Delegate "/>
    <s v="Cash Transfer Delegate"/>
    <s v="Haiti"/>
    <d v="2010-03-20T00:00:00"/>
    <d v="2010-04-10T00:00:00"/>
    <s v="Disaster"/>
    <s v="Q3"/>
    <x v="2"/>
    <s v="Roster"/>
    <x v="4"/>
    <s v="Stacy/Ops Team"/>
    <n v="2888"/>
  </r>
  <r>
    <n v="1"/>
    <x v="11"/>
    <x v="8"/>
    <s v="Omar Abou-Samra"/>
    <s v="Cash Transfer Programming Delegate "/>
    <s v="Cash Transfer Delegate"/>
    <s v="Haiti"/>
    <d v="2010-03-13T00:00:00"/>
    <d v="2010-04-01T00:00:00"/>
    <s v="Disaster"/>
    <s v="Q3"/>
    <x v="2"/>
    <s v="Staff"/>
    <x v="4"/>
    <s v="Stacy/Ops Team"/>
    <n v="2888"/>
  </r>
  <r>
    <n v="1"/>
    <x v="11"/>
    <x v="8"/>
    <s v="Anne Palmer"/>
    <s v="Cash Transfer Programming Delegate "/>
    <s v="Cash Transfer Delegate"/>
    <s v="Haiti"/>
    <d v="2010-03-27T00:00:00"/>
    <d v="2010-04-21T00:00:00"/>
    <s v="Disaster"/>
    <s v="Q3"/>
    <x v="2"/>
    <s v="Roster"/>
    <x v="4"/>
    <s v="Stacy/Ops Team"/>
    <n v="2888"/>
  </r>
  <r>
    <n v="1"/>
    <x v="11"/>
    <x v="8"/>
    <s v="Jana Sweeney"/>
    <s v="Cash Transfer Programming Delegate "/>
    <s v="Cash Transfer Delegate"/>
    <s v="Haiti"/>
    <d v="2010-03-27T00:00:00"/>
    <d v="2010-04-21T00:00:00"/>
    <s v="Disaster"/>
    <s v="Q3"/>
    <x v="2"/>
    <s v="Roster"/>
    <x v="4"/>
    <s v="Stacy/Ops Team"/>
    <n v="2888"/>
  </r>
  <r>
    <n v="1"/>
    <x v="11"/>
    <x v="8"/>
    <s v="Glen Bradley"/>
    <s v="Equipment Support for IROC"/>
    <s v="NHQ Operations Support"/>
    <s v="NHQ"/>
    <d v="2010-03-22T00:00:00"/>
    <d v="2010-04-15T00:00:00"/>
    <s v="Disaster"/>
    <s v="Q3"/>
    <x v="2"/>
    <s v="Roster"/>
    <x v="4"/>
    <s v="Stacy/Ops Team"/>
    <n v="2888"/>
  </r>
  <r>
    <n v="1"/>
    <x v="11"/>
    <x v="8"/>
    <s v="Julie Archer"/>
    <s v="Equipment Support for IROC"/>
    <s v="NHQ Operations Support"/>
    <s v="NHQ"/>
    <d v="2010-03-22T00:00:00"/>
    <d v="2010-04-15T00:00:00"/>
    <s v="Disaster"/>
    <s v="Q3"/>
    <x v="2"/>
    <s v="Roster"/>
    <x v="4"/>
    <s v="Stacy/Ops Team"/>
    <n v="2888"/>
  </r>
  <r>
    <n v="1"/>
    <x v="11"/>
    <x v="8"/>
    <s v="Cathy Scruggs"/>
    <s v="Personnel Support for IROC"/>
    <s v="NHQ Operations Support"/>
    <s v="NHQ"/>
    <d v="2010-02-16T00:00:00"/>
    <d v="2010-03-15T00:00:00"/>
    <s v="Disaster"/>
    <s v="Q3"/>
    <x v="2"/>
    <s v="Roster"/>
    <x v="4"/>
    <s v="Stacy/Ops Team"/>
    <n v="2888"/>
  </r>
  <r>
    <n v="1"/>
    <x v="11"/>
    <x v="8"/>
    <s v="Emily Hall"/>
    <s v="Personnel Support for IROC"/>
    <s v="NHQ Operations Support"/>
    <s v="NHQ"/>
    <d v="2010-03-16T00:00:00"/>
    <d v="2010-04-15T00:00:00"/>
    <s v="Disaster"/>
    <s v="Q3"/>
    <x v="2"/>
    <s v="Roster"/>
    <x v="4"/>
    <s v="Stacy/Ops Team"/>
    <n v="2888"/>
  </r>
  <r>
    <n v="1"/>
    <x v="11"/>
    <x v="8"/>
    <s v="Andrew Bhattacharya"/>
    <s v="Bilateral Operations Support"/>
    <s v="Bilateral Operations Support"/>
    <s v="Haiti"/>
    <d v="2010-02-20T00:00:00"/>
    <d v="2010-03-13T00:00:00"/>
    <s v="Disaster"/>
    <s v="Q3"/>
    <x v="2"/>
    <s v="Staff"/>
    <x v="4"/>
    <s v="Stacy/Ops Team"/>
    <n v="2888"/>
  </r>
  <r>
    <n v="1"/>
    <x v="11"/>
    <x v="8"/>
    <s v="Eileen Kurtz"/>
    <s v="Bilateral Human Resources Support"/>
    <s v="Bilateral Operations Support"/>
    <s v="Haiti"/>
    <d v="2010-03-24T00:00:00"/>
    <d v="2010-04-21T00:00:00"/>
    <s v="Disaster"/>
    <s v="Q3"/>
    <x v="2"/>
    <s v="Staff"/>
    <x v="4"/>
    <s v="Stacy/Ops Team"/>
    <n v="2888"/>
  </r>
  <r>
    <n v="1"/>
    <x v="11"/>
    <x v="8"/>
    <s v="Alex Mahoney"/>
    <s v="Bilateral Shelter Advisor"/>
    <s v="Bilateral Operations Support"/>
    <s v="Haiti"/>
    <d v="2010-03-11T00:00:00"/>
    <d v="2010-04-03T00:00:00"/>
    <s v="Disaster"/>
    <s v="Q3"/>
    <x v="2"/>
    <s v="Staff"/>
    <x v="4"/>
    <s v="Stacy/Ops Team"/>
    <n v="2888"/>
  </r>
  <r>
    <n v="1"/>
    <x v="11"/>
    <x v="8"/>
    <s v="Alex Robinson"/>
    <s v="Relief ERU Team Member"/>
    <s v="Relief ERU"/>
    <s v="Haiti"/>
    <d v="2010-04-07T00:00:00"/>
    <d v="2010-04-29T00:00:00"/>
    <s v="Disaster"/>
    <s v="Q4"/>
    <x v="2"/>
    <s v="Staff"/>
    <x v="4"/>
    <s v="Stacy/Ops Team"/>
    <n v="2888"/>
  </r>
  <r>
    <n v="1"/>
    <x v="11"/>
    <x v="8"/>
    <s v="Lauren Twohig"/>
    <s v="Relief ERU Team Member"/>
    <s v="Relief ERU"/>
    <s v="Haiti"/>
    <d v="2010-04-07T00:00:00"/>
    <d v="2010-04-29T00:00:00"/>
    <s v="Disaster"/>
    <s v="Q4"/>
    <x v="2"/>
    <s v="Staff"/>
    <x v="4"/>
    <s v="Stacy/Ops Team"/>
    <n v="2888"/>
  </r>
  <r>
    <n v="1"/>
    <x v="11"/>
    <x v="8"/>
    <s v="Wendy Brightman"/>
    <s v="Cash Transfer Programming Delegate "/>
    <s v="Cash Transfer Delegate"/>
    <s v="Haiti"/>
    <d v="2010-04-04T00:00:00"/>
    <d v="2010-04-23T00:00:00"/>
    <s v="Disaster"/>
    <s v="Q4"/>
    <x v="2"/>
    <s v="Staff"/>
    <x v="4"/>
    <s v="Stacy/Ops Team"/>
    <n v="2888"/>
  </r>
  <r>
    <n v="1"/>
    <x v="11"/>
    <x v="8"/>
    <s v="George Sykes"/>
    <s v="Cash Transfer Programming Delegate "/>
    <s v="Cash Transfer Delegate"/>
    <s v="Haiti"/>
    <d v="2010-04-07T00:00:00"/>
    <d v="2010-05-06T00:00:00"/>
    <s v="Disaster"/>
    <s v="Q4"/>
    <x v="2"/>
    <s v="Roster"/>
    <x v="4"/>
    <s v="Stacy/Ops Team"/>
    <n v="2888"/>
  </r>
  <r>
    <n v="1"/>
    <x v="11"/>
    <x v="8"/>
    <s v="Tracy Reines"/>
    <s v="Cash Transfer Programming Delegate "/>
    <s v="Cash Transfer Delegate"/>
    <s v="Haiti"/>
    <d v="2010-04-05T00:00:00"/>
    <d v="2010-04-16T00:00:00"/>
    <s v="Disaster"/>
    <s v="Q4"/>
    <x v="2"/>
    <s v="Staff"/>
    <x v="4"/>
    <s v="Stacy/Ops Team"/>
    <n v="2888"/>
  </r>
  <r>
    <n v="1"/>
    <x v="11"/>
    <x v="8"/>
    <s v="Rod Snider"/>
    <s v="Cash Transfer Programming Delegate "/>
    <s v="Cash Transfer Delegate"/>
    <s v="Haiti"/>
    <d v="2010-05-04T00:00:00"/>
    <d v="2010-05-10T00:00:00"/>
    <s v="Disaster"/>
    <s v="Q4"/>
    <x v="2"/>
    <s v="Staff"/>
    <x v="4"/>
    <s v="Stacy/Ops Team"/>
    <n v="2888"/>
  </r>
  <r>
    <n v="1"/>
    <x v="11"/>
    <x v="8"/>
    <s v="Stacy Ragan"/>
    <s v="Bilateral Operations Delegate"/>
    <s v="Bilateral Operations Support"/>
    <s v="Haiti"/>
    <d v="2010-05-25T00:00:00"/>
    <d v="2010-06-02T00:00:00"/>
    <s v="Disaster"/>
    <s v="Q4"/>
    <x v="2"/>
    <s v="Staff"/>
    <x v="4"/>
    <s v="Stacy/Ops Team"/>
    <n v="2888"/>
  </r>
  <r>
    <n v="1"/>
    <x v="11"/>
    <x v="8"/>
    <s v="Amanda West"/>
    <s v="Bilateral Information Delegate"/>
    <s v="Bilateral Operations Support"/>
    <s v="Haiti"/>
    <d v="2010-05-04T00:00:00"/>
    <d v="2010-06-24T00:00:00"/>
    <s v="Disaster"/>
    <s v="Q4"/>
    <x v="2"/>
    <s v="Staff"/>
    <x v="4"/>
    <s v="Stacy/Ops Team"/>
    <n v="2888"/>
  </r>
  <r>
    <m/>
    <x v="23"/>
    <x v="15"/>
    <m/>
    <m/>
    <m/>
    <m/>
    <m/>
    <m/>
    <m/>
    <m/>
    <x v="3"/>
    <m/>
    <x v="0"/>
    <m/>
    <m/>
  </r>
  <r>
    <n v="1"/>
    <x v="24"/>
    <x v="8"/>
    <s v="Alvaro Garita"/>
    <s v="Relief Delegate"/>
    <s v="Relief Delegate"/>
    <s v="Chile"/>
    <d v="2010-03-02T00:00:00"/>
    <m/>
    <s v="Disaster"/>
    <s v="Q3"/>
    <x v="2"/>
    <s v="Staff"/>
    <x v="4"/>
    <s v="Guillermo/LAC"/>
    <n v="2896"/>
  </r>
  <r>
    <n v="1"/>
    <x v="24"/>
    <x v="8"/>
    <s v="Gonzalo Aquino"/>
    <s v="Water and Sanitation Delegate"/>
    <s v="Operations Support Delegate"/>
    <s v="Chile"/>
    <d v="2010-03-18T00:00:00"/>
    <d v="2010-03-31T00:00:00"/>
    <s v="Disaster"/>
    <s v="Q3"/>
    <x v="2"/>
    <s v="Staff"/>
    <x v="4"/>
    <s v="Guillermo/LAC"/>
    <n v="2896"/>
  </r>
  <r>
    <n v="1"/>
    <x v="25"/>
    <x v="5"/>
    <s v="Raj Zafar"/>
    <s v="Delegation Surge Support Federation in Islamabad"/>
    <s v="Relief Delegate"/>
    <s v="Pakistan"/>
    <m/>
    <m/>
    <s v="Disaster"/>
    <s v="Q3"/>
    <x v="2"/>
    <s v="Staff"/>
    <x v="2"/>
    <s v="Stacy/Ops Team"/>
    <m/>
  </r>
  <r>
    <n v="1"/>
    <x v="25"/>
    <x v="5"/>
    <s v="Robin Younger"/>
    <s v="Relief Delegate"/>
    <s v="Relief Delegate"/>
    <s v="Pakistan"/>
    <d v="2010-08-27T00:00:00"/>
    <d v="2010-09-30T00:00:00"/>
    <s v="Disaster"/>
    <s v="Q1"/>
    <x v="4"/>
    <s v="Roster"/>
    <x v="2"/>
    <s v="Stacy/Ops Team"/>
    <n v="2699"/>
  </r>
  <r>
    <n v="1"/>
    <x v="25"/>
    <x v="5"/>
    <s v="Christophe Lobry-Boulanger"/>
    <s v="Relief Delegate"/>
    <s v="Relief Delegate"/>
    <s v="Pakistan"/>
    <d v="2010-08-27T00:00:00"/>
    <d v="2010-09-30T00:00:00"/>
    <s v="Disaster"/>
    <s v="Q1"/>
    <x v="4"/>
    <s v="Roster"/>
    <x v="2"/>
    <s v="Stacy/Ops Team"/>
    <n v="2699"/>
  </r>
  <r>
    <n v="1"/>
    <x v="11"/>
    <x v="16"/>
    <s v="Alex Latour"/>
    <s v="Team Lead - Emergency Response Team Mbr"/>
    <s v="DM Delegate"/>
    <s v="Haiti"/>
    <d v="2010-10-25T00:00:00"/>
    <d v="2010-10-31T00:00:00"/>
    <s v="Disaster"/>
    <s v="Q2"/>
    <x v="4"/>
    <s v="Staff"/>
    <x v="4"/>
    <s v="ARC Haiti Office"/>
    <n v="2888"/>
  </r>
  <r>
    <n v="1"/>
    <x v="11"/>
    <x v="16"/>
    <s v="George Sykes"/>
    <s v="Information &amp; Reporting - Emergency Response Team Mbr"/>
    <s v="DM Delegate"/>
    <s v="Haiti"/>
    <d v="2010-10-25T00:00:00"/>
    <d v="2010-10-31T00:00:00"/>
    <s v="Disaster"/>
    <s v="Q2"/>
    <x v="4"/>
    <s v="Staff"/>
    <x v="4"/>
    <s v="ARC Haiti Office"/>
    <n v="2888"/>
  </r>
  <r>
    <n v="1"/>
    <x v="11"/>
    <x v="16"/>
    <s v="Bijou Phiness"/>
    <s v="Logistics - Emergency Response Team Mbr"/>
    <s v="DM Delegate"/>
    <s v="Haiti"/>
    <d v="2010-10-25T00:00:00"/>
    <d v="2010-10-31T00:00:00"/>
    <s v="Disaster"/>
    <s v="Q2"/>
    <x v="4"/>
    <s v="Staff"/>
    <x v="4"/>
    <s v="ARC Haiti Office"/>
    <n v="2888"/>
  </r>
  <r>
    <n v="1"/>
    <x v="11"/>
    <x v="16"/>
    <s v="Lisa McGuire"/>
    <s v="Health - Emergency Response Team Mbr"/>
    <s v="DM Delegate"/>
    <s v="Haiti"/>
    <d v="2010-10-25T00:00:00"/>
    <d v="2010-10-31T00:00:00"/>
    <s v="Disaster"/>
    <s v="Q2"/>
    <x v="4"/>
    <s v="Staff"/>
    <x v="4"/>
    <s v="ARC Haiti Office"/>
    <n v="2888"/>
  </r>
  <r>
    <n v="1"/>
    <x v="11"/>
    <x v="16"/>
    <s v="Franklin Vilsaint"/>
    <s v="WatSan - Emergency Response Team Mbr"/>
    <s v="DM Delegate"/>
    <s v="Haiti"/>
    <d v="2010-10-25T00:00:00"/>
    <d v="2010-10-31T00:00:00"/>
    <s v="Disaster"/>
    <s v="Q2"/>
    <x v="4"/>
    <s v="Staff"/>
    <x v="4"/>
    <s v="ARC Haiti Office"/>
    <n v="2888"/>
  </r>
  <r>
    <n v="1"/>
    <x v="11"/>
    <x v="16"/>
    <s v="Madushi Lansakara"/>
    <s v="Information and Reporting - Seconded to Federation base camp operation"/>
    <s v="DM Delegate"/>
    <s v="Haiti"/>
    <d v="2010-10-23T00:00:00"/>
    <d v="2010-10-29T00:00:00"/>
    <s v="Disaster"/>
    <s v="Q2"/>
    <x v="4"/>
    <s v="Staff"/>
    <x v="4"/>
    <s v="ARC Haiti Office"/>
    <n v="2888"/>
  </r>
  <r>
    <n v="1"/>
    <x v="15"/>
    <x v="17"/>
    <s v="Laura Havesi"/>
    <s v="Relief Delegate - Cash transfer/voucher program"/>
    <s v="Cash Transfer Delegate"/>
    <s v="Belize"/>
    <d v="2010-11-15T00:00:00"/>
    <d v="2010-12-17T00:00:00"/>
    <s v="Disaster"/>
    <s v="Q2"/>
    <x v="4"/>
    <s v="Staff"/>
    <x v="4"/>
    <s v="Colin Chaperon"/>
    <n v="2799"/>
  </r>
  <r>
    <n v="1"/>
    <x v="26"/>
    <x v="2"/>
    <s v="Roger Palmer"/>
    <s v="Telecoms assessment/Cyclone Preparedness Program"/>
    <m/>
    <s v="Bangladesh"/>
    <d v="2010-11-15T00:00:00"/>
    <d v="2010-12-04T00:00:00"/>
    <s v="Non"/>
    <s v="Q2"/>
    <x v="4"/>
    <s v="Roster"/>
    <x v="2"/>
    <s v="Colin Chaperon"/>
    <m/>
  </r>
  <r>
    <n v="1"/>
    <x v="27"/>
    <x v="18"/>
    <s v="Langdon Greenhalgh"/>
    <s v="FACT Team Leader"/>
    <s v="FACT Team Leader"/>
    <s v="Tunisia"/>
    <d v="2011-03-01T00:00:00"/>
    <d v="2011-03-20T00:00:00"/>
    <s v="Disaster"/>
    <s v="Q3"/>
    <x v="4"/>
    <s v="Roster"/>
    <x v="2"/>
    <s v="Colin Chaperon"/>
    <n v="2799"/>
  </r>
  <r>
    <n v="1"/>
    <x v="27"/>
    <x v="18"/>
    <s v="Marian Spivey-Estrada"/>
    <s v="FACT Information &amp; Reporting"/>
    <s v="FACT Information &amp; Reporting"/>
    <s v="Tunisia"/>
    <d v="2011-03-02T00:00:00"/>
    <d v="2011-03-24T00:00:00"/>
    <s v="Disaster"/>
    <s v="Q3"/>
    <x v="4"/>
    <s v="Roster"/>
    <x v="2"/>
    <s v="Colin Chaperon"/>
    <n v="2799"/>
  </r>
  <r>
    <n v="1"/>
    <x v="27"/>
    <x v="18"/>
    <s v="Colin Chaperon"/>
    <s v="FACT Relief Coordinator"/>
    <s v="FACT Relief Coordinator"/>
    <s v="Tunisia"/>
    <d v="2011-03-05T00:00:00"/>
    <d v="2011-04-02T00:00:00"/>
    <s v="Disaster"/>
    <s v="Q3"/>
    <x v="4"/>
    <s v="Roster"/>
    <x v="2"/>
    <s v="Colin Chaperon"/>
    <n v="2799"/>
  </r>
  <r>
    <n v="1"/>
    <x v="27"/>
    <x v="18"/>
    <s v="Gina Guinta"/>
    <s v="FACT Information &amp; Reporting"/>
    <s v="FACT Information &amp; Reporting"/>
    <s v="Tunisia"/>
    <d v="2011-03-19T00:00:00"/>
    <m/>
    <s v="Disaster"/>
    <s v="Q3"/>
    <x v="4"/>
    <s v="Roster"/>
    <x v="2"/>
    <s v="Marian Spivey-Estrada/ Tracy Reines"/>
    <n v="2799"/>
  </r>
  <r>
    <n v="1"/>
    <x v="27"/>
    <x v="18"/>
    <s v="Laura Hevesi"/>
    <s v="FACT Relief Coordinator"/>
    <s v="FACT Relief Coordinator"/>
    <s v="Tunisia"/>
    <d v="2011-03-30T00:00:00"/>
    <d v="2011-04-05T00:00:00"/>
    <s v="Disaster"/>
    <s v="Q3"/>
    <x v="4"/>
    <s v="Roster"/>
    <x v="2"/>
    <s v="Colin Chaperon"/>
    <n v="2799"/>
  </r>
  <r>
    <n v="1"/>
    <x v="28"/>
    <x v="19"/>
    <s v="Tom Alcedo"/>
    <s v="Federation reporting delegate &amp; ARC representative"/>
    <s v="Information &amp; Reporting Delegate"/>
    <s v="Japan"/>
    <d v="2011-04-03T00:00:00"/>
    <d v="2011-04-29T00:00:00"/>
    <s v="Disaster"/>
    <s v="Q4"/>
    <x v="4"/>
    <s v="Staff"/>
    <x v="2"/>
    <s v="Alex Mahoney"/>
    <s v="2841, Japan R&amp;D"/>
  </r>
  <r>
    <n v="1"/>
    <x v="28"/>
    <x v="19"/>
    <s v="Nan Buzard"/>
    <s v="ARC representative on high level Federation liaison team to Japanese RC"/>
    <s v="Advisor/Liaison"/>
    <s v="Japan"/>
    <m/>
    <m/>
    <s v="Disaster"/>
    <s v="Q4"/>
    <x v="4"/>
    <s v="Staff"/>
    <x v="2"/>
    <s v="Mark Preslan"/>
    <s v="2841, Japan R&amp;D"/>
  </r>
  <r>
    <n v="1"/>
    <x v="28"/>
    <x v="19"/>
    <s v="John Manley"/>
    <s v="Federation reporting delegate &amp; ARC representative"/>
    <s v="Information &amp; Reporting Delegate"/>
    <s v="Japan"/>
    <d v="2011-04-26T00:00:00"/>
    <d v="2011-05-24T00:00:00"/>
    <s v="Disaster"/>
    <s v="Q4"/>
    <x v="4"/>
    <s v="Staff"/>
    <x v="2"/>
    <s v="Alex Mahoney"/>
    <s v="2841, Japan R&amp;D"/>
  </r>
</pivotCacheRecords>
</file>

<file path=xl/pivotCache/pivotCacheRecords5.xml><?xml version="1.0" encoding="utf-8"?>
<pivotCacheRecords xmlns="http://schemas.openxmlformats.org/spreadsheetml/2006/main" xmlns:r="http://schemas.openxmlformats.org/officeDocument/2006/relationships" count="159">
  <r>
    <n v="1"/>
    <x v="0"/>
    <x v="0"/>
    <s v="Colin Chaperon"/>
    <x v="0"/>
    <x v="0"/>
    <s v="Myanmar"/>
    <d v="2008-07-23T00:00:00"/>
    <d v="2008-08-23T00:00:00"/>
    <s v="Disaster"/>
    <s v="Q4"/>
    <x v="0"/>
    <s v="Staff"/>
    <m/>
    <s v="Alex/Greg"/>
    <m/>
  </r>
  <r>
    <n v="1"/>
    <x v="1"/>
    <x v="1"/>
    <s v="Brennan Banks"/>
    <x v="1"/>
    <x v="0"/>
    <s v="Kenya"/>
    <d v="2008-10-28T00:00:00"/>
    <d v="2008-12-07T00:00:00"/>
    <s v="Disaster"/>
    <s v="Q2"/>
    <x v="1"/>
    <s v="Roster"/>
    <s v="Africa"/>
    <s v="Greg "/>
    <m/>
  </r>
  <r>
    <n v="1"/>
    <x v="2"/>
    <x v="1"/>
    <s v="Tracy Reines"/>
    <x v="2"/>
    <x v="1"/>
    <m/>
    <d v="2008-10-26T00:00:00"/>
    <d v="2008-11-08T00:00:00"/>
    <s v="Disaster"/>
    <s v="Q2"/>
    <x v="1"/>
    <s v="Staff"/>
    <s v="Africa"/>
    <s v="Stacy"/>
    <m/>
  </r>
  <r>
    <n v="1"/>
    <x v="3"/>
    <x v="2"/>
    <s v="Roger Palmer"/>
    <x v="3"/>
    <x v="0"/>
    <s v="Indonesia"/>
    <d v="2009-01-07T00:00:00"/>
    <d v="2009-04-18T00:00:00"/>
    <s v="Non"/>
    <s v="Q3"/>
    <x v="1"/>
    <s v="Roster"/>
    <s v="Asia/ME/Europe"/>
    <s v="Travis"/>
    <m/>
  </r>
  <r>
    <n v="1"/>
    <x v="3"/>
    <x v="2"/>
    <s v="Glen Bradley"/>
    <x v="3"/>
    <x v="0"/>
    <s v="Indonesia"/>
    <d v="2009-01-07T00:00:00"/>
    <d v="2009-02-18T00:00:00"/>
    <s v="Non"/>
    <s v="Q3"/>
    <x v="1"/>
    <s v="Roster"/>
    <s v="Asia/ME/Europe"/>
    <s v="Travis"/>
    <m/>
  </r>
  <r>
    <n v="1"/>
    <x v="4"/>
    <x v="3"/>
    <s v="Gina Guinta"/>
    <x v="4"/>
    <x v="2"/>
    <s v="Sri Lanka"/>
    <d v="2009-05-12T00:00:00"/>
    <d v="2009-06-09T00:00:00"/>
    <s v="Disaster"/>
    <s v="Q4"/>
    <x v="1"/>
    <s v="Staff"/>
    <s v="Asia/ME/Europe"/>
    <s v="Jennifer Durben"/>
    <m/>
  </r>
  <r>
    <n v="1"/>
    <x v="5"/>
    <x v="4"/>
    <s v="Travis Betz"/>
    <x v="5"/>
    <x v="2"/>
    <s v="Bangladesh"/>
    <d v="2009-06-30T00:00:00"/>
    <d v="2009-08-01T00:00:00"/>
    <s v="Disaster"/>
    <s v="Q4"/>
    <x v="1"/>
    <s v="Staff"/>
    <s v="Asia/ME/Europe"/>
    <s v="Alex Mahoney"/>
    <m/>
  </r>
  <r>
    <n v="1"/>
    <x v="6"/>
    <x v="2"/>
    <s v="Deb Castellano"/>
    <x v="6"/>
    <x v="3"/>
    <s v="KL Zone Office"/>
    <d v="2008-09-22T00:00:00"/>
    <d v="2008-03-22T00:00:00"/>
    <s v="Non"/>
    <s v="Q1"/>
    <x v="1"/>
    <s v="Roster"/>
    <s v="IFRC"/>
    <s v="Travis"/>
    <m/>
  </r>
  <r>
    <n v="1"/>
    <x v="7"/>
    <x v="2"/>
    <s v="Chris Bell"/>
    <x v="7"/>
    <x v="4"/>
    <s v="Panama PADRU"/>
    <d v="2009-04-01T00:00:00"/>
    <d v="2009-04-30T00:00:00"/>
    <s v="Non"/>
    <s v="Q4"/>
    <x v="1"/>
    <s v="Roster"/>
    <s v="IFRC"/>
    <s v="Guillermo"/>
    <m/>
  </r>
  <r>
    <n v="1"/>
    <x v="8"/>
    <x v="2"/>
    <s v="Charles Blake"/>
    <x v="8"/>
    <x v="0"/>
    <s v="Panama PADRU"/>
    <d v="2009-06-22T00:00:00"/>
    <d v="2009-07-15T00:00:00"/>
    <s v="Non"/>
    <s v="Q4"/>
    <x v="1"/>
    <s v="Roster"/>
    <s v="IFRC"/>
    <s v="Guillermo"/>
    <m/>
  </r>
  <r>
    <n v="1"/>
    <x v="8"/>
    <x v="2"/>
    <s v="Travis Betz"/>
    <x v="9"/>
    <x v="0"/>
    <s v="Panama PADRU"/>
    <d v="2008-12-01T00:00:00"/>
    <d v="2008-01-04T00:00:00"/>
    <s v="Non"/>
    <s v="Q2"/>
    <x v="1"/>
    <s v="Staff"/>
    <s v="IFRC"/>
    <s v="Guillermo "/>
    <m/>
  </r>
  <r>
    <n v="1"/>
    <x v="6"/>
    <x v="2"/>
    <s v="Stacy Ragan"/>
    <x v="10"/>
    <x v="5"/>
    <s v="KL Zone Office/DMU"/>
    <d v="2009-06-01T00:00:00"/>
    <d v="2009-06-21T00:00:00"/>
    <s v="Non"/>
    <s v="Q4"/>
    <x v="1"/>
    <s v="Staff"/>
    <s v="IFRC"/>
    <s v="Tracy Reines"/>
    <m/>
  </r>
  <r>
    <n v="1"/>
    <x v="6"/>
    <x v="2"/>
    <s v="Alex Mahoney"/>
    <x v="11"/>
    <x v="5"/>
    <s v="KL Zone Office/DMU"/>
    <d v="2009-06-21T00:00:00"/>
    <d v="2009-07-10T00:00:00"/>
    <s v="Non"/>
    <s v="Q4"/>
    <x v="1"/>
    <s v="Staff"/>
    <s v="IFRC"/>
    <s v="N/A"/>
    <m/>
  </r>
  <r>
    <n v="1"/>
    <x v="9"/>
    <x v="2"/>
    <s v="Anne Reynolds"/>
    <x v="12"/>
    <x v="0"/>
    <s v="KL Zone Office/DMU"/>
    <d v="2009-06-22T00:00:00"/>
    <d v="2009-07-09T00:00:00"/>
    <s v="Non"/>
    <s v="Q4"/>
    <x v="1"/>
    <s v="Staff"/>
    <s v="IFRC"/>
    <s v="Alex in country "/>
    <m/>
  </r>
  <r>
    <n v="1"/>
    <x v="10"/>
    <x v="5"/>
    <s v="Roger Palmer"/>
    <x v="13"/>
    <x v="6"/>
    <s v="Suriname"/>
    <d v="2008-08-26T00:00:00"/>
    <d v="2008-09-15T00:00:00"/>
    <s v="Disaster"/>
    <s v="Q1"/>
    <x v="1"/>
    <s v="Roster"/>
    <s v="LAC"/>
    <s v="Christine/Greg"/>
    <m/>
  </r>
  <r>
    <n v="1"/>
    <x v="10"/>
    <x v="5"/>
    <s v="Mark Million"/>
    <x v="13"/>
    <x v="6"/>
    <s v="Suriname"/>
    <d v="2008-08-26T00:00:00"/>
    <d v="2008-09-15T00:00:00"/>
    <s v="Disaster"/>
    <s v="Q1"/>
    <x v="1"/>
    <s v="Roster"/>
    <s v="LAC"/>
    <s v="Christine /Greg"/>
    <m/>
  </r>
  <r>
    <n v="1"/>
    <x v="11"/>
    <x v="6"/>
    <s v="Brigitte Gaillis"/>
    <x v="14"/>
    <x v="7"/>
    <s v="Haiti"/>
    <d v="2008-09-03T00:00:00"/>
    <d v="2008-10-30T00:00:00"/>
    <s v="Disaster"/>
    <s v="Q1"/>
    <x v="1"/>
    <s v="Roster"/>
    <s v="LAC"/>
    <s v="Christine/Travis"/>
    <m/>
  </r>
  <r>
    <n v="1"/>
    <x v="12"/>
    <x v="7"/>
    <s v="Christina Hammond"/>
    <x v="15"/>
    <x v="4"/>
    <s v="Bahamas"/>
    <d v="2008-09-04T00:00:00"/>
    <d v="2008-09-25T00:00:00"/>
    <s v="Disaster"/>
    <s v="Q1"/>
    <x v="1"/>
    <s v="Roster"/>
    <s v="LAC"/>
    <s v="Shelley"/>
    <m/>
  </r>
  <r>
    <n v="1"/>
    <x v="11"/>
    <x v="6"/>
    <s v="John Manley"/>
    <x v="16"/>
    <x v="8"/>
    <s v="Haiti"/>
    <d v="2008-10-01T00:00:00"/>
    <d v="2008-11-25T00:00:00"/>
    <s v="Disaster"/>
    <s v="Q2"/>
    <x v="1"/>
    <s v="Roster"/>
    <s v="LAC"/>
    <s v="Christine/Travis"/>
    <m/>
  </r>
  <r>
    <n v="1"/>
    <x v="13"/>
    <x v="8"/>
    <s v="Scott DiPretoro"/>
    <x v="17"/>
    <x v="0"/>
    <s v="Costa Rica"/>
    <d v="2009-01-25T00:00:00"/>
    <d v="2009-02-21T00:00:00"/>
    <s v="Disaster"/>
    <s v="Q3"/>
    <x v="1"/>
    <s v="Roster"/>
    <s v="LAC"/>
    <s v="Christine"/>
    <m/>
  </r>
  <r>
    <n v="1"/>
    <x v="14"/>
    <x v="9"/>
    <s v="Dario Diaz"/>
    <x v="18"/>
    <x v="0"/>
    <s v="Texas"/>
    <d v="2008-09-18T00:00:00"/>
    <s v="3 weeks"/>
    <s v="Non"/>
    <s v="Q1"/>
    <x v="1"/>
    <s v="Roster"/>
    <s v="LAC"/>
    <s v="Travis"/>
    <m/>
  </r>
  <r>
    <n v="1"/>
    <x v="15"/>
    <x v="2"/>
    <s v="Brennan Banks"/>
    <x v="19"/>
    <x v="0"/>
    <s v="Belize"/>
    <d v="2009-01-01T00:00:00"/>
    <s v="3 weeks"/>
    <s v="Non"/>
    <s v="Q3"/>
    <x v="1"/>
    <s v="Roster"/>
    <s v="LAC"/>
    <s v="Guillermo"/>
    <m/>
  </r>
  <r>
    <n v="1"/>
    <x v="11"/>
    <x v="6"/>
    <s v="Matt Marek"/>
    <x v="20"/>
    <x v="8"/>
    <s v="Haiti"/>
    <d v="2008-09-06T00:00:00"/>
    <s v="1 month"/>
    <s v="Disaster"/>
    <s v="Q1"/>
    <x v="1"/>
    <s v="Staff"/>
    <s v="LAC"/>
    <s v="Christine/Travis"/>
    <m/>
  </r>
  <r>
    <n v="1"/>
    <x v="11"/>
    <x v="6"/>
    <s v="Colin Chaperon"/>
    <x v="21"/>
    <x v="8"/>
    <s v="Haiti"/>
    <d v="2008-09-06T00:00:00"/>
    <d v="2008-10-03T00:00:00"/>
    <s v="Disaster"/>
    <s v="Q1"/>
    <x v="1"/>
    <s v="Staff"/>
    <s v="LAC"/>
    <s v="Christine/Travis"/>
    <m/>
  </r>
  <r>
    <n v="1"/>
    <x v="11"/>
    <x v="6"/>
    <s v="Greg Matthews"/>
    <x v="22"/>
    <x v="8"/>
    <s v="Haiti"/>
    <d v="2008-10-11T00:00:00"/>
    <d v="2008-11-01T00:00:00"/>
    <s v="Disaster"/>
    <s v="Q2"/>
    <x v="1"/>
    <s v="Staff"/>
    <s v="LAC"/>
    <s v="Christine/Travis"/>
    <m/>
  </r>
  <r>
    <n v="1"/>
    <x v="13"/>
    <x v="8"/>
    <s v="A. Vargas (Panama staff deployed for ARC)"/>
    <x v="17"/>
    <x v="0"/>
    <s v="Costa Rica"/>
    <d v="2009-01-25T00:00:00"/>
    <d v="2009-02-21T00:00:00"/>
    <s v="Disaster"/>
    <s v="Q3"/>
    <x v="1"/>
    <s v="Staff"/>
    <s v="LAC"/>
    <s v="Christine"/>
    <m/>
  </r>
  <r>
    <n v="1"/>
    <x v="14"/>
    <x v="2"/>
    <s v="Deb Castellano"/>
    <x v="23"/>
    <x v="3"/>
    <s v="NHQ"/>
    <d v="2008-07-07T00:00:00"/>
    <s v="2 months"/>
    <s v="Non"/>
    <s v="Q1"/>
    <x v="1"/>
    <s v="Roster"/>
    <s v="NHQ"/>
    <s v="Liz"/>
    <m/>
  </r>
  <r>
    <n v="1"/>
    <x v="14"/>
    <x v="10"/>
    <s v="Cristina Hammond"/>
    <x v="24"/>
    <x v="9"/>
    <s v="NHQ"/>
    <d v="2009-05-03T00:00:00"/>
    <d v="2009-05-24T00:00:00"/>
    <s v="Non"/>
    <s v="Q4"/>
    <x v="1"/>
    <s v="Roster"/>
    <s v="NHQ"/>
    <s v="Jeanne Koepsell"/>
    <m/>
  </r>
  <r>
    <n v="1"/>
    <x v="16"/>
    <x v="11"/>
    <s v="John Manley"/>
    <x v="25"/>
    <x v="7"/>
    <s v="Burkina Faso"/>
    <d v="2009-09-10T00:00:00"/>
    <d v="2009-10-12T00:00:00"/>
    <s v="Disaster"/>
    <s v="Q1"/>
    <x v="2"/>
    <s v="Roster"/>
    <s v="Africa"/>
    <s v="Colin Chaperon"/>
    <s v="RRF 2799"/>
  </r>
  <r>
    <n v="1"/>
    <x v="17"/>
    <x v="11"/>
    <s v="Steve McAndrew"/>
    <x v="26"/>
    <x v="8"/>
    <s v="Senegal"/>
    <d v="2009-09-12T00:00:00"/>
    <d v="2009-10-12T00:00:00"/>
    <s v="Disaster"/>
    <s v="Q1"/>
    <x v="2"/>
    <s v="Roster"/>
    <s v="Africa"/>
    <s v="Colin Chaperon"/>
    <s v="RRF 2799"/>
  </r>
  <r>
    <n v="1"/>
    <x v="17"/>
    <x v="11"/>
    <s v="Shinko Mondori"/>
    <x v="27"/>
    <x v="8"/>
    <s v="Senegal"/>
    <d v="2009-09-12T00:00:00"/>
    <d v="2009-10-12T00:00:00"/>
    <s v="Disaster"/>
    <s v="Q1"/>
    <x v="2"/>
    <s v="Roster"/>
    <s v="Africa"/>
    <s v="Colin Chaperon"/>
    <s v="RRF 2799"/>
  </r>
  <r>
    <n v="1"/>
    <x v="17"/>
    <x v="11"/>
    <s v="Luis Matnog"/>
    <x v="27"/>
    <x v="8"/>
    <s v="Senegal"/>
    <d v="2009-09-12T00:00:00"/>
    <d v="2009-10-12T00:00:00"/>
    <s v="Disaster"/>
    <s v="Q1"/>
    <x v="2"/>
    <s v="Roster"/>
    <s v="Africa"/>
    <s v="Colin Chaperon"/>
    <s v="RRF 2799"/>
  </r>
  <r>
    <n v="1"/>
    <x v="3"/>
    <x v="12"/>
    <s v="Cristina Hammond"/>
    <x v="28"/>
    <x v="10"/>
    <s v="Indonesia"/>
    <d v="2009-09-16T00:00:00"/>
    <d v="2009-10-16T00:00:00"/>
    <s v="Disaster"/>
    <s v="Q1"/>
    <x v="2"/>
    <s v="Roster"/>
    <s v="Asia/ME/Europe"/>
    <s v="Colin Chaperon"/>
    <s v="RRF 2799"/>
  </r>
  <r>
    <n v="1"/>
    <x v="18"/>
    <x v="13"/>
    <s v="Cristina Hammond"/>
    <x v="29"/>
    <x v="9"/>
    <s v="Phillippines"/>
    <d v="2009-10-16T00:00:00"/>
    <d v="2009-12-16T00:00:00"/>
    <s v="Disaster"/>
    <s v="Q1"/>
    <x v="2"/>
    <s v="Roster"/>
    <s v="Asia/ME/Europe"/>
    <s v="Stacy Ragan"/>
    <n v="2698"/>
  </r>
  <r>
    <n v="1"/>
    <x v="18"/>
    <x v="13"/>
    <s v="Mariza Rogers"/>
    <x v="30"/>
    <x v="10"/>
    <s v="Phillippines"/>
    <d v="2009-10-05T00:00:00"/>
    <d v="2009-11-05T00:00:00"/>
    <s v="Disaster"/>
    <s v="Q1"/>
    <x v="2"/>
    <s v="Roster"/>
    <s v="Asia/ME/Europe"/>
    <s v="Stacy Ragan"/>
    <n v="2698"/>
  </r>
  <r>
    <n v="1"/>
    <x v="19"/>
    <x v="13"/>
    <s v="Michael Zeleke"/>
    <x v="31"/>
    <x v="0"/>
    <s v="Vietnam"/>
    <d v="2009-10-16T00:00:00"/>
    <s v="TBD"/>
    <s v="Disaster"/>
    <s v="Q1"/>
    <x v="2"/>
    <s v="Staff"/>
    <s v="Asia/ME/Europe"/>
    <s v="Alex Mahoney"/>
    <n v="2698"/>
  </r>
  <r>
    <n v="1"/>
    <x v="20"/>
    <x v="14"/>
    <s v="Jono Anzalone"/>
    <x v="32"/>
    <x v="0"/>
    <s v="Mexico"/>
    <d v="2010-12-01T00:00:00"/>
    <d v="2010-12-20T00:00:00"/>
    <s v="Disaster"/>
    <s v="Q1"/>
    <x v="2"/>
    <s v="Roster"/>
    <s v="LAC"/>
    <s v="Stacy"/>
    <m/>
  </r>
  <r>
    <n v="1"/>
    <x v="3"/>
    <x v="8"/>
    <s v="Alex Mahoney"/>
    <x v="33"/>
    <x v="9"/>
    <s v="Indonesia"/>
    <d v="2009-10-19T00:00:00"/>
    <d v="2009-11-10T00:00:00"/>
    <s v="Disaster"/>
    <s v="Q1"/>
    <x v="2"/>
    <s v="Staff"/>
    <s v="Asia/ME/Europe"/>
    <s v="Christy Ferguson"/>
    <n v="2930"/>
  </r>
  <r>
    <n v="1"/>
    <x v="11"/>
    <x v="5"/>
    <s v="John Manley"/>
    <x v="34"/>
    <x v="4"/>
    <s v="Haiti"/>
    <d v="2009-11-13T00:00:00"/>
    <d v="2009-12-13T00:00:00"/>
    <s v="Disaster"/>
    <s v="Q2"/>
    <x v="2"/>
    <s v="Roster"/>
    <s v="LAC"/>
    <s v="Scott DiPretoro"/>
    <n v="2885"/>
  </r>
  <r>
    <n v="1"/>
    <x v="21"/>
    <x v="2"/>
    <s v="Amanda West"/>
    <x v="35"/>
    <x v="5"/>
    <s v="China/_x000a_Mongolia"/>
    <d v="2009-11-29T00:00:00"/>
    <d v="2009-12-22T00:00:00"/>
    <s v="Non"/>
    <s v="Q2"/>
    <x v="2"/>
    <s v="Staff"/>
    <s v="Asia/ME/Europe"/>
    <s v="Stacy"/>
    <s v="China EQ AP"/>
  </r>
  <r>
    <n v="1"/>
    <x v="22"/>
    <x v="2"/>
    <s v="Tracy Reines"/>
    <x v="36"/>
    <x v="0"/>
    <s v="Nepal"/>
    <d v="2009-10-31T00:00:00"/>
    <d v="2009-12-05T00:00:00"/>
    <s v="Non"/>
    <s v="Q2"/>
    <x v="2"/>
    <s v="Staff"/>
    <s v="Asia/ME/Europe"/>
    <s v="Stacy"/>
    <s v="SIF/3809 – Fed to reimburse "/>
  </r>
  <r>
    <m/>
    <x v="23"/>
    <x v="15"/>
    <m/>
    <x v="37"/>
    <x v="11"/>
    <m/>
    <m/>
    <m/>
    <m/>
    <m/>
    <x v="3"/>
    <m/>
    <m/>
    <m/>
    <m/>
  </r>
  <r>
    <m/>
    <x v="23"/>
    <x v="15"/>
    <m/>
    <x v="37"/>
    <x v="11"/>
    <m/>
    <m/>
    <m/>
    <m/>
    <m/>
    <x v="3"/>
    <m/>
    <m/>
    <m/>
    <m/>
  </r>
  <r>
    <n v="1"/>
    <x v="11"/>
    <x v="8"/>
    <s v="Colin Chaperon"/>
    <x v="38"/>
    <x v="8"/>
    <s v="Haiti"/>
    <d v="2010-01-13T00:00:00"/>
    <d v="2010-02-10T00:00:00"/>
    <s v="Disaster"/>
    <s v="Q3"/>
    <x v="2"/>
    <s v="Staff"/>
    <s v="LAC"/>
    <s v="Stacy/Ops Team"/>
    <n v="2888"/>
  </r>
  <r>
    <n v="1"/>
    <x v="11"/>
    <x v="8"/>
    <s v="Steve McAndrew"/>
    <x v="39"/>
    <x v="8"/>
    <s v="Haiti"/>
    <d v="2010-01-13T00:00:00"/>
    <d v="2010-02-04T00:00:00"/>
    <s v="Disaster"/>
    <s v="Q3"/>
    <x v="2"/>
    <s v="Roster"/>
    <s v="LAC"/>
    <s v="Stacy/Ops Team"/>
    <n v="2888"/>
  </r>
  <r>
    <n v="1"/>
    <x v="11"/>
    <x v="8"/>
    <s v="Eric Baranick"/>
    <x v="40"/>
    <x v="8"/>
    <s v="Haiti"/>
    <d v="2010-01-13T00:00:00"/>
    <d v="2010-01-30T00:00:00"/>
    <s v="Disaster"/>
    <s v="Q3"/>
    <x v="2"/>
    <s v="Staff"/>
    <s v="LAC"/>
    <s v="Stacy/Ops Team"/>
    <n v="2888"/>
  </r>
  <r>
    <n v="1"/>
    <x v="11"/>
    <x v="8"/>
    <s v="Gavin White"/>
    <x v="40"/>
    <x v="8"/>
    <s v="Haiti"/>
    <d v="2010-01-13T00:00:00"/>
    <d v="2010-01-30T00:00:00"/>
    <s v="Disaster"/>
    <s v="Q3"/>
    <x v="2"/>
    <s v="Staff"/>
    <s v="LAC"/>
    <s v="Stacy/Ops Team"/>
    <n v="2888"/>
  </r>
  <r>
    <n v="1"/>
    <x v="11"/>
    <x v="8"/>
    <s v="Brigitte Gaillis"/>
    <x v="40"/>
    <x v="8"/>
    <s v="Haiti"/>
    <d v="2010-01-13T00:00:00"/>
    <d v="2010-01-30T00:00:00"/>
    <s v="Disaster"/>
    <s v="Q3"/>
    <x v="2"/>
    <s v="Roster"/>
    <s v="LAC"/>
    <s v="Stacy/Ops Team"/>
    <n v="2888"/>
  </r>
  <r>
    <n v="1"/>
    <x v="11"/>
    <x v="8"/>
    <s v="Rosemary Parnell"/>
    <x v="41"/>
    <x v="3"/>
    <s v="Haiti"/>
    <d v="2010-01-19T00:00:00"/>
    <d v="2010-02-28T00:00:00"/>
    <s v="Disaster"/>
    <s v="Q3"/>
    <x v="2"/>
    <s v="Staff"/>
    <s v="LAC"/>
    <s v="Stacy/Ops Team"/>
    <n v="2888"/>
  </r>
  <r>
    <n v="1"/>
    <x v="11"/>
    <x v="8"/>
    <s v="Glen Bradley"/>
    <x v="42"/>
    <x v="6"/>
    <s v="Haiti"/>
    <d v="2010-01-13T00:00:00"/>
    <d v="2010-02-14T00:00:00"/>
    <s v="Disaster"/>
    <s v="Q3"/>
    <x v="2"/>
    <s v="Roster"/>
    <s v="LAC"/>
    <s v="Stacy/Ops Team"/>
    <n v="2888"/>
  </r>
  <r>
    <n v="1"/>
    <x v="11"/>
    <x v="8"/>
    <s v="Mark Million"/>
    <x v="42"/>
    <x v="6"/>
    <s v="Haiti"/>
    <d v="2010-01-13T00:00:00"/>
    <d v="2010-02-14T00:00:00"/>
    <s v="Disaster"/>
    <s v="Q3"/>
    <x v="2"/>
    <s v="Roster"/>
    <s v="LAC"/>
    <s v="Stacy/Ops Team"/>
    <n v="2888"/>
  </r>
  <r>
    <n v="1"/>
    <x v="11"/>
    <x v="8"/>
    <s v="Joe Becker"/>
    <x v="43"/>
    <x v="9"/>
    <s v="Haiti"/>
    <d v="2010-01-24T00:00:00"/>
    <d v="2010-01-31T00:00:00"/>
    <s v="Disaster"/>
    <s v="Q3"/>
    <x v="2"/>
    <s v="Staff"/>
    <s v="LAC"/>
    <s v="Stacy/Ops Team"/>
    <n v="2888"/>
  </r>
  <r>
    <n v="1"/>
    <x v="11"/>
    <x v="8"/>
    <s v="Nate Cooper"/>
    <x v="41"/>
    <x v="3"/>
    <s v="Haiti"/>
    <d v="2010-01-25T00:00:00"/>
    <d v="2010-02-04T00:00:00"/>
    <s v="Disaster"/>
    <s v="Q3"/>
    <x v="2"/>
    <s v="Staff"/>
    <s v="LAC"/>
    <s v="Stacy/Ops Team"/>
    <n v="2888"/>
  </r>
  <r>
    <n v="1"/>
    <x v="11"/>
    <x v="8"/>
    <s v="Mark Smith"/>
    <x v="41"/>
    <x v="3"/>
    <s v="Haiti"/>
    <d v="2010-01-25T00:00:00"/>
    <d v="2010-02-14T00:00:00"/>
    <s v="Disaster"/>
    <s v="Q3"/>
    <x v="2"/>
    <s v="Roster"/>
    <s v="LAC"/>
    <s v="Stacy/Ops Team"/>
    <n v="2888"/>
  </r>
  <r>
    <n v="1"/>
    <x v="11"/>
    <x v="8"/>
    <s v="Lindsay Lincoln"/>
    <x v="44"/>
    <x v="7"/>
    <s v="Haiti"/>
    <d v="2010-01-22T00:00:00"/>
    <d v="2010-02-06T00:00:00"/>
    <s v="Disaster"/>
    <s v="Q3"/>
    <x v="2"/>
    <s v="Staff"/>
    <s v="LAC"/>
    <s v="Stacy/Ops Team"/>
    <n v="2888"/>
  </r>
  <r>
    <n v="1"/>
    <x v="11"/>
    <x v="8"/>
    <s v="Charles Blake"/>
    <x v="40"/>
    <x v="8"/>
    <s v="Haiti"/>
    <d v="2010-01-22T00:00:00"/>
    <d v="2010-02-16T00:00:00"/>
    <s v="Disaster"/>
    <s v="Q3"/>
    <x v="2"/>
    <s v="Roster"/>
    <s v="LAC"/>
    <s v="Stacy/Ops Team"/>
    <n v="2888"/>
  </r>
  <r>
    <n v="1"/>
    <x v="11"/>
    <x v="8"/>
    <s v="Luis Matnog"/>
    <x v="40"/>
    <x v="8"/>
    <s v="Haiti"/>
    <d v="2010-01-31T00:00:00"/>
    <d v="2010-02-26T00:00:00"/>
    <s v="Disaster"/>
    <s v="Q3"/>
    <x v="2"/>
    <s v="Roster"/>
    <s v="LAC"/>
    <s v="Stacy/Ops Team"/>
    <n v="2888"/>
  </r>
  <r>
    <n v="1"/>
    <x v="11"/>
    <x v="8"/>
    <s v="Christophe Lobry-Boulanger"/>
    <x v="40"/>
    <x v="8"/>
    <s v="Haiti"/>
    <d v="2010-01-31T00:00:00"/>
    <d v="2010-02-26T00:00:00"/>
    <s v="Disaster"/>
    <s v="Q3"/>
    <x v="2"/>
    <s v="Roster"/>
    <s v="LAC"/>
    <s v="Stacy/Ops Team"/>
    <n v="2888"/>
  </r>
  <r>
    <n v="1"/>
    <x v="11"/>
    <x v="8"/>
    <s v="Chris Darlington"/>
    <x v="38"/>
    <x v="8"/>
    <s v="Haiti"/>
    <d v="2010-01-31T00:00:00"/>
    <d v="2010-02-26T00:00:00"/>
    <s v="Disaster"/>
    <s v="Q3"/>
    <x v="2"/>
    <s v="Roster"/>
    <s v="LAC"/>
    <s v="Stacy/Ops Team"/>
    <n v="2888"/>
  </r>
  <r>
    <n v="1"/>
    <x v="11"/>
    <x v="8"/>
    <s v="Ori Shaham (MDA)"/>
    <x v="40"/>
    <x v="8"/>
    <s v="Haiti"/>
    <d v="2010-01-31T00:00:00"/>
    <d v="2010-02-26T00:00:00"/>
    <s v="Disaster"/>
    <s v="Q3"/>
    <x v="2"/>
    <s v="Roster"/>
    <s v="LAC"/>
    <s v="Stacy/Ops Team"/>
    <n v="2888"/>
  </r>
  <r>
    <n v="1"/>
    <x v="11"/>
    <x v="8"/>
    <s v="Haim Budin (MDA)"/>
    <x v="40"/>
    <x v="8"/>
    <s v="Haiti"/>
    <d v="2010-01-31T00:00:00"/>
    <d v="2010-02-26T00:00:00"/>
    <s v="Disaster"/>
    <s v="Q3"/>
    <x v="2"/>
    <s v="Roster"/>
    <s v="LAC"/>
    <s v="Stacy/Ops Team"/>
    <n v="2888"/>
  </r>
  <r>
    <n v="1"/>
    <x v="11"/>
    <x v="8"/>
    <s v="Kelly Hurd"/>
    <x v="40"/>
    <x v="8"/>
    <s v="Haiti"/>
    <d v="2010-02-03T00:00:00"/>
    <d v="2010-02-26T00:00:00"/>
    <s v="Disaster"/>
    <s v="Q3"/>
    <x v="2"/>
    <s v="Roster"/>
    <s v="LAC"/>
    <s v="Stacy/Ops Team"/>
    <n v="2888"/>
  </r>
  <r>
    <n v="1"/>
    <x v="11"/>
    <x v="8"/>
    <s v="Scott DiPretoro"/>
    <x v="45"/>
    <x v="12"/>
    <s v="Haiti"/>
    <d v="2010-01-31T00:00:00"/>
    <d v="2010-04-01T00:00:00"/>
    <s v="Disaster"/>
    <s v="Q3"/>
    <x v="2"/>
    <s v="Staff"/>
    <s v="LAC"/>
    <s v="Stacy/Ops Team"/>
    <n v="2888"/>
  </r>
  <r>
    <n v="1"/>
    <x v="11"/>
    <x v="8"/>
    <s v="Omar Abou-Samra"/>
    <x v="45"/>
    <x v="12"/>
    <s v="Haiti"/>
    <d v="2010-01-31T00:00:00"/>
    <d v="2010-02-26T00:00:00"/>
    <s v="Disaster"/>
    <s v="Q3"/>
    <x v="2"/>
    <s v="Staff"/>
    <s v="LAC"/>
    <s v="Stacy/Ops Team"/>
    <n v="2888"/>
  </r>
  <r>
    <n v="1"/>
    <x v="11"/>
    <x v="8"/>
    <s v="Sharon Truelove"/>
    <x v="45"/>
    <x v="12"/>
    <s v="Haiti"/>
    <d v="2010-02-02T00:00:00"/>
    <d v="2010-02-26T00:00:00"/>
    <s v="Disaster"/>
    <s v="Q3"/>
    <x v="2"/>
    <s v="Roster"/>
    <s v="LAC"/>
    <s v="Stacy/Ops Team"/>
    <n v="2888"/>
  </r>
  <r>
    <n v="1"/>
    <x v="11"/>
    <x v="8"/>
    <s v="Heidi Gilert"/>
    <x v="45"/>
    <x v="12"/>
    <s v="Haiti"/>
    <d v="2010-02-02T00:00:00"/>
    <d v="2010-02-26T00:00:00"/>
    <s v="Disaster"/>
    <s v="Q3"/>
    <x v="2"/>
    <s v="Roster"/>
    <s v="LAC"/>
    <s v="Stacy/Ops Team"/>
    <n v="2888"/>
  </r>
  <r>
    <n v="1"/>
    <x v="11"/>
    <x v="8"/>
    <s v="Rod Snider"/>
    <x v="45"/>
    <x v="12"/>
    <s v="Haiti"/>
    <d v="2010-02-13T00:00:00"/>
    <d v="2010-04-03T00:00:00"/>
    <s v="Disaster"/>
    <s v="Q3"/>
    <x v="2"/>
    <s v="Staff"/>
    <s v="LAC"/>
    <s v="Stacy/Ops Team"/>
    <n v="2888"/>
  </r>
  <r>
    <n v="1"/>
    <x v="11"/>
    <x v="8"/>
    <s v="Roby Jacob"/>
    <x v="46"/>
    <x v="9"/>
    <s v="Haiti"/>
    <d v="2010-02-17T00:00:00"/>
    <d v="2010-03-03T00:00:00"/>
    <s v="Disaster"/>
    <s v="Q3"/>
    <x v="2"/>
    <s v="Staff"/>
    <s v="LAC"/>
    <s v="Stacy/Ops Team"/>
    <n v="2888"/>
  </r>
  <r>
    <n v="1"/>
    <x v="11"/>
    <x v="8"/>
    <s v="Laky Pissalidis"/>
    <x v="47"/>
    <x v="9"/>
    <s v="Haiti"/>
    <d v="2010-02-17T00:00:00"/>
    <d v="2010-04-03T00:00:00"/>
    <s v="Disaster"/>
    <s v="Q3"/>
    <x v="2"/>
    <s v="Staff"/>
    <s v="LAC"/>
    <s v="Stacy/Ops Team"/>
    <n v="2888"/>
  </r>
  <r>
    <n v="1"/>
    <x v="11"/>
    <x v="8"/>
    <s v="Deborah Castellano"/>
    <x v="41"/>
    <x v="3"/>
    <s v="Haiti"/>
    <d v="2010-02-14T00:00:00"/>
    <d v="2010-03-10T00:00:00"/>
    <s v="Disaster"/>
    <s v="Q3"/>
    <x v="2"/>
    <s v="Roster"/>
    <s v="LAC"/>
    <s v="Stacy/Ops Team"/>
    <n v="2888"/>
  </r>
  <r>
    <n v="1"/>
    <x v="11"/>
    <x v="8"/>
    <s v="Roger Shelton"/>
    <x v="48"/>
    <x v="9"/>
    <s v="Haiti"/>
    <d v="2010-02-08T00:00:00"/>
    <d v="2010-03-31T00:00:00"/>
    <s v="Disaster"/>
    <s v="Q3"/>
    <x v="2"/>
    <s v="Staff"/>
    <s v="LAC"/>
    <s v="Stacy/Ops Team"/>
    <n v="2888"/>
  </r>
  <r>
    <n v="1"/>
    <x v="11"/>
    <x v="8"/>
    <s v="Sohrab Rezvan"/>
    <x v="42"/>
    <x v="6"/>
    <s v="Haiti"/>
    <d v="2010-02-13T00:00:00"/>
    <d v="2010-04-03T00:00:00"/>
    <s v="Disaster"/>
    <s v="Q3"/>
    <x v="2"/>
    <s v="Roster"/>
    <s v="LAC"/>
    <s v="Stacy/Ops Team"/>
    <n v="2888"/>
  </r>
  <r>
    <n v="1"/>
    <x v="11"/>
    <x v="8"/>
    <s v="Michael Zeleke"/>
    <x v="49"/>
    <x v="13"/>
    <s v="Haiti"/>
    <d v="2010-02-03T00:00:00"/>
    <d v="2010-03-03T00:00:00"/>
    <s v="Disaster"/>
    <s v="Q3"/>
    <x v="2"/>
    <s v="Staff"/>
    <s v="LAC"/>
    <s v="Stacy/Ops Team"/>
    <n v="2888"/>
  </r>
  <r>
    <n v="1"/>
    <x v="11"/>
    <x v="8"/>
    <s v="Meghan DiCarlo"/>
    <x v="50"/>
    <x v="13"/>
    <s v="Haiti"/>
    <d v="2010-02-13T00:00:00"/>
    <d v="2010-03-03T00:00:00"/>
    <s v="Disaster"/>
    <s v="Q3"/>
    <x v="2"/>
    <s v="Staff"/>
    <s v="LAC"/>
    <s v="Stacy/Ops Team"/>
    <n v="2888"/>
  </r>
  <r>
    <n v="1"/>
    <x v="11"/>
    <x v="8"/>
    <s v="Joscelyn Silsby"/>
    <x v="50"/>
    <x v="13"/>
    <s v="Haiti"/>
    <d v="2010-02-13T00:00:00"/>
    <d v="2010-03-03T00:00:00"/>
    <s v="Disaster"/>
    <s v="Q3"/>
    <x v="2"/>
    <s v="Roster"/>
    <s v="LAC"/>
    <s v="Stacy/Ops Team"/>
    <n v="2888"/>
  </r>
  <r>
    <n v="1"/>
    <x v="11"/>
    <x v="8"/>
    <s v="Julie Archer"/>
    <x v="50"/>
    <x v="13"/>
    <s v="Haiti"/>
    <d v="2010-02-13T00:00:00"/>
    <d v="2010-03-03T00:00:00"/>
    <s v="Disaster"/>
    <s v="Q3"/>
    <x v="2"/>
    <s v="Roster"/>
    <s v="LAC"/>
    <s v="Stacy/Ops Team"/>
    <n v="2888"/>
  </r>
  <r>
    <n v="1"/>
    <x v="11"/>
    <x v="8"/>
    <s v="Lee Malaney"/>
    <x v="50"/>
    <x v="13"/>
    <s v="Haiti"/>
    <d v="2010-02-08T00:00:00"/>
    <d v="2010-03-03T00:00:00"/>
    <s v="Disaster"/>
    <s v="Q3"/>
    <x v="2"/>
    <s v="Roster"/>
    <s v="LAC"/>
    <s v="Stacy/Ops Team"/>
    <n v="2888"/>
  </r>
  <r>
    <n v="1"/>
    <x v="11"/>
    <x v="8"/>
    <s v="Greg Matthews"/>
    <x v="51"/>
    <x v="13"/>
    <s v="Haiti"/>
    <d v="2010-02-08T00:00:00"/>
    <d v="2010-02-18T00:00:00"/>
    <s v="Disaster"/>
    <s v="Q3"/>
    <x v="2"/>
    <s v="Roster"/>
    <s v="LAC"/>
    <s v="Stacy/Ops Team"/>
    <n v="2888"/>
  </r>
  <r>
    <n v="1"/>
    <x v="11"/>
    <x v="8"/>
    <s v="Gina Guinta"/>
    <x v="52"/>
    <x v="7"/>
    <s v="Haiti"/>
    <d v="2010-02-07T00:00:00"/>
    <d v="2010-03-08T00:00:00"/>
    <s v="Disaster"/>
    <s v="Q3"/>
    <x v="2"/>
    <s v="Roster"/>
    <s v="LAC"/>
    <s v="Stacy/Ops Team"/>
    <n v="2888"/>
  </r>
  <r>
    <n v="1"/>
    <x v="11"/>
    <x v="8"/>
    <s v="Dario Diaz"/>
    <x v="53"/>
    <x v="3"/>
    <s v="Dominican Republic"/>
    <d v="2010-01-19T00:00:00"/>
    <d v="2010-02-15T00:00:00"/>
    <s v="Disaster"/>
    <s v="Q3"/>
    <x v="2"/>
    <s v="Staff"/>
    <s v="LAC"/>
    <s v="Stacy/Ops Team"/>
    <n v="2888"/>
  </r>
  <r>
    <n v="1"/>
    <x v="11"/>
    <x v="8"/>
    <s v="Nate Cooper"/>
    <x v="54"/>
    <x v="3"/>
    <s v="Panama PADRU"/>
    <d v="2010-01-12T00:00:00"/>
    <d v="2010-01-24T00:00:00"/>
    <s v="Disaster"/>
    <s v="Q3"/>
    <x v="2"/>
    <s v="Staff"/>
    <s v="LAC"/>
    <s v="Stacy/Ops Team"/>
    <n v="2888"/>
  </r>
  <r>
    <n v="1"/>
    <x v="11"/>
    <x v="8"/>
    <s v="Robin Younger"/>
    <x v="55"/>
    <x v="9"/>
    <s v="Panama PADRU"/>
    <d v="2010-01-18T00:00:00"/>
    <d v="2010-02-16T00:00:00"/>
    <s v="Disaster"/>
    <s v="Q3"/>
    <x v="2"/>
    <s v="Roster"/>
    <s v="LAC"/>
    <s v="Stacy/Ops Team"/>
    <n v="2888"/>
  </r>
  <r>
    <n v="1"/>
    <x v="11"/>
    <x v="8"/>
    <s v="Greg Matthews"/>
    <x v="56"/>
    <x v="14"/>
    <s v="NHQ"/>
    <d v="2010-01-18T00:00:00"/>
    <d v="2010-01-31T00:00:00"/>
    <s v="Disaster"/>
    <s v="Q3"/>
    <x v="2"/>
    <s v="Roster"/>
    <s v="LAC"/>
    <s v="Stacy/Ops Team"/>
    <n v="2888"/>
  </r>
  <r>
    <n v="1"/>
    <x v="11"/>
    <x v="8"/>
    <s v="Winnie Romeril"/>
    <x v="57"/>
    <x v="15"/>
    <s v="Haiti"/>
    <d v="2010-01-12T00:00:00"/>
    <d v="2010-01-31T00:00:00"/>
    <s v="Disaster"/>
    <s v="Q3"/>
    <x v="2"/>
    <s v="Roster"/>
    <s v="LAC"/>
    <s v="Stacy/Ops Team"/>
    <n v="2888"/>
  </r>
  <r>
    <n v="1"/>
    <x v="11"/>
    <x v="8"/>
    <s v="Kelly Hurd"/>
    <x v="58"/>
    <x v="15"/>
    <s v="Haiti"/>
    <d v="2010-01-23T00:00:00"/>
    <d v="2010-02-02T00:00:00"/>
    <s v="Disaster"/>
    <s v="Q3"/>
    <x v="2"/>
    <s v="Roster"/>
    <s v="LAC"/>
    <s v="Stacy/Ops Team"/>
    <n v="2888"/>
  </r>
  <r>
    <n v="1"/>
    <x v="11"/>
    <x v="8"/>
    <s v="Bonnie Gillespie"/>
    <x v="58"/>
    <x v="15"/>
    <s v="Haiti"/>
    <d v="2010-01-21T00:00:00"/>
    <d v="2010-02-21T00:00:00"/>
    <s v="Disaster"/>
    <s v="Q3"/>
    <x v="2"/>
    <s v="Roster"/>
    <s v="LAC"/>
    <s v="Stacy/Ops Team"/>
    <n v="2888"/>
  </r>
  <r>
    <n v="1"/>
    <x v="11"/>
    <x v="8"/>
    <s v="Svafa Asgeirdottir"/>
    <x v="59"/>
    <x v="15"/>
    <s v="Haiti"/>
    <d v="2010-01-22T00:00:00"/>
    <d v="2010-02-09T00:00:00"/>
    <s v="Disaster"/>
    <s v="Q3"/>
    <x v="2"/>
    <s v="Staff"/>
    <s v="LAC"/>
    <s v="Stacy/Ops Team"/>
    <n v="2888"/>
  </r>
  <r>
    <n v="1"/>
    <x v="11"/>
    <x v="8"/>
    <s v="Nancy Campbell"/>
    <x v="60"/>
    <x v="15"/>
    <s v="Haiti"/>
    <d v="2010-01-22T00:00:00"/>
    <d v="2010-02-10T00:00:00"/>
    <s v="Disaster"/>
    <s v="Q3"/>
    <x v="2"/>
    <s v="Staff"/>
    <s v="LAC"/>
    <s v="Stacy/Ops Team"/>
    <n v="2888"/>
  </r>
  <r>
    <n v="1"/>
    <x v="11"/>
    <x v="8"/>
    <s v="Tony Stitt"/>
    <x v="61"/>
    <x v="15"/>
    <s v="Haiti"/>
    <d v="2010-02-04T00:00:00"/>
    <d v="2010-04-01T00:00:00"/>
    <s v="Disaster"/>
    <s v="Q3"/>
    <x v="2"/>
    <s v="Roster"/>
    <s v="LAC"/>
    <s v="Stacy/Ops Team"/>
    <n v="2888"/>
  </r>
  <r>
    <n v="1"/>
    <x v="11"/>
    <x v="8"/>
    <s v="Judy Nicholson"/>
    <x v="62"/>
    <x v="15"/>
    <s v="Haiti"/>
    <d v="2010-01-19T00:00:00"/>
    <d v="2010-01-31T00:00:00"/>
    <s v="Disaster"/>
    <s v="Q3"/>
    <x v="2"/>
    <s v="Staff"/>
    <s v="LAC"/>
    <s v="Stacy/Ops Team"/>
    <n v="2888"/>
  </r>
  <r>
    <n v="1"/>
    <x v="11"/>
    <x v="8"/>
    <s v="Howard Smith"/>
    <x v="62"/>
    <x v="15"/>
    <s v="Haiti"/>
    <d v="2010-01-19T00:00:00"/>
    <d v="2010-01-31T00:00:00"/>
    <s v="Disaster"/>
    <s v="Q3"/>
    <x v="2"/>
    <s v="Staff"/>
    <s v="LAC"/>
    <s v="Stacy/Ops Team"/>
    <n v="2888"/>
  </r>
  <r>
    <n v="1"/>
    <x v="11"/>
    <x v="8"/>
    <s v="Lee Malany"/>
    <x v="63"/>
    <x v="15"/>
    <s v="Haiti"/>
    <d v="2010-01-22T00:00:00"/>
    <d v="2010-02-07T00:00:00"/>
    <s v="Disaster"/>
    <s v="Q3"/>
    <x v="2"/>
    <s v="Roster"/>
    <s v="LAC"/>
    <s v="Stacy/Ops Team"/>
    <n v="2888"/>
  </r>
  <r>
    <n v="1"/>
    <x v="11"/>
    <x v="8"/>
    <s v="Rebecca Scheurer"/>
    <x v="64"/>
    <x v="15"/>
    <s v="Haiti"/>
    <d v="2010-02-04T00:00:00"/>
    <d v="2010-04-01T00:00:00"/>
    <s v="Disaster"/>
    <s v="Q3"/>
    <x v="2"/>
    <s v="Staff"/>
    <s v="LAC"/>
    <s v="Stacy/Ops Team"/>
    <n v="2888"/>
  </r>
  <r>
    <n v="1"/>
    <x v="11"/>
    <x v="8"/>
    <s v="Roger Palmer"/>
    <x v="65"/>
    <x v="14"/>
    <s v="NHQ"/>
    <d v="2010-01-20T00:00:00"/>
    <d v="2010-02-21T00:00:00"/>
    <s v="Disaster"/>
    <s v="Q3"/>
    <x v="2"/>
    <s v="Roster"/>
    <s v="LAC"/>
    <s v="Stacy/Ops Team"/>
    <n v="2888"/>
  </r>
  <r>
    <n v="1"/>
    <x v="11"/>
    <x v="8"/>
    <s v="Mat Morgan"/>
    <x v="66"/>
    <x v="15"/>
    <s v="Haiti"/>
    <d v="2010-02-01T00:00:00"/>
    <d v="2010-03-15T00:00:00"/>
    <s v="Disaster"/>
    <s v="Q3"/>
    <x v="2"/>
    <s v="Staff"/>
    <s v="LAC"/>
    <s v="Stacy/Ops Team"/>
    <m/>
  </r>
  <r>
    <n v="1"/>
    <x v="11"/>
    <x v="8"/>
    <s v="Robin Younger"/>
    <x v="38"/>
    <x v="8"/>
    <s v="Haiti"/>
    <d v="2010-02-21T00:00:00"/>
    <d v="2010-03-25T00:00:00"/>
    <s v="Disaster"/>
    <s v="Q3"/>
    <x v="2"/>
    <s v="Roster"/>
    <s v="LAC"/>
    <s v="Stacy/Ops Team"/>
    <n v="2888"/>
  </r>
  <r>
    <n v="1"/>
    <x v="11"/>
    <x v="8"/>
    <s v="Chris Bell"/>
    <x v="40"/>
    <x v="8"/>
    <s v="Haiti"/>
    <d v="2010-02-21T00:00:00"/>
    <d v="2010-03-25T00:00:00"/>
    <s v="Disaster"/>
    <s v="Q3"/>
    <x v="2"/>
    <s v="Roster"/>
    <s v="LAC"/>
    <s v="Stacy/Ops Team"/>
    <n v="2888"/>
  </r>
  <r>
    <n v="1"/>
    <x v="11"/>
    <x v="8"/>
    <s v="Shavkut Ismailov "/>
    <x v="40"/>
    <x v="8"/>
    <s v="Haiti"/>
    <d v="2010-02-21T00:00:00"/>
    <d v="2010-03-25T00:00:00"/>
    <s v="Disaster"/>
    <s v="Q3"/>
    <x v="2"/>
    <s v="Staff"/>
    <s v="LAC"/>
    <s v="Stacy/Ops Team"/>
    <n v="2888"/>
  </r>
  <r>
    <n v="1"/>
    <x v="11"/>
    <x v="8"/>
    <s v="Michael Segal"/>
    <x v="40"/>
    <x v="8"/>
    <s v="Haiti"/>
    <d v="2010-02-21T00:00:00"/>
    <d v="2010-03-25T00:00:00"/>
    <s v="Disaster"/>
    <s v="Q3"/>
    <x v="2"/>
    <s v="Roster"/>
    <s v="LAC"/>
    <s v="Stacy/Ops Team"/>
    <n v="2888"/>
  </r>
  <r>
    <n v="1"/>
    <x v="11"/>
    <x v="8"/>
    <s v="Ofer Snir (MDA)"/>
    <x v="40"/>
    <x v="8"/>
    <s v="Haiti"/>
    <d v="2010-02-21T00:00:00"/>
    <d v="2010-03-25T00:00:00"/>
    <s v="Disaster"/>
    <s v="Q3"/>
    <x v="2"/>
    <s v="Roster"/>
    <s v="LAC"/>
    <s v="Stacy/Ops Team"/>
    <n v="2888"/>
  </r>
  <r>
    <n v="1"/>
    <x v="11"/>
    <x v="8"/>
    <s v="Raj Zafar"/>
    <x v="40"/>
    <x v="8"/>
    <s v="Haiti"/>
    <d v="2010-03-06T00:00:00"/>
    <d v="2010-03-25T00:00:00"/>
    <s v="Disaster"/>
    <s v="Q3"/>
    <x v="2"/>
    <s v="Roster"/>
    <s v="LAC"/>
    <s v="Stacy/Ops Team"/>
    <n v="2888"/>
  </r>
  <r>
    <n v="1"/>
    <x v="11"/>
    <x v="8"/>
    <s v="Tom Worthington"/>
    <x v="65"/>
    <x v="9"/>
    <s v="NHQ"/>
    <d v="2010-02-22T00:00:00"/>
    <d v="2010-03-21T00:00:00"/>
    <s v="Disaster"/>
    <s v="Q3"/>
    <x v="2"/>
    <s v="Roster"/>
    <s v="LAC"/>
    <s v="Stacy/Ops Team"/>
    <n v="2888"/>
  </r>
  <r>
    <n v="1"/>
    <x v="11"/>
    <x v="8"/>
    <s v="Lynette Nyman"/>
    <x v="67"/>
    <x v="16"/>
    <s v="NHQ"/>
    <d v="2010-02-22T00:00:00"/>
    <d v="2010-03-21T00:00:00"/>
    <s v="Disaster"/>
    <s v="Q3"/>
    <x v="2"/>
    <s v="Staff"/>
    <s v="LAC"/>
    <s v="Andrea Koppel"/>
    <m/>
  </r>
  <r>
    <n v="1"/>
    <x v="11"/>
    <x v="8"/>
    <s v="Tom McAloon"/>
    <x v="68"/>
    <x v="9"/>
    <s v="Haiti"/>
    <d v="2010-02-15T00:00:00"/>
    <d v="2010-03-31T00:00:00"/>
    <s v="Disaster"/>
    <s v="Q3"/>
    <x v="2"/>
    <s v="Roster"/>
    <s v="LAC"/>
    <s v="Stacy/Ops Team"/>
    <n v="2888"/>
  </r>
  <r>
    <n v="1"/>
    <x v="11"/>
    <x v="8"/>
    <s v="Lyle O'Neel"/>
    <x v="69"/>
    <x v="9"/>
    <s v="NHQ"/>
    <d v="2010-02-08T00:00:00"/>
    <d v="2010-03-07T00:00:00"/>
    <s v="Disaster"/>
    <s v="Q3"/>
    <x v="2"/>
    <s v="Staff"/>
    <s v="LAC"/>
    <s v="Stacy/Ops Team"/>
    <n v="2888"/>
  </r>
  <r>
    <n v="1"/>
    <x v="11"/>
    <x v="8"/>
    <s v="Laura Hevesi"/>
    <x v="38"/>
    <x v="8"/>
    <s v="Haiti"/>
    <d v="2010-03-22T00:00:00"/>
    <d v="2010-04-21T00:00:00"/>
    <s v="Disaster"/>
    <s v="Q3"/>
    <x v="2"/>
    <s v="Roster"/>
    <s v="LAC"/>
    <s v="Stacy/Ops Team"/>
    <n v="2888"/>
  </r>
  <r>
    <n v="1"/>
    <x v="11"/>
    <x v="8"/>
    <s v="Kate Schilling"/>
    <x v="40"/>
    <x v="8"/>
    <s v="Haiti"/>
    <d v="2010-03-22T00:00:00"/>
    <d v="2010-04-21T00:00:00"/>
    <s v="Disaster"/>
    <s v="Q3"/>
    <x v="2"/>
    <s v="Roster"/>
    <s v="LAC"/>
    <s v="Stacy/Ops Team"/>
    <n v="2888"/>
  </r>
  <r>
    <n v="1"/>
    <x v="11"/>
    <x v="8"/>
    <s v="James Stephenson"/>
    <x v="40"/>
    <x v="8"/>
    <s v="Haiti"/>
    <d v="2010-03-22T00:00:00"/>
    <d v="2010-04-21T00:00:00"/>
    <s v="Disaster"/>
    <s v="Q3"/>
    <x v="2"/>
    <s v="Roster"/>
    <s v="LAC"/>
    <s v="Stacy/Ops Team"/>
    <n v="2888"/>
  </r>
  <r>
    <n v="1"/>
    <x v="11"/>
    <x v="8"/>
    <s v="Lynette Nyman"/>
    <x v="70"/>
    <x v="16"/>
    <s v="Haiti"/>
    <d v="2010-03-20T00:00:00"/>
    <d v="2010-04-30T00:00:00"/>
    <s v="Disaster"/>
    <s v="Q3"/>
    <x v="2"/>
    <s v="Staff"/>
    <s v="LAC"/>
    <s v="Stacy/Ops Team"/>
    <n v="2888"/>
  </r>
  <r>
    <n v="1"/>
    <x v="11"/>
    <x v="8"/>
    <s v="Cristina Hammond"/>
    <x v="71"/>
    <x v="12"/>
    <s v="Haiti"/>
    <d v="2010-03-20T00:00:00"/>
    <d v="2010-04-10T00:00:00"/>
    <s v="Disaster"/>
    <s v="Q3"/>
    <x v="2"/>
    <s v="Roster"/>
    <s v="LAC"/>
    <s v="Stacy/Ops Team"/>
    <n v="2888"/>
  </r>
  <r>
    <n v="1"/>
    <x v="11"/>
    <x v="8"/>
    <s v="Omar Abou-Samra"/>
    <x v="71"/>
    <x v="12"/>
    <s v="Haiti"/>
    <d v="2010-03-13T00:00:00"/>
    <d v="2010-04-01T00:00:00"/>
    <s v="Disaster"/>
    <s v="Q3"/>
    <x v="2"/>
    <s v="Staff"/>
    <s v="LAC"/>
    <s v="Stacy/Ops Team"/>
    <n v="2888"/>
  </r>
  <r>
    <n v="1"/>
    <x v="11"/>
    <x v="8"/>
    <s v="Anne Palmer"/>
    <x v="71"/>
    <x v="12"/>
    <s v="Haiti"/>
    <d v="2010-03-27T00:00:00"/>
    <d v="2010-04-21T00:00:00"/>
    <s v="Disaster"/>
    <s v="Q3"/>
    <x v="2"/>
    <s v="Roster"/>
    <s v="LAC"/>
    <s v="Stacy/Ops Team"/>
    <n v="2888"/>
  </r>
  <r>
    <n v="1"/>
    <x v="11"/>
    <x v="8"/>
    <s v="Jana Sweeney"/>
    <x v="71"/>
    <x v="12"/>
    <s v="Haiti"/>
    <d v="2010-03-27T00:00:00"/>
    <d v="2010-04-21T00:00:00"/>
    <s v="Disaster"/>
    <s v="Q3"/>
    <x v="2"/>
    <s v="Roster"/>
    <s v="LAC"/>
    <s v="Stacy/Ops Team"/>
    <n v="2888"/>
  </r>
  <r>
    <n v="1"/>
    <x v="11"/>
    <x v="8"/>
    <s v="Glen Bradley"/>
    <x v="65"/>
    <x v="14"/>
    <s v="NHQ"/>
    <d v="2010-03-22T00:00:00"/>
    <d v="2010-04-15T00:00:00"/>
    <s v="Disaster"/>
    <s v="Q3"/>
    <x v="2"/>
    <s v="Roster"/>
    <s v="LAC"/>
    <s v="Stacy/Ops Team"/>
    <n v="2888"/>
  </r>
  <r>
    <n v="1"/>
    <x v="11"/>
    <x v="8"/>
    <s v="Julie Archer"/>
    <x v="65"/>
    <x v="14"/>
    <s v="NHQ"/>
    <d v="2010-03-22T00:00:00"/>
    <d v="2010-04-15T00:00:00"/>
    <s v="Disaster"/>
    <s v="Q3"/>
    <x v="2"/>
    <s v="Roster"/>
    <s v="LAC"/>
    <s v="Stacy/Ops Team"/>
    <n v="2888"/>
  </r>
  <r>
    <n v="1"/>
    <x v="11"/>
    <x v="8"/>
    <s v="Cathy Scruggs"/>
    <x v="56"/>
    <x v="14"/>
    <s v="NHQ"/>
    <d v="2010-02-16T00:00:00"/>
    <d v="2010-03-15T00:00:00"/>
    <s v="Disaster"/>
    <s v="Q3"/>
    <x v="2"/>
    <s v="Roster"/>
    <s v="LAC"/>
    <s v="Stacy/Ops Team"/>
    <n v="2888"/>
  </r>
  <r>
    <n v="1"/>
    <x v="11"/>
    <x v="8"/>
    <s v="Emily Hall"/>
    <x v="56"/>
    <x v="14"/>
    <s v="NHQ"/>
    <d v="2010-03-16T00:00:00"/>
    <d v="2010-04-15T00:00:00"/>
    <s v="Disaster"/>
    <s v="Q3"/>
    <x v="2"/>
    <s v="Roster"/>
    <s v="LAC"/>
    <s v="Stacy/Ops Team"/>
    <n v="2888"/>
  </r>
  <r>
    <n v="1"/>
    <x v="11"/>
    <x v="8"/>
    <s v="Andrew Bhattacharya"/>
    <x v="72"/>
    <x v="15"/>
    <s v="Haiti"/>
    <d v="2010-02-20T00:00:00"/>
    <d v="2010-03-13T00:00:00"/>
    <s v="Disaster"/>
    <s v="Q3"/>
    <x v="2"/>
    <s v="Staff"/>
    <s v="LAC"/>
    <s v="Stacy/Ops Team"/>
    <n v="2888"/>
  </r>
  <r>
    <n v="1"/>
    <x v="11"/>
    <x v="8"/>
    <s v="Eileen Kurtz"/>
    <x v="73"/>
    <x v="15"/>
    <s v="Haiti"/>
    <d v="2010-03-24T00:00:00"/>
    <d v="2010-04-21T00:00:00"/>
    <s v="Disaster"/>
    <s v="Q3"/>
    <x v="2"/>
    <s v="Staff"/>
    <s v="LAC"/>
    <s v="Stacy/Ops Team"/>
    <n v="2888"/>
  </r>
  <r>
    <n v="1"/>
    <x v="11"/>
    <x v="8"/>
    <s v="Alex Mahoney"/>
    <x v="74"/>
    <x v="15"/>
    <s v="Haiti"/>
    <d v="2010-03-11T00:00:00"/>
    <d v="2010-04-03T00:00:00"/>
    <s v="Disaster"/>
    <s v="Q3"/>
    <x v="2"/>
    <s v="Staff"/>
    <s v="LAC"/>
    <s v="Stacy/Ops Team"/>
    <n v="2888"/>
  </r>
  <r>
    <n v="1"/>
    <x v="11"/>
    <x v="8"/>
    <s v="Alex Robinson"/>
    <x v="40"/>
    <x v="8"/>
    <s v="Haiti"/>
    <d v="2010-04-07T00:00:00"/>
    <d v="2010-04-29T00:00:00"/>
    <s v="Disaster"/>
    <s v="Q4"/>
    <x v="2"/>
    <s v="Staff"/>
    <s v="LAC"/>
    <s v="Stacy/Ops Team"/>
    <n v="2888"/>
  </r>
  <r>
    <n v="1"/>
    <x v="11"/>
    <x v="8"/>
    <s v="Lauren Twohig"/>
    <x v="40"/>
    <x v="8"/>
    <s v="Haiti"/>
    <d v="2010-04-07T00:00:00"/>
    <d v="2010-04-29T00:00:00"/>
    <s v="Disaster"/>
    <s v="Q4"/>
    <x v="2"/>
    <s v="Staff"/>
    <s v="LAC"/>
    <s v="Stacy/Ops Team"/>
    <n v="2888"/>
  </r>
  <r>
    <n v="1"/>
    <x v="11"/>
    <x v="8"/>
    <s v="Wendy Brightman"/>
    <x v="71"/>
    <x v="12"/>
    <s v="Haiti"/>
    <d v="2010-04-04T00:00:00"/>
    <d v="2010-04-23T00:00:00"/>
    <s v="Disaster"/>
    <s v="Q4"/>
    <x v="2"/>
    <s v="Staff"/>
    <s v="LAC"/>
    <s v="Stacy/Ops Team"/>
    <n v="2888"/>
  </r>
  <r>
    <n v="1"/>
    <x v="11"/>
    <x v="8"/>
    <s v="George Sykes"/>
    <x v="71"/>
    <x v="12"/>
    <s v="Haiti"/>
    <d v="2010-04-07T00:00:00"/>
    <d v="2010-05-06T00:00:00"/>
    <s v="Disaster"/>
    <s v="Q4"/>
    <x v="2"/>
    <s v="Roster"/>
    <s v="LAC"/>
    <s v="Stacy/Ops Team"/>
    <n v="2888"/>
  </r>
  <r>
    <n v="1"/>
    <x v="11"/>
    <x v="8"/>
    <s v="Tracy Reines"/>
    <x v="71"/>
    <x v="12"/>
    <s v="Haiti"/>
    <d v="2010-04-05T00:00:00"/>
    <d v="2010-04-16T00:00:00"/>
    <s v="Disaster"/>
    <s v="Q4"/>
    <x v="2"/>
    <s v="Staff"/>
    <s v="LAC"/>
    <s v="Stacy/Ops Team"/>
    <n v="2888"/>
  </r>
  <r>
    <n v="1"/>
    <x v="11"/>
    <x v="8"/>
    <s v="Rod Snider"/>
    <x v="71"/>
    <x v="12"/>
    <s v="Haiti"/>
    <d v="2010-05-04T00:00:00"/>
    <d v="2010-05-10T00:00:00"/>
    <s v="Disaster"/>
    <s v="Q4"/>
    <x v="2"/>
    <s v="Staff"/>
    <s v="LAC"/>
    <s v="Stacy/Ops Team"/>
    <n v="2888"/>
  </r>
  <r>
    <n v="1"/>
    <x v="11"/>
    <x v="8"/>
    <s v="Stacy Ragan"/>
    <x v="75"/>
    <x v="15"/>
    <s v="Haiti"/>
    <d v="2010-05-25T00:00:00"/>
    <d v="2010-06-02T00:00:00"/>
    <s v="Disaster"/>
    <s v="Q4"/>
    <x v="2"/>
    <s v="Staff"/>
    <s v="LAC"/>
    <s v="Stacy/Ops Team"/>
    <n v="2888"/>
  </r>
  <r>
    <n v="1"/>
    <x v="11"/>
    <x v="8"/>
    <s v="Amanda West"/>
    <x v="76"/>
    <x v="15"/>
    <s v="Haiti"/>
    <d v="2010-05-04T00:00:00"/>
    <d v="2010-06-24T00:00:00"/>
    <s v="Disaster"/>
    <s v="Q4"/>
    <x v="2"/>
    <s v="Staff"/>
    <s v="LAC"/>
    <s v="Stacy/Ops Team"/>
    <n v="2888"/>
  </r>
  <r>
    <m/>
    <x v="23"/>
    <x v="15"/>
    <m/>
    <x v="37"/>
    <x v="11"/>
    <m/>
    <m/>
    <m/>
    <m/>
    <m/>
    <x v="3"/>
    <m/>
    <m/>
    <m/>
    <m/>
  </r>
  <r>
    <n v="1"/>
    <x v="24"/>
    <x v="8"/>
    <s v="Alvaro Garita"/>
    <x v="77"/>
    <x v="17"/>
    <s v="Chile"/>
    <d v="2010-03-02T00:00:00"/>
    <m/>
    <s v="Disaster"/>
    <s v="Q3"/>
    <x v="2"/>
    <s v="Staff"/>
    <s v="LAC"/>
    <s v="Guillermo/LAC"/>
    <n v="2896"/>
  </r>
  <r>
    <n v="1"/>
    <x v="24"/>
    <x v="8"/>
    <s v="Gonzalo Aquino"/>
    <x v="78"/>
    <x v="9"/>
    <s v="Chile"/>
    <d v="2010-03-18T00:00:00"/>
    <d v="2010-03-31T00:00:00"/>
    <s v="Disaster"/>
    <s v="Q3"/>
    <x v="2"/>
    <s v="Staff"/>
    <s v="LAC"/>
    <s v="Guillermo/LAC"/>
    <n v="2896"/>
  </r>
  <r>
    <n v="1"/>
    <x v="25"/>
    <x v="5"/>
    <s v="Raj Zafar"/>
    <x v="79"/>
    <x v="17"/>
    <s v="Pakistan"/>
    <m/>
    <m/>
    <s v="Disaster"/>
    <s v="Q3"/>
    <x v="2"/>
    <s v="Staff"/>
    <s v="Asia/ME/Europe"/>
    <s v="Stacy/Ops Team"/>
    <m/>
  </r>
  <r>
    <n v="1"/>
    <x v="25"/>
    <x v="5"/>
    <s v="Robin Younger"/>
    <x v="77"/>
    <x v="17"/>
    <s v="Pakistan"/>
    <d v="2010-08-27T00:00:00"/>
    <d v="2010-09-30T00:00:00"/>
    <s v="Disaster"/>
    <s v="Q1"/>
    <x v="4"/>
    <s v="Roster"/>
    <s v="Asia/ME/Europe"/>
    <s v="Stacy/Ops Team"/>
    <n v="2699"/>
  </r>
  <r>
    <n v="1"/>
    <x v="25"/>
    <x v="5"/>
    <s v="Christophe Lobry-Boulanger"/>
    <x v="77"/>
    <x v="17"/>
    <s v="Pakistan"/>
    <d v="2010-08-27T00:00:00"/>
    <d v="2010-09-30T00:00:00"/>
    <s v="Disaster"/>
    <s v="Q1"/>
    <x v="4"/>
    <s v="Roster"/>
    <s v="Asia/ME/Europe"/>
    <s v="Stacy/Ops Team"/>
    <n v="2699"/>
  </r>
  <r>
    <n v="1"/>
    <x v="11"/>
    <x v="16"/>
    <s v="Alex Latour"/>
    <x v="80"/>
    <x v="0"/>
    <s v="Haiti"/>
    <d v="2010-10-25T00:00:00"/>
    <d v="2010-10-31T00:00:00"/>
    <s v="Disaster"/>
    <s v="Q2"/>
    <x v="4"/>
    <s v="Staff"/>
    <s v="LAC"/>
    <s v="ARC Haiti Office"/>
    <n v="2888"/>
  </r>
  <r>
    <n v="1"/>
    <x v="11"/>
    <x v="16"/>
    <s v="George Sykes"/>
    <x v="81"/>
    <x v="0"/>
    <s v="Haiti"/>
    <d v="2010-10-25T00:00:00"/>
    <d v="2010-10-31T00:00:00"/>
    <s v="Disaster"/>
    <s v="Q2"/>
    <x v="4"/>
    <s v="Staff"/>
    <s v="LAC"/>
    <s v="ARC Haiti Office"/>
    <n v="2888"/>
  </r>
  <r>
    <n v="1"/>
    <x v="11"/>
    <x v="16"/>
    <s v="Bijou Phiness"/>
    <x v="82"/>
    <x v="0"/>
    <s v="Haiti"/>
    <d v="2010-10-25T00:00:00"/>
    <d v="2010-10-31T00:00:00"/>
    <s v="Disaster"/>
    <s v="Q2"/>
    <x v="4"/>
    <s v="Staff"/>
    <s v="LAC"/>
    <s v="ARC Haiti Office"/>
    <n v="2888"/>
  </r>
  <r>
    <n v="1"/>
    <x v="11"/>
    <x v="16"/>
    <s v="Lisa McGuire"/>
    <x v="83"/>
    <x v="0"/>
    <s v="Haiti"/>
    <d v="2010-10-25T00:00:00"/>
    <d v="2010-10-31T00:00:00"/>
    <s v="Disaster"/>
    <s v="Q2"/>
    <x v="4"/>
    <s v="Staff"/>
    <s v="LAC"/>
    <s v="ARC Haiti Office"/>
    <n v="2888"/>
  </r>
  <r>
    <n v="1"/>
    <x v="11"/>
    <x v="16"/>
    <s v="Franklin Vilsaint"/>
    <x v="84"/>
    <x v="0"/>
    <s v="Haiti"/>
    <d v="2010-10-25T00:00:00"/>
    <d v="2010-10-31T00:00:00"/>
    <s v="Disaster"/>
    <s v="Q2"/>
    <x v="4"/>
    <s v="Staff"/>
    <s v="LAC"/>
    <s v="ARC Haiti Office"/>
    <n v="2888"/>
  </r>
  <r>
    <n v="1"/>
    <x v="11"/>
    <x v="16"/>
    <s v="Madushi Lansakara"/>
    <x v="85"/>
    <x v="0"/>
    <s v="Haiti"/>
    <d v="2010-10-23T00:00:00"/>
    <d v="2010-10-29T00:00:00"/>
    <s v="Disaster"/>
    <s v="Q2"/>
    <x v="4"/>
    <s v="Staff"/>
    <s v="LAC"/>
    <s v="ARC Haiti Office"/>
    <n v="2888"/>
  </r>
  <r>
    <n v="1"/>
    <x v="15"/>
    <x v="17"/>
    <s v="Laura Havesi"/>
    <x v="86"/>
    <x v="12"/>
    <s v="Belize"/>
    <d v="2010-11-15T00:00:00"/>
    <d v="2010-12-17T00:00:00"/>
    <s v="Disaster"/>
    <s v="Q2"/>
    <x v="4"/>
    <s v="Staff"/>
    <s v="LAC"/>
    <s v="Colin Chaperon"/>
    <n v="2799"/>
  </r>
  <r>
    <n v="1"/>
    <x v="26"/>
    <x v="2"/>
    <s v="Roger Palmer"/>
    <x v="87"/>
    <x v="11"/>
    <s v="Bangladesh"/>
    <d v="2010-11-15T00:00:00"/>
    <d v="2010-12-04T00:00:00"/>
    <s v="Non"/>
    <s v="Q2"/>
    <x v="4"/>
    <s v="Roster"/>
    <s v="Asia/ME/Europe"/>
    <s v="Colin Chaperon"/>
    <m/>
  </r>
  <r>
    <n v="1"/>
    <x v="27"/>
    <x v="18"/>
    <s v="Langdon Greenhalgh"/>
    <x v="88"/>
    <x v="18"/>
    <s v="Tunisia"/>
    <d v="2011-03-01T00:00:00"/>
    <d v="2011-03-20T00:00:00"/>
    <s v="Disaster"/>
    <s v="Q3"/>
    <x v="4"/>
    <s v="Roster"/>
    <s v="Asia/ME/Europe"/>
    <s v="Colin Chaperon"/>
    <n v="2799"/>
  </r>
  <r>
    <n v="1"/>
    <x v="27"/>
    <x v="18"/>
    <s v="Marian Spivey-Estrada"/>
    <x v="89"/>
    <x v="19"/>
    <s v="Tunisia"/>
    <d v="2011-03-02T00:00:00"/>
    <d v="2011-03-24T00:00:00"/>
    <s v="Disaster"/>
    <s v="Q3"/>
    <x v="4"/>
    <s v="Roster"/>
    <s v="Asia/ME/Europe"/>
    <s v="Colin Chaperon"/>
    <n v="2799"/>
  </r>
  <r>
    <n v="1"/>
    <x v="27"/>
    <x v="18"/>
    <s v="Colin Chaperon"/>
    <x v="90"/>
    <x v="20"/>
    <s v="Tunisia"/>
    <d v="2011-03-05T00:00:00"/>
    <d v="2011-04-02T00:00:00"/>
    <s v="Disaster"/>
    <s v="Q3"/>
    <x v="4"/>
    <s v="Roster"/>
    <s v="Asia/ME/Europe"/>
    <s v="Colin Chaperon"/>
    <n v="2799"/>
  </r>
  <r>
    <n v="1"/>
    <x v="27"/>
    <x v="18"/>
    <s v="Gina Guinta"/>
    <x v="89"/>
    <x v="19"/>
    <s v="Tunisia"/>
    <d v="2011-03-19T00:00:00"/>
    <m/>
    <s v="Disaster"/>
    <s v="Q3"/>
    <x v="4"/>
    <s v="Roster"/>
    <s v="Asia/ME/Europe"/>
    <s v="Marian Spivey-Estrada/ Tracy Reines"/>
    <n v="2799"/>
  </r>
  <r>
    <n v="1"/>
    <x v="27"/>
    <x v="18"/>
    <s v="Laura Hevesi"/>
    <x v="90"/>
    <x v="20"/>
    <s v="Tunisia"/>
    <d v="2011-03-30T00:00:00"/>
    <d v="2011-04-05T00:00:00"/>
    <s v="Disaster"/>
    <s v="Q3"/>
    <x v="4"/>
    <s v="Roster"/>
    <s v="Asia/ME/Europe"/>
    <s v="Colin Chaperon"/>
    <n v="2799"/>
  </r>
  <r>
    <n v="1"/>
    <x v="28"/>
    <x v="19"/>
    <s v="Tom Alcedo"/>
    <x v="91"/>
    <x v="21"/>
    <s v="Japan"/>
    <d v="2011-04-03T00:00:00"/>
    <d v="2011-04-29T00:00:00"/>
    <s v="Disaster"/>
    <s v="Q4"/>
    <x v="4"/>
    <s v="Staff"/>
    <s v="Asia/ME/Europe"/>
    <s v="Alex Mahoney"/>
    <s v="2841, Japan R&amp;D"/>
  </r>
  <r>
    <n v="1"/>
    <x v="28"/>
    <x v="19"/>
    <s v="Nan Buzard"/>
    <x v="92"/>
    <x v="22"/>
    <s v="Japan"/>
    <m/>
    <m/>
    <s v="Disaster"/>
    <s v="Q4"/>
    <x v="4"/>
    <s v="Staff"/>
    <s v="Asia/ME/Europe"/>
    <s v="Mark Preslan"/>
    <s v="2841, Japan R&amp;D"/>
  </r>
  <r>
    <n v="1"/>
    <x v="28"/>
    <x v="19"/>
    <s v="John Manley"/>
    <x v="91"/>
    <x v="21"/>
    <s v="Japan"/>
    <d v="2011-04-26T00:00:00"/>
    <d v="2011-05-24T00:00:00"/>
    <s v="Disaster"/>
    <s v="Q4"/>
    <x v="4"/>
    <s v="Staff"/>
    <s v="Asia/ME/Europe"/>
    <s v="Alex Mahoney"/>
    <s v="2841, Japan R&amp;D"/>
  </r>
  <r>
    <m/>
    <x v="23"/>
    <x v="15"/>
    <m/>
    <x v="37"/>
    <x v="11"/>
    <m/>
    <m/>
    <m/>
    <m/>
    <m/>
    <x v="3"/>
    <m/>
    <m/>
    <m/>
    <m/>
  </r>
  <r>
    <m/>
    <x v="23"/>
    <x v="15"/>
    <m/>
    <x v="37"/>
    <x v="11"/>
    <m/>
    <m/>
    <m/>
    <m/>
    <m/>
    <x v="3"/>
    <m/>
    <m/>
    <m/>
    <m/>
  </r>
  <r>
    <m/>
    <x v="23"/>
    <x v="15"/>
    <m/>
    <x v="37"/>
    <x v="11"/>
    <m/>
    <m/>
    <m/>
    <m/>
    <m/>
    <x v="3"/>
    <m/>
    <m/>
    <m/>
    <m/>
  </r>
  <r>
    <m/>
    <x v="23"/>
    <x v="15"/>
    <m/>
    <x v="37"/>
    <x v="11"/>
    <m/>
    <m/>
    <m/>
    <m/>
    <m/>
    <x v="3"/>
    <m/>
    <m/>
    <m/>
    <m/>
  </r>
  <r>
    <m/>
    <x v="23"/>
    <x v="15"/>
    <m/>
    <x v="37"/>
    <x v="11"/>
    <m/>
    <m/>
    <m/>
    <m/>
    <m/>
    <x v="3"/>
    <m/>
    <m/>
    <m/>
    <m/>
  </r>
  <r>
    <m/>
    <x v="23"/>
    <x v="15"/>
    <m/>
    <x v="37"/>
    <x v="11"/>
    <m/>
    <m/>
    <m/>
    <m/>
    <m/>
    <x v="3"/>
    <m/>
    <m/>
    <m/>
    <m/>
  </r>
  <r>
    <m/>
    <x v="23"/>
    <x v="15"/>
    <m/>
    <x v="37"/>
    <x v="11"/>
    <m/>
    <m/>
    <m/>
    <m/>
    <m/>
    <x v="3"/>
    <m/>
    <m/>
    <m/>
    <m/>
  </r>
  <r>
    <m/>
    <x v="23"/>
    <x v="15"/>
    <m/>
    <x v="37"/>
    <x v="11"/>
    <m/>
    <m/>
    <m/>
    <m/>
    <m/>
    <x v="3"/>
    <m/>
    <m/>
    <m/>
    <m/>
  </r>
  <r>
    <m/>
    <x v="23"/>
    <x v="15"/>
    <m/>
    <x v="37"/>
    <x v="11"/>
    <m/>
    <m/>
    <m/>
    <m/>
    <m/>
    <x v="3"/>
    <m/>
    <m/>
    <m/>
    <m/>
  </r>
</pivotCacheRecords>
</file>

<file path=xl/pivotCache/pivotCacheRecords6.xml><?xml version="1.0" encoding="utf-8"?>
<pivotCacheRecords xmlns="http://schemas.openxmlformats.org/spreadsheetml/2006/main" xmlns:r="http://schemas.openxmlformats.org/officeDocument/2006/relationships" count="159">
  <r>
    <n v="1"/>
    <s v="Myanmar"/>
    <s v="Cyclone"/>
    <s v="Colin Chaperon"/>
    <s v="Monitoring"/>
    <s v="DM Delegate"/>
    <s v="Myanmar"/>
    <d v="2008-07-23T00:00:00"/>
    <d v="2008-08-23T00:00:00"/>
    <s v="Disaster"/>
    <x v="0"/>
    <x v="0"/>
    <s v="Staff"/>
    <m/>
    <s v="Alex/Greg"/>
    <m/>
  </r>
  <r>
    <n v="1"/>
    <s v="East Africa  in Nairobi for  Uganda, Rwanda Burundi Nairobi Pop Mvt"/>
    <s v="Food Insecurity"/>
    <s v="Brennan Banks"/>
    <s v="DM Delegate "/>
    <s v="DM Delegate"/>
    <s v="Kenya"/>
    <d v="2008-10-28T00:00:00"/>
    <d v="2008-12-07T00:00:00"/>
    <s v="Disaster"/>
    <x v="1"/>
    <x v="1"/>
    <s v="Roster"/>
    <s v="Africa"/>
    <s v="Greg "/>
    <m/>
  </r>
  <r>
    <n v="1"/>
    <s v="East Africa"/>
    <s v="Food Insecurity"/>
    <s v="Tracy Reines"/>
    <s v="Relief on Fed Assessment Team"/>
    <s v="Assessment Team"/>
    <m/>
    <d v="2008-10-26T00:00:00"/>
    <d v="2008-11-08T00:00:00"/>
    <s v="Disaster"/>
    <x v="1"/>
    <x v="1"/>
    <s v="Staff"/>
    <s v="Africa"/>
    <s v="Stacy"/>
    <m/>
  </r>
  <r>
    <n v="1"/>
    <s v="Indonesia"/>
    <s v="Capacity Building"/>
    <s v="Roger Palmer"/>
    <s v="IT Telecoms Delegates"/>
    <s v="DM Delegate"/>
    <s v="Indonesia"/>
    <d v="2009-01-07T00:00:00"/>
    <d v="2009-04-18T00:00:00"/>
    <s v="Non"/>
    <x v="2"/>
    <x v="1"/>
    <s v="Roster"/>
    <s v="Asia/ME/Europe"/>
    <s v="Travis"/>
    <m/>
  </r>
  <r>
    <n v="1"/>
    <s v="Indonesia"/>
    <s v="Capacity Building"/>
    <s v="Glen Bradley"/>
    <s v="IT Telecoms Delegates"/>
    <s v="DM Delegate"/>
    <s v="Indonesia"/>
    <d v="2009-01-07T00:00:00"/>
    <d v="2009-02-18T00:00:00"/>
    <s v="Non"/>
    <x v="2"/>
    <x v="1"/>
    <s v="Roster"/>
    <s v="Asia/ME/Europe"/>
    <s v="Travis"/>
    <m/>
  </r>
  <r>
    <n v="1"/>
    <s v="SriLanka"/>
    <s v="Conflict"/>
    <s v="Gina Guinta"/>
    <s v="ICRC Relief Delegate: Gina recently served with the International Committee of the Red Cross (ICRC) in northern Sri Lanka. She worked in the Internally Displaced Persons camps distributing relief items.  Gina works for the American Red Cross with the Tsun"/>
    <s v="Seconded Delegate"/>
    <s v="Sri Lanka"/>
    <d v="2009-05-12T00:00:00"/>
    <d v="2009-06-09T00:00:00"/>
    <s v="Disaster"/>
    <x v="0"/>
    <x v="1"/>
    <s v="Staff"/>
    <s v="Asia/ME/Europe"/>
    <s v="Jennifer Durben"/>
    <m/>
  </r>
  <r>
    <n v="1"/>
    <s v="Bangladesh "/>
    <s v="Cyclone Aila"/>
    <s v="Travis Betz"/>
    <s v="Relief Operations Support Delegate: Travis Betz deployed as a Relief Operations Support Delegate to support BDRCS in assessments, planning and coordination in response to Cyclone Aila. _x000a_"/>
    <s v="Seconded Delegate"/>
    <s v="Bangladesh"/>
    <d v="2009-06-30T00:00:00"/>
    <d v="2009-08-01T00:00:00"/>
    <s v="Disaster"/>
    <x v="0"/>
    <x v="1"/>
    <s v="Staff"/>
    <s v="Asia/ME/Europe"/>
    <s v="Alex Mahoney"/>
    <m/>
  </r>
  <r>
    <n v="1"/>
    <s v="Kuala Lumpur"/>
    <s v="Capacity Building"/>
    <s v="Deb Castellano"/>
    <s v="Logistics Intern at KL RLU"/>
    <s v="Logistics Delegate"/>
    <s v="KL Zone Office"/>
    <d v="2008-09-22T00:00:00"/>
    <d v="2008-03-22T00:00:00"/>
    <s v="Non"/>
    <x v="3"/>
    <x v="1"/>
    <s v="Roster"/>
    <s v="IFRC"/>
    <s v="Travis"/>
    <m/>
  </r>
  <r>
    <n v="1"/>
    <s v="Panama"/>
    <s v="Capacity Building"/>
    <s v="Chris Bell"/>
    <s v="Regional Intervention Team Member: deployed to monitor ongoing operations and provide surge capacity to disaster management team."/>
    <s v="RIT"/>
    <s v="Panama PADRU"/>
    <d v="2009-04-01T00:00:00"/>
    <d v="2009-04-30T00:00:00"/>
    <s v="Non"/>
    <x v="0"/>
    <x v="1"/>
    <s v="Roster"/>
    <s v="IFRC"/>
    <s v="Guillermo"/>
    <m/>
  </r>
  <r>
    <n v="1"/>
    <s v="Panama "/>
    <s v="Capacity Building"/>
    <s v="Charles Blake"/>
    <s v="Business Continuity Planning: Charles deployed to Panama to support the Americas Zone in developing a Crisis Management Plan (CMP) for the IFRC Americas Zone with the Disaster Response Unit PADRU and Regional Representation Offices (RRO) to ensure that es"/>
    <s v="DM Delegate"/>
    <s v="Panama PADRU"/>
    <d v="2009-06-22T00:00:00"/>
    <d v="2009-07-15T00:00:00"/>
    <s v="Non"/>
    <x v="0"/>
    <x v="1"/>
    <s v="Roster"/>
    <s v="IFRC"/>
    <s v="Guillermo"/>
    <m/>
  </r>
  <r>
    <n v="1"/>
    <s v="Panama "/>
    <s v="Capacity Building"/>
    <s v="Travis Betz"/>
    <s v="Interim DM Delegate"/>
    <s v="DM Delegate"/>
    <s v="Panama PADRU"/>
    <d v="2008-12-01T00:00:00"/>
    <d v="2008-01-04T00:00:00"/>
    <s v="Non"/>
    <x v="1"/>
    <x v="1"/>
    <s v="Staff"/>
    <s v="IFRC"/>
    <s v="Guillermo "/>
    <m/>
  </r>
  <r>
    <n v="1"/>
    <s v="Kuala Lumpur"/>
    <s v="Capacity Building"/>
    <s v="Stacy Ragan"/>
    <s v="Staff on Loan to APDMU: Stacy deployed to provide HR support for monsoon and typhoon season and to assist with response and response preparedness activities. This was a generalist role supporting DM activities and operations coordination and support._x000a_"/>
    <s v="Staff on Loan"/>
    <s v="KL Zone Office/DMU"/>
    <d v="2009-06-01T00:00:00"/>
    <d v="2009-06-21T00:00:00"/>
    <s v="Non"/>
    <x v="0"/>
    <x v="1"/>
    <s v="Staff"/>
    <s v="IFRC"/>
    <s v="Tracy Reines"/>
    <m/>
  </r>
  <r>
    <n v="1"/>
    <s v="Kuala Lumpur"/>
    <s v="Capacity Building"/>
    <s v="Alex Mahoney"/>
    <s v="Staff on Loan to APDMU: Alex deployed to provide HR support for monsoon and typhoon season and to assist with response and response preparedness activities. This was a generalist role supporting DM activities and operations coordination and support._x000a_"/>
    <s v="Staff on Loan"/>
    <s v="KL Zone Office/DMU"/>
    <d v="2009-06-21T00:00:00"/>
    <d v="2009-07-10T00:00:00"/>
    <s v="Non"/>
    <x v="0"/>
    <x v="1"/>
    <s v="Staff"/>
    <s v="IFRC"/>
    <s v="N/A"/>
    <m/>
  </r>
  <r>
    <n v="1"/>
    <s v="Malaysia,KL"/>
    <s v="Capacity Building"/>
    <s v="Anne Reynolds"/>
    <s v="Contingency planning w/ APDMU: Anne deployed to support the project design and test of a complimentary tool for the Fed’s Disaster Response and Contingency Guide. The project will review existing disaster contingency plans in Asia Pacific and past practic"/>
    <s v="DM Delegate"/>
    <s v="KL Zone Office/DMU"/>
    <d v="2009-06-22T00:00:00"/>
    <d v="2009-07-09T00:00:00"/>
    <s v="Non"/>
    <x v="0"/>
    <x v="1"/>
    <s v="Staff"/>
    <s v="IFRC"/>
    <s v="Alex in country "/>
    <m/>
  </r>
  <r>
    <n v="1"/>
    <s v="Suriname"/>
    <s v="Floods"/>
    <s v="Roger Palmer"/>
    <s v="IT &amp; Telecoms"/>
    <s v="IT/Telecom ERU"/>
    <s v="Suriname"/>
    <d v="2008-08-26T00:00:00"/>
    <d v="2008-09-15T00:00:00"/>
    <s v="Disaster"/>
    <x v="3"/>
    <x v="1"/>
    <s v="Roster"/>
    <s v="LAC"/>
    <s v="Christine/Greg"/>
    <m/>
  </r>
  <r>
    <n v="1"/>
    <s v="Suriname"/>
    <s v="Floods"/>
    <s v="Mark Million"/>
    <s v="IT &amp; Telecoms"/>
    <s v="IT/Telecom ERU"/>
    <s v="Suriname"/>
    <d v="2008-08-26T00:00:00"/>
    <d v="2008-09-15T00:00:00"/>
    <s v="Disaster"/>
    <x v="3"/>
    <x v="1"/>
    <s v="Roster"/>
    <s v="LAC"/>
    <s v="Christine /Greg"/>
    <m/>
  </r>
  <r>
    <n v="1"/>
    <s v="Haiti"/>
    <s v="Hurricanes"/>
    <s v="Brigitte Gaillis"/>
    <s v="FACT Team Lead (9/3/08 - 10/30/08) Head of Ops (11/12/08 - 5/12/09)"/>
    <s v="FACT"/>
    <s v="Haiti"/>
    <d v="2008-09-03T00:00:00"/>
    <d v="2008-10-30T00:00:00"/>
    <s v="Disaster"/>
    <x v="3"/>
    <x v="1"/>
    <s v="Roster"/>
    <s v="LAC"/>
    <s v="Christine/Travis"/>
    <m/>
  </r>
  <r>
    <n v="1"/>
    <s v="Bahamas"/>
    <s v="Hurricane"/>
    <s v="Christina Hammond"/>
    <s v="RIT"/>
    <s v="RIT"/>
    <s v="Bahamas"/>
    <d v="2008-09-04T00:00:00"/>
    <d v="2008-09-25T00:00:00"/>
    <s v="Disaster"/>
    <x v="3"/>
    <x v="1"/>
    <s v="Roster"/>
    <s v="LAC"/>
    <s v="Shelley"/>
    <m/>
  </r>
  <r>
    <n v="1"/>
    <s v="Haiti"/>
    <s v="Hurricanes"/>
    <s v="John Manley"/>
    <s v="Relief ERU Member + Team Lead"/>
    <s v="Relief ERU"/>
    <s v="Haiti"/>
    <d v="2008-10-01T00:00:00"/>
    <d v="2008-11-25T00:00:00"/>
    <s v="Disaster"/>
    <x v="1"/>
    <x v="1"/>
    <s v="Roster"/>
    <s v="LAC"/>
    <s v="Christine/Travis"/>
    <m/>
  </r>
  <r>
    <n v="1"/>
    <s v="Costa Rica"/>
    <s v="Earthquake"/>
    <s v="Scott DiPretoro"/>
    <s v="Cash Voucher Delegate"/>
    <s v="DM Delegate"/>
    <s v="Costa Rica"/>
    <d v="2009-01-25T00:00:00"/>
    <d v="2009-02-21T00:00:00"/>
    <s v="Disaster"/>
    <x v="2"/>
    <x v="1"/>
    <s v="Roster"/>
    <s v="LAC"/>
    <s v="Christine"/>
    <m/>
  </r>
  <r>
    <n v="1"/>
    <s v="US"/>
    <s v="Hurricane Ike"/>
    <s v="Dario Diaz"/>
    <s v="Liaison to Mexican RC"/>
    <s v="DM Delegate"/>
    <s v="Texas"/>
    <d v="2008-09-18T00:00:00"/>
    <s v="3 weeks"/>
    <s v="Non"/>
    <x v="3"/>
    <x v="1"/>
    <s v="Roster"/>
    <s v="LAC"/>
    <s v="Travis"/>
    <m/>
  </r>
  <r>
    <n v="1"/>
    <s v="Belize"/>
    <s v="Capacity Building"/>
    <s v="Brennan Banks"/>
    <s v="DM Delegate for Disaster Planning"/>
    <s v="DM Delegate"/>
    <s v="Belize"/>
    <d v="2009-01-01T00:00:00"/>
    <s v="3 weeks"/>
    <s v="Non"/>
    <x v="2"/>
    <x v="1"/>
    <s v="Roster"/>
    <s v="LAC"/>
    <s v="Guillermo"/>
    <m/>
  </r>
  <r>
    <n v="1"/>
    <s v="Haiti"/>
    <s v="Hurricanes"/>
    <s v="Matt Marek"/>
    <s v="Relief ERU Member"/>
    <s v="Relief ERU"/>
    <s v="Haiti"/>
    <d v="2008-09-06T00:00:00"/>
    <s v="1 month"/>
    <s v="Disaster"/>
    <x v="3"/>
    <x v="1"/>
    <s v="Staff"/>
    <s v="LAC"/>
    <s v="Christine/Travis"/>
    <m/>
  </r>
  <r>
    <n v="1"/>
    <s v="Haiti"/>
    <s v="Hurricanes"/>
    <s v="Colin Chaperon"/>
    <s v="Relief ERU Team Lead"/>
    <s v="Relief ERU"/>
    <s v="Haiti"/>
    <d v="2008-09-06T00:00:00"/>
    <d v="2008-10-03T00:00:00"/>
    <s v="Disaster"/>
    <x v="3"/>
    <x v="1"/>
    <s v="Staff"/>
    <s v="LAC"/>
    <s v="Christine/Travis"/>
    <m/>
  </r>
  <r>
    <n v="1"/>
    <s v="Haiti"/>
    <s v="Hurricanes"/>
    <s v="Greg Matthews"/>
    <s v="Relief ERU Member "/>
    <s v="Relief ERU"/>
    <s v="Haiti"/>
    <d v="2008-10-11T00:00:00"/>
    <d v="2008-11-01T00:00:00"/>
    <s v="Disaster"/>
    <x v="1"/>
    <x v="1"/>
    <s v="Staff"/>
    <s v="LAC"/>
    <s v="Christine/Travis"/>
    <m/>
  </r>
  <r>
    <n v="1"/>
    <s v="Costa Rica"/>
    <s v="Earthquake"/>
    <s v="A. Vargas (Panama staff deployed for ARC)"/>
    <s v="Cash Voucher Delegate"/>
    <s v="DM Delegate"/>
    <s v="Costa Rica"/>
    <d v="2009-01-25T00:00:00"/>
    <d v="2009-02-21T00:00:00"/>
    <s v="Disaster"/>
    <x v="2"/>
    <x v="1"/>
    <s v="Staff"/>
    <s v="LAC"/>
    <s v="Christine"/>
    <m/>
  </r>
  <r>
    <n v="1"/>
    <s v="US"/>
    <s v="Capacity Building"/>
    <s v="Deb Castellano"/>
    <s v="Logistics"/>
    <s v="Logistics Delegate"/>
    <s v="NHQ"/>
    <d v="2008-07-07T00:00:00"/>
    <s v="2 months"/>
    <s v="Non"/>
    <x v="3"/>
    <x v="1"/>
    <s v="Roster"/>
    <s v="NHQ"/>
    <s v="Liz"/>
    <m/>
  </r>
  <r>
    <n v="1"/>
    <s v="US"/>
    <s v="H1N1 Flu Outbreak"/>
    <s v="Cristina Hammond"/>
    <s v="Support N1H1 Pandemic preparedness/monitoring: Cristina provided technical surge capacity and supported information management during the H1N1 Flu Outbreak under the direction of ISD’s Senior Pandemic Advisor. _x000a_"/>
    <s v="Operations Support Delegate"/>
    <s v="NHQ"/>
    <d v="2009-05-03T00:00:00"/>
    <d v="2009-05-24T00:00:00"/>
    <s v="Non"/>
    <x v="0"/>
    <x v="1"/>
    <s v="Roster"/>
    <s v="NHQ"/>
    <s v="Jeanne Koepsell"/>
    <m/>
  </r>
  <r>
    <n v="1"/>
    <s v="Burkina Faso"/>
    <s v="West African Floods"/>
    <s v="John Manley"/>
    <s v="Relief FACT Team member "/>
    <s v="FACT"/>
    <s v="Burkina Faso"/>
    <d v="2009-09-10T00:00:00"/>
    <d v="2009-10-12T00:00:00"/>
    <s v="Disaster"/>
    <x v="3"/>
    <x v="2"/>
    <s v="Roster"/>
    <s v="Africa"/>
    <s v="Colin Chaperon"/>
    <s v="RRF 2799"/>
  </r>
  <r>
    <n v="1"/>
    <s v="Senegal"/>
    <s v="West African Floods"/>
    <s v="Steve McAndrew"/>
    <s v="Relief ERU Team Leader (AmCross lead joint ERU with Danish RC)"/>
    <s v="Relief ERU"/>
    <s v="Senegal"/>
    <d v="2009-09-12T00:00:00"/>
    <d v="2009-10-12T00:00:00"/>
    <s v="Disaster"/>
    <x v="3"/>
    <x v="2"/>
    <s v="Roster"/>
    <s v="Africa"/>
    <s v="Colin Chaperon"/>
    <s v="RRF 2799"/>
  </r>
  <r>
    <n v="1"/>
    <s v="Senegal"/>
    <s v="West African Floods"/>
    <s v="Shinko Mondori"/>
    <s v="Relief ERU Team Member (AmCross lead joint ERU with Danish RC)"/>
    <s v="Relief ERU"/>
    <s v="Senegal"/>
    <d v="2009-09-12T00:00:00"/>
    <d v="2009-10-12T00:00:00"/>
    <s v="Disaster"/>
    <x v="3"/>
    <x v="2"/>
    <s v="Roster"/>
    <s v="Africa"/>
    <s v="Colin Chaperon"/>
    <s v="RRF 2799"/>
  </r>
  <r>
    <n v="1"/>
    <s v="Senegal"/>
    <s v="West African Floods"/>
    <s v="Luis Matnog"/>
    <s v="Relief ERU Team Member (AmCross lead joint ERU with Danish RC)"/>
    <s v="Relief ERU"/>
    <s v="Senegal"/>
    <d v="2009-09-12T00:00:00"/>
    <d v="2009-10-12T00:00:00"/>
    <s v="Disaster"/>
    <x v="3"/>
    <x v="2"/>
    <s v="Roster"/>
    <s v="Africa"/>
    <s v="Colin Chaperon"/>
    <s v="RRF 2799"/>
  </r>
  <r>
    <n v="1"/>
    <s v="Indonesia"/>
    <s v="West Java Earthquake"/>
    <s v="Cristina Hammond"/>
    <s v="Shelter Cluster Information Manager Delegate deployed to Indonesia to fill the role of IFRC Shelter Cluster Information Manager for Java Earthquake response"/>
    <s v="Shelter Cluster"/>
    <s v="Indonesia"/>
    <d v="2009-09-16T00:00:00"/>
    <d v="2009-10-16T00:00:00"/>
    <s v="Disaster"/>
    <x v="3"/>
    <x v="2"/>
    <s v="Roster"/>
    <s v="Asia/ME/Europe"/>
    <s v="Colin Chaperon"/>
    <s v="RRF 2799"/>
  </r>
  <r>
    <n v="1"/>
    <s v="Philippines"/>
    <s v="Typhoons"/>
    <s v="Cristina Hammond"/>
    <s v="Coordinate OFDA grant funded NFI distributions with PNRC"/>
    <s v="Operations Support Delegate"/>
    <s v="Phillippines"/>
    <d v="2009-10-16T00:00:00"/>
    <d v="2009-12-16T00:00:00"/>
    <s v="Disaster"/>
    <x v="3"/>
    <x v="2"/>
    <s v="Roster"/>
    <s v="Asia/ME/Europe"/>
    <s v="Stacy Ragan"/>
    <n v="2698"/>
  </r>
  <r>
    <n v="1"/>
    <s v="Philippines"/>
    <s v="Typhoons"/>
    <s v="Mariza Rogers"/>
    <s v="Shelter Cluster Coordinator Delegate deployed to Philippines"/>
    <s v="Shelter Cluster"/>
    <s v="Phillippines"/>
    <d v="2009-10-05T00:00:00"/>
    <d v="2009-11-05T00:00:00"/>
    <s v="Disaster"/>
    <x v="3"/>
    <x v="2"/>
    <s v="Roster"/>
    <s v="Asia/ME/Europe"/>
    <s v="Stacy Ragan"/>
    <n v="2698"/>
  </r>
  <r>
    <n v="1"/>
    <s v="Vietnam"/>
    <s v="Typhoons"/>
    <s v="Michael Zeleke"/>
    <s v="Coordinate OFDA grant Cash Transfer Programming in Vietnam"/>
    <s v="DM Delegate"/>
    <s v="Vietnam"/>
    <d v="2009-10-16T00:00:00"/>
    <s v="TBD"/>
    <s v="Disaster"/>
    <x v="3"/>
    <x v="2"/>
    <s v="Staff"/>
    <s v="Asia/ME/Europe"/>
    <s v="Alex Mahoney"/>
    <n v="2698"/>
  </r>
  <r>
    <n v="1"/>
    <s v="Mexico"/>
    <s v="Mexico Hurricane Jimena"/>
    <s v="Jono Anzalone"/>
    <s v="Delegate working with Mexican Red Cross on M &amp; E for relief distribution"/>
    <s v="DM Delegate"/>
    <s v="Mexico"/>
    <d v="2010-12-01T00:00:00"/>
    <d v="2010-12-20T00:00:00"/>
    <s v="Disaster"/>
    <x v="3"/>
    <x v="2"/>
    <s v="Roster"/>
    <s v="LAC"/>
    <s v="Stacy"/>
    <m/>
  </r>
  <r>
    <n v="1"/>
    <s v="Indonesia"/>
    <s v="Earthquake"/>
    <s v="Alex Mahoney"/>
    <s v="Coordinate OFDA grant funded NFI distributions with PMI"/>
    <s v="Operations Support Delegate"/>
    <s v="Indonesia"/>
    <d v="2009-10-19T00:00:00"/>
    <d v="2009-11-10T00:00:00"/>
    <s v="Disaster"/>
    <x v="3"/>
    <x v="2"/>
    <s v="Staff"/>
    <s v="Asia/ME/Europe"/>
    <s v="Christy Ferguson"/>
    <n v="2930"/>
  </r>
  <r>
    <n v="1"/>
    <s v="Haiti"/>
    <s v="Floods"/>
    <s v="John Manley"/>
    <s v="Deployed to Haiti NRC as a RIT for DREF operation."/>
    <s v="RIT"/>
    <s v="Haiti"/>
    <d v="2009-11-13T00:00:00"/>
    <d v="2009-12-13T00:00:00"/>
    <s v="Disaster"/>
    <x v="1"/>
    <x v="2"/>
    <s v="Roster"/>
    <s v="LAC"/>
    <s v="Scott DiPretoro"/>
    <n v="2885"/>
  </r>
  <r>
    <n v="1"/>
    <s v="China"/>
    <s v="Capacity Building"/>
    <s v="Amanda West"/>
    <s v="Staff on loan working with Federation Zone on PMER in China and Mongolia"/>
    <s v="Staff on Loan"/>
    <s v="China/_x000a_Mongolia"/>
    <d v="2009-11-29T00:00:00"/>
    <d v="2009-12-22T00:00:00"/>
    <s v="Non"/>
    <x v="1"/>
    <x v="2"/>
    <s v="Staff"/>
    <s v="Asia/ME/Europe"/>
    <s v="Stacy"/>
    <s v="China EQ AP"/>
  </r>
  <r>
    <n v="1"/>
    <s v="Nepal"/>
    <s v="Capacity Building"/>
    <s v="Tracy Reines"/>
    <s v="Delegate working with Nepal Red Cross on disaster management planning"/>
    <s v="DM Delegate"/>
    <s v="Nepal"/>
    <d v="2009-10-31T00:00:00"/>
    <d v="2009-12-05T00:00:00"/>
    <s v="Non"/>
    <x v="1"/>
    <x v="2"/>
    <s v="Staff"/>
    <s v="Asia/ME/Europe"/>
    <s v="Stacy"/>
    <s v="SIF/3809 – Fed to reimburse "/>
  </r>
  <r>
    <m/>
    <m/>
    <m/>
    <m/>
    <m/>
    <m/>
    <m/>
    <m/>
    <m/>
    <m/>
    <x v="4"/>
    <x v="3"/>
    <m/>
    <m/>
    <m/>
    <m/>
  </r>
  <r>
    <m/>
    <m/>
    <m/>
    <m/>
    <m/>
    <m/>
    <m/>
    <m/>
    <m/>
    <m/>
    <x v="4"/>
    <x v="3"/>
    <m/>
    <m/>
    <m/>
    <m/>
  </r>
  <r>
    <n v="1"/>
    <s v="Haiti"/>
    <s v="Earthquake"/>
    <s v="Colin Chaperon"/>
    <s v="Relief ERU Team Leader"/>
    <s v="Relief ERU"/>
    <s v="Haiti"/>
    <d v="2010-01-13T00:00:00"/>
    <d v="2010-02-10T00:00:00"/>
    <s v="Disaster"/>
    <x v="2"/>
    <x v="2"/>
    <s v="Staff"/>
    <s v="LAC"/>
    <s v="Stacy/Ops Team"/>
    <n v="2888"/>
  </r>
  <r>
    <n v="1"/>
    <s v="Haiti"/>
    <s v="Earthquake"/>
    <s v="Steve McAndrew"/>
    <s v="Relief  FACT team"/>
    <s v="Relief ERU"/>
    <s v="Haiti"/>
    <d v="2010-01-13T00:00:00"/>
    <d v="2010-02-04T00:00:00"/>
    <s v="Disaster"/>
    <x v="2"/>
    <x v="2"/>
    <s v="Roster"/>
    <s v="LAC"/>
    <s v="Stacy/Ops Team"/>
    <n v="2888"/>
  </r>
  <r>
    <n v="1"/>
    <s v="Haiti"/>
    <s v="Earthquake"/>
    <s v="Eric Baranick"/>
    <s v="Relief ERU Team Member"/>
    <s v="Relief ERU"/>
    <s v="Haiti"/>
    <d v="2010-01-13T00:00:00"/>
    <d v="2010-01-30T00:00:00"/>
    <s v="Disaster"/>
    <x v="2"/>
    <x v="2"/>
    <s v="Staff"/>
    <s v="LAC"/>
    <s v="Stacy/Ops Team"/>
    <n v="2888"/>
  </r>
  <r>
    <n v="1"/>
    <s v="Haiti"/>
    <s v="Earthquake"/>
    <s v="Gavin White"/>
    <s v="Relief ERU Team Member"/>
    <s v="Relief ERU"/>
    <s v="Haiti"/>
    <d v="2010-01-13T00:00:00"/>
    <d v="2010-01-30T00:00:00"/>
    <s v="Disaster"/>
    <x v="2"/>
    <x v="2"/>
    <s v="Staff"/>
    <s v="LAC"/>
    <s v="Stacy/Ops Team"/>
    <n v="2888"/>
  </r>
  <r>
    <n v="1"/>
    <s v="Haiti"/>
    <s v="Earthquake"/>
    <s v="Brigitte Gaillis"/>
    <s v="Relief ERU Team Member"/>
    <s v="Relief ERU"/>
    <s v="Haiti"/>
    <d v="2010-01-13T00:00:00"/>
    <d v="2010-01-30T00:00:00"/>
    <s v="Disaster"/>
    <x v="2"/>
    <x v="2"/>
    <s v="Roster"/>
    <s v="LAC"/>
    <s v="Stacy/Ops Team"/>
    <n v="2888"/>
  </r>
  <r>
    <n v="1"/>
    <s v="Haiti"/>
    <s v="Earthquake"/>
    <s v="Rosemary Parnell"/>
    <s v="IFRC Logistics Delegate"/>
    <s v="Logistics Delegate"/>
    <s v="Haiti"/>
    <d v="2010-01-19T00:00:00"/>
    <d v="2010-02-28T00:00:00"/>
    <s v="Disaster"/>
    <x v="2"/>
    <x v="2"/>
    <s v="Staff"/>
    <s v="LAC"/>
    <s v="Stacy/Ops Team"/>
    <n v="2888"/>
  </r>
  <r>
    <n v="1"/>
    <s v="Haiti"/>
    <s v="Earthquake"/>
    <s v="Glen Bradley"/>
    <s v="IT/Telecoms ERU joint with Danish RC"/>
    <s v="IT/Telecom ERU"/>
    <s v="Haiti"/>
    <d v="2010-01-13T00:00:00"/>
    <d v="2010-02-14T00:00:00"/>
    <s v="Disaster"/>
    <x v="2"/>
    <x v="2"/>
    <s v="Roster"/>
    <s v="LAC"/>
    <s v="Stacy/Ops Team"/>
    <n v="2888"/>
  </r>
  <r>
    <n v="1"/>
    <s v="Haiti"/>
    <s v="Earthquake"/>
    <s v="Mark Million"/>
    <s v="IT/Telecoms ERU joint with Danish RC"/>
    <s v="IT/Telecom ERU"/>
    <s v="Haiti"/>
    <d v="2010-01-13T00:00:00"/>
    <d v="2010-02-14T00:00:00"/>
    <s v="Disaster"/>
    <x v="2"/>
    <x v="2"/>
    <s v="Roster"/>
    <s v="LAC"/>
    <s v="Stacy/Ops Team"/>
    <n v="2888"/>
  </r>
  <r>
    <n v="1"/>
    <s v="Haiti"/>
    <s v="Earthquake"/>
    <s v="Joe Becker"/>
    <s v="IFRC Operations Liaison"/>
    <s v="Operations Support Delegate"/>
    <s v="Haiti"/>
    <d v="2010-01-24T00:00:00"/>
    <d v="2010-01-31T00:00:00"/>
    <s v="Disaster"/>
    <x v="2"/>
    <x v="2"/>
    <s v="Staff"/>
    <s v="LAC"/>
    <s v="Stacy/Ops Team"/>
    <n v="2888"/>
  </r>
  <r>
    <n v="1"/>
    <s v="Haiti"/>
    <s v="Earthquake"/>
    <s v="Nate Cooper"/>
    <s v="IFRC Logistics Delegate"/>
    <s v="Logistics Delegate"/>
    <s v="Haiti"/>
    <d v="2010-01-25T00:00:00"/>
    <d v="2010-02-04T00:00:00"/>
    <s v="Disaster"/>
    <x v="2"/>
    <x v="2"/>
    <s v="Staff"/>
    <s v="LAC"/>
    <s v="Stacy/Ops Team"/>
    <n v="2888"/>
  </r>
  <r>
    <n v="1"/>
    <s v="Haiti"/>
    <s v="Earthquake"/>
    <s v="Mark Smith"/>
    <s v="IFRC Logistics Delegate"/>
    <s v="Logistics Delegate"/>
    <s v="Haiti"/>
    <d v="2010-01-25T00:00:00"/>
    <d v="2010-02-14T00:00:00"/>
    <s v="Disaster"/>
    <x v="2"/>
    <x v="2"/>
    <s v="Roster"/>
    <s v="LAC"/>
    <s v="Stacy/Ops Team"/>
    <n v="2888"/>
  </r>
  <r>
    <n v="1"/>
    <s v="Haiti"/>
    <s v="Earthquake"/>
    <s v="Lindsay Lincoln"/>
    <s v="FACT Team Admin &amp; Reporting"/>
    <s v="FACT"/>
    <s v="Haiti"/>
    <d v="2010-01-22T00:00:00"/>
    <d v="2010-02-06T00:00:00"/>
    <s v="Disaster"/>
    <x v="2"/>
    <x v="2"/>
    <s v="Staff"/>
    <s v="LAC"/>
    <s v="Stacy/Ops Team"/>
    <n v="2888"/>
  </r>
  <r>
    <n v="1"/>
    <s v="Haiti"/>
    <s v="Earthquake"/>
    <s v="Charles Blake"/>
    <s v="Relief ERU Team Member"/>
    <s v="Relief ERU"/>
    <s v="Haiti"/>
    <d v="2010-01-22T00:00:00"/>
    <d v="2010-02-16T00:00:00"/>
    <s v="Disaster"/>
    <x v="2"/>
    <x v="2"/>
    <s v="Roster"/>
    <s v="LAC"/>
    <s v="Stacy/Ops Team"/>
    <n v="2888"/>
  </r>
  <r>
    <n v="1"/>
    <s v="Haiti"/>
    <s v="Earthquake"/>
    <s v="Luis Matnog"/>
    <s v="Relief ERU Team Member"/>
    <s v="Relief ERU"/>
    <s v="Haiti"/>
    <d v="2010-01-31T00:00:00"/>
    <d v="2010-02-26T00:00:00"/>
    <s v="Disaster"/>
    <x v="2"/>
    <x v="2"/>
    <s v="Roster"/>
    <s v="LAC"/>
    <s v="Stacy/Ops Team"/>
    <n v="2888"/>
  </r>
  <r>
    <n v="1"/>
    <s v="Haiti"/>
    <s v="Earthquake"/>
    <s v="Christophe Lobry-Boulanger"/>
    <s v="Relief ERU Team Member"/>
    <s v="Relief ERU"/>
    <s v="Haiti"/>
    <d v="2010-01-31T00:00:00"/>
    <d v="2010-02-26T00:00:00"/>
    <s v="Disaster"/>
    <x v="2"/>
    <x v="2"/>
    <s v="Roster"/>
    <s v="LAC"/>
    <s v="Stacy/Ops Team"/>
    <n v="2888"/>
  </r>
  <r>
    <n v="1"/>
    <s v="Haiti"/>
    <s v="Earthquake"/>
    <s v="Chris Darlington"/>
    <s v="Relief ERU Team Leader"/>
    <s v="Relief ERU"/>
    <s v="Haiti"/>
    <d v="2010-01-31T00:00:00"/>
    <d v="2010-02-26T00:00:00"/>
    <s v="Disaster"/>
    <x v="2"/>
    <x v="2"/>
    <s v="Roster"/>
    <s v="LAC"/>
    <s v="Stacy/Ops Team"/>
    <n v="2888"/>
  </r>
  <r>
    <n v="1"/>
    <s v="Haiti"/>
    <s v="Earthquake"/>
    <s v="Ori Shaham (MDA)"/>
    <s v="Relief ERU Team Member"/>
    <s v="Relief ERU"/>
    <s v="Haiti"/>
    <d v="2010-01-31T00:00:00"/>
    <d v="2010-02-26T00:00:00"/>
    <s v="Disaster"/>
    <x v="2"/>
    <x v="2"/>
    <s v="Roster"/>
    <s v="LAC"/>
    <s v="Stacy/Ops Team"/>
    <n v="2888"/>
  </r>
  <r>
    <n v="1"/>
    <s v="Haiti"/>
    <s v="Earthquake"/>
    <s v="Haim Budin (MDA)"/>
    <s v="Relief ERU Team Member"/>
    <s v="Relief ERU"/>
    <s v="Haiti"/>
    <d v="2010-01-31T00:00:00"/>
    <d v="2010-02-26T00:00:00"/>
    <s v="Disaster"/>
    <x v="2"/>
    <x v="2"/>
    <s v="Roster"/>
    <s v="LAC"/>
    <s v="Stacy/Ops Team"/>
    <n v="2888"/>
  </r>
  <r>
    <n v="1"/>
    <s v="Haiti"/>
    <s v="Earthquake"/>
    <s v="Kelly Hurd"/>
    <s v="Relief ERU Team Member"/>
    <s v="Relief ERU"/>
    <s v="Haiti"/>
    <d v="2010-02-03T00:00:00"/>
    <d v="2010-02-26T00:00:00"/>
    <s v="Disaster"/>
    <x v="2"/>
    <x v="2"/>
    <s v="Roster"/>
    <s v="LAC"/>
    <s v="Stacy/Ops Team"/>
    <n v="2888"/>
  </r>
  <r>
    <n v="1"/>
    <s v="Haiti"/>
    <s v="Earthquake"/>
    <s v="Scott DiPretoro"/>
    <s v="Cash Transfer Programming Delegate (Alt Relief Team)"/>
    <s v="Cash Transfer Delegate"/>
    <s v="Haiti"/>
    <d v="2010-01-31T00:00:00"/>
    <d v="2010-04-01T00:00:00"/>
    <s v="Disaster"/>
    <x v="2"/>
    <x v="2"/>
    <s v="Staff"/>
    <s v="LAC"/>
    <s v="Stacy/Ops Team"/>
    <n v="2888"/>
  </r>
  <r>
    <n v="1"/>
    <s v="Haiti"/>
    <s v="Earthquake"/>
    <s v="Omar Abou-Samra"/>
    <s v="Cash Transfer Programming Delegate (Alt Relief Team)"/>
    <s v="Cash Transfer Delegate"/>
    <s v="Haiti"/>
    <d v="2010-01-31T00:00:00"/>
    <d v="2010-02-26T00:00:00"/>
    <s v="Disaster"/>
    <x v="2"/>
    <x v="2"/>
    <s v="Staff"/>
    <s v="LAC"/>
    <s v="Stacy/Ops Team"/>
    <n v="2888"/>
  </r>
  <r>
    <n v="1"/>
    <s v="Haiti"/>
    <s v="Earthquake"/>
    <s v="Sharon Truelove"/>
    <s v="Cash Transfer Programming Delegate (Alt Relief Team)"/>
    <s v="Cash Transfer Delegate"/>
    <s v="Haiti"/>
    <d v="2010-02-02T00:00:00"/>
    <d v="2010-02-26T00:00:00"/>
    <s v="Disaster"/>
    <x v="2"/>
    <x v="2"/>
    <s v="Roster"/>
    <s v="LAC"/>
    <s v="Stacy/Ops Team"/>
    <n v="2888"/>
  </r>
  <r>
    <n v="1"/>
    <s v="Haiti"/>
    <s v="Earthquake"/>
    <s v="Heidi Gilert"/>
    <s v="Cash Transfer Programming Delegate (Alt Relief Team)"/>
    <s v="Cash Transfer Delegate"/>
    <s v="Haiti"/>
    <d v="2010-02-02T00:00:00"/>
    <d v="2010-02-26T00:00:00"/>
    <s v="Disaster"/>
    <x v="2"/>
    <x v="2"/>
    <s v="Roster"/>
    <s v="LAC"/>
    <s v="Stacy/Ops Team"/>
    <n v="2888"/>
  </r>
  <r>
    <n v="1"/>
    <s v="Haiti"/>
    <s v="Earthquake"/>
    <s v="Rod Snider"/>
    <s v="Cash Transfer Programming Delegate (Alt Relief Team)"/>
    <s v="Cash Transfer Delegate"/>
    <s v="Haiti"/>
    <d v="2010-02-13T00:00:00"/>
    <d v="2010-04-03T00:00:00"/>
    <s v="Disaster"/>
    <x v="2"/>
    <x v="2"/>
    <s v="Staff"/>
    <s v="LAC"/>
    <s v="Stacy/Ops Team"/>
    <n v="2888"/>
  </r>
  <r>
    <n v="1"/>
    <s v="Haiti"/>
    <s v="Earthquake"/>
    <s v="Roby Jacob"/>
    <s v="IFRC &amp; Bilateral (ARC) Finance Delegate"/>
    <s v="Operations Support Delegate"/>
    <s v="Haiti"/>
    <d v="2010-02-17T00:00:00"/>
    <d v="2010-03-03T00:00:00"/>
    <s v="Disaster"/>
    <x v="2"/>
    <x v="2"/>
    <s v="Staff"/>
    <s v="LAC"/>
    <s v="Stacy/Ops Team"/>
    <n v="2888"/>
  </r>
  <r>
    <n v="1"/>
    <s v="Haiti"/>
    <s v="Earthquake"/>
    <s v="Laky Pissalidis"/>
    <s v="IFRC Security Delegate"/>
    <s v="Operations Support Delegate"/>
    <s v="Haiti"/>
    <d v="2010-02-17T00:00:00"/>
    <d v="2010-04-03T00:00:00"/>
    <s v="Disaster"/>
    <x v="2"/>
    <x v="2"/>
    <s v="Staff"/>
    <s v="LAC"/>
    <s v="Stacy/Ops Team"/>
    <n v="2888"/>
  </r>
  <r>
    <n v="1"/>
    <s v="Haiti"/>
    <s v="Earthquake"/>
    <s v="Deborah Castellano"/>
    <s v="IFRC Logistics Delegate"/>
    <s v="Logistics Delegate"/>
    <s v="Haiti"/>
    <d v="2010-02-14T00:00:00"/>
    <d v="2010-03-10T00:00:00"/>
    <s v="Disaster"/>
    <x v="2"/>
    <x v="2"/>
    <s v="Roster"/>
    <s v="LAC"/>
    <s v="Stacy/Ops Team"/>
    <n v="2888"/>
  </r>
  <r>
    <n v="1"/>
    <s v="Haiti"/>
    <s v="Earthquake"/>
    <s v="Roger Shelton"/>
    <s v="IFRC Program Coordinator"/>
    <s v="Operations Support Delegate"/>
    <s v="Haiti"/>
    <d v="2010-02-08T00:00:00"/>
    <d v="2010-03-31T00:00:00"/>
    <s v="Disaster"/>
    <x v="2"/>
    <x v="2"/>
    <s v="Staff"/>
    <s v="LAC"/>
    <s v="Stacy/Ops Team"/>
    <n v="2888"/>
  </r>
  <r>
    <n v="1"/>
    <s v="Haiti"/>
    <s v="Earthquake"/>
    <s v="Sohrab Rezvan"/>
    <s v="IT/Telecoms ERU joint with Danish RC"/>
    <s v="IT/Telecom ERU"/>
    <s v="Haiti"/>
    <d v="2010-02-13T00:00:00"/>
    <d v="2010-04-03T00:00:00"/>
    <s v="Disaster"/>
    <x v="2"/>
    <x v="2"/>
    <s v="Roster"/>
    <s v="LAC"/>
    <s v="Stacy/Ops Team"/>
    <n v="2888"/>
  </r>
  <r>
    <n v="1"/>
    <s v="Haiti"/>
    <s v="Earthquake"/>
    <s v="Michael Zeleke"/>
    <s v="Recovery Assessment Team Leader"/>
    <s v="Recovery Delegate"/>
    <s v="Haiti"/>
    <d v="2010-02-03T00:00:00"/>
    <d v="2010-03-03T00:00:00"/>
    <s v="Disaster"/>
    <x v="2"/>
    <x v="2"/>
    <s v="Staff"/>
    <s v="LAC"/>
    <s v="Stacy/Ops Team"/>
    <n v="2888"/>
  </r>
  <r>
    <n v="1"/>
    <s v="Haiti"/>
    <s v="Earthquake"/>
    <s v="Meghan DiCarlo"/>
    <s v="Recovery Assessment Team Member"/>
    <s v="Recovery Delegate"/>
    <s v="Haiti"/>
    <d v="2010-02-13T00:00:00"/>
    <d v="2010-03-03T00:00:00"/>
    <s v="Disaster"/>
    <x v="2"/>
    <x v="2"/>
    <s v="Staff"/>
    <s v="LAC"/>
    <s v="Stacy/Ops Team"/>
    <n v="2888"/>
  </r>
  <r>
    <n v="1"/>
    <s v="Haiti"/>
    <s v="Earthquake"/>
    <s v="Joscelyn Silsby"/>
    <s v="Recovery Assessment Team Member"/>
    <s v="Recovery Delegate"/>
    <s v="Haiti"/>
    <d v="2010-02-13T00:00:00"/>
    <d v="2010-03-03T00:00:00"/>
    <s v="Disaster"/>
    <x v="2"/>
    <x v="2"/>
    <s v="Roster"/>
    <s v="LAC"/>
    <s v="Stacy/Ops Team"/>
    <n v="2888"/>
  </r>
  <r>
    <n v="1"/>
    <s v="Haiti"/>
    <s v="Earthquake"/>
    <s v="Julie Archer"/>
    <s v="Recovery Assessment Team Member"/>
    <s v="Recovery Delegate"/>
    <s v="Haiti"/>
    <d v="2010-02-13T00:00:00"/>
    <d v="2010-03-03T00:00:00"/>
    <s v="Disaster"/>
    <x v="2"/>
    <x v="2"/>
    <s v="Roster"/>
    <s v="LAC"/>
    <s v="Stacy/Ops Team"/>
    <n v="2888"/>
  </r>
  <r>
    <n v="1"/>
    <s v="Haiti"/>
    <s v="Earthquake"/>
    <s v="Lee Malaney"/>
    <s v="Recovery Assessment Team Member"/>
    <s v="Recovery Delegate"/>
    <s v="Haiti"/>
    <d v="2010-02-08T00:00:00"/>
    <d v="2010-03-03T00:00:00"/>
    <s v="Disaster"/>
    <x v="2"/>
    <x v="2"/>
    <s v="Roster"/>
    <s v="LAC"/>
    <s v="Stacy/Ops Team"/>
    <n v="2888"/>
  </r>
  <r>
    <n v="1"/>
    <s v="Haiti"/>
    <s v="Earthquake"/>
    <s v="Greg Matthews"/>
    <s v="Emergency Markets Analysis Assessment (EMMA) team member"/>
    <s v="Recovery Delegate"/>
    <s v="Haiti"/>
    <d v="2010-02-08T00:00:00"/>
    <d v="2010-02-18T00:00:00"/>
    <s v="Disaster"/>
    <x v="2"/>
    <x v="2"/>
    <s v="Roster"/>
    <s v="LAC"/>
    <s v="Stacy/Ops Team"/>
    <n v="2888"/>
  </r>
  <r>
    <n v="1"/>
    <s v="Haiti"/>
    <s v="Earthquake"/>
    <s v="Gina Guinta"/>
    <s v="FACT Admin &amp; Reporting"/>
    <s v="FACT"/>
    <s v="Haiti"/>
    <d v="2010-02-07T00:00:00"/>
    <d v="2010-03-08T00:00:00"/>
    <s v="Disaster"/>
    <x v="2"/>
    <x v="2"/>
    <s v="Roster"/>
    <s v="LAC"/>
    <s v="Stacy/Ops Team"/>
    <n v="2888"/>
  </r>
  <r>
    <n v="1"/>
    <s v="Haiti"/>
    <s v="Earthquake"/>
    <s v="Dario Diaz"/>
    <s v="IFRC Logistics Delegate - at Red Cross logistics hub in Dominican Republic"/>
    <s v="Logistics Delegate"/>
    <s v="Dominican Republic"/>
    <d v="2010-01-19T00:00:00"/>
    <d v="2010-02-15T00:00:00"/>
    <s v="Disaster"/>
    <x v="2"/>
    <x v="2"/>
    <s v="Staff"/>
    <s v="LAC"/>
    <s v="Stacy/Ops Team"/>
    <n v="2888"/>
  </r>
  <r>
    <n v="1"/>
    <s v="Haiti"/>
    <s v="Earthquake"/>
    <s v="Nate Cooper"/>
    <s v="IFRC Logistics Delegate - at PADRU"/>
    <s v="Logistics Delegate"/>
    <s v="Panama PADRU"/>
    <d v="2010-01-12T00:00:00"/>
    <d v="2010-01-24T00:00:00"/>
    <s v="Disaster"/>
    <x v="2"/>
    <x v="2"/>
    <s v="Staff"/>
    <s v="LAC"/>
    <s v="Stacy/Ops Team"/>
    <n v="2888"/>
  </r>
  <r>
    <n v="1"/>
    <s v="Haiti"/>
    <s v="Earthquake"/>
    <s v="Robin Younger"/>
    <s v="IFRC Reporting Delegate - at PADRU"/>
    <s v="Operations Support Delegate"/>
    <s v="Panama PADRU"/>
    <d v="2010-01-18T00:00:00"/>
    <d v="2010-02-16T00:00:00"/>
    <s v="Disaster"/>
    <x v="2"/>
    <x v="2"/>
    <s v="Roster"/>
    <s v="LAC"/>
    <s v="Stacy/Ops Team"/>
    <n v="2888"/>
  </r>
  <r>
    <n v="1"/>
    <s v="Haiti"/>
    <s v="Earthquake"/>
    <s v="Greg Matthews"/>
    <s v="Personnel support for IROC"/>
    <s v="NHQ Operations Support"/>
    <s v="NHQ"/>
    <d v="2010-01-18T00:00:00"/>
    <d v="2010-01-31T00:00:00"/>
    <s v="Disaster"/>
    <x v="2"/>
    <x v="2"/>
    <s v="Roster"/>
    <s v="LAC"/>
    <s v="Stacy/Ops Team"/>
    <n v="2888"/>
  </r>
  <r>
    <n v="1"/>
    <s v="Haiti"/>
    <s v="Earthquake"/>
    <s v="Winnie Romeril"/>
    <s v="Bilateral Communications Delegate supporting ARC delegation"/>
    <s v="Bilateral Operations Support"/>
    <s v="Haiti"/>
    <d v="2010-01-12T00:00:00"/>
    <d v="2010-01-31T00:00:00"/>
    <s v="Disaster"/>
    <x v="2"/>
    <x v="2"/>
    <s v="Roster"/>
    <s v="LAC"/>
    <s v="Stacy/Ops Team"/>
    <n v="2888"/>
  </r>
  <r>
    <n v="1"/>
    <s v="Haiti"/>
    <s v="Earthquake"/>
    <s v="Kelly Hurd"/>
    <s v="Bilateral Communications Delegate supporting ARC delegation office"/>
    <s v="Bilateral Operations Support"/>
    <s v="Haiti"/>
    <d v="2010-01-23T00:00:00"/>
    <d v="2010-02-02T00:00:00"/>
    <s v="Disaster"/>
    <x v="2"/>
    <x v="2"/>
    <s v="Roster"/>
    <s v="LAC"/>
    <s v="Stacy/Ops Team"/>
    <n v="2888"/>
  </r>
  <r>
    <n v="1"/>
    <s v="Haiti"/>
    <s v="Earthquake"/>
    <s v="Bonnie Gillespie"/>
    <s v="Bilateral Communications Delegate supporting ARC delegation office"/>
    <s v="Bilateral Operations Support"/>
    <s v="Haiti"/>
    <d v="2010-01-21T00:00:00"/>
    <d v="2010-02-21T00:00:00"/>
    <s v="Disaster"/>
    <x v="2"/>
    <x v="2"/>
    <s v="Roster"/>
    <s v="LAC"/>
    <s v="Stacy/Ops Team"/>
    <n v="2888"/>
  </r>
  <r>
    <n v="1"/>
    <s v="Haiti"/>
    <s v="Earthquake"/>
    <s v="Svafa Asgeirdottir"/>
    <s v="Bilateral Admin/Compliance Delegate supporting ARC delegation office"/>
    <s v="Bilateral Operations Support"/>
    <s v="Haiti"/>
    <d v="2010-01-22T00:00:00"/>
    <d v="2010-02-09T00:00:00"/>
    <s v="Disaster"/>
    <x v="2"/>
    <x v="2"/>
    <s v="Staff"/>
    <s v="LAC"/>
    <s v="Stacy/Ops Team"/>
    <n v="2888"/>
  </r>
  <r>
    <n v="1"/>
    <s v="Haiti"/>
    <s v="Earthquake"/>
    <s v="Nancy Campbell"/>
    <s v="Bilateral Finance/Admin Delegate supporting ARC delegation office"/>
    <s v="Bilateral Operations Support"/>
    <s v="Haiti"/>
    <d v="2010-01-22T00:00:00"/>
    <d v="2010-02-10T00:00:00"/>
    <s v="Disaster"/>
    <x v="2"/>
    <x v="2"/>
    <s v="Staff"/>
    <s v="LAC"/>
    <s v="Stacy/Ops Team"/>
    <n v="2888"/>
  </r>
  <r>
    <n v="1"/>
    <s v="Haiti"/>
    <s v="Earthquake"/>
    <s v="Tony Stitt"/>
    <s v="Bilateral Deputy Head of Operations supporting ARC delegation office"/>
    <s v="Bilateral Operations Support"/>
    <s v="Haiti"/>
    <d v="2010-02-04T00:00:00"/>
    <d v="2010-04-01T00:00:00"/>
    <s v="Disaster"/>
    <x v="2"/>
    <x v="2"/>
    <s v="Roster"/>
    <s v="LAC"/>
    <s v="Stacy/Ops Team"/>
    <n v="2888"/>
  </r>
  <r>
    <n v="1"/>
    <s v="Haiti"/>
    <s v="Earthquake"/>
    <s v="Judy Nicholson"/>
    <s v="Bilateral Psychosocial Support for ARC delegation office"/>
    <s v="Bilateral Operations Support"/>
    <s v="Haiti"/>
    <d v="2010-01-19T00:00:00"/>
    <d v="2010-01-31T00:00:00"/>
    <s v="Disaster"/>
    <x v="2"/>
    <x v="2"/>
    <s v="Staff"/>
    <s v="LAC"/>
    <s v="Stacy/Ops Team"/>
    <n v="2888"/>
  </r>
  <r>
    <n v="1"/>
    <s v="Haiti"/>
    <s v="Earthquake"/>
    <s v="Howard Smith"/>
    <s v="Bilateral Psychosocial Support for ARC delegation office"/>
    <s v="Bilateral Operations Support"/>
    <s v="Haiti"/>
    <d v="2010-01-19T00:00:00"/>
    <d v="2010-01-31T00:00:00"/>
    <s v="Disaster"/>
    <x v="2"/>
    <x v="2"/>
    <s v="Staff"/>
    <s v="LAC"/>
    <s v="Stacy/Ops Team"/>
    <n v="2888"/>
  </r>
  <r>
    <n v="1"/>
    <s v="Haiti"/>
    <s v="Earthquake"/>
    <s v="Lee Malany"/>
    <s v="Bilateral Shelter Technical Delegate Bilateral Program"/>
    <s v="Bilateral Operations Support"/>
    <s v="Haiti"/>
    <d v="2010-01-22T00:00:00"/>
    <d v="2010-02-07T00:00:00"/>
    <s v="Disaster"/>
    <x v="2"/>
    <x v="2"/>
    <s v="Roster"/>
    <s v="LAC"/>
    <s v="Stacy/Ops Team"/>
    <n v="2888"/>
  </r>
  <r>
    <n v="1"/>
    <s v="Haiti"/>
    <s v="Earthquake"/>
    <s v="Rebecca Scheurer"/>
    <s v="Bilateral Program Manager ARC "/>
    <s v="Bilateral Operations Support"/>
    <s v="Haiti"/>
    <d v="2010-02-04T00:00:00"/>
    <d v="2010-04-01T00:00:00"/>
    <s v="Disaster"/>
    <x v="2"/>
    <x v="2"/>
    <s v="Staff"/>
    <s v="LAC"/>
    <s v="Stacy/Ops Team"/>
    <n v="2888"/>
  </r>
  <r>
    <n v="1"/>
    <s v="Haiti"/>
    <s v="Earthquake"/>
    <s v="Roger Palmer"/>
    <s v="Equipment Support for IROC"/>
    <s v="NHQ Operations Support"/>
    <s v="NHQ"/>
    <d v="2010-01-20T00:00:00"/>
    <d v="2010-02-21T00:00:00"/>
    <s v="Disaster"/>
    <x v="2"/>
    <x v="2"/>
    <s v="Roster"/>
    <s v="LAC"/>
    <s v="Stacy/Ops Team"/>
    <n v="2888"/>
  </r>
  <r>
    <n v="1"/>
    <s v="Haiti"/>
    <s v="Earthquake"/>
    <s v="Mat Morgan"/>
    <s v="Billateral Communications Delegate "/>
    <s v="Bilateral Operations Support"/>
    <s v="Haiti"/>
    <d v="2010-02-01T00:00:00"/>
    <d v="2010-03-15T00:00:00"/>
    <s v="Disaster"/>
    <x v="2"/>
    <x v="2"/>
    <s v="Staff"/>
    <s v="LAC"/>
    <s v="Stacy/Ops Team"/>
    <m/>
  </r>
  <r>
    <n v="1"/>
    <s v="Haiti"/>
    <s v="Earthquake"/>
    <s v="Robin Younger"/>
    <s v="Relief ERU Team Leader"/>
    <s v="Relief ERU"/>
    <s v="Haiti"/>
    <d v="2010-02-21T00:00:00"/>
    <d v="2010-03-25T00:00:00"/>
    <s v="Disaster"/>
    <x v="2"/>
    <x v="2"/>
    <s v="Roster"/>
    <s v="LAC"/>
    <s v="Stacy/Ops Team"/>
    <n v="2888"/>
  </r>
  <r>
    <n v="1"/>
    <s v="Haiti"/>
    <s v="Earthquake"/>
    <s v="Chris Bell"/>
    <s v="Relief ERU Team Member"/>
    <s v="Relief ERU"/>
    <s v="Haiti"/>
    <d v="2010-02-21T00:00:00"/>
    <d v="2010-03-25T00:00:00"/>
    <s v="Disaster"/>
    <x v="2"/>
    <x v="2"/>
    <s v="Roster"/>
    <s v="LAC"/>
    <s v="Stacy/Ops Team"/>
    <n v="2888"/>
  </r>
  <r>
    <n v="1"/>
    <s v="Haiti"/>
    <s v="Earthquake"/>
    <s v="Shavkut Ismailov "/>
    <s v="Relief ERU Team Member"/>
    <s v="Relief ERU"/>
    <s v="Haiti"/>
    <d v="2010-02-21T00:00:00"/>
    <d v="2010-03-25T00:00:00"/>
    <s v="Disaster"/>
    <x v="2"/>
    <x v="2"/>
    <s v="Staff"/>
    <s v="LAC"/>
    <s v="Stacy/Ops Team"/>
    <n v="2888"/>
  </r>
  <r>
    <n v="1"/>
    <s v="Haiti"/>
    <s v="Earthquake"/>
    <s v="Michael Segal"/>
    <s v="Relief ERU Team Member"/>
    <s v="Relief ERU"/>
    <s v="Haiti"/>
    <d v="2010-02-21T00:00:00"/>
    <d v="2010-03-25T00:00:00"/>
    <s v="Disaster"/>
    <x v="2"/>
    <x v="2"/>
    <s v="Roster"/>
    <s v="LAC"/>
    <s v="Stacy/Ops Team"/>
    <n v="2888"/>
  </r>
  <r>
    <n v="1"/>
    <s v="Haiti"/>
    <s v="Earthquake"/>
    <s v="Ofer Snir (MDA)"/>
    <s v="Relief ERU Team Member"/>
    <s v="Relief ERU"/>
    <s v="Haiti"/>
    <d v="2010-02-21T00:00:00"/>
    <d v="2010-03-25T00:00:00"/>
    <s v="Disaster"/>
    <x v="2"/>
    <x v="2"/>
    <s v="Roster"/>
    <s v="LAC"/>
    <s v="Stacy/Ops Team"/>
    <n v="2888"/>
  </r>
  <r>
    <n v="1"/>
    <s v="Haiti"/>
    <s v="Earthquake"/>
    <s v="Raj Zafar"/>
    <s v="Relief ERU Team Member"/>
    <s v="Relief ERU"/>
    <s v="Haiti"/>
    <d v="2010-03-06T00:00:00"/>
    <d v="2010-03-25T00:00:00"/>
    <s v="Disaster"/>
    <x v="2"/>
    <x v="2"/>
    <s v="Roster"/>
    <s v="LAC"/>
    <s v="Stacy/Ops Team"/>
    <n v="2888"/>
  </r>
  <r>
    <n v="1"/>
    <s v="Haiti"/>
    <s v="Earthquake"/>
    <s v="Tom Worthington"/>
    <s v="Equipment Support for IROC"/>
    <s v="Operations Support Delegate"/>
    <s v="NHQ"/>
    <d v="2010-02-22T00:00:00"/>
    <d v="2010-03-21T00:00:00"/>
    <s v="Disaster"/>
    <x v="2"/>
    <x v="2"/>
    <s v="Roster"/>
    <s v="LAC"/>
    <s v="Stacy/Ops Team"/>
    <n v="2888"/>
  </r>
  <r>
    <n v="1"/>
    <s v="Haiti"/>
    <s v="Earthquake"/>
    <s v="Lynette Nyman"/>
    <s v="Communications Support"/>
    <s v="Communications Delegate"/>
    <s v="NHQ"/>
    <d v="2010-02-22T00:00:00"/>
    <d v="2010-03-21T00:00:00"/>
    <s v="Disaster"/>
    <x v="2"/>
    <x v="2"/>
    <s v="Staff"/>
    <s v="LAC"/>
    <s v="Andrea Koppel"/>
    <m/>
  </r>
  <r>
    <n v="1"/>
    <s v="Haiti"/>
    <s v="Earthquake"/>
    <s v="Tom McAloon"/>
    <s v="Bilateral Wat/San"/>
    <s v="Operations Support Delegate"/>
    <s v="Haiti"/>
    <d v="2010-02-15T00:00:00"/>
    <d v="2010-03-31T00:00:00"/>
    <s v="Disaster"/>
    <x v="2"/>
    <x v="2"/>
    <s v="Roster"/>
    <s v="LAC"/>
    <s v="Stacy/Ops Team"/>
    <n v="2888"/>
  </r>
  <r>
    <n v="1"/>
    <s v="Haiti"/>
    <s v="Earthquake"/>
    <s v="Lyle O'Neel"/>
    <s v="Disaster Mental Health Support for IROC"/>
    <s v="Operations Support Delegate"/>
    <s v="NHQ"/>
    <d v="2010-02-08T00:00:00"/>
    <d v="2010-03-07T00:00:00"/>
    <s v="Disaster"/>
    <x v="2"/>
    <x v="2"/>
    <s v="Staff"/>
    <s v="LAC"/>
    <s v="Stacy/Ops Team"/>
    <n v="2888"/>
  </r>
  <r>
    <n v="1"/>
    <s v="Haiti"/>
    <s v="Earthquake"/>
    <s v="Laura Hevesi"/>
    <s v="Relief ERU Team Leader"/>
    <s v="Relief ERU"/>
    <s v="Haiti"/>
    <d v="2010-03-22T00:00:00"/>
    <d v="2010-04-21T00:00:00"/>
    <s v="Disaster"/>
    <x v="2"/>
    <x v="2"/>
    <s v="Roster"/>
    <s v="LAC"/>
    <s v="Stacy/Ops Team"/>
    <n v="2888"/>
  </r>
  <r>
    <n v="1"/>
    <s v="Haiti"/>
    <s v="Earthquake"/>
    <s v="Kate Schilling"/>
    <s v="Relief ERU Team Member"/>
    <s v="Relief ERU"/>
    <s v="Haiti"/>
    <d v="2010-03-22T00:00:00"/>
    <d v="2010-04-21T00:00:00"/>
    <s v="Disaster"/>
    <x v="2"/>
    <x v="2"/>
    <s v="Roster"/>
    <s v="LAC"/>
    <s v="Stacy/Ops Team"/>
    <n v="2888"/>
  </r>
  <r>
    <n v="1"/>
    <s v="Haiti"/>
    <s v="Earthquake"/>
    <s v="James Stephenson"/>
    <s v="Relief ERU Team Member"/>
    <s v="Relief ERU"/>
    <s v="Haiti"/>
    <d v="2010-03-22T00:00:00"/>
    <d v="2010-04-21T00:00:00"/>
    <s v="Disaster"/>
    <x v="2"/>
    <x v="2"/>
    <s v="Roster"/>
    <s v="LAC"/>
    <s v="Stacy/Ops Team"/>
    <n v="2888"/>
  </r>
  <r>
    <n v="1"/>
    <s v="Haiti"/>
    <s v="Earthquake"/>
    <s v="Lynette Nyman"/>
    <s v="Communications Delegate to IFRC"/>
    <s v="Communications Delegate"/>
    <s v="Haiti"/>
    <d v="2010-03-20T00:00:00"/>
    <d v="2010-04-30T00:00:00"/>
    <s v="Disaster"/>
    <x v="2"/>
    <x v="2"/>
    <s v="Staff"/>
    <s v="LAC"/>
    <s v="Stacy/Ops Team"/>
    <n v="2888"/>
  </r>
  <r>
    <n v="1"/>
    <s v="Haiti"/>
    <s v="Earthquake"/>
    <s v="Cristina Hammond"/>
    <s v="Cash Transfer Programming Delegate "/>
    <s v="Cash Transfer Delegate"/>
    <s v="Haiti"/>
    <d v="2010-03-20T00:00:00"/>
    <d v="2010-04-10T00:00:00"/>
    <s v="Disaster"/>
    <x v="2"/>
    <x v="2"/>
    <s v="Roster"/>
    <s v="LAC"/>
    <s v="Stacy/Ops Team"/>
    <n v="2888"/>
  </r>
  <r>
    <n v="1"/>
    <s v="Haiti"/>
    <s v="Earthquake"/>
    <s v="Omar Abou-Samra"/>
    <s v="Cash Transfer Programming Delegate "/>
    <s v="Cash Transfer Delegate"/>
    <s v="Haiti"/>
    <d v="2010-03-13T00:00:00"/>
    <d v="2010-04-01T00:00:00"/>
    <s v="Disaster"/>
    <x v="2"/>
    <x v="2"/>
    <s v="Staff"/>
    <s v="LAC"/>
    <s v="Stacy/Ops Team"/>
    <n v="2888"/>
  </r>
  <r>
    <n v="1"/>
    <s v="Haiti"/>
    <s v="Earthquake"/>
    <s v="Anne Palmer"/>
    <s v="Cash Transfer Programming Delegate "/>
    <s v="Cash Transfer Delegate"/>
    <s v="Haiti"/>
    <d v="2010-03-27T00:00:00"/>
    <d v="2010-04-21T00:00:00"/>
    <s v="Disaster"/>
    <x v="2"/>
    <x v="2"/>
    <s v="Roster"/>
    <s v="LAC"/>
    <s v="Stacy/Ops Team"/>
    <n v="2888"/>
  </r>
  <r>
    <n v="1"/>
    <s v="Haiti"/>
    <s v="Earthquake"/>
    <s v="Jana Sweeney"/>
    <s v="Cash Transfer Programming Delegate "/>
    <s v="Cash Transfer Delegate"/>
    <s v="Haiti"/>
    <d v="2010-03-27T00:00:00"/>
    <d v="2010-04-21T00:00:00"/>
    <s v="Disaster"/>
    <x v="2"/>
    <x v="2"/>
    <s v="Roster"/>
    <s v="LAC"/>
    <s v="Stacy/Ops Team"/>
    <n v="2888"/>
  </r>
  <r>
    <n v="1"/>
    <s v="Haiti"/>
    <s v="Earthquake"/>
    <s v="Glen Bradley"/>
    <s v="Equipment Support for IROC"/>
    <s v="NHQ Operations Support"/>
    <s v="NHQ"/>
    <d v="2010-03-22T00:00:00"/>
    <d v="2010-04-15T00:00:00"/>
    <s v="Disaster"/>
    <x v="2"/>
    <x v="2"/>
    <s v="Roster"/>
    <s v="LAC"/>
    <s v="Stacy/Ops Team"/>
    <n v="2888"/>
  </r>
  <r>
    <n v="1"/>
    <s v="Haiti"/>
    <s v="Earthquake"/>
    <s v="Julie Archer"/>
    <s v="Equipment Support for IROC"/>
    <s v="NHQ Operations Support"/>
    <s v="NHQ"/>
    <d v="2010-03-22T00:00:00"/>
    <d v="2010-04-15T00:00:00"/>
    <s v="Disaster"/>
    <x v="2"/>
    <x v="2"/>
    <s v="Roster"/>
    <s v="LAC"/>
    <s v="Stacy/Ops Team"/>
    <n v="2888"/>
  </r>
  <r>
    <n v="1"/>
    <s v="Haiti"/>
    <s v="Earthquake"/>
    <s v="Cathy Scruggs"/>
    <s v="Personnel Support for IROC"/>
    <s v="NHQ Operations Support"/>
    <s v="NHQ"/>
    <d v="2010-02-16T00:00:00"/>
    <d v="2010-03-15T00:00:00"/>
    <s v="Disaster"/>
    <x v="2"/>
    <x v="2"/>
    <s v="Roster"/>
    <s v="LAC"/>
    <s v="Stacy/Ops Team"/>
    <n v="2888"/>
  </r>
  <r>
    <n v="1"/>
    <s v="Haiti"/>
    <s v="Earthquake"/>
    <s v="Emily Hall"/>
    <s v="Personnel Support for IROC"/>
    <s v="NHQ Operations Support"/>
    <s v="NHQ"/>
    <d v="2010-03-16T00:00:00"/>
    <d v="2010-04-15T00:00:00"/>
    <s v="Disaster"/>
    <x v="2"/>
    <x v="2"/>
    <s v="Roster"/>
    <s v="LAC"/>
    <s v="Stacy/Ops Team"/>
    <n v="2888"/>
  </r>
  <r>
    <n v="1"/>
    <s v="Haiti"/>
    <s v="Earthquake"/>
    <s v="Andrew Bhattacharya"/>
    <s v="Bilateral Operations Support"/>
    <s v="Bilateral Operations Support"/>
    <s v="Haiti"/>
    <d v="2010-02-20T00:00:00"/>
    <d v="2010-03-13T00:00:00"/>
    <s v="Disaster"/>
    <x v="2"/>
    <x v="2"/>
    <s v="Staff"/>
    <s v="LAC"/>
    <s v="Stacy/Ops Team"/>
    <n v="2888"/>
  </r>
  <r>
    <n v="1"/>
    <s v="Haiti"/>
    <s v="Earthquake"/>
    <s v="Eileen Kurtz"/>
    <s v="Bilateral Human Resources Support"/>
    <s v="Bilateral Operations Support"/>
    <s v="Haiti"/>
    <d v="2010-03-24T00:00:00"/>
    <d v="2010-04-21T00:00:00"/>
    <s v="Disaster"/>
    <x v="2"/>
    <x v="2"/>
    <s v="Staff"/>
    <s v="LAC"/>
    <s v="Stacy/Ops Team"/>
    <n v="2888"/>
  </r>
  <r>
    <n v="1"/>
    <s v="Haiti"/>
    <s v="Earthquake"/>
    <s v="Alex Mahoney"/>
    <s v="Bilateral Shelter Advisor"/>
    <s v="Bilateral Operations Support"/>
    <s v="Haiti"/>
    <d v="2010-03-11T00:00:00"/>
    <d v="2010-04-03T00:00:00"/>
    <s v="Disaster"/>
    <x v="2"/>
    <x v="2"/>
    <s v="Staff"/>
    <s v="LAC"/>
    <s v="Stacy/Ops Team"/>
    <n v="2888"/>
  </r>
  <r>
    <n v="1"/>
    <s v="Haiti"/>
    <s v="Earthquake"/>
    <s v="Alex Robinson"/>
    <s v="Relief ERU Team Member"/>
    <s v="Relief ERU"/>
    <s v="Haiti"/>
    <d v="2010-04-07T00:00:00"/>
    <d v="2010-04-29T00:00:00"/>
    <s v="Disaster"/>
    <x v="0"/>
    <x v="2"/>
    <s v="Staff"/>
    <s v="LAC"/>
    <s v="Stacy/Ops Team"/>
    <n v="2888"/>
  </r>
  <r>
    <n v="1"/>
    <s v="Haiti"/>
    <s v="Earthquake"/>
    <s v="Lauren Twohig"/>
    <s v="Relief ERU Team Member"/>
    <s v="Relief ERU"/>
    <s v="Haiti"/>
    <d v="2010-04-07T00:00:00"/>
    <d v="2010-04-29T00:00:00"/>
    <s v="Disaster"/>
    <x v="0"/>
    <x v="2"/>
    <s v="Staff"/>
    <s v="LAC"/>
    <s v="Stacy/Ops Team"/>
    <n v="2888"/>
  </r>
  <r>
    <n v="1"/>
    <s v="Haiti"/>
    <s v="Earthquake"/>
    <s v="Wendy Brightman"/>
    <s v="Cash Transfer Programming Delegate "/>
    <s v="Cash Transfer Delegate"/>
    <s v="Haiti"/>
    <d v="2010-04-04T00:00:00"/>
    <d v="2010-04-23T00:00:00"/>
    <s v="Disaster"/>
    <x v="0"/>
    <x v="2"/>
    <s v="Staff"/>
    <s v="LAC"/>
    <s v="Stacy/Ops Team"/>
    <n v="2888"/>
  </r>
  <r>
    <n v="1"/>
    <s v="Haiti"/>
    <s v="Earthquake"/>
    <s v="George Sykes"/>
    <s v="Cash Transfer Programming Delegate "/>
    <s v="Cash Transfer Delegate"/>
    <s v="Haiti"/>
    <d v="2010-04-07T00:00:00"/>
    <d v="2010-05-06T00:00:00"/>
    <s v="Disaster"/>
    <x v="0"/>
    <x v="2"/>
    <s v="Roster"/>
    <s v="LAC"/>
    <s v="Stacy/Ops Team"/>
    <n v="2888"/>
  </r>
  <r>
    <n v="1"/>
    <s v="Haiti"/>
    <s v="Earthquake"/>
    <s v="Tracy Reines"/>
    <s v="Cash Transfer Programming Delegate "/>
    <s v="Cash Transfer Delegate"/>
    <s v="Haiti"/>
    <d v="2010-04-05T00:00:00"/>
    <d v="2010-04-16T00:00:00"/>
    <s v="Disaster"/>
    <x v="0"/>
    <x v="2"/>
    <s v="Staff"/>
    <s v="LAC"/>
    <s v="Stacy/Ops Team"/>
    <n v="2888"/>
  </r>
  <r>
    <n v="1"/>
    <s v="Haiti"/>
    <s v="Earthquake"/>
    <s v="Rod Snider"/>
    <s v="Cash Transfer Programming Delegate "/>
    <s v="Cash Transfer Delegate"/>
    <s v="Haiti"/>
    <d v="2010-05-04T00:00:00"/>
    <d v="2010-05-10T00:00:00"/>
    <s v="Disaster"/>
    <x v="0"/>
    <x v="2"/>
    <s v="Staff"/>
    <s v="LAC"/>
    <s v="Stacy/Ops Team"/>
    <n v="2888"/>
  </r>
  <r>
    <n v="1"/>
    <s v="Haiti"/>
    <s v="Earthquake"/>
    <s v="Stacy Ragan"/>
    <s v="Bilateral Operations Delegate"/>
    <s v="Bilateral Operations Support"/>
    <s v="Haiti"/>
    <d v="2010-05-25T00:00:00"/>
    <d v="2010-06-02T00:00:00"/>
    <s v="Disaster"/>
    <x v="0"/>
    <x v="2"/>
    <s v="Staff"/>
    <s v="LAC"/>
    <s v="Stacy/Ops Team"/>
    <n v="2888"/>
  </r>
  <r>
    <n v="1"/>
    <s v="Haiti"/>
    <s v="Earthquake"/>
    <s v="Amanda West"/>
    <s v="Bilateral Information Delegate"/>
    <s v="Bilateral Operations Support"/>
    <s v="Haiti"/>
    <d v="2010-05-04T00:00:00"/>
    <d v="2010-06-24T00:00:00"/>
    <s v="Disaster"/>
    <x v="0"/>
    <x v="2"/>
    <s v="Staff"/>
    <s v="LAC"/>
    <s v="Stacy/Ops Team"/>
    <n v="2888"/>
  </r>
  <r>
    <m/>
    <m/>
    <m/>
    <m/>
    <m/>
    <m/>
    <m/>
    <m/>
    <m/>
    <m/>
    <x v="4"/>
    <x v="3"/>
    <m/>
    <m/>
    <m/>
    <m/>
  </r>
  <r>
    <n v="1"/>
    <s v="Chile"/>
    <s v="Earthquake"/>
    <s v="Alvaro Garita"/>
    <s v="Relief Delegate"/>
    <s v="Relief Delegate"/>
    <s v="Chile"/>
    <d v="2010-03-02T00:00:00"/>
    <m/>
    <s v="Disaster"/>
    <x v="2"/>
    <x v="2"/>
    <s v="Staff"/>
    <s v="LAC"/>
    <s v="Guillermo/LAC"/>
    <n v="2896"/>
  </r>
  <r>
    <n v="1"/>
    <s v="Chile"/>
    <s v="Earthquake"/>
    <s v="Gonzalo Aquino"/>
    <s v="Water and Sanitation Delegate"/>
    <s v="Operations Support Delegate"/>
    <s v="Chile"/>
    <d v="2010-03-18T00:00:00"/>
    <d v="2010-03-31T00:00:00"/>
    <s v="Disaster"/>
    <x v="2"/>
    <x v="2"/>
    <s v="Staff"/>
    <s v="LAC"/>
    <s v="Guillermo/LAC"/>
    <n v="2896"/>
  </r>
  <r>
    <n v="1"/>
    <s v="Pakistan"/>
    <s v="Floods"/>
    <s v="Raj Zafar"/>
    <s v="Delegation Surge Support Federation in Islamabad"/>
    <s v="Relief Delegate"/>
    <s v="Pakistan"/>
    <m/>
    <m/>
    <s v="Disaster"/>
    <x v="2"/>
    <x v="2"/>
    <s v="Staff"/>
    <s v="Asia/ME/Europe"/>
    <s v="Stacy/Ops Team"/>
    <m/>
  </r>
  <r>
    <n v="1"/>
    <s v="Pakistan"/>
    <s v="Floods"/>
    <s v="Robin Younger"/>
    <s v="Relief Delegate"/>
    <s v="Relief Delegate"/>
    <s v="Pakistan"/>
    <d v="2010-08-27T00:00:00"/>
    <d v="2010-09-30T00:00:00"/>
    <s v="Disaster"/>
    <x v="3"/>
    <x v="4"/>
    <s v="Roster"/>
    <s v="Asia/ME/Europe"/>
    <s v="Stacy/Ops Team"/>
    <n v="2699"/>
  </r>
  <r>
    <n v="1"/>
    <s v="Pakistan"/>
    <s v="Floods"/>
    <s v="Christophe Lobry-Boulanger"/>
    <s v="Relief Delegate"/>
    <s v="Relief Delegate"/>
    <s v="Pakistan"/>
    <d v="2010-08-27T00:00:00"/>
    <d v="2010-09-30T00:00:00"/>
    <s v="Disaster"/>
    <x v="3"/>
    <x v="4"/>
    <s v="Roster"/>
    <s v="Asia/ME/Europe"/>
    <s v="Stacy/Ops Team"/>
    <n v="2699"/>
  </r>
  <r>
    <n v="1"/>
    <s v="Haiti"/>
    <s v="Epidemic"/>
    <s v="Alex Latour"/>
    <s v="Team Lead - Emergency Response Team Mbr"/>
    <s v="DM Delegate"/>
    <s v="Haiti"/>
    <d v="2010-10-25T00:00:00"/>
    <d v="2010-10-31T00:00:00"/>
    <s v="Disaster"/>
    <x v="1"/>
    <x v="4"/>
    <s v="Staff"/>
    <s v="LAC"/>
    <s v="ARC Haiti Office"/>
    <n v="2888"/>
  </r>
  <r>
    <n v="1"/>
    <s v="Haiti"/>
    <s v="Epidemic"/>
    <s v="George Sykes"/>
    <s v="Information &amp; Reporting - Emergency Response Team Mbr"/>
    <s v="DM Delegate"/>
    <s v="Haiti"/>
    <d v="2010-10-25T00:00:00"/>
    <d v="2010-10-31T00:00:00"/>
    <s v="Disaster"/>
    <x v="1"/>
    <x v="4"/>
    <s v="Staff"/>
    <s v="LAC"/>
    <s v="ARC Haiti Office"/>
    <n v="2888"/>
  </r>
  <r>
    <n v="1"/>
    <s v="Haiti"/>
    <s v="Epidemic"/>
    <s v="Bijou Phiness"/>
    <s v="Logistics - Emergency Response Team Mbr"/>
    <s v="DM Delegate"/>
    <s v="Haiti"/>
    <d v="2010-10-25T00:00:00"/>
    <d v="2010-10-31T00:00:00"/>
    <s v="Disaster"/>
    <x v="1"/>
    <x v="4"/>
    <s v="Staff"/>
    <s v="LAC"/>
    <s v="ARC Haiti Office"/>
    <n v="2888"/>
  </r>
  <r>
    <n v="1"/>
    <s v="Haiti"/>
    <s v="Epidemic"/>
    <s v="Lisa McGuire"/>
    <s v="Health - Emergency Response Team Mbr"/>
    <s v="DM Delegate"/>
    <s v="Haiti"/>
    <d v="2010-10-25T00:00:00"/>
    <d v="2010-10-31T00:00:00"/>
    <s v="Disaster"/>
    <x v="1"/>
    <x v="4"/>
    <s v="Staff"/>
    <s v="LAC"/>
    <s v="ARC Haiti Office"/>
    <n v="2888"/>
  </r>
  <r>
    <n v="1"/>
    <s v="Haiti"/>
    <s v="Epidemic"/>
    <s v="Franklin Vilsaint"/>
    <s v="WatSan - Emergency Response Team Mbr"/>
    <s v="DM Delegate"/>
    <s v="Haiti"/>
    <d v="2010-10-25T00:00:00"/>
    <d v="2010-10-31T00:00:00"/>
    <s v="Disaster"/>
    <x v="1"/>
    <x v="4"/>
    <s v="Staff"/>
    <s v="LAC"/>
    <s v="ARC Haiti Office"/>
    <n v="2888"/>
  </r>
  <r>
    <n v="1"/>
    <s v="Haiti"/>
    <s v="Epidemic"/>
    <s v="Madushi Lansakara"/>
    <s v="Information and Reporting - Seconded to Federation base camp operation"/>
    <s v="DM Delegate"/>
    <s v="Haiti"/>
    <d v="2010-10-23T00:00:00"/>
    <d v="2010-10-29T00:00:00"/>
    <s v="Disaster"/>
    <x v="1"/>
    <x v="4"/>
    <s v="Staff"/>
    <s v="LAC"/>
    <s v="ARC Haiti Office"/>
    <n v="2888"/>
  </r>
  <r>
    <n v="1"/>
    <s v="Belize"/>
    <s v="Hurricane Richard"/>
    <s v="Laura Havesi"/>
    <s v="Relief Delegate - Cash transfer/voucher program"/>
    <s v="Cash Transfer Delegate"/>
    <s v="Belize"/>
    <d v="2010-11-15T00:00:00"/>
    <d v="2010-12-17T00:00:00"/>
    <s v="Disaster"/>
    <x v="1"/>
    <x v="4"/>
    <s v="Staff"/>
    <s v="LAC"/>
    <s v="Colin Chaperon"/>
    <n v="2799"/>
  </r>
  <r>
    <n v="1"/>
    <s v="Bangladesh"/>
    <s v="Capacity Building"/>
    <s v="Roger Palmer"/>
    <s v="Telecoms assessment/Cyclone Preparedness Program"/>
    <m/>
    <s v="Bangladesh"/>
    <d v="2010-11-15T00:00:00"/>
    <d v="2010-12-04T00:00:00"/>
    <s v="Non"/>
    <x v="1"/>
    <x v="4"/>
    <s v="Roster"/>
    <s v="Asia/ME/Europe"/>
    <s v="Colin Chaperon"/>
    <m/>
  </r>
  <r>
    <n v="1"/>
    <s v="North Africa &amp; Middle East Civil Unrest"/>
    <s v="Complex Emergency"/>
    <s v="Langdon Greenhalgh"/>
    <s v="FACT Team Leader"/>
    <s v="FACT Team Leader"/>
    <s v="Tunisia"/>
    <d v="2011-03-01T00:00:00"/>
    <d v="2011-03-20T00:00:00"/>
    <s v="Disaster"/>
    <x v="2"/>
    <x v="4"/>
    <s v="Roster"/>
    <s v="Asia/ME/Europe"/>
    <s v="Colin Chaperon"/>
    <n v="2799"/>
  </r>
  <r>
    <n v="1"/>
    <s v="North Africa &amp; Middle East Civil Unrest"/>
    <s v="Complex Emergency"/>
    <s v="Marian Spivey-Estrada"/>
    <s v="FACT Information &amp; Reporting"/>
    <s v="FACT Information &amp; Reporting"/>
    <s v="Tunisia"/>
    <d v="2011-03-02T00:00:00"/>
    <d v="2011-03-24T00:00:00"/>
    <s v="Disaster"/>
    <x v="2"/>
    <x v="4"/>
    <s v="Roster"/>
    <s v="Asia/ME/Europe"/>
    <s v="Colin Chaperon"/>
    <n v="2799"/>
  </r>
  <r>
    <n v="1"/>
    <s v="North Africa &amp; Middle East Civil Unrest"/>
    <s v="Complex Emergency"/>
    <s v="Colin Chaperon"/>
    <s v="FACT Relief Coordinator"/>
    <s v="FACT Relief Coordinator"/>
    <s v="Tunisia"/>
    <d v="2011-03-05T00:00:00"/>
    <d v="2011-04-02T00:00:00"/>
    <s v="Disaster"/>
    <x v="2"/>
    <x v="4"/>
    <s v="Roster"/>
    <s v="Asia/ME/Europe"/>
    <s v="Colin Chaperon"/>
    <n v="2799"/>
  </r>
  <r>
    <n v="1"/>
    <s v="North Africa &amp; Middle East Civil Unrest"/>
    <s v="Complex Emergency"/>
    <s v="Gina Guinta"/>
    <s v="FACT Information &amp; Reporting"/>
    <s v="FACT Information &amp; Reporting"/>
    <s v="Tunisia"/>
    <d v="2011-03-19T00:00:00"/>
    <m/>
    <s v="Disaster"/>
    <x v="2"/>
    <x v="4"/>
    <s v="Roster"/>
    <s v="Asia/ME/Europe"/>
    <s v="Marian Spivey-Estrada/ Tracy Reines"/>
    <n v="2799"/>
  </r>
  <r>
    <n v="1"/>
    <s v="North Africa &amp; Middle East Civil Unrest"/>
    <s v="Complex Emergency"/>
    <s v="Laura Hevesi"/>
    <s v="FACT Relief Coordinator"/>
    <s v="FACT Relief Coordinator"/>
    <s v="Tunisia"/>
    <d v="2011-03-30T00:00:00"/>
    <d v="2011-04-05T00:00:00"/>
    <s v="Disaster"/>
    <x v="2"/>
    <x v="4"/>
    <s v="Roster"/>
    <s v="Asia/ME/Europe"/>
    <s v="Colin Chaperon"/>
    <n v="2799"/>
  </r>
  <r>
    <n v="1"/>
    <s v="Japan"/>
    <s v="Earthquake and Tsunami"/>
    <s v="Tom Alcedo"/>
    <s v="Federation reporting delegate &amp; ARC representative"/>
    <s v="Information &amp; Reporting Delegate"/>
    <s v="Japan"/>
    <d v="2011-04-03T00:00:00"/>
    <d v="2011-04-29T00:00:00"/>
    <s v="Disaster"/>
    <x v="0"/>
    <x v="4"/>
    <s v="Staff"/>
    <s v="Asia/ME/Europe"/>
    <s v="Alex Mahoney"/>
    <s v="2841, Japan R&amp;D"/>
  </r>
  <r>
    <n v="1"/>
    <s v="Japan"/>
    <s v="Earthquake and Tsunami"/>
    <s v="Nan Buzard"/>
    <s v="ARC representative on high level Federation liaison team to Japanese RC"/>
    <s v="Advisor/Liaison"/>
    <s v="Japan"/>
    <m/>
    <m/>
    <s v="Disaster"/>
    <x v="0"/>
    <x v="4"/>
    <s v="Staff"/>
    <s v="Asia/ME/Europe"/>
    <s v="Mark Preslan"/>
    <s v="2841, Japan R&amp;D"/>
  </r>
  <r>
    <n v="1"/>
    <s v="Japan"/>
    <s v="Earthquake and Tsunami"/>
    <s v="John Manley"/>
    <s v="Federation reporting delegate &amp; ARC representative"/>
    <s v="Information &amp; Reporting Delegate"/>
    <s v="Japan"/>
    <d v="2011-04-26T00:00:00"/>
    <d v="2011-05-24T00:00:00"/>
    <s v="Disaster"/>
    <x v="0"/>
    <x v="4"/>
    <s v="Staff"/>
    <s v="Asia/ME/Europe"/>
    <s v="Alex Mahoney"/>
    <s v="2841, Japan R&amp;D"/>
  </r>
  <r>
    <m/>
    <m/>
    <m/>
    <m/>
    <m/>
    <m/>
    <m/>
    <m/>
    <m/>
    <m/>
    <x v="4"/>
    <x v="3"/>
    <m/>
    <m/>
    <m/>
    <m/>
  </r>
  <r>
    <m/>
    <m/>
    <m/>
    <m/>
    <m/>
    <m/>
    <m/>
    <m/>
    <m/>
    <m/>
    <x v="4"/>
    <x v="3"/>
    <m/>
    <m/>
    <m/>
    <m/>
  </r>
  <r>
    <m/>
    <m/>
    <m/>
    <m/>
    <m/>
    <m/>
    <m/>
    <m/>
    <m/>
    <m/>
    <x v="4"/>
    <x v="3"/>
    <m/>
    <m/>
    <m/>
    <m/>
  </r>
  <r>
    <m/>
    <m/>
    <m/>
    <m/>
    <m/>
    <m/>
    <m/>
    <m/>
    <m/>
    <m/>
    <x v="4"/>
    <x v="3"/>
    <m/>
    <m/>
    <m/>
    <m/>
  </r>
  <r>
    <m/>
    <m/>
    <m/>
    <m/>
    <m/>
    <m/>
    <m/>
    <m/>
    <m/>
    <m/>
    <x v="4"/>
    <x v="3"/>
    <m/>
    <m/>
    <m/>
    <m/>
  </r>
  <r>
    <m/>
    <m/>
    <m/>
    <m/>
    <m/>
    <m/>
    <m/>
    <m/>
    <m/>
    <m/>
    <x v="4"/>
    <x v="3"/>
    <m/>
    <m/>
    <m/>
    <m/>
  </r>
  <r>
    <m/>
    <m/>
    <m/>
    <m/>
    <m/>
    <m/>
    <m/>
    <m/>
    <m/>
    <m/>
    <x v="4"/>
    <x v="3"/>
    <m/>
    <m/>
    <m/>
    <m/>
  </r>
  <r>
    <m/>
    <m/>
    <m/>
    <m/>
    <m/>
    <m/>
    <m/>
    <m/>
    <m/>
    <m/>
    <x v="4"/>
    <x v="3"/>
    <m/>
    <m/>
    <m/>
    <m/>
  </r>
  <r>
    <m/>
    <m/>
    <m/>
    <m/>
    <m/>
    <m/>
    <m/>
    <m/>
    <m/>
    <m/>
    <x v="4"/>
    <x v="3"/>
    <m/>
    <m/>
    <m/>
    <m/>
  </r>
</pivotCacheRecords>
</file>

<file path=xl/pivotCache/pivotCacheRecords7.xml><?xml version="1.0" encoding="utf-8"?>
<pivotCacheRecords xmlns="http://schemas.openxmlformats.org/spreadsheetml/2006/main" xmlns:r="http://schemas.openxmlformats.org/officeDocument/2006/relationships" count="142">
  <r>
    <n v="1"/>
    <x v="0"/>
    <s v="Cyclone"/>
    <x v="0"/>
    <s v="Monitoring"/>
    <s v="DM Delegate"/>
    <s v="Myanmar"/>
    <d v="2008-07-23T00:00:00"/>
    <d v="2008-08-23T00:00:00"/>
    <x v="0"/>
    <s v="Q4"/>
    <x v="0"/>
    <s v="Staff"/>
    <m/>
    <s v="Alex/Greg"/>
    <m/>
  </r>
  <r>
    <n v="1"/>
    <x v="1"/>
    <s v="Food Insecurity"/>
    <x v="1"/>
    <s v="DM Delegate "/>
    <s v="DM Delegate"/>
    <s v="Kenya"/>
    <d v="2008-10-28T00:00:00"/>
    <d v="2008-12-07T00:00:00"/>
    <x v="0"/>
    <s v="Q2"/>
    <x v="1"/>
    <s v="Roster"/>
    <s v="Africa"/>
    <s v="Greg "/>
    <m/>
  </r>
  <r>
    <n v="1"/>
    <x v="2"/>
    <s v="Food Insecurity"/>
    <x v="2"/>
    <s v="Relief on Fed Assessment Team"/>
    <s v="Assessment Team"/>
    <m/>
    <d v="2008-10-26T00:00:00"/>
    <d v="2008-11-08T00:00:00"/>
    <x v="0"/>
    <s v="Q2"/>
    <x v="1"/>
    <s v="Staff"/>
    <s v="Africa"/>
    <s v="Stacy"/>
    <m/>
  </r>
  <r>
    <n v="1"/>
    <x v="3"/>
    <s v="Capacity Building"/>
    <x v="3"/>
    <s v="IT Telecoms Delegates"/>
    <s v="DM Delegate"/>
    <s v="Indonesia"/>
    <d v="2009-01-07T00:00:00"/>
    <d v="2009-04-18T00:00:00"/>
    <x v="1"/>
    <s v="Q3"/>
    <x v="1"/>
    <s v="Roster"/>
    <s v="Asia/ME/Europe"/>
    <s v="Travis"/>
    <m/>
  </r>
  <r>
    <n v="1"/>
    <x v="3"/>
    <s v="Capacity Building"/>
    <x v="4"/>
    <s v="IT Telecoms Delegates"/>
    <s v="DM Delegate"/>
    <s v="Indonesia"/>
    <d v="2009-01-07T00:00:00"/>
    <d v="2009-02-18T00:00:00"/>
    <x v="1"/>
    <s v="Q3"/>
    <x v="1"/>
    <s v="Roster"/>
    <s v="Asia/ME/Europe"/>
    <s v="Travis"/>
    <m/>
  </r>
  <r>
    <n v="1"/>
    <x v="4"/>
    <s v="Conflict"/>
    <x v="5"/>
    <s v="ICRC Relief Delegate: Gina recently served with the International Committee of the Red Cross (ICRC) in northern Sri Lanka. She worked in the Internally Displaced Persons camps distributing relief items.  Gina works for the American Red Cross with the Tsun"/>
    <s v="Seconded Delegate"/>
    <s v="Sri Lanka"/>
    <d v="2009-05-12T00:00:00"/>
    <d v="2009-06-09T00:00:00"/>
    <x v="0"/>
    <s v="Q4"/>
    <x v="1"/>
    <s v="Staff"/>
    <s v="Asia/ME/Europe"/>
    <s v="Jennifer Durben"/>
    <m/>
  </r>
  <r>
    <n v="1"/>
    <x v="5"/>
    <s v="Cyclone Aila"/>
    <x v="6"/>
    <s v="Relief Operations Support Delegate: Travis Betz deployed as a Relief Operations Support Delegate to support BDRCS in assessments, planning and coordination in response to Cyclone Aila. _x000a_"/>
    <s v="Seconded Delegate"/>
    <s v="Bangladesh"/>
    <d v="2009-06-30T00:00:00"/>
    <d v="2009-08-01T00:00:00"/>
    <x v="0"/>
    <s v="Q4"/>
    <x v="1"/>
    <s v="Staff"/>
    <s v="Asia/ME/Europe"/>
    <s v="Alex Mahoney"/>
    <m/>
  </r>
  <r>
    <n v="1"/>
    <x v="6"/>
    <s v="Capacity Building"/>
    <x v="7"/>
    <s v="Logistics Intern at KL RLU"/>
    <s v="Logistics Delegate"/>
    <s v="KL Zone Office"/>
    <d v="2008-09-22T00:00:00"/>
    <d v="2008-03-22T00:00:00"/>
    <x v="1"/>
    <s v="Q1"/>
    <x v="1"/>
    <s v="Roster"/>
    <s v="IFRC"/>
    <s v="Travis"/>
    <m/>
  </r>
  <r>
    <n v="1"/>
    <x v="7"/>
    <s v="Capacity Building"/>
    <x v="8"/>
    <s v="Regional Intervention Team Member: deployed to monitor ongoing operations and provide surge capacity to disaster management team."/>
    <s v="RIT"/>
    <s v="Panama PADRU"/>
    <d v="2009-04-01T00:00:00"/>
    <d v="2009-04-30T00:00:00"/>
    <x v="1"/>
    <s v="Q4"/>
    <x v="1"/>
    <s v="Roster"/>
    <s v="IFRC"/>
    <s v="Guillermo"/>
    <m/>
  </r>
  <r>
    <n v="1"/>
    <x v="8"/>
    <s v="Capacity Building"/>
    <x v="9"/>
    <s v="Business Continuity Planning: Charles deployed to Panama to support the Americas Zone in developing a Crisis Management Plan (CMP) for the IFRC Americas Zone with the Disaster Response Unit PADRU and Regional Representation Offices (RRO) to ensure that es"/>
    <s v="DM Delegate"/>
    <s v="Panama PADRU"/>
    <d v="2009-06-22T00:00:00"/>
    <d v="2009-07-15T00:00:00"/>
    <x v="1"/>
    <s v="Q4"/>
    <x v="1"/>
    <s v="Roster"/>
    <s v="IFRC"/>
    <s v="Guillermo"/>
    <m/>
  </r>
  <r>
    <n v="1"/>
    <x v="8"/>
    <s v="Capacity Building"/>
    <x v="6"/>
    <s v="Interim DM Delegate"/>
    <s v="DM Delegate"/>
    <s v="Panama PADRU"/>
    <d v="2008-12-01T00:00:00"/>
    <d v="2008-01-04T00:00:00"/>
    <x v="1"/>
    <s v="Q2"/>
    <x v="1"/>
    <s v="Staff"/>
    <s v="IFRC"/>
    <s v="Guillermo "/>
    <m/>
  </r>
  <r>
    <n v="1"/>
    <x v="6"/>
    <s v="Capacity Building"/>
    <x v="10"/>
    <s v="Staff on Loan to APDMU: Stacy deployed to provide HR support for monsoon and typhoon season and to assist with response and response preparedness activities. This was a generalist role supporting DM activities and operations coordination and support._x000a_"/>
    <s v="Staff on Loan"/>
    <s v="KL Zone Office/DMU"/>
    <d v="2009-06-01T00:00:00"/>
    <d v="2009-06-21T00:00:00"/>
    <x v="1"/>
    <s v="Q4"/>
    <x v="1"/>
    <s v="Staff"/>
    <s v="IFRC"/>
    <s v="Tracy Reines"/>
    <m/>
  </r>
  <r>
    <n v="1"/>
    <x v="6"/>
    <s v="Capacity Building"/>
    <x v="11"/>
    <s v="Staff on Loan to APDMU: Alex deployed to provide HR support for monsoon and typhoon season and to assist with response and response preparedness activities. This was a generalist role supporting DM activities and operations coordination and support._x000a_"/>
    <s v="Staff on Loan"/>
    <s v="KL Zone Office/DMU"/>
    <d v="2009-06-21T00:00:00"/>
    <d v="2009-07-10T00:00:00"/>
    <x v="1"/>
    <s v="Q4"/>
    <x v="1"/>
    <s v="Staff"/>
    <s v="IFRC"/>
    <s v="N/A"/>
    <m/>
  </r>
  <r>
    <n v="1"/>
    <x v="9"/>
    <s v="Capacity Building"/>
    <x v="12"/>
    <s v="Contingency planning w/ APDMU: Anne deployed to support the project design and test of a complimentary tool for the Fed’s Disaster Response and Contingency Guide. The project will review existing disaster contingency plans in Asia Pacific and past practic"/>
    <s v="DM Delegate"/>
    <s v="KL Zone Office/DMU"/>
    <d v="2009-06-22T00:00:00"/>
    <d v="2009-07-09T00:00:00"/>
    <x v="1"/>
    <s v="Q4"/>
    <x v="1"/>
    <s v="Staff"/>
    <s v="IFRC"/>
    <s v="Alex in country "/>
    <m/>
  </r>
  <r>
    <n v="1"/>
    <x v="10"/>
    <s v="Floods"/>
    <x v="3"/>
    <s v="IT &amp; Telecoms"/>
    <s v="IT/Telecom ERU"/>
    <s v="Suriname"/>
    <d v="2008-08-26T00:00:00"/>
    <d v="2008-09-15T00:00:00"/>
    <x v="0"/>
    <s v="Q1"/>
    <x v="1"/>
    <s v="Roster"/>
    <s v="LAC"/>
    <s v="Christine/Greg"/>
    <m/>
  </r>
  <r>
    <n v="1"/>
    <x v="10"/>
    <s v="Floods"/>
    <x v="13"/>
    <s v="IT &amp; Telecoms"/>
    <s v="IT/Telecom ERU"/>
    <s v="Suriname"/>
    <d v="2008-08-26T00:00:00"/>
    <d v="2008-09-15T00:00:00"/>
    <x v="0"/>
    <s v="Q1"/>
    <x v="1"/>
    <s v="Roster"/>
    <s v="LAC"/>
    <s v="Christine /Greg"/>
    <m/>
  </r>
  <r>
    <n v="1"/>
    <x v="11"/>
    <s v="Hurricanes"/>
    <x v="14"/>
    <s v="FACT Team Lead (9/3/08 - 10/30/08) Head of Ops (11/12/08 - 5/12/09)"/>
    <s v="FACT"/>
    <s v="Haiti"/>
    <d v="2008-09-03T00:00:00"/>
    <d v="2008-10-30T00:00:00"/>
    <x v="0"/>
    <s v="Q1"/>
    <x v="1"/>
    <s v="Roster"/>
    <s v="LAC"/>
    <s v="Christine/Travis"/>
    <m/>
  </r>
  <r>
    <n v="1"/>
    <x v="12"/>
    <s v="Hurricane"/>
    <x v="15"/>
    <s v="RIT"/>
    <s v="RIT"/>
    <s v="Bahamas"/>
    <d v="2008-09-04T00:00:00"/>
    <d v="2008-09-25T00:00:00"/>
    <x v="0"/>
    <s v="Q1"/>
    <x v="1"/>
    <s v="Roster"/>
    <s v="LAC"/>
    <s v="Shelley"/>
    <m/>
  </r>
  <r>
    <n v="1"/>
    <x v="11"/>
    <s v="Hurricanes"/>
    <x v="16"/>
    <s v="Relief ERU Member + Team Lead"/>
    <s v="Relief ERU"/>
    <s v="Haiti"/>
    <d v="2008-10-01T00:00:00"/>
    <d v="2008-11-25T00:00:00"/>
    <x v="0"/>
    <s v="Q2"/>
    <x v="1"/>
    <s v="Roster"/>
    <s v="LAC"/>
    <s v="Christine/Travis"/>
    <m/>
  </r>
  <r>
    <n v="1"/>
    <x v="13"/>
    <s v="Earthquake"/>
    <x v="17"/>
    <s v="Cash Voucher Delegate"/>
    <s v="DM Delegate"/>
    <s v="Costa Rica"/>
    <d v="2009-01-25T00:00:00"/>
    <d v="2009-02-21T00:00:00"/>
    <x v="0"/>
    <s v="Q3"/>
    <x v="1"/>
    <s v="Roster"/>
    <s v="LAC"/>
    <s v="Christine"/>
    <m/>
  </r>
  <r>
    <n v="1"/>
    <x v="14"/>
    <s v="Hurricane Ike"/>
    <x v="18"/>
    <s v="Liaison to Mexican RC"/>
    <s v="DM Delegate"/>
    <s v="Texas"/>
    <d v="2008-09-18T00:00:00"/>
    <s v="3 weeks"/>
    <x v="1"/>
    <s v="Q1"/>
    <x v="1"/>
    <s v="Roster"/>
    <s v="LAC"/>
    <s v="Travis"/>
    <m/>
  </r>
  <r>
    <n v="1"/>
    <x v="15"/>
    <s v="Capacity Building"/>
    <x v="1"/>
    <s v="DM Delegate for Disaster Planning"/>
    <s v="DM Delegate"/>
    <s v="Belize"/>
    <d v="2009-01-01T00:00:00"/>
    <s v="3 weeks"/>
    <x v="1"/>
    <s v="Q3"/>
    <x v="1"/>
    <s v="Roster"/>
    <s v="LAC"/>
    <s v="Guillermo"/>
    <m/>
  </r>
  <r>
    <n v="1"/>
    <x v="11"/>
    <s v="Hurricanes"/>
    <x v="19"/>
    <s v="Relief ERU Member"/>
    <s v="Relief ERU"/>
    <s v="Haiti"/>
    <d v="2008-09-06T00:00:00"/>
    <s v="1 month"/>
    <x v="0"/>
    <s v="Q1"/>
    <x v="1"/>
    <s v="Staff"/>
    <s v="LAC"/>
    <s v="Christine/Travis"/>
    <m/>
  </r>
  <r>
    <n v="1"/>
    <x v="11"/>
    <s v="Hurricanes"/>
    <x v="0"/>
    <s v="Relief ERU Team Lead"/>
    <s v="Relief ERU"/>
    <s v="Haiti"/>
    <d v="2008-09-06T00:00:00"/>
    <d v="2008-10-03T00:00:00"/>
    <x v="0"/>
    <s v="Q1"/>
    <x v="1"/>
    <s v="Staff"/>
    <s v="LAC"/>
    <s v="Christine/Travis"/>
    <m/>
  </r>
  <r>
    <n v="1"/>
    <x v="11"/>
    <s v="Hurricanes"/>
    <x v="20"/>
    <s v="Relief ERU Member "/>
    <s v="Relief ERU"/>
    <s v="Haiti"/>
    <d v="2008-10-11T00:00:00"/>
    <d v="2008-11-01T00:00:00"/>
    <x v="0"/>
    <s v="Q2"/>
    <x v="1"/>
    <s v="Staff"/>
    <s v="LAC"/>
    <s v="Christine/Travis"/>
    <m/>
  </r>
  <r>
    <n v="1"/>
    <x v="13"/>
    <s v="Earthquake"/>
    <x v="21"/>
    <s v="Cash Voucher Delegate"/>
    <s v="DM Delegate"/>
    <s v="Costa Rica"/>
    <d v="2009-01-25T00:00:00"/>
    <d v="2009-02-21T00:00:00"/>
    <x v="0"/>
    <s v="Q3"/>
    <x v="1"/>
    <s v="Staff"/>
    <s v="LAC"/>
    <s v="Christine"/>
    <m/>
  </r>
  <r>
    <n v="1"/>
    <x v="14"/>
    <s v="Capacity Building"/>
    <x v="7"/>
    <s v="Logistics"/>
    <s v="Logistics Delegate"/>
    <s v="NHQ"/>
    <d v="2008-07-07T00:00:00"/>
    <s v="2 months"/>
    <x v="1"/>
    <s v="Q1"/>
    <x v="1"/>
    <s v="Roster"/>
    <s v="NHQ"/>
    <s v="Liz"/>
    <m/>
  </r>
  <r>
    <n v="1"/>
    <x v="14"/>
    <s v="H1N1 Flu Outbreak"/>
    <x v="22"/>
    <s v="Support N1H1 Pandemic preparedness/monitoring: Cristina provided technical surge capacity and supported information management during the H1N1 Flu Outbreak under the direction of ISD’s Senior Pandemic Advisor. _x000a_"/>
    <s v="Operations Support Delegate"/>
    <s v="NHQ"/>
    <d v="2009-05-03T00:00:00"/>
    <d v="2009-05-24T00:00:00"/>
    <x v="1"/>
    <s v="Q4"/>
    <x v="1"/>
    <s v="Roster"/>
    <s v="NHQ"/>
    <s v="Jeanne Koepsell"/>
    <m/>
  </r>
  <r>
    <n v="1"/>
    <x v="16"/>
    <s v="West African Floods"/>
    <x v="16"/>
    <s v="Relief FACT Team member "/>
    <s v="FACT"/>
    <s v="Burkina Faso"/>
    <d v="2009-09-10T00:00:00"/>
    <d v="2009-10-12T00:00:00"/>
    <x v="0"/>
    <s v="Q1"/>
    <x v="2"/>
    <s v="Roster"/>
    <s v="Africa"/>
    <s v="Colin Chaperon"/>
    <s v="RRF 2799"/>
  </r>
  <r>
    <n v="1"/>
    <x v="17"/>
    <s v="West African Floods"/>
    <x v="23"/>
    <s v="Relief ERU Team Leader (AmCross lead joint ERU with Danish RC)"/>
    <s v="Relief ERU"/>
    <s v="Senegal"/>
    <d v="2009-09-12T00:00:00"/>
    <d v="2009-10-12T00:00:00"/>
    <x v="0"/>
    <s v="Q1"/>
    <x v="2"/>
    <s v="Roster"/>
    <s v="Africa"/>
    <s v="Colin Chaperon"/>
    <s v="RRF 2799"/>
  </r>
  <r>
    <n v="1"/>
    <x v="17"/>
    <s v="West African Floods"/>
    <x v="24"/>
    <s v="Relief ERU Team Member (AmCross lead joint ERU with Danish RC)"/>
    <s v="Relief ERU"/>
    <s v="Senegal"/>
    <d v="2009-09-12T00:00:00"/>
    <d v="2009-10-12T00:00:00"/>
    <x v="0"/>
    <s v="Q1"/>
    <x v="2"/>
    <s v="Roster"/>
    <s v="Africa"/>
    <s v="Colin Chaperon"/>
    <s v="RRF 2799"/>
  </r>
  <r>
    <n v="1"/>
    <x v="17"/>
    <s v="West African Floods"/>
    <x v="25"/>
    <s v="Relief ERU Team Member (AmCross lead joint ERU with Danish RC)"/>
    <s v="Relief ERU"/>
    <s v="Senegal"/>
    <d v="2009-09-12T00:00:00"/>
    <d v="2009-10-12T00:00:00"/>
    <x v="0"/>
    <s v="Q1"/>
    <x v="2"/>
    <s v="Roster"/>
    <s v="Africa"/>
    <s v="Colin Chaperon"/>
    <s v="RRF 2799"/>
  </r>
  <r>
    <n v="1"/>
    <x v="3"/>
    <s v="West Java Earthquake"/>
    <x v="22"/>
    <s v="Shelter Cluster Information Manager Delegate deployed to Indonesia to fill the role of IFRC Shelter Cluster Information Manager for Java Earthquake response"/>
    <s v="Shelter Cluster"/>
    <s v="Indonesia"/>
    <d v="2009-09-16T00:00:00"/>
    <d v="2009-10-16T00:00:00"/>
    <x v="0"/>
    <s v="Q1"/>
    <x v="2"/>
    <s v="Roster"/>
    <s v="Asia/ME/Europe"/>
    <s v="Colin Chaperon"/>
    <s v="RRF 2799"/>
  </r>
  <r>
    <n v="1"/>
    <x v="18"/>
    <s v="Typhoons"/>
    <x v="22"/>
    <s v="Coordinate OFDA grant funded NFI distributions with PNRC"/>
    <s v="Operations Support Delegate"/>
    <s v="Phillippines"/>
    <d v="2009-10-16T00:00:00"/>
    <d v="2009-12-16T00:00:00"/>
    <x v="0"/>
    <s v="Q1"/>
    <x v="2"/>
    <s v="Roster"/>
    <s v="Asia/ME/Europe"/>
    <s v="Stacy Ragan"/>
    <n v="2698"/>
  </r>
  <r>
    <n v="1"/>
    <x v="18"/>
    <s v="Typhoons"/>
    <x v="26"/>
    <s v="Shelter Cluster Coordinator Delegate deployed to Philippines"/>
    <s v="Shelter Cluster"/>
    <s v="Phillippines"/>
    <d v="2009-10-05T00:00:00"/>
    <d v="2009-11-05T00:00:00"/>
    <x v="0"/>
    <s v="Q1"/>
    <x v="2"/>
    <s v="Roster"/>
    <s v="Asia/ME/Europe"/>
    <s v="Stacy Ragan"/>
    <n v="2698"/>
  </r>
  <r>
    <n v="1"/>
    <x v="19"/>
    <s v="Typhoons"/>
    <x v="27"/>
    <s v="Coordinate OFDA grant Cash Transfer Programming in Vietnam"/>
    <s v="DM Delegate"/>
    <s v="Vietnam"/>
    <d v="2009-10-16T00:00:00"/>
    <s v="TBD"/>
    <x v="0"/>
    <s v="Q1"/>
    <x v="2"/>
    <s v="Staff"/>
    <s v="Asia/ME/Europe"/>
    <s v="Alex Mahoney"/>
    <n v="2698"/>
  </r>
  <r>
    <n v="1"/>
    <x v="20"/>
    <s v="Mexico Hurricane Jimena"/>
    <x v="28"/>
    <s v="Delegate working with Mexican Red Cross on M &amp; E for relief distribution"/>
    <s v="DM Delegate"/>
    <s v="Mexico"/>
    <d v="2010-12-01T00:00:00"/>
    <d v="2010-12-20T00:00:00"/>
    <x v="0"/>
    <s v="Q1"/>
    <x v="2"/>
    <s v="Roster"/>
    <s v="LAC"/>
    <s v="Stacy"/>
    <m/>
  </r>
  <r>
    <n v="1"/>
    <x v="3"/>
    <s v="Earthquake"/>
    <x v="11"/>
    <s v="Coordinate OFDA grant funded NFI distributions with PMI"/>
    <s v="Operations Support Delegate"/>
    <s v="Indonesia"/>
    <d v="2009-10-19T00:00:00"/>
    <d v="2009-11-10T00:00:00"/>
    <x v="0"/>
    <s v="Q1"/>
    <x v="2"/>
    <s v="Staff"/>
    <s v="Asia/ME/Europe"/>
    <s v="Christy Ferguson"/>
    <n v="2930"/>
  </r>
  <r>
    <n v="1"/>
    <x v="11"/>
    <s v="Floods"/>
    <x v="16"/>
    <s v="Deployed to Haiti NRC as a RIT for DREF operation."/>
    <s v="RIT"/>
    <s v="Haiti"/>
    <d v="2009-11-13T00:00:00"/>
    <d v="2009-12-13T00:00:00"/>
    <x v="0"/>
    <s v="Q2"/>
    <x v="2"/>
    <s v="Roster"/>
    <s v="LAC"/>
    <s v="Scott DiPretoro"/>
    <n v="2885"/>
  </r>
  <r>
    <n v="1"/>
    <x v="21"/>
    <s v="Capacity Building"/>
    <x v="29"/>
    <s v="Staff on loan working with Federation Zone on PMER in China and Mongolia"/>
    <s v="Staff on Loan"/>
    <s v="China/_x000a_Mongolia"/>
    <d v="2009-11-29T00:00:00"/>
    <d v="2009-12-22T00:00:00"/>
    <x v="1"/>
    <s v="Q2"/>
    <x v="2"/>
    <s v="Staff"/>
    <s v="Asia/ME/Europe"/>
    <s v="Stacy"/>
    <s v="China EQ AP"/>
  </r>
  <r>
    <n v="1"/>
    <x v="22"/>
    <s v="Capacity Building"/>
    <x v="2"/>
    <s v="Delegate working with Nepal Red Cross on disaster management planning"/>
    <s v="DM Delegate"/>
    <s v="Nepal"/>
    <d v="2009-10-31T00:00:00"/>
    <d v="2009-12-05T00:00:00"/>
    <x v="1"/>
    <s v="Q2"/>
    <x v="2"/>
    <s v="Staff"/>
    <s v="Asia/ME/Europe"/>
    <s v="Stacy"/>
    <s v="SIF/3809 – Fed to reimburse "/>
  </r>
  <r>
    <m/>
    <x v="23"/>
    <m/>
    <x v="30"/>
    <m/>
    <m/>
    <m/>
    <m/>
    <m/>
    <x v="2"/>
    <m/>
    <x v="3"/>
    <m/>
    <m/>
    <m/>
    <m/>
  </r>
  <r>
    <m/>
    <x v="23"/>
    <m/>
    <x v="30"/>
    <m/>
    <m/>
    <m/>
    <m/>
    <m/>
    <x v="2"/>
    <m/>
    <x v="3"/>
    <m/>
    <m/>
    <m/>
    <m/>
  </r>
  <r>
    <n v="1"/>
    <x v="11"/>
    <s v="Earthquake"/>
    <x v="0"/>
    <s v="Relief ERU Team Leader"/>
    <s v="Relief ERU"/>
    <s v="Haiti"/>
    <d v="2010-01-13T00:00:00"/>
    <d v="2010-02-10T00:00:00"/>
    <x v="0"/>
    <s v="Q3"/>
    <x v="2"/>
    <s v="Staff"/>
    <s v="LAC"/>
    <s v="Stacy/Ops Team"/>
    <n v="2888"/>
  </r>
  <r>
    <n v="1"/>
    <x v="11"/>
    <s v="Earthquake"/>
    <x v="23"/>
    <s v="Relief  FACT team"/>
    <s v="Relief ERU"/>
    <s v="Haiti"/>
    <d v="2010-01-13T00:00:00"/>
    <d v="2010-02-04T00:00:00"/>
    <x v="0"/>
    <s v="Q3"/>
    <x v="2"/>
    <s v="Roster"/>
    <s v="LAC"/>
    <s v="Stacy/Ops Team"/>
    <n v="2888"/>
  </r>
  <r>
    <n v="1"/>
    <x v="11"/>
    <s v="Earthquake"/>
    <x v="31"/>
    <s v="Relief ERU Team Member"/>
    <s v="Relief ERU"/>
    <s v="Haiti"/>
    <d v="2010-01-13T00:00:00"/>
    <d v="2010-01-30T00:00:00"/>
    <x v="0"/>
    <s v="Q3"/>
    <x v="2"/>
    <s v="Staff"/>
    <s v="LAC"/>
    <s v="Stacy/Ops Team"/>
    <n v="2888"/>
  </r>
  <r>
    <n v="1"/>
    <x v="11"/>
    <s v="Earthquake"/>
    <x v="32"/>
    <s v="Relief ERU Team Member"/>
    <s v="Relief ERU"/>
    <s v="Haiti"/>
    <d v="2010-01-13T00:00:00"/>
    <d v="2010-01-30T00:00:00"/>
    <x v="0"/>
    <s v="Q3"/>
    <x v="2"/>
    <s v="Staff"/>
    <s v="LAC"/>
    <s v="Stacy/Ops Team"/>
    <n v="2888"/>
  </r>
  <r>
    <n v="1"/>
    <x v="11"/>
    <s v="Earthquake"/>
    <x v="14"/>
    <s v="Relief ERU Team Member"/>
    <s v="Relief ERU"/>
    <s v="Haiti"/>
    <d v="2010-01-13T00:00:00"/>
    <d v="2010-01-30T00:00:00"/>
    <x v="0"/>
    <s v="Q3"/>
    <x v="2"/>
    <s v="Roster"/>
    <s v="LAC"/>
    <s v="Stacy/Ops Team"/>
    <n v="2888"/>
  </r>
  <r>
    <n v="1"/>
    <x v="11"/>
    <s v="Earthquake"/>
    <x v="33"/>
    <s v="IFRC Logistics Delegate"/>
    <s v="Logistics Delegate"/>
    <s v="Haiti"/>
    <d v="2010-01-19T00:00:00"/>
    <d v="2010-02-28T00:00:00"/>
    <x v="0"/>
    <s v="Q3"/>
    <x v="2"/>
    <s v="Staff"/>
    <s v="LAC"/>
    <s v="Stacy/Ops Team"/>
    <n v="2888"/>
  </r>
  <r>
    <n v="1"/>
    <x v="11"/>
    <s v="Earthquake"/>
    <x v="4"/>
    <s v="IT/Telecoms ERU joint with Danish RC"/>
    <s v="IT/Telecom ERU"/>
    <s v="Haiti"/>
    <d v="2010-01-13T00:00:00"/>
    <d v="2010-02-14T00:00:00"/>
    <x v="0"/>
    <s v="Q3"/>
    <x v="2"/>
    <s v="Roster"/>
    <s v="LAC"/>
    <s v="Stacy/Ops Team"/>
    <n v="2888"/>
  </r>
  <r>
    <n v="1"/>
    <x v="11"/>
    <s v="Earthquake"/>
    <x v="13"/>
    <s v="IT/Telecoms ERU joint with Danish RC"/>
    <s v="IT/Telecom ERU"/>
    <s v="Haiti"/>
    <d v="2010-01-13T00:00:00"/>
    <d v="2010-02-14T00:00:00"/>
    <x v="0"/>
    <s v="Q3"/>
    <x v="2"/>
    <s v="Roster"/>
    <s v="LAC"/>
    <s v="Stacy/Ops Team"/>
    <n v="2888"/>
  </r>
  <r>
    <n v="1"/>
    <x v="11"/>
    <s v="Earthquake"/>
    <x v="34"/>
    <s v="IFRC Operations Liaison"/>
    <s v="Operations Support Delegate"/>
    <s v="Haiti"/>
    <d v="2010-01-24T00:00:00"/>
    <d v="2010-01-31T00:00:00"/>
    <x v="0"/>
    <s v="Q3"/>
    <x v="2"/>
    <s v="Staff"/>
    <s v="LAC"/>
    <s v="Stacy/Ops Team"/>
    <n v="2888"/>
  </r>
  <r>
    <n v="1"/>
    <x v="11"/>
    <s v="Earthquake"/>
    <x v="35"/>
    <s v="IFRC Logistics Delegate"/>
    <s v="Logistics Delegate"/>
    <s v="Haiti"/>
    <d v="2010-01-25T00:00:00"/>
    <d v="2010-02-04T00:00:00"/>
    <x v="0"/>
    <s v="Q3"/>
    <x v="2"/>
    <s v="Staff"/>
    <s v="LAC"/>
    <s v="Stacy/Ops Team"/>
    <n v="2888"/>
  </r>
  <r>
    <n v="1"/>
    <x v="11"/>
    <s v="Earthquake"/>
    <x v="36"/>
    <s v="IFRC Logistics Delegate"/>
    <s v="Logistics Delegate"/>
    <s v="Haiti"/>
    <d v="2010-01-25T00:00:00"/>
    <d v="2010-02-14T00:00:00"/>
    <x v="0"/>
    <s v="Q3"/>
    <x v="2"/>
    <s v="Roster"/>
    <s v="LAC"/>
    <s v="Stacy/Ops Team"/>
    <n v="2888"/>
  </r>
  <r>
    <n v="1"/>
    <x v="11"/>
    <s v="Earthquake"/>
    <x v="37"/>
    <s v="FACT Team Admin &amp; Reporting"/>
    <s v="FACT"/>
    <s v="Haiti"/>
    <d v="2010-01-22T00:00:00"/>
    <d v="2010-02-06T00:00:00"/>
    <x v="0"/>
    <s v="Q3"/>
    <x v="2"/>
    <s v="Staff"/>
    <s v="LAC"/>
    <s v="Stacy/Ops Team"/>
    <n v="2888"/>
  </r>
  <r>
    <n v="1"/>
    <x v="11"/>
    <s v="Earthquake"/>
    <x v="9"/>
    <s v="Relief ERU Team Member"/>
    <s v="Relief ERU"/>
    <s v="Haiti"/>
    <d v="2010-01-22T00:00:00"/>
    <d v="2010-02-16T00:00:00"/>
    <x v="0"/>
    <s v="Q3"/>
    <x v="2"/>
    <s v="Roster"/>
    <s v="LAC"/>
    <s v="Stacy/Ops Team"/>
    <n v="2888"/>
  </r>
  <r>
    <n v="1"/>
    <x v="11"/>
    <s v="Earthquake"/>
    <x v="25"/>
    <s v="Relief ERU Team Member"/>
    <s v="Relief ERU"/>
    <s v="Haiti"/>
    <d v="2010-01-31T00:00:00"/>
    <d v="2010-02-26T00:00:00"/>
    <x v="0"/>
    <s v="Q3"/>
    <x v="2"/>
    <s v="Roster"/>
    <s v="LAC"/>
    <s v="Stacy/Ops Team"/>
    <n v="2888"/>
  </r>
  <r>
    <n v="1"/>
    <x v="11"/>
    <s v="Earthquake"/>
    <x v="38"/>
    <s v="Relief ERU Team Member"/>
    <s v="Relief ERU"/>
    <s v="Haiti"/>
    <d v="2010-01-31T00:00:00"/>
    <d v="2010-02-26T00:00:00"/>
    <x v="0"/>
    <s v="Q3"/>
    <x v="2"/>
    <s v="Roster"/>
    <s v="LAC"/>
    <s v="Stacy/Ops Team"/>
    <n v="2888"/>
  </r>
  <r>
    <n v="1"/>
    <x v="11"/>
    <s v="Earthquake"/>
    <x v="39"/>
    <s v="Relief ERU Team Leader"/>
    <s v="Relief ERU"/>
    <s v="Haiti"/>
    <d v="2010-01-31T00:00:00"/>
    <d v="2010-02-26T00:00:00"/>
    <x v="0"/>
    <s v="Q3"/>
    <x v="2"/>
    <s v="Roster"/>
    <s v="LAC"/>
    <s v="Stacy/Ops Team"/>
    <n v="2888"/>
  </r>
  <r>
    <n v="1"/>
    <x v="11"/>
    <s v="Earthquake"/>
    <x v="40"/>
    <s v="Relief ERU Team Member"/>
    <s v="Relief ERU"/>
    <s v="Haiti"/>
    <d v="2010-01-31T00:00:00"/>
    <d v="2010-02-26T00:00:00"/>
    <x v="0"/>
    <s v="Q3"/>
    <x v="2"/>
    <s v="Roster"/>
    <s v="LAC"/>
    <s v="Stacy/Ops Team"/>
    <n v="2888"/>
  </r>
  <r>
    <n v="1"/>
    <x v="11"/>
    <s v="Earthquake"/>
    <x v="41"/>
    <s v="Relief ERU Team Member"/>
    <s v="Relief ERU"/>
    <s v="Haiti"/>
    <d v="2010-01-31T00:00:00"/>
    <d v="2010-02-26T00:00:00"/>
    <x v="0"/>
    <s v="Q3"/>
    <x v="2"/>
    <s v="Roster"/>
    <s v="LAC"/>
    <s v="Stacy/Ops Team"/>
    <n v="2888"/>
  </r>
  <r>
    <n v="1"/>
    <x v="11"/>
    <s v="Earthquake"/>
    <x v="42"/>
    <s v="Relief ERU Team Member"/>
    <s v="Relief ERU"/>
    <s v="Haiti"/>
    <d v="2010-02-03T00:00:00"/>
    <d v="2010-02-26T00:00:00"/>
    <x v="0"/>
    <s v="Q3"/>
    <x v="2"/>
    <s v="Roster"/>
    <s v="LAC"/>
    <s v="Stacy/Ops Team"/>
    <n v="2888"/>
  </r>
  <r>
    <n v="1"/>
    <x v="11"/>
    <s v="Earthquake"/>
    <x v="17"/>
    <s v="Cash Transfer Programming Delegate (Alt Relief Team)"/>
    <s v="Cash Transfer Delegate"/>
    <s v="Haiti"/>
    <d v="2010-01-31T00:00:00"/>
    <d v="2010-04-01T00:00:00"/>
    <x v="0"/>
    <s v="Q3"/>
    <x v="2"/>
    <s v="Staff"/>
    <s v="LAC"/>
    <s v="Stacy/Ops Team"/>
    <n v="2888"/>
  </r>
  <r>
    <n v="1"/>
    <x v="11"/>
    <s v="Earthquake"/>
    <x v="43"/>
    <s v="Cash Transfer Programming Delegate (Alt Relief Team)"/>
    <s v="Cash Transfer Delegate"/>
    <s v="Haiti"/>
    <d v="2010-01-31T00:00:00"/>
    <d v="2010-02-26T00:00:00"/>
    <x v="0"/>
    <s v="Q3"/>
    <x v="2"/>
    <s v="Staff"/>
    <s v="LAC"/>
    <s v="Stacy/Ops Team"/>
    <n v="2888"/>
  </r>
  <r>
    <n v="1"/>
    <x v="11"/>
    <s v="Earthquake"/>
    <x v="44"/>
    <s v="Cash Transfer Programming Delegate (Alt Relief Team)"/>
    <s v="Cash Transfer Delegate"/>
    <s v="Haiti"/>
    <d v="2010-02-02T00:00:00"/>
    <d v="2010-02-26T00:00:00"/>
    <x v="0"/>
    <s v="Q3"/>
    <x v="2"/>
    <s v="Roster"/>
    <s v="LAC"/>
    <s v="Stacy/Ops Team"/>
    <n v="2888"/>
  </r>
  <r>
    <n v="1"/>
    <x v="11"/>
    <s v="Earthquake"/>
    <x v="45"/>
    <s v="Cash Transfer Programming Delegate (Alt Relief Team)"/>
    <s v="Cash Transfer Delegate"/>
    <s v="Haiti"/>
    <d v="2010-02-02T00:00:00"/>
    <d v="2010-02-26T00:00:00"/>
    <x v="0"/>
    <s v="Q3"/>
    <x v="2"/>
    <s v="Roster"/>
    <s v="LAC"/>
    <s v="Stacy/Ops Team"/>
    <n v="2888"/>
  </r>
  <r>
    <n v="1"/>
    <x v="11"/>
    <s v="Earthquake"/>
    <x v="46"/>
    <s v="Cash Transfer Programming Delegate (Alt Relief Team)"/>
    <s v="Cash Transfer Delegate"/>
    <s v="Haiti"/>
    <d v="2010-02-13T00:00:00"/>
    <d v="2010-04-03T00:00:00"/>
    <x v="0"/>
    <s v="Q3"/>
    <x v="2"/>
    <s v="Staff"/>
    <s v="LAC"/>
    <s v="Stacy/Ops Team"/>
    <n v="2888"/>
  </r>
  <r>
    <n v="1"/>
    <x v="11"/>
    <s v="Earthquake"/>
    <x v="47"/>
    <s v="IFRC &amp; Bilateral (ARC) Finance Delegate"/>
    <s v="Operations Support Delegate"/>
    <s v="Haiti"/>
    <d v="2010-02-17T00:00:00"/>
    <d v="2010-03-03T00:00:00"/>
    <x v="0"/>
    <s v="Q3"/>
    <x v="2"/>
    <s v="Staff"/>
    <s v="LAC"/>
    <s v="Stacy/Ops Team"/>
    <n v="2888"/>
  </r>
  <r>
    <n v="1"/>
    <x v="11"/>
    <s v="Earthquake"/>
    <x v="48"/>
    <s v="IFRC Security Delegate"/>
    <s v="Operations Support Delegate"/>
    <s v="Haiti"/>
    <d v="2010-02-17T00:00:00"/>
    <d v="2010-04-03T00:00:00"/>
    <x v="0"/>
    <s v="Q3"/>
    <x v="2"/>
    <s v="Staff"/>
    <s v="LAC"/>
    <s v="Stacy/Ops Team"/>
    <n v="2888"/>
  </r>
  <r>
    <n v="1"/>
    <x v="11"/>
    <s v="Earthquake"/>
    <x v="49"/>
    <s v="IFRC Logistics Delegate"/>
    <s v="Logistics Delegate"/>
    <s v="Haiti"/>
    <d v="2010-02-14T00:00:00"/>
    <d v="2010-03-10T00:00:00"/>
    <x v="0"/>
    <s v="Q3"/>
    <x v="2"/>
    <s v="Roster"/>
    <s v="LAC"/>
    <s v="Stacy/Ops Team"/>
    <n v="2888"/>
  </r>
  <r>
    <n v="1"/>
    <x v="11"/>
    <s v="Earthquake"/>
    <x v="50"/>
    <s v="IFRC Program Coordinator"/>
    <s v="Operations Support Delegate"/>
    <s v="Haiti"/>
    <d v="2010-02-08T00:00:00"/>
    <d v="2010-03-31T00:00:00"/>
    <x v="0"/>
    <s v="Q3"/>
    <x v="2"/>
    <s v="Staff"/>
    <s v="LAC"/>
    <s v="Stacy/Ops Team"/>
    <n v="2888"/>
  </r>
  <r>
    <n v="1"/>
    <x v="11"/>
    <s v="Earthquake"/>
    <x v="51"/>
    <s v="IT/Telecoms ERU joint with Danish RC"/>
    <s v="IT/Telecom ERU"/>
    <s v="Haiti"/>
    <d v="2010-02-13T00:00:00"/>
    <d v="2010-04-03T00:00:00"/>
    <x v="0"/>
    <s v="Q3"/>
    <x v="2"/>
    <s v="Roster"/>
    <s v="LAC"/>
    <s v="Stacy/Ops Team"/>
    <n v="2888"/>
  </r>
  <r>
    <n v="1"/>
    <x v="11"/>
    <s v="Earthquake"/>
    <x v="27"/>
    <s v="Recovery Assessment Team Leader"/>
    <s v="Recovery Delegate"/>
    <s v="Haiti"/>
    <d v="2010-02-03T00:00:00"/>
    <d v="2010-03-03T00:00:00"/>
    <x v="0"/>
    <s v="Q3"/>
    <x v="2"/>
    <s v="Staff"/>
    <s v="LAC"/>
    <s v="Stacy/Ops Team"/>
    <n v="2888"/>
  </r>
  <r>
    <n v="1"/>
    <x v="11"/>
    <s v="Earthquake"/>
    <x v="52"/>
    <s v="Recovery Assessment Team Member"/>
    <s v="Recovery Delegate"/>
    <s v="Haiti"/>
    <d v="2010-02-13T00:00:00"/>
    <d v="2010-03-03T00:00:00"/>
    <x v="0"/>
    <s v="Q3"/>
    <x v="2"/>
    <s v="Staff"/>
    <s v="LAC"/>
    <s v="Stacy/Ops Team"/>
    <n v="2888"/>
  </r>
  <r>
    <n v="1"/>
    <x v="11"/>
    <s v="Earthquake"/>
    <x v="53"/>
    <s v="Recovery Assessment Team Member"/>
    <s v="Recovery Delegate"/>
    <s v="Haiti"/>
    <d v="2010-02-13T00:00:00"/>
    <d v="2010-03-03T00:00:00"/>
    <x v="0"/>
    <s v="Q3"/>
    <x v="2"/>
    <s v="Roster"/>
    <s v="LAC"/>
    <s v="Stacy/Ops Team"/>
    <n v="2888"/>
  </r>
  <r>
    <n v="1"/>
    <x v="11"/>
    <s v="Earthquake"/>
    <x v="54"/>
    <s v="Recovery Assessment Team Member"/>
    <s v="Recovery Delegate"/>
    <s v="Haiti"/>
    <d v="2010-02-13T00:00:00"/>
    <d v="2010-03-03T00:00:00"/>
    <x v="0"/>
    <s v="Q3"/>
    <x v="2"/>
    <s v="Roster"/>
    <s v="LAC"/>
    <s v="Stacy/Ops Team"/>
    <n v="2888"/>
  </r>
  <r>
    <n v="1"/>
    <x v="11"/>
    <s v="Earthquake"/>
    <x v="55"/>
    <s v="Recovery Assessment Team Member"/>
    <s v="Recovery Delegate"/>
    <s v="Haiti"/>
    <d v="2010-02-08T00:00:00"/>
    <d v="2010-03-03T00:00:00"/>
    <x v="0"/>
    <s v="Q3"/>
    <x v="2"/>
    <s v="Roster"/>
    <s v="LAC"/>
    <s v="Stacy/Ops Team"/>
    <n v="2888"/>
  </r>
  <r>
    <n v="1"/>
    <x v="11"/>
    <s v="Earthquake"/>
    <x v="20"/>
    <s v="Emergency Markets Analysis Assessment (EMMA) team member"/>
    <s v="Recovery Delegate"/>
    <s v="Haiti"/>
    <d v="2010-02-08T00:00:00"/>
    <d v="2010-02-18T00:00:00"/>
    <x v="0"/>
    <s v="Q3"/>
    <x v="2"/>
    <s v="Roster"/>
    <s v="LAC"/>
    <s v="Stacy/Ops Team"/>
    <n v="2888"/>
  </r>
  <r>
    <n v="1"/>
    <x v="11"/>
    <s v="Earthquake"/>
    <x v="5"/>
    <s v="FACT Admin &amp; Reporting"/>
    <s v="FACT"/>
    <s v="Haiti"/>
    <d v="2010-02-07T00:00:00"/>
    <d v="2010-03-08T00:00:00"/>
    <x v="0"/>
    <s v="Q3"/>
    <x v="2"/>
    <s v="Roster"/>
    <s v="LAC"/>
    <s v="Stacy/Ops Team"/>
    <n v="2888"/>
  </r>
  <r>
    <n v="1"/>
    <x v="11"/>
    <s v="Earthquake"/>
    <x v="18"/>
    <s v="IFRC Logistics Delegate - at Red Cross logistics hub in Dominican Republic"/>
    <s v="Logistics Delegate"/>
    <s v="Dominican Republic"/>
    <d v="2010-01-19T00:00:00"/>
    <d v="2010-02-15T00:00:00"/>
    <x v="0"/>
    <s v="Q3"/>
    <x v="2"/>
    <s v="Staff"/>
    <s v="LAC"/>
    <s v="Stacy/Ops Team"/>
    <n v="2888"/>
  </r>
  <r>
    <n v="1"/>
    <x v="11"/>
    <s v="Earthquake"/>
    <x v="35"/>
    <s v="IFRC Logistics Delegate - at PADRU"/>
    <s v="Logistics Delegate"/>
    <s v="Panama PADRU"/>
    <d v="2010-01-12T00:00:00"/>
    <d v="2010-01-24T00:00:00"/>
    <x v="0"/>
    <s v="Q3"/>
    <x v="2"/>
    <s v="Staff"/>
    <s v="LAC"/>
    <s v="Stacy/Ops Team"/>
    <n v="2888"/>
  </r>
  <r>
    <n v="1"/>
    <x v="11"/>
    <s v="Earthquake"/>
    <x v="56"/>
    <s v="IFRC Reporting Delegate - at PADRU"/>
    <s v="Operations Support Delegate"/>
    <s v="Panama PADRU"/>
    <d v="2010-01-18T00:00:00"/>
    <d v="2010-02-16T00:00:00"/>
    <x v="0"/>
    <s v="Q3"/>
    <x v="2"/>
    <s v="Roster"/>
    <s v="LAC"/>
    <s v="Stacy/Ops Team"/>
    <n v="2888"/>
  </r>
  <r>
    <n v="1"/>
    <x v="11"/>
    <s v="Earthquake"/>
    <x v="20"/>
    <s v="Personnel support for IROC"/>
    <s v="NHQ Operations Support"/>
    <s v="NHQ"/>
    <d v="2010-01-18T00:00:00"/>
    <d v="2010-01-31T00:00:00"/>
    <x v="0"/>
    <s v="Q3"/>
    <x v="2"/>
    <s v="Roster"/>
    <s v="LAC"/>
    <s v="Stacy/Ops Team"/>
    <n v="2888"/>
  </r>
  <r>
    <n v="1"/>
    <x v="11"/>
    <s v="Earthquake"/>
    <x v="57"/>
    <s v="Bilateral Communications Delegate supporting ARC delegation"/>
    <s v="Bilateral Operations Support"/>
    <s v="Haiti"/>
    <d v="2010-01-12T00:00:00"/>
    <d v="2010-01-31T00:00:00"/>
    <x v="0"/>
    <s v="Q3"/>
    <x v="2"/>
    <s v="Roster"/>
    <s v="LAC"/>
    <s v="Stacy/Ops Team"/>
    <n v="2888"/>
  </r>
  <r>
    <n v="1"/>
    <x v="11"/>
    <s v="Earthquake"/>
    <x v="42"/>
    <s v="Bilateral Communications Delegate supporting ARC delegation office"/>
    <s v="Bilateral Operations Support"/>
    <s v="Haiti"/>
    <d v="2010-01-23T00:00:00"/>
    <d v="2010-02-02T00:00:00"/>
    <x v="0"/>
    <s v="Q3"/>
    <x v="2"/>
    <s v="Roster"/>
    <s v="LAC"/>
    <s v="Stacy/Ops Team"/>
    <n v="2888"/>
  </r>
  <r>
    <n v="1"/>
    <x v="11"/>
    <s v="Earthquake"/>
    <x v="58"/>
    <s v="Bilateral Communications Delegate supporting ARC delegation office"/>
    <s v="Bilateral Operations Support"/>
    <s v="Haiti"/>
    <d v="2010-01-21T00:00:00"/>
    <d v="2010-02-21T00:00:00"/>
    <x v="0"/>
    <s v="Q3"/>
    <x v="2"/>
    <s v="Roster"/>
    <s v="LAC"/>
    <s v="Stacy/Ops Team"/>
    <n v="2888"/>
  </r>
  <r>
    <n v="1"/>
    <x v="11"/>
    <s v="Earthquake"/>
    <x v="59"/>
    <s v="Bilateral Admin/Compliance Delegate supporting ARC delegation office"/>
    <s v="Bilateral Operations Support"/>
    <s v="Haiti"/>
    <d v="2010-01-22T00:00:00"/>
    <d v="2010-02-09T00:00:00"/>
    <x v="0"/>
    <s v="Q3"/>
    <x v="2"/>
    <s v="Staff"/>
    <s v="LAC"/>
    <s v="Stacy/Ops Team"/>
    <n v="2888"/>
  </r>
  <r>
    <n v="1"/>
    <x v="11"/>
    <s v="Earthquake"/>
    <x v="60"/>
    <s v="Bilateral Finance/Admin Delegate supporting ARC delegation office"/>
    <s v="Bilateral Operations Support"/>
    <s v="Haiti"/>
    <d v="2010-01-22T00:00:00"/>
    <d v="2010-02-10T00:00:00"/>
    <x v="0"/>
    <s v="Q3"/>
    <x v="2"/>
    <s v="Staff"/>
    <s v="LAC"/>
    <s v="Stacy/Ops Team"/>
    <n v="2888"/>
  </r>
  <r>
    <n v="1"/>
    <x v="11"/>
    <s v="Earthquake"/>
    <x v="61"/>
    <s v="Bilateral Deputy Head of Operations supporting ARC delegation office"/>
    <s v="Bilateral Operations Support"/>
    <s v="Haiti"/>
    <d v="2010-02-04T00:00:00"/>
    <d v="2010-04-01T00:00:00"/>
    <x v="0"/>
    <s v="Q3"/>
    <x v="2"/>
    <s v="Roster"/>
    <s v="LAC"/>
    <s v="Stacy/Ops Team"/>
    <n v="2888"/>
  </r>
  <r>
    <n v="1"/>
    <x v="11"/>
    <s v="Earthquake"/>
    <x v="62"/>
    <s v="Bilateral Psychosocial Support for ARC delegation office"/>
    <s v="Bilateral Operations Support"/>
    <s v="Haiti"/>
    <d v="2010-01-19T00:00:00"/>
    <d v="2010-01-31T00:00:00"/>
    <x v="0"/>
    <s v="Q3"/>
    <x v="2"/>
    <s v="Staff"/>
    <s v="LAC"/>
    <s v="Stacy/Ops Team"/>
    <n v="2888"/>
  </r>
  <r>
    <n v="1"/>
    <x v="11"/>
    <s v="Earthquake"/>
    <x v="63"/>
    <s v="Bilateral Psychosocial Support for ARC delegation office"/>
    <s v="Bilateral Operations Support"/>
    <s v="Haiti"/>
    <d v="2010-01-19T00:00:00"/>
    <d v="2010-01-31T00:00:00"/>
    <x v="0"/>
    <s v="Q3"/>
    <x v="2"/>
    <s v="Staff"/>
    <s v="LAC"/>
    <s v="Stacy/Ops Team"/>
    <n v="2888"/>
  </r>
  <r>
    <n v="1"/>
    <x v="11"/>
    <s v="Earthquake"/>
    <x v="64"/>
    <s v="Bilateral Shelter Technical Delegate Bilateral Program"/>
    <s v="Bilateral Operations Support"/>
    <s v="Haiti"/>
    <d v="2010-01-22T00:00:00"/>
    <d v="2010-02-07T00:00:00"/>
    <x v="0"/>
    <s v="Q3"/>
    <x v="2"/>
    <s v="Roster"/>
    <s v="LAC"/>
    <s v="Stacy/Ops Team"/>
    <n v="2888"/>
  </r>
  <r>
    <n v="1"/>
    <x v="11"/>
    <s v="Earthquake"/>
    <x v="65"/>
    <s v="Bilateral Program Manager ARC "/>
    <s v="Bilateral Operations Support"/>
    <s v="Haiti"/>
    <d v="2010-02-04T00:00:00"/>
    <d v="2010-04-01T00:00:00"/>
    <x v="0"/>
    <s v="Q3"/>
    <x v="2"/>
    <s v="Staff"/>
    <s v="LAC"/>
    <s v="Stacy/Ops Team"/>
    <n v="2888"/>
  </r>
  <r>
    <n v="1"/>
    <x v="11"/>
    <s v="Earthquake"/>
    <x v="3"/>
    <s v="Equipment Support for IROC"/>
    <s v="NHQ Operations Support"/>
    <s v="NHQ"/>
    <d v="2010-01-20T00:00:00"/>
    <d v="2010-02-21T00:00:00"/>
    <x v="0"/>
    <s v="Q3"/>
    <x v="2"/>
    <s v="Roster"/>
    <s v="LAC"/>
    <s v="Stacy/Ops Team"/>
    <n v="2888"/>
  </r>
  <r>
    <n v="1"/>
    <x v="11"/>
    <s v="Earthquake"/>
    <x v="66"/>
    <s v="Billateral Communications Delegate "/>
    <s v="Bilateral Operations Support"/>
    <s v="Haiti"/>
    <d v="2010-02-01T00:00:00"/>
    <d v="2010-03-15T00:00:00"/>
    <x v="0"/>
    <s v="Q3"/>
    <x v="2"/>
    <s v="Staff"/>
    <s v="LAC"/>
    <s v="Stacy/Ops Team"/>
    <m/>
  </r>
  <r>
    <n v="1"/>
    <x v="11"/>
    <s v="Earthquake"/>
    <x v="56"/>
    <s v="Relief ERU Team Leader"/>
    <s v="Relief ERU"/>
    <s v="Haiti"/>
    <d v="2010-02-21T00:00:00"/>
    <d v="2010-03-25T00:00:00"/>
    <x v="0"/>
    <s v="Q3"/>
    <x v="2"/>
    <s v="Roster"/>
    <s v="LAC"/>
    <s v="Stacy/Ops Team"/>
    <n v="2888"/>
  </r>
  <r>
    <n v="1"/>
    <x v="11"/>
    <s v="Earthquake"/>
    <x v="8"/>
    <s v="Relief ERU Team Member"/>
    <s v="Relief ERU"/>
    <s v="Haiti"/>
    <d v="2010-02-21T00:00:00"/>
    <d v="2010-03-25T00:00:00"/>
    <x v="0"/>
    <s v="Q3"/>
    <x v="2"/>
    <s v="Roster"/>
    <s v="LAC"/>
    <s v="Stacy/Ops Team"/>
    <n v="2888"/>
  </r>
  <r>
    <n v="1"/>
    <x v="11"/>
    <s v="Earthquake"/>
    <x v="67"/>
    <s v="Relief ERU Team Member"/>
    <s v="Relief ERU"/>
    <s v="Haiti"/>
    <d v="2010-02-21T00:00:00"/>
    <d v="2010-03-25T00:00:00"/>
    <x v="0"/>
    <s v="Q3"/>
    <x v="2"/>
    <s v="Staff"/>
    <s v="LAC"/>
    <s v="Stacy/Ops Team"/>
    <n v="2888"/>
  </r>
  <r>
    <n v="1"/>
    <x v="11"/>
    <s v="Earthquake"/>
    <x v="68"/>
    <s v="Relief ERU Team Member"/>
    <s v="Relief ERU"/>
    <s v="Haiti"/>
    <d v="2010-02-21T00:00:00"/>
    <d v="2010-03-25T00:00:00"/>
    <x v="0"/>
    <s v="Q3"/>
    <x v="2"/>
    <s v="Roster"/>
    <s v="LAC"/>
    <s v="Stacy/Ops Team"/>
    <n v="2888"/>
  </r>
  <r>
    <n v="1"/>
    <x v="11"/>
    <s v="Earthquake"/>
    <x v="69"/>
    <s v="Relief ERU Team Member"/>
    <s v="Relief ERU"/>
    <s v="Haiti"/>
    <d v="2010-02-21T00:00:00"/>
    <d v="2010-03-25T00:00:00"/>
    <x v="0"/>
    <s v="Q3"/>
    <x v="2"/>
    <s v="Roster"/>
    <s v="LAC"/>
    <s v="Stacy/Ops Team"/>
    <n v="2888"/>
  </r>
  <r>
    <n v="1"/>
    <x v="11"/>
    <s v="Earthquake"/>
    <x v="70"/>
    <s v="Relief ERU Team Member"/>
    <s v="Relief ERU"/>
    <s v="Haiti"/>
    <d v="2010-03-06T00:00:00"/>
    <d v="2010-03-25T00:00:00"/>
    <x v="0"/>
    <s v="Q3"/>
    <x v="2"/>
    <s v="Roster"/>
    <s v="LAC"/>
    <s v="Stacy/Ops Team"/>
    <n v="2888"/>
  </r>
  <r>
    <n v="1"/>
    <x v="11"/>
    <s v="Earthquake"/>
    <x v="71"/>
    <s v="Equipment Support for IROC"/>
    <s v="Operations Support Delegate"/>
    <s v="NHQ"/>
    <d v="2010-02-22T00:00:00"/>
    <d v="2010-03-21T00:00:00"/>
    <x v="0"/>
    <s v="Q3"/>
    <x v="2"/>
    <s v="Roster"/>
    <s v="LAC"/>
    <s v="Stacy/Ops Team"/>
    <n v="2888"/>
  </r>
  <r>
    <n v="1"/>
    <x v="11"/>
    <s v="Earthquake"/>
    <x v="72"/>
    <s v="Communications Support"/>
    <s v="Communications Delegate"/>
    <s v="NHQ"/>
    <d v="2010-02-22T00:00:00"/>
    <d v="2010-03-21T00:00:00"/>
    <x v="0"/>
    <s v="Q3"/>
    <x v="2"/>
    <s v="Staff"/>
    <s v="LAC"/>
    <s v="Andrea Koppel"/>
    <m/>
  </r>
  <r>
    <n v="1"/>
    <x v="11"/>
    <s v="Earthquake"/>
    <x v="73"/>
    <s v="Bilateral Wat/San"/>
    <s v="Operations Support Delegate"/>
    <s v="Haiti"/>
    <d v="2010-02-15T00:00:00"/>
    <d v="2010-03-31T00:00:00"/>
    <x v="0"/>
    <s v="Q3"/>
    <x v="2"/>
    <s v="Roster"/>
    <s v="LAC"/>
    <s v="Stacy/Ops Team"/>
    <n v="2888"/>
  </r>
  <r>
    <n v="1"/>
    <x v="11"/>
    <s v="Earthquake"/>
    <x v="74"/>
    <s v="Disaster Mental Health Support for IROC"/>
    <s v="Operations Support Delegate"/>
    <s v="NHQ"/>
    <d v="2010-02-08T00:00:00"/>
    <d v="2010-03-07T00:00:00"/>
    <x v="0"/>
    <s v="Q3"/>
    <x v="2"/>
    <s v="Staff"/>
    <s v="LAC"/>
    <s v="Stacy/Ops Team"/>
    <n v="2888"/>
  </r>
  <r>
    <n v="1"/>
    <x v="11"/>
    <s v="Earthquake"/>
    <x v="75"/>
    <s v="Relief ERU Team Leader"/>
    <s v="Relief ERU"/>
    <s v="Haiti"/>
    <d v="2010-03-22T00:00:00"/>
    <d v="2010-04-21T00:00:00"/>
    <x v="0"/>
    <s v="Q3"/>
    <x v="2"/>
    <s v="Roster"/>
    <s v="LAC"/>
    <s v="Stacy/Ops Team"/>
    <n v="2888"/>
  </r>
  <r>
    <n v="1"/>
    <x v="11"/>
    <s v="Earthquake"/>
    <x v="76"/>
    <s v="Relief ERU Team Member"/>
    <s v="Relief ERU"/>
    <s v="Haiti"/>
    <d v="2010-03-22T00:00:00"/>
    <d v="2010-04-21T00:00:00"/>
    <x v="0"/>
    <s v="Q3"/>
    <x v="2"/>
    <s v="Roster"/>
    <s v="LAC"/>
    <s v="Stacy/Ops Team"/>
    <n v="2888"/>
  </r>
  <r>
    <n v="1"/>
    <x v="11"/>
    <s v="Earthquake"/>
    <x v="77"/>
    <s v="Relief ERU Team Member"/>
    <s v="Relief ERU"/>
    <s v="Haiti"/>
    <d v="2010-03-22T00:00:00"/>
    <d v="2010-04-21T00:00:00"/>
    <x v="0"/>
    <s v="Q3"/>
    <x v="2"/>
    <s v="Roster"/>
    <s v="LAC"/>
    <s v="Stacy/Ops Team"/>
    <n v="2888"/>
  </r>
  <r>
    <n v="1"/>
    <x v="11"/>
    <s v="Earthquake"/>
    <x v="72"/>
    <s v="Communications Delegate to IFRC"/>
    <s v="Communications Delegate"/>
    <s v="Haiti"/>
    <d v="2010-03-20T00:00:00"/>
    <d v="2010-04-30T00:00:00"/>
    <x v="0"/>
    <s v="Q3"/>
    <x v="2"/>
    <s v="Staff"/>
    <s v="LAC"/>
    <s v="Stacy/Ops Team"/>
    <n v="2888"/>
  </r>
  <r>
    <n v="1"/>
    <x v="11"/>
    <s v="Earthquake"/>
    <x v="22"/>
    <s v="Cash Transfer Programming Delegate "/>
    <s v="Cash Transfer Delegate"/>
    <s v="Haiti"/>
    <d v="2010-03-20T00:00:00"/>
    <d v="2010-04-10T00:00:00"/>
    <x v="0"/>
    <s v="Q3"/>
    <x v="2"/>
    <s v="Roster"/>
    <s v="LAC"/>
    <s v="Stacy/Ops Team"/>
    <n v="2888"/>
  </r>
  <r>
    <n v="1"/>
    <x v="11"/>
    <s v="Earthquake"/>
    <x v="43"/>
    <s v="Cash Transfer Programming Delegate "/>
    <s v="Cash Transfer Delegate"/>
    <s v="Haiti"/>
    <d v="2010-03-13T00:00:00"/>
    <d v="2010-04-01T00:00:00"/>
    <x v="0"/>
    <s v="Q3"/>
    <x v="2"/>
    <s v="Staff"/>
    <s v="LAC"/>
    <s v="Stacy/Ops Team"/>
    <n v="2888"/>
  </r>
  <r>
    <n v="1"/>
    <x v="11"/>
    <s v="Earthquake"/>
    <x v="78"/>
    <s v="Cash Transfer Programming Delegate "/>
    <s v="Cash Transfer Delegate"/>
    <s v="Haiti"/>
    <d v="2010-03-27T00:00:00"/>
    <d v="2010-04-21T00:00:00"/>
    <x v="0"/>
    <s v="Q3"/>
    <x v="2"/>
    <s v="Roster"/>
    <s v="LAC"/>
    <s v="Stacy/Ops Team"/>
    <n v="2888"/>
  </r>
  <r>
    <n v="1"/>
    <x v="11"/>
    <s v="Earthquake"/>
    <x v="79"/>
    <s v="Cash Transfer Programming Delegate "/>
    <s v="Cash Transfer Delegate"/>
    <s v="Haiti"/>
    <d v="2010-03-27T00:00:00"/>
    <d v="2010-04-21T00:00:00"/>
    <x v="0"/>
    <s v="Q3"/>
    <x v="2"/>
    <s v="Roster"/>
    <s v="LAC"/>
    <s v="Stacy/Ops Team"/>
    <n v="2888"/>
  </r>
  <r>
    <n v="1"/>
    <x v="11"/>
    <s v="Earthquake"/>
    <x v="4"/>
    <s v="Equipment Support for IROC"/>
    <s v="NHQ Operations Support"/>
    <s v="NHQ"/>
    <d v="2010-03-22T00:00:00"/>
    <d v="2010-04-15T00:00:00"/>
    <x v="0"/>
    <s v="Q3"/>
    <x v="2"/>
    <s v="Roster"/>
    <s v="LAC"/>
    <s v="Stacy/Ops Team"/>
    <n v="2888"/>
  </r>
  <r>
    <n v="1"/>
    <x v="11"/>
    <s v="Earthquake"/>
    <x v="54"/>
    <s v="Equipment Support for IROC"/>
    <s v="NHQ Operations Support"/>
    <s v="NHQ"/>
    <d v="2010-03-22T00:00:00"/>
    <d v="2010-04-15T00:00:00"/>
    <x v="0"/>
    <s v="Q3"/>
    <x v="2"/>
    <s v="Roster"/>
    <s v="LAC"/>
    <s v="Stacy/Ops Team"/>
    <n v="2888"/>
  </r>
  <r>
    <n v="1"/>
    <x v="11"/>
    <s v="Earthquake"/>
    <x v="80"/>
    <s v="Personnel Support for IROC"/>
    <s v="NHQ Operations Support"/>
    <s v="NHQ"/>
    <d v="2010-02-16T00:00:00"/>
    <d v="2010-03-15T00:00:00"/>
    <x v="0"/>
    <s v="Q3"/>
    <x v="2"/>
    <s v="Roster"/>
    <s v="LAC"/>
    <s v="Stacy/Ops Team"/>
    <n v="2888"/>
  </r>
  <r>
    <n v="1"/>
    <x v="11"/>
    <s v="Earthquake"/>
    <x v="81"/>
    <s v="Personnel Support for IROC"/>
    <s v="NHQ Operations Support"/>
    <s v="NHQ"/>
    <d v="2010-03-16T00:00:00"/>
    <d v="2010-04-15T00:00:00"/>
    <x v="0"/>
    <s v="Q3"/>
    <x v="2"/>
    <s v="Roster"/>
    <s v="LAC"/>
    <s v="Stacy/Ops Team"/>
    <n v="2888"/>
  </r>
  <r>
    <n v="1"/>
    <x v="11"/>
    <s v="Earthquake"/>
    <x v="82"/>
    <s v="Bilateral Operations Support"/>
    <s v="Bilateral Operations Support"/>
    <s v="Haiti"/>
    <d v="2010-02-20T00:00:00"/>
    <d v="2010-03-13T00:00:00"/>
    <x v="0"/>
    <s v="Q3"/>
    <x v="2"/>
    <s v="Staff"/>
    <s v="LAC"/>
    <s v="Stacy/Ops Team"/>
    <n v="2888"/>
  </r>
  <r>
    <n v="1"/>
    <x v="11"/>
    <s v="Earthquake"/>
    <x v="83"/>
    <s v="Bilateral Human Resources Support"/>
    <s v="Bilateral Operations Support"/>
    <s v="Haiti"/>
    <d v="2010-03-24T00:00:00"/>
    <d v="2010-04-21T00:00:00"/>
    <x v="0"/>
    <s v="Q3"/>
    <x v="2"/>
    <s v="Staff"/>
    <s v="LAC"/>
    <s v="Stacy/Ops Team"/>
    <n v="2888"/>
  </r>
  <r>
    <n v="1"/>
    <x v="11"/>
    <s v="Earthquake"/>
    <x v="11"/>
    <s v="Bilateral Shelter Advisor"/>
    <s v="Bilateral Operations Support"/>
    <s v="Haiti"/>
    <d v="2010-03-11T00:00:00"/>
    <d v="2010-04-03T00:00:00"/>
    <x v="0"/>
    <s v="Q3"/>
    <x v="2"/>
    <s v="Staff"/>
    <s v="LAC"/>
    <s v="Stacy/Ops Team"/>
    <n v="2888"/>
  </r>
  <r>
    <n v="1"/>
    <x v="11"/>
    <s v="Earthquake"/>
    <x v="84"/>
    <s v="Relief ERU Team Member"/>
    <s v="Relief ERU"/>
    <s v="Haiti"/>
    <d v="2010-04-07T00:00:00"/>
    <d v="2010-04-29T00:00:00"/>
    <x v="0"/>
    <s v="Q4"/>
    <x v="2"/>
    <s v="Staff"/>
    <s v="LAC"/>
    <s v="Stacy/Ops Team"/>
    <n v="2888"/>
  </r>
  <r>
    <n v="1"/>
    <x v="11"/>
    <s v="Earthquake"/>
    <x v="85"/>
    <s v="Relief ERU Team Member"/>
    <s v="Relief ERU"/>
    <s v="Haiti"/>
    <d v="2010-04-07T00:00:00"/>
    <d v="2010-04-29T00:00:00"/>
    <x v="0"/>
    <s v="Q4"/>
    <x v="2"/>
    <s v="Staff"/>
    <s v="LAC"/>
    <s v="Stacy/Ops Team"/>
    <n v="2888"/>
  </r>
  <r>
    <n v="1"/>
    <x v="11"/>
    <s v="Earthquake"/>
    <x v="86"/>
    <s v="Cash Transfer Programming Delegate "/>
    <s v="Cash Transfer Delegate"/>
    <s v="Haiti"/>
    <d v="2010-04-04T00:00:00"/>
    <d v="2010-04-23T00:00:00"/>
    <x v="0"/>
    <s v="Q4"/>
    <x v="2"/>
    <s v="Staff"/>
    <s v="LAC"/>
    <s v="Stacy/Ops Team"/>
    <n v="2888"/>
  </r>
  <r>
    <n v="1"/>
    <x v="11"/>
    <s v="Earthquake"/>
    <x v="87"/>
    <s v="Cash Transfer Programming Delegate "/>
    <s v="Cash Transfer Delegate"/>
    <s v="Haiti"/>
    <d v="2010-04-07T00:00:00"/>
    <d v="2010-05-06T00:00:00"/>
    <x v="0"/>
    <s v="Q4"/>
    <x v="2"/>
    <s v="Roster"/>
    <s v="LAC"/>
    <s v="Stacy/Ops Team"/>
    <n v="2888"/>
  </r>
  <r>
    <n v="1"/>
    <x v="11"/>
    <s v="Earthquake"/>
    <x v="2"/>
    <s v="Cash Transfer Programming Delegate "/>
    <s v="Cash Transfer Delegate"/>
    <s v="Haiti"/>
    <d v="2010-04-05T00:00:00"/>
    <d v="2010-04-16T00:00:00"/>
    <x v="0"/>
    <s v="Q4"/>
    <x v="2"/>
    <s v="Staff"/>
    <s v="LAC"/>
    <s v="Stacy/Ops Team"/>
    <n v="2888"/>
  </r>
  <r>
    <n v="1"/>
    <x v="11"/>
    <s v="Earthquake"/>
    <x v="46"/>
    <s v="Cash Transfer Programming Delegate "/>
    <s v="Cash Transfer Delegate"/>
    <s v="Haiti"/>
    <d v="2010-05-04T00:00:00"/>
    <d v="2010-05-10T00:00:00"/>
    <x v="0"/>
    <s v="Q4"/>
    <x v="2"/>
    <s v="Staff"/>
    <s v="LAC"/>
    <s v="Stacy/Ops Team"/>
    <n v="2888"/>
  </r>
  <r>
    <n v="1"/>
    <x v="11"/>
    <s v="Earthquake"/>
    <x v="10"/>
    <s v="Bilateral Operations Delegate"/>
    <s v="Bilateral Operations Support"/>
    <s v="Haiti"/>
    <d v="2010-05-25T00:00:00"/>
    <d v="2010-06-02T00:00:00"/>
    <x v="0"/>
    <s v="Q4"/>
    <x v="2"/>
    <s v="Staff"/>
    <s v="LAC"/>
    <s v="Stacy/Ops Team"/>
    <n v="2888"/>
  </r>
  <r>
    <n v="1"/>
    <x v="11"/>
    <s v="Earthquake"/>
    <x v="29"/>
    <s v="Bilateral Information Delegate"/>
    <s v="Bilateral Operations Support"/>
    <s v="Haiti"/>
    <d v="2010-05-04T00:00:00"/>
    <d v="2010-06-24T00:00:00"/>
    <x v="0"/>
    <s v="Q4"/>
    <x v="2"/>
    <s v="Staff"/>
    <s v="LAC"/>
    <s v="Stacy/Ops Team"/>
    <n v="2888"/>
  </r>
  <r>
    <m/>
    <x v="23"/>
    <m/>
    <x v="30"/>
    <m/>
    <m/>
    <m/>
    <m/>
    <m/>
    <x v="2"/>
    <m/>
    <x v="3"/>
    <m/>
    <m/>
    <m/>
    <m/>
  </r>
  <r>
    <n v="1"/>
    <x v="24"/>
    <s v="Earthquake"/>
    <x v="88"/>
    <s v="Relief Delegate"/>
    <s v="Relief Delegate"/>
    <s v="Chile"/>
    <d v="2010-03-02T00:00:00"/>
    <m/>
    <x v="0"/>
    <s v="Q3"/>
    <x v="2"/>
    <s v="Staff"/>
    <s v="LAC"/>
    <s v="Guillermo/LAC"/>
    <n v="2896"/>
  </r>
  <r>
    <n v="1"/>
    <x v="24"/>
    <s v="Earthquake"/>
    <x v="89"/>
    <s v="Water and Sanitation Delegate"/>
    <s v="Operations Support Delegate"/>
    <s v="Chile"/>
    <d v="2010-03-18T00:00:00"/>
    <d v="2010-03-31T00:00:00"/>
    <x v="0"/>
    <s v="Q3"/>
    <x v="2"/>
    <s v="Staff"/>
    <s v="LAC"/>
    <s v="Guillermo/LAC"/>
    <n v="2896"/>
  </r>
  <r>
    <n v="1"/>
    <x v="25"/>
    <s v="Floods"/>
    <x v="70"/>
    <s v="Delegation Surge Support Federation in Islamabad"/>
    <s v="Relief Delegate"/>
    <s v="Pakistan"/>
    <m/>
    <m/>
    <x v="0"/>
    <s v="Q3"/>
    <x v="2"/>
    <s v="Staff"/>
    <s v="Asia/ME/Europe"/>
    <s v="Stacy/Ops Team"/>
    <m/>
  </r>
  <r>
    <n v="1"/>
    <x v="25"/>
    <s v="Floods"/>
    <x v="56"/>
    <s v="Relief Delegate"/>
    <s v="Relief Delegate"/>
    <s v="Pakistan"/>
    <d v="2010-08-27T00:00:00"/>
    <d v="2010-09-30T00:00:00"/>
    <x v="0"/>
    <s v="Q1"/>
    <x v="4"/>
    <s v="Roster"/>
    <s v="Asia/ME/Europe"/>
    <s v="Stacy/Ops Team"/>
    <n v="2699"/>
  </r>
  <r>
    <n v="1"/>
    <x v="25"/>
    <s v="Floods"/>
    <x v="38"/>
    <s v="Relief Delegate"/>
    <s v="Relief Delegate"/>
    <s v="Pakistan"/>
    <d v="2010-08-27T00:00:00"/>
    <d v="2010-09-30T00:00:00"/>
    <x v="0"/>
    <s v="Q1"/>
    <x v="4"/>
    <s v="Roster"/>
    <s v="Asia/ME/Europe"/>
    <s v="Stacy/Ops Team"/>
    <n v="2699"/>
  </r>
  <r>
    <n v="1"/>
    <x v="11"/>
    <s v="Epidemic"/>
    <x v="90"/>
    <s v="Team Lead - Emergency Response Team Mbr"/>
    <s v="DM Delegate"/>
    <s v="Haiti"/>
    <d v="2010-10-25T00:00:00"/>
    <d v="2010-10-31T00:00:00"/>
    <x v="0"/>
    <s v="Q2"/>
    <x v="4"/>
    <s v="Staff"/>
    <s v="LAC"/>
    <s v="ARC Haiti Office"/>
    <n v="2888"/>
  </r>
  <r>
    <n v="1"/>
    <x v="11"/>
    <s v="Epidemic"/>
    <x v="87"/>
    <s v="Information &amp; Reporting - Emergency Response Team Mbr"/>
    <s v="DM Delegate"/>
    <s v="Haiti"/>
    <d v="2010-10-25T00:00:00"/>
    <d v="2010-10-31T00:00:00"/>
    <x v="0"/>
    <s v="Q2"/>
    <x v="4"/>
    <s v="Staff"/>
    <s v="LAC"/>
    <s v="ARC Haiti Office"/>
    <n v="2888"/>
  </r>
  <r>
    <n v="1"/>
    <x v="11"/>
    <s v="Epidemic"/>
    <x v="91"/>
    <s v="Logistics - Emergency Response Team Mbr"/>
    <s v="DM Delegate"/>
    <s v="Haiti"/>
    <d v="2010-10-25T00:00:00"/>
    <d v="2010-10-31T00:00:00"/>
    <x v="0"/>
    <s v="Q2"/>
    <x v="4"/>
    <s v="Staff"/>
    <s v="LAC"/>
    <s v="ARC Haiti Office"/>
    <n v="2888"/>
  </r>
  <r>
    <n v="1"/>
    <x v="11"/>
    <s v="Epidemic"/>
    <x v="92"/>
    <s v="Health - Emergency Response Team Mbr"/>
    <s v="DM Delegate"/>
    <s v="Haiti"/>
    <d v="2010-10-25T00:00:00"/>
    <d v="2010-10-31T00:00:00"/>
    <x v="0"/>
    <s v="Q2"/>
    <x v="4"/>
    <s v="Staff"/>
    <s v="LAC"/>
    <s v="ARC Haiti Office"/>
    <n v="2888"/>
  </r>
  <r>
    <n v="1"/>
    <x v="11"/>
    <s v="Epidemic"/>
    <x v="93"/>
    <s v="WatSan - Emergency Response Team Mbr"/>
    <s v="DM Delegate"/>
    <s v="Haiti"/>
    <d v="2010-10-25T00:00:00"/>
    <d v="2010-10-31T00:00:00"/>
    <x v="0"/>
    <s v="Q2"/>
    <x v="4"/>
    <s v="Staff"/>
    <s v="LAC"/>
    <s v="ARC Haiti Office"/>
    <n v="2888"/>
  </r>
  <r>
    <n v="1"/>
    <x v="11"/>
    <s v="Epidemic"/>
    <x v="94"/>
    <s v="Information and Reporting - Seconded to Federation base camp operation"/>
    <s v="DM Delegate"/>
    <s v="Haiti"/>
    <d v="2010-10-23T00:00:00"/>
    <d v="2010-10-29T00:00:00"/>
    <x v="0"/>
    <s v="Q2"/>
    <x v="4"/>
    <s v="Staff"/>
    <s v="LAC"/>
    <s v="ARC Haiti Office"/>
    <n v="2888"/>
  </r>
  <r>
    <n v="1"/>
    <x v="15"/>
    <s v="Hurricane Richard"/>
    <x v="95"/>
    <s v="Relief Delegate - Cash transfer/voucher program"/>
    <s v="Cash Transfer Delegate"/>
    <s v="Belize"/>
    <d v="2010-11-15T00:00:00"/>
    <d v="2010-12-17T00:00:00"/>
    <x v="0"/>
    <s v="Q2"/>
    <x v="4"/>
    <s v="Staff"/>
    <s v="LAC"/>
    <s v="Colin Chaperon"/>
    <n v="2799"/>
  </r>
  <r>
    <n v="1"/>
    <x v="26"/>
    <s v="Capacity Building"/>
    <x v="3"/>
    <s v="Telecoms assessment/Cyclone Preparedness Program"/>
    <m/>
    <s v="Bangladesh"/>
    <d v="2010-11-15T00:00:00"/>
    <d v="2010-12-04T00:00:00"/>
    <x v="1"/>
    <s v="Q2"/>
    <x v="4"/>
    <s v="Roster"/>
    <s v="Asia/ME/Europe"/>
    <s v="Colin Chaperon"/>
    <m/>
  </r>
</pivotCacheRecords>
</file>

<file path=xl/pivotCache/pivotCacheRecords8.xml><?xml version="1.0" encoding="utf-8"?>
<pivotCacheRecords xmlns="http://schemas.openxmlformats.org/spreadsheetml/2006/main" xmlns:r="http://schemas.openxmlformats.org/officeDocument/2006/relationships" count="341">
  <r>
    <m/>
    <s v="a"/>
    <x v="0"/>
    <d v="1985-09-01T00:00:00"/>
    <x v="0"/>
    <m/>
    <m/>
    <n v="1985"/>
    <m/>
    <m/>
    <m/>
    <m/>
    <m/>
    <m/>
    <m/>
    <m/>
    <m/>
    <m/>
    <m/>
    <m/>
    <m/>
    <m/>
    <m/>
    <m/>
    <m/>
    <m/>
    <m/>
    <m/>
    <m/>
    <m/>
    <m/>
    <m/>
    <m/>
    <m/>
    <m/>
    <m/>
    <m/>
    <m/>
    <m/>
    <m/>
    <m/>
    <m/>
    <m/>
    <m/>
    <m/>
    <m/>
    <m/>
    <m/>
    <m/>
    <m/>
    <m/>
    <m/>
    <m/>
    <m/>
    <m/>
    <m/>
    <m/>
    <n v="19700000"/>
    <m/>
    <m/>
    <m/>
    <m/>
    <m/>
    <m/>
    <m/>
    <m/>
    <m/>
    <m/>
    <m/>
    <m/>
    <m/>
    <m/>
    <m/>
    <m/>
    <m/>
    <m/>
    <m/>
  </r>
  <r>
    <m/>
    <s v="b"/>
    <x v="1"/>
    <d v="1988-12-01T00:00:00"/>
    <x v="1"/>
    <m/>
    <m/>
    <n v="1988"/>
    <m/>
    <m/>
    <m/>
    <m/>
    <m/>
    <m/>
    <m/>
    <m/>
    <m/>
    <m/>
    <m/>
    <m/>
    <m/>
    <m/>
    <m/>
    <m/>
    <m/>
    <m/>
    <m/>
    <m/>
    <m/>
    <m/>
    <m/>
    <m/>
    <m/>
    <m/>
    <m/>
    <m/>
    <m/>
    <m/>
    <m/>
    <m/>
    <m/>
    <m/>
    <m/>
    <m/>
    <m/>
    <m/>
    <m/>
    <m/>
    <m/>
    <m/>
    <m/>
    <m/>
    <m/>
    <m/>
    <m/>
    <m/>
    <m/>
    <n v="14000000"/>
    <m/>
    <m/>
    <m/>
    <m/>
    <m/>
    <m/>
    <m/>
    <m/>
    <m/>
    <m/>
    <m/>
    <m/>
    <m/>
    <m/>
    <m/>
    <m/>
    <m/>
    <m/>
    <m/>
  </r>
  <r>
    <m/>
    <s v="c"/>
    <x v="2"/>
    <d v="1994-06-01T00:00:00"/>
    <x v="2"/>
    <m/>
    <m/>
    <n v="1994"/>
    <m/>
    <m/>
    <m/>
    <m/>
    <m/>
    <m/>
    <m/>
    <m/>
    <m/>
    <m/>
    <m/>
    <m/>
    <m/>
    <m/>
    <m/>
    <m/>
    <m/>
    <m/>
    <m/>
    <m/>
    <m/>
    <m/>
    <m/>
    <m/>
    <m/>
    <m/>
    <m/>
    <m/>
    <m/>
    <m/>
    <m/>
    <m/>
    <m/>
    <m/>
    <m/>
    <m/>
    <m/>
    <m/>
    <m/>
    <m/>
    <m/>
    <m/>
    <m/>
    <m/>
    <m/>
    <m/>
    <m/>
    <m/>
    <m/>
    <n v="18000000"/>
    <m/>
    <m/>
    <m/>
    <m/>
    <m/>
    <m/>
    <m/>
    <m/>
    <m/>
    <m/>
    <m/>
    <m/>
    <m/>
    <m/>
    <m/>
    <m/>
    <m/>
    <m/>
    <m/>
  </r>
  <r>
    <m/>
    <s v="d"/>
    <x v="3"/>
    <d v="1998-10-01T00:00:00"/>
    <x v="3"/>
    <m/>
    <m/>
    <n v="1998"/>
    <m/>
    <m/>
    <m/>
    <m/>
    <m/>
    <m/>
    <m/>
    <n v="2998214"/>
    <m/>
    <m/>
    <m/>
    <m/>
    <m/>
    <m/>
    <m/>
    <m/>
    <m/>
    <m/>
    <m/>
    <m/>
    <m/>
    <m/>
    <m/>
    <m/>
    <m/>
    <m/>
    <m/>
    <m/>
    <m/>
    <m/>
    <m/>
    <m/>
    <m/>
    <m/>
    <m/>
    <m/>
    <m/>
    <m/>
    <m/>
    <m/>
    <m/>
    <m/>
    <m/>
    <m/>
    <m/>
    <m/>
    <m/>
    <m/>
    <m/>
    <n v="50000000"/>
    <m/>
    <m/>
    <m/>
    <m/>
    <m/>
    <m/>
    <m/>
    <m/>
    <m/>
    <m/>
    <m/>
    <m/>
    <m/>
    <m/>
    <m/>
    <m/>
    <m/>
    <m/>
    <m/>
  </r>
  <r>
    <m/>
    <s v="e"/>
    <x v="4"/>
    <d v="1999-03-01T00:00:00"/>
    <x v="3"/>
    <m/>
    <m/>
    <n v="1999"/>
    <m/>
    <m/>
    <m/>
    <m/>
    <m/>
    <m/>
    <m/>
    <m/>
    <m/>
    <m/>
    <m/>
    <m/>
    <m/>
    <m/>
    <m/>
    <m/>
    <m/>
    <m/>
    <m/>
    <m/>
    <m/>
    <m/>
    <m/>
    <m/>
    <m/>
    <m/>
    <m/>
    <m/>
    <m/>
    <m/>
    <m/>
    <m/>
    <m/>
    <m/>
    <m/>
    <m/>
    <m/>
    <m/>
    <m/>
    <m/>
    <m/>
    <m/>
    <m/>
    <m/>
    <m/>
    <m/>
    <m/>
    <m/>
    <m/>
    <n v="39000000"/>
    <m/>
    <m/>
    <m/>
    <m/>
    <m/>
    <m/>
    <m/>
    <m/>
    <m/>
    <m/>
    <m/>
    <m/>
    <m/>
    <m/>
    <m/>
    <m/>
    <m/>
    <m/>
    <m/>
  </r>
  <r>
    <m/>
    <n v="1"/>
    <x v="5"/>
    <d v="1999-06-01T00:00:00"/>
    <x v="3"/>
    <n v="1"/>
    <m/>
    <n v="1999"/>
    <n v="1"/>
    <s v="Africa"/>
    <s v="Ethiopia"/>
    <m/>
    <s v="Drought"/>
    <s v="Drought"/>
    <s v="Drought"/>
    <m/>
    <m/>
    <m/>
    <m/>
    <m/>
    <m/>
    <m/>
    <m/>
    <m/>
    <m/>
    <m/>
    <m/>
    <n v="1"/>
    <n v="100000"/>
    <m/>
    <m/>
    <m/>
    <n v="100000"/>
    <n v="0"/>
    <m/>
    <m/>
    <m/>
    <m/>
    <m/>
    <m/>
    <m/>
    <m/>
    <m/>
    <m/>
    <m/>
    <m/>
    <m/>
    <m/>
    <m/>
    <m/>
    <m/>
    <m/>
    <m/>
    <n v="100000"/>
    <m/>
    <m/>
    <n v="7159.297959242117"/>
    <n v="100000"/>
    <s v="Y"/>
    <m/>
    <m/>
    <m/>
    <m/>
    <n v="2898"/>
    <m/>
    <m/>
    <m/>
    <m/>
    <m/>
    <m/>
    <m/>
    <m/>
    <m/>
    <m/>
    <m/>
    <m/>
    <s v="Region response"/>
  </r>
  <r>
    <m/>
    <n v="2"/>
    <x v="6"/>
    <d v="1999-06-01T00:00:00"/>
    <x v="3"/>
    <n v="2"/>
    <m/>
    <n v="1999"/>
    <n v="2"/>
    <s v="LAC"/>
    <s v="Mexico"/>
    <m/>
    <s v="Floods"/>
    <s v="General Floods"/>
    <s v="General Floods"/>
    <m/>
    <m/>
    <m/>
    <m/>
    <m/>
    <m/>
    <m/>
    <m/>
    <m/>
    <m/>
    <m/>
    <m/>
    <m/>
    <m/>
    <m/>
    <n v="100000"/>
    <m/>
    <n v="100000"/>
    <n v="1"/>
    <m/>
    <m/>
    <m/>
    <m/>
    <m/>
    <m/>
    <m/>
    <m/>
    <m/>
    <m/>
    <m/>
    <m/>
    <m/>
    <m/>
    <m/>
    <m/>
    <m/>
    <m/>
    <m/>
    <n v="100000"/>
    <m/>
    <m/>
    <n v="34050"/>
    <n v="100000"/>
    <s v="Y"/>
    <m/>
    <m/>
    <m/>
    <m/>
    <n v="2898"/>
    <m/>
    <m/>
    <m/>
    <m/>
    <m/>
    <m/>
    <m/>
    <m/>
    <m/>
    <m/>
    <m/>
    <m/>
    <m/>
  </r>
  <r>
    <m/>
    <n v="3"/>
    <x v="7"/>
    <d v="1999-06-01T00:00:00"/>
    <x v="3"/>
    <n v="3"/>
    <m/>
    <n v="1999"/>
    <n v="3"/>
    <s v="LAC"/>
    <s v="Costa Rica"/>
    <m/>
    <s v="Floods"/>
    <s v="General Floods"/>
    <s v="General Floods"/>
    <m/>
    <m/>
    <m/>
    <m/>
    <m/>
    <m/>
    <m/>
    <m/>
    <m/>
    <m/>
    <m/>
    <m/>
    <n v="0"/>
    <n v="10000"/>
    <m/>
    <m/>
    <m/>
    <n v="10000"/>
    <n v="0"/>
    <m/>
    <m/>
    <m/>
    <m/>
    <m/>
    <m/>
    <m/>
    <m/>
    <m/>
    <m/>
    <m/>
    <m/>
    <m/>
    <m/>
    <m/>
    <m/>
    <m/>
    <m/>
    <m/>
    <n v="10000"/>
    <m/>
    <m/>
    <n v="1000"/>
    <n v="10000"/>
    <s v="Y"/>
    <m/>
    <m/>
    <m/>
    <m/>
    <n v="2898"/>
    <m/>
    <m/>
    <m/>
    <m/>
    <m/>
    <m/>
    <m/>
    <m/>
    <m/>
    <m/>
    <m/>
    <m/>
    <s v="Region response"/>
  </r>
  <r>
    <m/>
    <n v="4"/>
    <x v="8"/>
    <d v="1999-08-01T00:00:00"/>
    <x v="4"/>
    <n v="1"/>
    <m/>
    <n v="1999"/>
    <n v="4"/>
    <s v="Europe/Asia"/>
    <s v="China"/>
    <m/>
    <s v="Floods"/>
    <s v="General Floods"/>
    <s v="General Floods"/>
    <m/>
    <m/>
    <m/>
    <m/>
    <m/>
    <m/>
    <m/>
    <m/>
    <m/>
    <m/>
    <m/>
    <m/>
    <n v="1"/>
    <n v="100000"/>
    <m/>
    <m/>
    <m/>
    <n v="100000"/>
    <n v="0"/>
    <m/>
    <m/>
    <m/>
    <m/>
    <m/>
    <m/>
    <m/>
    <m/>
    <m/>
    <m/>
    <m/>
    <m/>
    <m/>
    <m/>
    <m/>
    <m/>
    <m/>
    <m/>
    <m/>
    <n v="100000"/>
    <m/>
    <m/>
    <n v="15080.681646810435"/>
    <n v="100000"/>
    <s v="Y"/>
    <m/>
    <m/>
    <m/>
    <m/>
    <n v="2060"/>
    <m/>
    <m/>
    <m/>
    <m/>
    <m/>
    <m/>
    <m/>
    <m/>
    <m/>
    <m/>
    <m/>
    <m/>
    <s v="Region response"/>
  </r>
  <r>
    <m/>
    <n v="5"/>
    <x v="9"/>
    <d v="1999-08-01T00:00:00"/>
    <x v="4"/>
    <n v="2"/>
    <m/>
    <n v="1999"/>
    <n v="5"/>
    <s v="Europe/Asia"/>
    <s v="Turkey"/>
    <m/>
    <s v="Earthquake"/>
    <s v="Earthquake"/>
    <s v="Earthquake"/>
    <m/>
    <m/>
    <m/>
    <m/>
    <m/>
    <m/>
    <m/>
    <m/>
    <m/>
    <m/>
    <m/>
    <m/>
    <m/>
    <m/>
    <m/>
    <m/>
    <m/>
    <n v="0"/>
    <n v="20"/>
    <m/>
    <m/>
    <m/>
    <m/>
    <m/>
    <m/>
    <m/>
    <m/>
    <m/>
    <m/>
    <m/>
    <m/>
    <m/>
    <m/>
    <m/>
    <m/>
    <m/>
    <n v="0"/>
    <n v="0"/>
    <n v="0"/>
    <m/>
    <m/>
    <m/>
    <n v="0"/>
    <s v="Y"/>
    <m/>
    <m/>
    <m/>
    <m/>
    <n v="2814"/>
    <m/>
    <m/>
    <m/>
    <m/>
    <m/>
    <m/>
    <m/>
    <m/>
    <m/>
    <m/>
    <m/>
    <m/>
    <s v="Total expenses combined with (#19, below)"/>
  </r>
  <r>
    <m/>
    <n v="6"/>
    <x v="10"/>
    <d v="1999-08-01T00:00:00"/>
    <x v="4"/>
    <n v="3"/>
    <m/>
    <n v="1999"/>
    <n v="6"/>
    <s v="LAC"/>
    <s v="Nicaragua"/>
    <m/>
    <s v="Volcano"/>
    <s v="Volcanic Eruption"/>
    <s v="Volcanic Eruption"/>
    <m/>
    <m/>
    <m/>
    <m/>
    <m/>
    <m/>
    <m/>
    <m/>
    <m/>
    <m/>
    <m/>
    <m/>
    <m/>
    <m/>
    <m/>
    <n v="10000"/>
    <m/>
    <n v="10000"/>
    <n v="2"/>
    <m/>
    <m/>
    <m/>
    <m/>
    <m/>
    <m/>
    <m/>
    <m/>
    <m/>
    <m/>
    <m/>
    <m/>
    <m/>
    <m/>
    <m/>
    <m/>
    <m/>
    <m/>
    <m/>
    <n v="10000"/>
    <m/>
    <m/>
    <n v="1000"/>
    <n v="10000"/>
    <s v="Y"/>
    <m/>
    <m/>
    <m/>
    <m/>
    <n v="2898"/>
    <m/>
    <m/>
    <m/>
    <m/>
    <m/>
    <m/>
    <m/>
    <m/>
    <m/>
    <m/>
    <m/>
    <m/>
    <s v="Gisla Dewey and Carol Schimke sent to assist and observe"/>
  </r>
  <r>
    <m/>
    <n v="7"/>
    <x v="11"/>
    <d v="1999-08-01T00:00:00"/>
    <x v="4"/>
    <n v="4"/>
    <m/>
    <n v="1999"/>
    <n v="7"/>
    <s v="Europe/Asia"/>
    <s v="Cambodia"/>
    <m/>
    <s v="Floods"/>
    <s v="General Floods"/>
    <s v="General Floods"/>
    <m/>
    <m/>
    <m/>
    <m/>
    <m/>
    <m/>
    <m/>
    <m/>
    <m/>
    <m/>
    <m/>
    <m/>
    <n v="0"/>
    <n v="25000"/>
    <m/>
    <m/>
    <m/>
    <n v="25000"/>
    <n v="0"/>
    <m/>
    <m/>
    <m/>
    <m/>
    <m/>
    <m/>
    <m/>
    <m/>
    <m/>
    <m/>
    <m/>
    <m/>
    <m/>
    <m/>
    <m/>
    <m/>
    <m/>
    <m/>
    <m/>
    <n v="25000"/>
    <m/>
    <m/>
    <n v="1321.7075933422946"/>
    <n v="25000"/>
    <s v="Y"/>
    <m/>
    <m/>
    <m/>
    <m/>
    <n v="2898"/>
    <m/>
    <m/>
    <m/>
    <m/>
    <m/>
    <m/>
    <m/>
    <m/>
    <m/>
    <m/>
    <m/>
    <m/>
    <s v="Region response"/>
  </r>
  <r>
    <m/>
    <n v="8"/>
    <x v="12"/>
    <d v="1999-09-01T00:00:00"/>
    <x v="4"/>
    <n v="5"/>
    <m/>
    <n v="1999"/>
    <n v="8"/>
    <s v="Europe/Asia"/>
    <s v="Greece"/>
    <m/>
    <s v="Earthquake"/>
    <s v="Earthquake"/>
    <s v="Earthquake"/>
    <m/>
    <m/>
    <m/>
    <m/>
    <m/>
    <m/>
    <m/>
    <m/>
    <m/>
    <m/>
    <m/>
    <m/>
    <n v="1"/>
    <n v="80000"/>
    <m/>
    <m/>
    <m/>
    <n v="80000"/>
    <n v="0"/>
    <m/>
    <m/>
    <m/>
    <m/>
    <m/>
    <m/>
    <m/>
    <m/>
    <m/>
    <m/>
    <m/>
    <m/>
    <m/>
    <m/>
    <m/>
    <m/>
    <m/>
    <m/>
    <m/>
    <n v="80000"/>
    <m/>
    <m/>
    <n v="2580.0991790124413"/>
    <n v="80000"/>
    <s v="Y"/>
    <m/>
    <m/>
    <m/>
    <m/>
    <n v="2898"/>
    <m/>
    <m/>
    <m/>
    <m/>
    <m/>
    <m/>
    <m/>
    <m/>
    <m/>
    <m/>
    <m/>
    <m/>
    <m/>
  </r>
  <r>
    <m/>
    <n v="9"/>
    <x v="13"/>
    <d v="1999-09-01T00:00:00"/>
    <x v="4"/>
    <n v="6"/>
    <m/>
    <n v="1999"/>
    <n v="9"/>
    <s v="LAC"/>
    <s v="Bahamas"/>
    <m/>
    <s v="Storm"/>
    <s v="Tropical Cyclone"/>
    <s v="Hurricane"/>
    <m/>
    <m/>
    <m/>
    <m/>
    <m/>
    <m/>
    <m/>
    <m/>
    <m/>
    <m/>
    <m/>
    <m/>
    <m/>
    <m/>
    <m/>
    <n v="25000"/>
    <m/>
    <n v="25000"/>
    <n v="3"/>
    <m/>
    <m/>
    <m/>
    <m/>
    <m/>
    <m/>
    <m/>
    <m/>
    <m/>
    <m/>
    <m/>
    <m/>
    <m/>
    <m/>
    <m/>
    <m/>
    <m/>
    <n v="97443"/>
    <n v="9750"/>
    <n v="132193"/>
    <m/>
    <m/>
    <n v="12383.247348462506"/>
    <n v="132193"/>
    <s v="Y"/>
    <m/>
    <m/>
    <m/>
    <m/>
    <n v="2898"/>
    <m/>
    <m/>
    <m/>
    <m/>
    <m/>
    <m/>
    <m/>
    <m/>
    <m/>
    <m/>
    <m/>
    <s v="Floyd"/>
    <s v="Hygiene kits, plastic sheeting, flashlights,batteries, bedsheets, and tents"/>
  </r>
  <r>
    <m/>
    <n v="10"/>
    <x v="14"/>
    <d v="1999-09-01T00:00:00"/>
    <x v="4"/>
    <n v="7"/>
    <m/>
    <n v="1999"/>
    <n v="10"/>
    <s v="Europe/Asia"/>
    <s v="Taiwan"/>
    <m/>
    <s v="Earthquake"/>
    <s v="Earthquake"/>
    <s v="Earthquake"/>
    <m/>
    <m/>
    <m/>
    <m/>
    <m/>
    <m/>
    <m/>
    <m/>
    <m/>
    <m/>
    <m/>
    <m/>
    <n v="1"/>
    <n v="1200000"/>
    <m/>
    <m/>
    <m/>
    <n v="1200000"/>
    <n v="0"/>
    <m/>
    <m/>
    <m/>
    <m/>
    <m/>
    <m/>
    <m/>
    <m/>
    <m/>
    <m/>
    <m/>
    <m/>
    <m/>
    <m/>
    <m/>
    <m/>
    <m/>
    <m/>
    <m/>
    <n v="1200000"/>
    <m/>
    <m/>
    <n v="54838.842352037951"/>
    <n v="1200000"/>
    <s v="Y"/>
    <m/>
    <m/>
    <m/>
    <m/>
    <n v="2824"/>
    <m/>
    <m/>
    <m/>
    <m/>
    <m/>
    <m/>
    <m/>
    <m/>
    <m/>
    <m/>
    <m/>
    <m/>
    <s v="Money sent to Federation"/>
  </r>
  <r>
    <m/>
    <n v="11"/>
    <x v="15"/>
    <d v="1999-09-01T00:00:00"/>
    <x v="4"/>
    <n v="8"/>
    <m/>
    <n v="1999"/>
    <n v="11"/>
    <s v="Europe/Asia"/>
    <s v="Japan"/>
    <m/>
    <s v="Industrial"/>
    <s v="Radiation"/>
    <s v="Radiation"/>
    <m/>
    <m/>
    <m/>
    <m/>
    <m/>
    <m/>
    <m/>
    <m/>
    <m/>
    <m/>
    <m/>
    <m/>
    <m/>
    <m/>
    <m/>
    <m/>
    <m/>
    <n v="0"/>
    <n v="0"/>
    <m/>
    <m/>
    <m/>
    <m/>
    <m/>
    <m/>
    <m/>
    <m/>
    <m/>
    <m/>
    <m/>
    <m/>
    <m/>
    <m/>
    <m/>
    <m/>
    <m/>
    <n v="200"/>
    <m/>
    <n v="200"/>
    <m/>
    <m/>
    <m/>
    <n v="200"/>
    <s v="Y"/>
    <m/>
    <m/>
    <m/>
    <m/>
    <n v="2898"/>
    <m/>
    <m/>
    <m/>
    <m/>
    <m/>
    <m/>
    <m/>
    <m/>
    <m/>
    <m/>
    <m/>
    <s v="Nuclear Power Plant"/>
    <s v="Manuals related to Nuclear disasters sent to JRCS"/>
  </r>
  <r>
    <m/>
    <n v="12"/>
    <x v="0"/>
    <d v="1999-09-01T00:00:00"/>
    <x v="4"/>
    <n v="9"/>
    <m/>
    <n v="1999"/>
    <n v="12"/>
    <s v="LAC"/>
    <s v="Mexico"/>
    <m/>
    <s v="Earthquake"/>
    <s v="Earthquake"/>
    <s v="Earthquake"/>
    <m/>
    <m/>
    <m/>
    <m/>
    <m/>
    <m/>
    <m/>
    <m/>
    <m/>
    <m/>
    <m/>
    <m/>
    <m/>
    <m/>
    <m/>
    <n v="150000"/>
    <m/>
    <n v="150000"/>
    <n v="3"/>
    <m/>
    <m/>
    <m/>
    <m/>
    <m/>
    <m/>
    <m/>
    <m/>
    <m/>
    <m/>
    <m/>
    <m/>
    <m/>
    <m/>
    <m/>
    <m/>
    <m/>
    <m/>
    <m/>
    <n v="150000"/>
    <m/>
    <m/>
    <m/>
    <n v="150000"/>
    <s v="Y"/>
    <m/>
    <m/>
    <m/>
    <m/>
    <n v="2020"/>
    <m/>
    <m/>
    <m/>
    <m/>
    <m/>
    <m/>
    <m/>
    <m/>
    <m/>
    <m/>
    <m/>
    <m/>
    <m/>
  </r>
  <r>
    <m/>
    <n v="13"/>
    <x v="16"/>
    <d v="1999-10-01T00:00:00"/>
    <x v="4"/>
    <n v="10"/>
    <m/>
    <n v="1999"/>
    <n v="13"/>
    <s v="LAC"/>
    <s v="Mexico"/>
    <m/>
    <s v="Floods "/>
    <s v="General Floods"/>
    <s v="General Floods"/>
    <m/>
    <m/>
    <m/>
    <m/>
    <m/>
    <m/>
    <m/>
    <m/>
    <m/>
    <m/>
    <m/>
    <m/>
    <m/>
    <m/>
    <m/>
    <n v="200000"/>
    <m/>
    <n v="200000"/>
    <n v="4"/>
    <m/>
    <m/>
    <m/>
    <m/>
    <m/>
    <m/>
    <m/>
    <m/>
    <m/>
    <m/>
    <m/>
    <m/>
    <m/>
    <m/>
    <m/>
    <m/>
    <m/>
    <m/>
    <n v="5000"/>
    <n v="205000"/>
    <m/>
    <m/>
    <n v="12000"/>
    <n v="205000"/>
    <s v="Y"/>
    <m/>
    <m/>
    <m/>
    <m/>
    <n v="2020"/>
    <m/>
    <m/>
    <m/>
    <m/>
    <m/>
    <m/>
    <m/>
    <m/>
    <m/>
    <m/>
    <m/>
    <m/>
    <m/>
  </r>
  <r>
    <m/>
    <n v="14"/>
    <x v="17"/>
    <d v="1999-10-01T00:00:00"/>
    <x v="4"/>
    <n v="11"/>
    <m/>
    <n v="1999"/>
    <n v="14"/>
    <s v="Europe/Asia"/>
    <s v="Russian Fed."/>
    <m/>
    <s v="Conflict"/>
    <s v="Conflict"/>
    <s v="Conflict"/>
    <m/>
    <m/>
    <m/>
    <m/>
    <m/>
    <m/>
    <m/>
    <m/>
    <m/>
    <m/>
    <m/>
    <m/>
    <m/>
    <m/>
    <m/>
    <n v="75000"/>
    <m/>
    <n v="75000"/>
    <n v="0"/>
    <m/>
    <m/>
    <n v="76700"/>
    <m/>
    <n v="11200"/>
    <n v="55000"/>
    <n v="10500"/>
    <m/>
    <m/>
    <m/>
    <m/>
    <m/>
    <m/>
    <m/>
    <m/>
    <m/>
    <m/>
    <n v="535134"/>
    <m/>
    <n v="610134"/>
    <m/>
    <m/>
    <n v="55000"/>
    <n v="610134"/>
    <s v="Y"/>
    <m/>
    <m/>
    <m/>
    <m/>
    <n v="2045"/>
    <m/>
    <m/>
    <m/>
    <m/>
    <m/>
    <m/>
    <m/>
    <m/>
    <m/>
    <m/>
    <m/>
    <s v="Chechnya"/>
    <s v="Chechnya:  Response handled by Regional desk, winter clothing for 3,000 people, 55,000 blankets, 10,500 Jerry cans, 11,200 hygiene parcels."/>
  </r>
  <r>
    <m/>
    <n v="15"/>
    <x v="18"/>
    <d v="1999-10-01T00:00:00"/>
    <x v="4"/>
    <n v="12"/>
    <m/>
    <n v="1999"/>
    <n v="15"/>
    <s v="Europe/Asia"/>
    <s v="Timor-Leste"/>
    <m/>
    <s v="Conflict"/>
    <s v="Conflict"/>
    <s v="Conflict"/>
    <m/>
    <m/>
    <m/>
    <m/>
    <m/>
    <m/>
    <m/>
    <m/>
    <m/>
    <m/>
    <m/>
    <m/>
    <m/>
    <m/>
    <m/>
    <n v="10000"/>
    <m/>
    <n v="10000"/>
    <n v="1"/>
    <m/>
    <m/>
    <m/>
    <m/>
    <m/>
    <m/>
    <m/>
    <m/>
    <m/>
    <m/>
    <m/>
    <m/>
    <m/>
    <m/>
    <m/>
    <m/>
    <m/>
    <m/>
    <m/>
    <n v="10000"/>
    <m/>
    <m/>
    <m/>
    <n v="10000"/>
    <s v="Y"/>
    <m/>
    <m/>
    <m/>
    <m/>
    <n v="2898"/>
    <m/>
    <m/>
    <m/>
    <m/>
    <m/>
    <m/>
    <m/>
    <m/>
    <m/>
    <m/>
    <m/>
    <s v="Referendum"/>
    <s v="Kevin Kelley sent."/>
  </r>
  <r>
    <m/>
    <n v="16"/>
    <x v="19"/>
    <d v="1999-10-01T00:00:00"/>
    <x v="4"/>
    <n v="13"/>
    <m/>
    <n v="1999"/>
    <n v="16"/>
    <s v="Europe/Asia"/>
    <s v="Bangladesh"/>
    <m/>
    <s v="Floods"/>
    <s v="General Floods"/>
    <s v="General Floods"/>
    <m/>
    <m/>
    <m/>
    <m/>
    <m/>
    <m/>
    <m/>
    <m/>
    <m/>
    <m/>
    <m/>
    <m/>
    <n v="0"/>
    <n v="25000"/>
    <m/>
    <m/>
    <m/>
    <n v="25000"/>
    <n v="0"/>
    <m/>
    <m/>
    <m/>
    <m/>
    <m/>
    <m/>
    <m/>
    <m/>
    <m/>
    <m/>
    <m/>
    <m/>
    <m/>
    <m/>
    <m/>
    <m/>
    <m/>
    <m/>
    <m/>
    <n v="25000"/>
    <m/>
    <m/>
    <n v="2500"/>
    <n v="25000"/>
    <s v="Y"/>
    <m/>
    <m/>
    <m/>
    <m/>
    <n v="2898"/>
    <m/>
    <m/>
    <m/>
    <m/>
    <m/>
    <m/>
    <m/>
    <m/>
    <m/>
    <m/>
    <m/>
    <m/>
    <m/>
  </r>
  <r>
    <m/>
    <n v="17"/>
    <x v="20"/>
    <d v="1999-11-01T00:00:00"/>
    <x v="4"/>
    <n v="14"/>
    <m/>
    <n v="1999"/>
    <n v="17"/>
    <s v="Europe/Asia"/>
    <s v="India"/>
    <m/>
    <s v="Storm"/>
    <s v="Tropical Cyclone"/>
    <s v="Cyclone"/>
    <m/>
    <m/>
    <m/>
    <m/>
    <m/>
    <m/>
    <m/>
    <m/>
    <m/>
    <m/>
    <m/>
    <m/>
    <n v="1"/>
    <n v="50000"/>
    <m/>
    <m/>
    <m/>
    <n v="50000"/>
    <n v="0"/>
    <m/>
    <m/>
    <m/>
    <m/>
    <m/>
    <m/>
    <m/>
    <m/>
    <m/>
    <m/>
    <m/>
    <m/>
    <m/>
    <m/>
    <m/>
    <m/>
    <m/>
    <m/>
    <m/>
    <n v="50000"/>
    <m/>
    <m/>
    <n v="5000"/>
    <n v="50000"/>
    <s v="Y"/>
    <m/>
    <m/>
    <m/>
    <m/>
    <n v="2898"/>
    <m/>
    <m/>
    <m/>
    <m/>
    <m/>
    <m/>
    <m/>
    <m/>
    <m/>
    <m/>
    <m/>
    <m/>
    <s v="Federation handled funds"/>
  </r>
  <r>
    <m/>
    <n v="18"/>
    <x v="21"/>
    <d v="1999-11-01T00:00:00"/>
    <x v="4"/>
    <n v="15"/>
    <m/>
    <n v="1999"/>
    <n v="18"/>
    <s v="Europe/Asia"/>
    <s v="Vietnam"/>
    <m/>
    <s v="Floods"/>
    <s v="General Floods"/>
    <s v="General Floods"/>
    <m/>
    <m/>
    <m/>
    <m/>
    <m/>
    <m/>
    <m/>
    <m/>
    <m/>
    <m/>
    <m/>
    <m/>
    <m/>
    <m/>
    <m/>
    <n v="50000"/>
    <m/>
    <n v="50000"/>
    <n v="0"/>
    <m/>
    <m/>
    <m/>
    <m/>
    <m/>
    <m/>
    <m/>
    <m/>
    <m/>
    <m/>
    <m/>
    <m/>
    <m/>
    <m/>
    <m/>
    <m/>
    <m/>
    <m/>
    <m/>
    <n v="50000"/>
    <m/>
    <m/>
    <m/>
    <n v="50000"/>
    <s v="Y"/>
    <m/>
    <m/>
    <m/>
    <m/>
    <n v="2870"/>
    <m/>
    <m/>
    <m/>
    <m/>
    <m/>
    <m/>
    <m/>
    <m/>
    <m/>
    <m/>
    <m/>
    <m/>
    <s v="Reference Regional Desk information."/>
  </r>
  <r>
    <m/>
    <n v="19"/>
    <x v="9"/>
    <d v="1999-11-01T00:00:00"/>
    <x v="4"/>
    <n v="16"/>
    <m/>
    <n v="1999"/>
    <n v="19"/>
    <s v="Europe/Asia"/>
    <s v="Turkey"/>
    <m/>
    <s v="Earthquake"/>
    <s v="Earthquake"/>
    <s v="Earthquake"/>
    <m/>
    <m/>
    <m/>
    <m/>
    <m/>
    <m/>
    <m/>
    <m/>
    <m/>
    <m/>
    <m/>
    <m/>
    <n v="1"/>
    <n v="2504221.9900000002"/>
    <m/>
    <n v="1360000"/>
    <m/>
    <n v="3864221.99"/>
    <n v="10"/>
    <m/>
    <m/>
    <m/>
    <m/>
    <m/>
    <m/>
    <m/>
    <m/>
    <m/>
    <m/>
    <m/>
    <m/>
    <m/>
    <m/>
    <m/>
    <m/>
    <m/>
    <n v="816758.16"/>
    <n v="472203.99"/>
    <n v="5153184.1400000006"/>
    <m/>
    <m/>
    <n v="52000"/>
    <n v="5153184.1400000006"/>
    <s v="Y"/>
    <m/>
    <m/>
    <m/>
    <m/>
    <n v="2814"/>
    <m/>
    <m/>
    <m/>
    <m/>
    <m/>
    <m/>
    <m/>
    <m/>
    <m/>
    <m/>
    <m/>
    <m/>
    <s v="Total expenditures based off expenses from August-Jan for both earthquakes affecting Turkey."/>
  </r>
  <r>
    <m/>
    <n v="20"/>
    <x v="22"/>
    <d v="1999-11-01T00:00:00"/>
    <x v="4"/>
    <n v="17"/>
    <m/>
    <n v="1999"/>
    <n v="20"/>
    <s v="LAC"/>
    <s v="Dominica"/>
    <m/>
    <s v="Storm"/>
    <s v="Tropical Cyclone"/>
    <s v="Hurricane"/>
    <m/>
    <m/>
    <m/>
    <m/>
    <m/>
    <m/>
    <m/>
    <m/>
    <m/>
    <m/>
    <m/>
    <m/>
    <m/>
    <m/>
    <m/>
    <n v="15000"/>
    <m/>
    <n v="15000"/>
    <n v="1"/>
    <m/>
    <m/>
    <m/>
    <m/>
    <m/>
    <m/>
    <m/>
    <m/>
    <m/>
    <m/>
    <m/>
    <m/>
    <m/>
    <m/>
    <m/>
    <m/>
    <m/>
    <m/>
    <m/>
    <n v="15000"/>
    <m/>
    <m/>
    <n v="1500"/>
    <n v="15000"/>
    <s v="Y"/>
    <m/>
    <m/>
    <m/>
    <m/>
    <n v="2898"/>
    <m/>
    <m/>
    <m/>
    <m/>
    <m/>
    <m/>
    <m/>
    <m/>
    <m/>
    <m/>
    <m/>
    <s v="Lenny"/>
    <s v="Transferred directly to DRCS for household items, supplementary food to 100 families, tents &amp; hygiene kits. "/>
  </r>
  <r>
    <m/>
    <n v="20"/>
    <x v="23"/>
    <d v="1999-11-01T00:00:00"/>
    <x v="4"/>
    <n v="17"/>
    <m/>
    <n v="1999"/>
    <n v="20"/>
    <s v="LAC"/>
    <s v="St. Kitts &amp; Nevis"/>
    <m/>
    <s v="Storm"/>
    <s v="Tropical Cyclone"/>
    <s v="Hurricane"/>
    <m/>
    <m/>
    <m/>
    <m/>
    <m/>
    <m/>
    <m/>
    <m/>
    <m/>
    <m/>
    <m/>
    <m/>
    <m/>
    <m/>
    <m/>
    <n v="15000"/>
    <m/>
    <n v="15000"/>
    <n v="2"/>
    <m/>
    <m/>
    <m/>
    <m/>
    <m/>
    <m/>
    <m/>
    <m/>
    <m/>
    <m/>
    <m/>
    <m/>
    <m/>
    <m/>
    <m/>
    <m/>
    <m/>
    <m/>
    <m/>
    <n v="15000"/>
    <m/>
    <m/>
    <n v="1500"/>
    <n v="15000"/>
    <s v="Y"/>
    <m/>
    <m/>
    <m/>
    <m/>
    <n v="2898"/>
    <m/>
    <m/>
    <m/>
    <m/>
    <m/>
    <m/>
    <m/>
    <m/>
    <m/>
    <m/>
    <m/>
    <s v="Lenny"/>
    <s v="Transferred directly to SKNRC for hygiene kits, food packages and bedding "/>
  </r>
  <r>
    <m/>
    <n v="20"/>
    <x v="24"/>
    <d v="1999-11-01T00:00:00"/>
    <x v="4"/>
    <n v="17"/>
    <m/>
    <n v="1999"/>
    <n v="20"/>
    <s v="LAC"/>
    <s v="Antigua"/>
    <m/>
    <s v="Storm"/>
    <s v="Tropical Cyclone"/>
    <s v="Hurricane"/>
    <m/>
    <m/>
    <m/>
    <m/>
    <m/>
    <m/>
    <m/>
    <m/>
    <m/>
    <m/>
    <m/>
    <m/>
    <m/>
    <m/>
    <m/>
    <n v="15000"/>
    <m/>
    <n v="15000"/>
    <n v="1"/>
    <m/>
    <m/>
    <m/>
    <m/>
    <m/>
    <m/>
    <m/>
    <m/>
    <m/>
    <m/>
    <m/>
    <m/>
    <m/>
    <m/>
    <m/>
    <m/>
    <m/>
    <m/>
    <m/>
    <n v="15000"/>
    <m/>
    <m/>
    <n v="1500"/>
    <n v="15000"/>
    <s v="Y"/>
    <m/>
    <m/>
    <m/>
    <m/>
    <n v="2898"/>
    <m/>
    <m/>
    <m/>
    <m/>
    <m/>
    <m/>
    <m/>
    <m/>
    <m/>
    <m/>
    <m/>
    <s v="Lenny"/>
    <s v="$15,000 for mattresses, first aid supplies, and roofing .     "/>
  </r>
  <r>
    <m/>
    <n v="20"/>
    <x v="25"/>
    <d v="1999-11-01T00:00:00"/>
    <x v="4"/>
    <n v="17"/>
    <m/>
    <n v="1999"/>
    <n v="20"/>
    <s v="LAC"/>
    <s v="Grenada"/>
    <m/>
    <s v="Storm"/>
    <s v="Tropical Cyclone"/>
    <s v="Hurricane"/>
    <m/>
    <m/>
    <m/>
    <m/>
    <m/>
    <m/>
    <m/>
    <m/>
    <m/>
    <m/>
    <m/>
    <m/>
    <m/>
    <m/>
    <m/>
    <n v="9000"/>
    <m/>
    <n v="9000"/>
    <n v="1"/>
    <m/>
    <m/>
    <m/>
    <m/>
    <m/>
    <m/>
    <m/>
    <m/>
    <m/>
    <m/>
    <m/>
    <m/>
    <m/>
    <m/>
    <m/>
    <m/>
    <m/>
    <m/>
    <m/>
    <n v="9000"/>
    <m/>
    <m/>
    <n v="900"/>
    <n v="9000"/>
    <s v="Y"/>
    <m/>
    <m/>
    <m/>
    <m/>
    <n v="2898"/>
    <m/>
    <m/>
    <m/>
    <m/>
    <m/>
    <m/>
    <m/>
    <m/>
    <m/>
    <m/>
    <m/>
    <s v="Lenny"/>
    <m/>
  </r>
  <r>
    <m/>
    <n v="20"/>
    <x v="26"/>
    <d v="1999-11-01T00:00:00"/>
    <x v="4"/>
    <n v="17"/>
    <m/>
    <n v="1999"/>
    <n v="20"/>
    <s v="LAC"/>
    <s v="St. Maartens"/>
    <m/>
    <s v="Storm"/>
    <s v="Tropical Cyclone"/>
    <s v="Hurricane"/>
    <m/>
    <m/>
    <m/>
    <m/>
    <m/>
    <m/>
    <m/>
    <m/>
    <m/>
    <m/>
    <m/>
    <m/>
    <m/>
    <m/>
    <m/>
    <n v="9000"/>
    <m/>
    <n v="9000"/>
    <m/>
    <m/>
    <m/>
    <m/>
    <m/>
    <m/>
    <m/>
    <m/>
    <m/>
    <m/>
    <m/>
    <m/>
    <m/>
    <m/>
    <m/>
    <m/>
    <m/>
    <m/>
    <m/>
    <m/>
    <n v="9000"/>
    <m/>
    <m/>
    <n v="900"/>
    <n v="9000"/>
    <s v="Y"/>
    <m/>
    <m/>
    <m/>
    <m/>
    <n v="2898"/>
    <m/>
    <m/>
    <m/>
    <m/>
    <m/>
    <m/>
    <m/>
    <m/>
    <m/>
    <m/>
    <m/>
    <s v="Lenny"/>
    <m/>
  </r>
  <r>
    <m/>
    <n v="21"/>
    <x v="27"/>
    <d v="1999-12-01T00:00:00"/>
    <x v="4"/>
    <n v="18"/>
    <m/>
    <n v="1999"/>
    <n v="21"/>
    <s v="LAC"/>
    <s v="Venezuela"/>
    <m/>
    <s v="Floods"/>
    <s v="General Floods"/>
    <s v="General Floods"/>
    <m/>
    <m/>
    <m/>
    <m/>
    <m/>
    <m/>
    <m/>
    <m/>
    <m/>
    <m/>
    <m/>
    <m/>
    <m/>
    <m/>
    <m/>
    <n v="50000"/>
    <m/>
    <n v="50000"/>
    <n v="23"/>
    <m/>
    <m/>
    <n v="55532"/>
    <m/>
    <n v="2200"/>
    <n v="4625"/>
    <n v="2550"/>
    <m/>
    <n v="36"/>
    <m/>
    <n v="6120"/>
    <m/>
    <n v="40000"/>
    <m/>
    <n v="7"/>
    <m/>
    <m/>
    <n v="506000"/>
    <n v="500000"/>
    <n v="1056000"/>
    <m/>
    <m/>
    <n v="120000"/>
    <n v="1056000"/>
    <s v="Y"/>
    <m/>
    <m/>
    <m/>
    <m/>
    <n v="2912"/>
    <m/>
    <m/>
    <m/>
    <m/>
    <m/>
    <m/>
    <m/>
    <m/>
    <m/>
    <m/>
    <m/>
    <m/>
    <s v="2,550 collapsible water containers. Purchased and shipped 7 Ford trucks, ($182,000),  13 MT calcium hypochloride ($30,000)"/>
  </r>
  <r>
    <m/>
    <n v="22"/>
    <x v="28"/>
    <d v="2000-02-01T00:00:00"/>
    <x v="4"/>
    <n v="19"/>
    <m/>
    <n v="2000"/>
    <n v="1"/>
    <s v="Africa"/>
    <s v="South Africa"/>
    <m/>
    <s v="Floods"/>
    <s v="General Floods"/>
    <s v="General Floods"/>
    <m/>
    <m/>
    <m/>
    <m/>
    <m/>
    <m/>
    <m/>
    <m/>
    <m/>
    <m/>
    <m/>
    <m/>
    <n v="0"/>
    <n v="23333.333333333332"/>
    <m/>
    <m/>
    <m/>
    <n v="23333.333333333332"/>
    <n v="0"/>
    <m/>
    <m/>
    <m/>
    <m/>
    <m/>
    <m/>
    <m/>
    <m/>
    <m/>
    <m/>
    <m/>
    <m/>
    <m/>
    <m/>
    <m/>
    <m/>
    <m/>
    <m/>
    <m/>
    <n v="23333.333333333332"/>
    <m/>
    <m/>
    <n v="2300"/>
    <n v="23333.333333333332"/>
    <s v="Y"/>
    <m/>
    <m/>
    <m/>
    <m/>
    <n v="2898"/>
    <m/>
    <m/>
    <m/>
    <m/>
    <m/>
    <m/>
    <m/>
    <m/>
    <m/>
    <m/>
    <m/>
    <m/>
    <s v="Federation handled funds ($70,000 total)"/>
  </r>
  <r>
    <m/>
    <n v="22"/>
    <x v="29"/>
    <d v="2000-02-01T00:00:00"/>
    <x v="4"/>
    <n v="19"/>
    <m/>
    <n v="2000"/>
    <n v="1"/>
    <s v="Africa"/>
    <s v="Botswana"/>
    <m/>
    <s v="Floods"/>
    <s v="General Floods"/>
    <s v="General Floods"/>
    <m/>
    <m/>
    <m/>
    <m/>
    <m/>
    <m/>
    <m/>
    <m/>
    <m/>
    <m/>
    <m/>
    <m/>
    <n v="0"/>
    <n v="23333.333333333332"/>
    <m/>
    <m/>
    <m/>
    <n v="23333.333333333332"/>
    <m/>
    <m/>
    <m/>
    <m/>
    <m/>
    <m/>
    <m/>
    <m/>
    <m/>
    <m/>
    <m/>
    <m/>
    <m/>
    <m/>
    <m/>
    <m/>
    <m/>
    <m/>
    <m/>
    <m/>
    <n v="23333.333333333332"/>
    <m/>
    <m/>
    <n v="2300"/>
    <n v="23333.333333333332"/>
    <s v="Y"/>
    <m/>
    <m/>
    <m/>
    <m/>
    <n v="2898"/>
    <m/>
    <m/>
    <m/>
    <m/>
    <m/>
    <m/>
    <m/>
    <m/>
    <m/>
    <m/>
    <m/>
    <m/>
    <s v="Federation handled funds ($70,000 total)"/>
  </r>
  <r>
    <m/>
    <n v="22"/>
    <x v="30"/>
    <d v="2000-02-01T00:00:00"/>
    <x v="4"/>
    <n v="19"/>
    <m/>
    <n v="2000"/>
    <n v="1"/>
    <s v="Africa"/>
    <s v="Zimbabwe"/>
    <m/>
    <s v="Floods"/>
    <s v="General Floods"/>
    <s v="General Floods"/>
    <m/>
    <m/>
    <m/>
    <m/>
    <m/>
    <m/>
    <m/>
    <m/>
    <m/>
    <m/>
    <m/>
    <m/>
    <n v="0"/>
    <n v="23333.343333333331"/>
    <m/>
    <m/>
    <m/>
    <n v="23333.343333333331"/>
    <m/>
    <m/>
    <m/>
    <m/>
    <m/>
    <m/>
    <m/>
    <m/>
    <m/>
    <m/>
    <m/>
    <m/>
    <m/>
    <m/>
    <m/>
    <m/>
    <m/>
    <m/>
    <m/>
    <m/>
    <n v="23333.343333333331"/>
    <m/>
    <m/>
    <n v="2300"/>
    <n v="23333.343333333331"/>
    <s v="Y"/>
    <m/>
    <m/>
    <m/>
    <m/>
    <n v="2898"/>
    <m/>
    <m/>
    <m/>
    <m/>
    <m/>
    <m/>
    <m/>
    <m/>
    <m/>
    <m/>
    <m/>
    <m/>
    <s v="Federation handled funds ($70,000 total)"/>
  </r>
  <r>
    <m/>
    <n v="23"/>
    <x v="31"/>
    <d v="2000-03-01T00:00:00"/>
    <x v="4"/>
    <n v="21"/>
    <m/>
    <n v="2000"/>
    <n v="3"/>
    <s v="Africa"/>
    <s v="Madagascar"/>
    <m/>
    <s v="Floods"/>
    <s v="General Floods"/>
    <s v="General Floods"/>
    <m/>
    <m/>
    <m/>
    <m/>
    <m/>
    <m/>
    <m/>
    <m/>
    <m/>
    <m/>
    <m/>
    <m/>
    <n v="0"/>
    <n v="25000"/>
    <m/>
    <m/>
    <m/>
    <n v="25000"/>
    <n v="0"/>
    <m/>
    <m/>
    <m/>
    <m/>
    <m/>
    <m/>
    <m/>
    <m/>
    <m/>
    <m/>
    <m/>
    <m/>
    <m/>
    <m/>
    <m/>
    <m/>
    <m/>
    <m/>
    <m/>
    <n v="25000"/>
    <m/>
    <m/>
    <n v="2500"/>
    <n v="25000"/>
    <s v="Y"/>
    <m/>
    <m/>
    <m/>
    <m/>
    <n v="2898"/>
    <m/>
    <m/>
    <m/>
    <m/>
    <m/>
    <m/>
    <m/>
    <m/>
    <m/>
    <m/>
    <m/>
    <m/>
    <s v="Federation handled funds"/>
  </r>
  <r>
    <m/>
    <n v="24"/>
    <x v="5"/>
    <d v="2000-04-01T00:00:00"/>
    <x v="4"/>
    <n v="22"/>
    <m/>
    <n v="2000"/>
    <n v="4"/>
    <s v="Africa"/>
    <s v="Ethiopia"/>
    <m/>
    <s v="Drought"/>
    <s v="Drought"/>
    <s v="Drought"/>
    <m/>
    <m/>
    <m/>
    <m/>
    <m/>
    <m/>
    <m/>
    <m/>
    <m/>
    <m/>
    <m/>
    <m/>
    <n v="1"/>
    <n v="100000"/>
    <m/>
    <m/>
    <m/>
    <n v="100000"/>
    <n v="0"/>
    <m/>
    <m/>
    <m/>
    <m/>
    <m/>
    <m/>
    <m/>
    <m/>
    <m/>
    <m/>
    <m/>
    <m/>
    <m/>
    <m/>
    <m/>
    <m/>
    <m/>
    <m/>
    <m/>
    <n v="100000"/>
    <m/>
    <m/>
    <n v="2376.7346201502733"/>
    <n v="100000"/>
    <s v="Y"/>
    <m/>
    <m/>
    <m/>
    <m/>
    <n v="2898"/>
    <m/>
    <m/>
    <m/>
    <m/>
    <m/>
    <m/>
    <m/>
    <m/>
    <m/>
    <m/>
    <m/>
    <m/>
    <m/>
  </r>
  <r>
    <m/>
    <n v="25"/>
    <x v="32"/>
    <d v="2000-06-01T00:00:00"/>
    <x v="4"/>
    <n v="23"/>
    <m/>
    <n v="2000"/>
    <n v="5"/>
    <s v="Europe/Asia"/>
    <s v="Indonesia"/>
    <m/>
    <s v="Earthquake"/>
    <s v="Earthquake"/>
    <s v="Earthquake"/>
    <m/>
    <m/>
    <m/>
    <m/>
    <m/>
    <m/>
    <m/>
    <m/>
    <m/>
    <m/>
    <m/>
    <m/>
    <n v="1"/>
    <n v="50000"/>
    <m/>
    <m/>
    <m/>
    <n v="50000"/>
    <n v="2"/>
    <m/>
    <m/>
    <m/>
    <m/>
    <m/>
    <m/>
    <m/>
    <m/>
    <m/>
    <m/>
    <m/>
    <m/>
    <m/>
    <m/>
    <m/>
    <m/>
    <m/>
    <m/>
    <m/>
    <n v="50000"/>
    <m/>
    <m/>
    <n v="3300"/>
    <n v="50000"/>
    <s v="Y"/>
    <m/>
    <m/>
    <m/>
    <m/>
    <n v="2898"/>
    <m/>
    <m/>
    <m/>
    <m/>
    <m/>
    <m/>
    <m/>
    <m/>
    <m/>
    <m/>
    <m/>
    <m/>
    <s v="625 family kits"/>
  </r>
  <r>
    <m/>
    <n v="26"/>
    <x v="33"/>
    <d v="2000-08-01T00:00:00"/>
    <x v="5"/>
    <n v="1"/>
    <m/>
    <n v="2000"/>
    <n v="6"/>
    <s v="Europe/Asia"/>
    <s v="India"/>
    <m/>
    <s v="Floods"/>
    <s v="General Floods"/>
    <s v="General Floods"/>
    <m/>
    <m/>
    <m/>
    <m/>
    <m/>
    <m/>
    <m/>
    <m/>
    <m/>
    <m/>
    <m/>
    <m/>
    <m/>
    <m/>
    <m/>
    <m/>
    <m/>
    <n v="0"/>
    <n v="9"/>
    <m/>
    <m/>
    <n v="5000"/>
    <m/>
    <m/>
    <m/>
    <m/>
    <m/>
    <m/>
    <m/>
    <m/>
    <m/>
    <n v="5000"/>
    <m/>
    <n v="5"/>
    <m/>
    <m/>
    <n v="199200"/>
    <n v="190065"/>
    <n v="389265"/>
    <m/>
    <m/>
    <n v="25000"/>
    <n v="389265"/>
    <s v="Y"/>
    <m/>
    <m/>
    <m/>
    <m/>
    <n v="4901"/>
    <m/>
    <m/>
    <m/>
    <m/>
    <m/>
    <m/>
    <m/>
    <m/>
    <m/>
    <m/>
    <m/>
    <m/>
    <s v="5,000 relief/food parcels and 5 trucks"/>
  </r>
  <r>
    <m/>
    <n v="27"/>
    <x v="19"/>
    <d v="2000-08-01T00:00:00"/>
    <x v="5"/>
    <n v="2"/>
    <m/>
    <n v="2000"/>
    <n v="7"/>
    <s v="Europe/Asia"/>
    <s v="Bangladesh"/>
    <m/>
    <s v="Floods"/>
    <s v="General Floods"/>
    <s v="General Floods"/>
    <m/>
    <m/>
    <m/>
    <m/>
    <m/>
    <m/>
    <m/>
    <m/>
    <m/>
    <m/>
    <m/>
    <m/>
    <m/>
    <m/>
    <m/>
    <n v="25000"/>
    <m/>
    <n v="25000"/>
    <n v="0"/>
    <m/>
    <m/>
    <m/>
    <m/>
    <m/>
    <m/>
    <m/>
    <m/>
    <m/>
    <m/>
    <m/>
    <m/>
    <m/>
    <m/>
    <m/>
    <m/>
    <m/>
    <m/>
    <m/>
    <n v="25000"/>
    <m/>
    <m/>
    <n v="2500"/>
    <n v="25000"/>
    <s v="Y"/>
    <m/>
    <m/>
    <m/>
    <m/>
    <n v="2898"/>
    <m/>
    <m/>
    <m/>
    <m/>
    <m/>
    <m/>
    <m/>
    <m/>
    <m/>
    <m/>
    <m/>
    <m/>
    <s v="via Japanese Red Cross for relief supplies"/>
  </r>
  <r>
    <m/>
    <n v="28"/>
    <x v="11"/>
    <d v="2000-09-01T00:00:00"/>
    <x v="5"/>
    <n v="3"/>
    <m/>
    <n v="2000"/>
    <n v="8"/>
    <s v="Europe/Asia"/>
    <s v="Cambodia"/>
    <m/>
    <s v="Floods"/>
    <s v="Storm Surge"/>
    <s v="Storm Surge"/>
    <m/>
    <m/>
    <m/>
    <m/>
    <m/>
    <m/>
    <m/>
    <m/>
    <m/>
    <m/>
    <m/>
    <m/>
    <m/>
    <m/>
    <m/>
    <n v="352704"/>
    <m/>
    <n v="352704"/>
    <n v="0"/>
    <m/>
    <m/>
    <m/>
    <m/>
    <m/>
    <m/>
    <m/>
    <m/>
    <m/>
    <m/>
    <m/>
    <m/>
    <m/>
    <m/>
    <m/>
    <m/>
    <m/>
    <m/>
    <m/>
    <n v="352704"/>
    <m/>
    <m/>
    <n v="32645"/>
    <n v="352704"/>
    <s v="Y"/>
    <m/>
    <m/>
    <m/>
    <m/>
    <s v="OFDA"/>
    <m/>
    <m/>
    <m/>
    <m/>
    <m/>
    <m/>
    <m/>
    <m/>
    <m/>
    <m/>
    <m/>
    <s v="TS Wukong"/>
    <s v="Three grants from OFDA (two @ $25,000 each and 1 @ $302,704) for emergency household kits"/>
  </r>
  <r>
    <m/>
    <n v="29"/>
    <x v="21"/>
    <d v="2000-09-01T00:00:00"/>
    <x v="5"/>
    <n v="4"/>
    <m/>
    <n v="2000"/>
    <n v="9"/>
    <s v="Europe/Asia"/>
    <s v="Vietnam"/>
    <m/>
    <s v="Floods"/>
    <s v="Storm Surge"/>
    <s v="Storm Surge"/>
    <m/>
    <m/>
    <m/>
    <m/>
    <m/>
    <m/>
    <m/>
    <m/>
    <m/>
    <m/>
    <m/>
    <m/>
    <m/>
    <m/>
    <m/>
    <m/>
    <m/>
    <n v="0"/>
    <n v="0"/>
    <m/>
    <m/>
    <n v="1000"/>
    <m/>
    <m/>
    <m/>
    <m/>
    <m/>
    <m/>
    <m/>
    <m/>
    <m/>
    <m/>
    <m/>
    <m/>
    <m/>
    <m/>
    <n v="20000"/>
    <m/>
    <n v="20000"/>
    <m/>
    <m/>
    <n v="3500"/>
    <n v="20000"/>
    <s v="Y"/>
    <m/>
    <m/>
    <m/>
    <m/>
    <n v="2898"/>
    <m/>
    <m/>
    <m/>
    <m/>
    <m/>
    <m/>
    <m/>
    <m/>
    <m/>
    <m/>
    <m/>
    <s v="TS Wukong"/>
    <s v="1,000 Relief kits. (blankets, mosquito nets and cooking sets)"/>
  </r>
  <r>
    <m/>
    <n v="30"/>
    <x v="34"/>
    <d v="2000-10-01T00:00:00"/>
    <x v="5"/>
    <n v="5"/>
    <m/>
    <n v="2000"/>
    <n v="10"/>
    <s v="LAC"/>
    <s v="Belize"/>
    <m/>
    <s v="Storm"/>
    <s v="Tropical Cyclone"/>
    <s v="Hurricane"/>
    <m/>
    <m/>
    <m/>
    <m/>
    <m/>
    <m/>
    <m/>
    <m/>
    <m/>
    <m/>
    <m/>
    <m/>
    <m/>
    <m/>
    <m/>
    <n v="28500"/>
    <m/>
    <n v="28500"/>
    <n v="5"/>
    <m/>
    <m/>
    <m/>
    <m/>
    <m/>
    <m/>
    <m/>
    <m/>
    <m/>
    <m/>
    <m/>
    <m/>
    <n v="2600"/>
    <m/>
    <m/>
    <m/>
    <m/>
    <n v="90000"/>
    <m/>
    <n v="118500"/>
    <m/>
    <m/>
    <n v="13000"/>
    <n v="118500"/>
    <s v="Y"/>
    <m/>
    <m/>
    <m/>
    <m/>
    <n v="4903"/>
    <m/>
    <m/>
    <m/>
    <m/>
    <m/>
    <m/>
    <m/>
    <m/>
    <m/>
    <m/>
    <m/>
    <s v="Keith"/>
    <s v="2,600 LDS food parcels + $30,000 for local procurement"/>
  </r>
  <r>
    <m/>
    <n v="32"/>
    <x v="35"/>
    <d v="2000-10-01T00:00:00"/>
    <x v="5"/>
    <n v="6"/>
    <m/>
    <n v="2000"/>
    <n v="11"/>
    <s v="Europe/Asia"/>
    <s v="Israel"/>
    <m/>
    <s v="Conflict"/>
    <s v="Conflict"/>
    <s v="Conflict"/>
    <m/>
    <m/>
    <m/>
    <m/>
    <m/>
    <m/>
    <m/>
    <m/>
    <m/>
    <m/>
    <m/>
    <m/>
    <m/>
    <m/>
    <m/>
    <n v="40000"/>
    <m/>
    <n v="40000"/>
    <m/>
    <m/>
    <m/>
    <m/>
    <m/>
    <m/>
    <m/>
    <m/>
    <m/>
    <m/>
    <m/>
    <m/>
    <m/>
    <m/>
    <m/>
    <m/>
    <m/>
    <m/>
    <n v="0"/>
    <m/>
    <n v="40000"/>
    <m/>
    <m/>
    <m/>
    <n v="40000"/>
    <s v="Y"/>
    <m/>
    <m/>
    <m/>
    <m/>
    <n v="2898"/>
    <m/>
    <m/>
    <m/>
    <m/>
    <m/>
    <m/>
    <m/>
    <m/>
    <m/>
    <m/>
    <m/>
    <m/>
    <s v="CASH"/>
  </r>
  <r>
    <m/>
    <n v="32"/>
    <x v="36"/>
    <d v="2000-10-01T00:00:00"/>
    <x v="5"/>
    <n v="6"/>
    <m/>
    <n v="2000"/>
    <n v="11"/>
    <s v="Europe/Asia"/>
    <s v="Jordan"/>
    <m/>
    <s v="Conflict"/>
    <s v="Conflict"/>
    <s v="Conflict"/>
    <m/>
    <m/>
    <m/>
    <m/>
    <m/>
    <m/>
    <m/>
    <m/>
    <m/>
    <m/>
    <m/>
    <m/>
    <m/>
    <m/>
    <m/>
    <m/>
    <m/>
    <n v="0"/>
    <m/>
    <m/>
    <m/>
    <m/>
    <m/>
    <m/>
    <m/>
    <m/>
    <m/>
    <m/>
    <m/>
    <m/>
    <m/>
    <m/>
    <m/>
    <n v="1"/>
    <m/>
    <m/>
    <n v="172000"/>
    <m/>
    <n v="172000"/>
    <m/>
    <m/>
    <m/>
    <n v="172000"/>
    <s v="Y"/>
    <m/>
    <m/>
    <m/>
    <m/>
    <n v="2898"/>
    <m/>
    <m/>
    <m/>
    <m/>
    <m/>
    <m/>
    <m/>
    <m/>
    <m/>
    <m/>
    <m/>
    <m/>
    <s v="1 ambulance, 1 generator, various med supp/equip"/>
  </r>
  <r>
    <m/>
    <n v="32"/>
    <x v="37"/>
    <d v="2000-10-01T00:00:00"/>
    <x v="5"/>
    <n v="6"/>
    <m/>
    <n v="2000"/>
    <n v="11"/>
    <s v="Europe/Asia"/>
    <s v="Palestine"/>
    <m/>
    <s v="Conflict"/>
    <s v="Conflict"/>
    <s v="Conflict"/>
    <m/>
    <m/>
    <m/>
    <m/>
    <m/>
    <m/>
    <m/>
    <m/>
    <m/>
    <m/>
    <m/>
    <m/>
    <m/>
    <m/>
    <m/>
    <m/>
    <m/>
    <n v="0"/>
    <n v="0"/>
    <m/>
    <m/>
    <m/>
    <m/>
    <m/>
    <m/>
    <m/>
    <m/>
    <m/>
    <m/>
    <m/>
    <m/>
    <m/>
    <m/>
    <n v="2"/>
    <m/>
    <m/>
    <n v="90000"/>
    <m/>
    <n v="90000"/>
    <m/>
    <m/>
    <n v="10000"/>
    <n v="90000"/>
    <s v="Y"/>
    <m/>
    <m/>
    <m/>
    <m/>
    <n v="2898"/>
    <m/>
    <m/>
    <m/>
    <m/>
    <m/>
    <m/>
    <m/>
    <m/>
    <m/>
    <m/>
    <m/>
    <m/>
    <s v="2 ambulances, 1 New Emergency Health Kit"/>
  </r>
  <r>
    <m/>
    <n v="33"/>
    <x v="38"/>
    <d v="2000-11-01T00:00:00"/>
    <x v="5"/>
    <n v="7"/>
    <m/>
    <n v="2000"/>
    <n v="12"/>
    <s v="Europe/Asia"/>
    <s v="Taiwan"/>
    <m/>
    <s v="Transport"/>
    <s v="Air"/>
    <s v="Air"/>
    <m/>
    <m/>
    <m/>
    <m/>
    <m/>
    <m/>
    <m/>
    <m/>
    <m/>
    <m/>
    <m/>
    <m/>
    <m/>
    <m/>
    <m/>
    <m/>
    <m/>
    <n v="0"/>
    <n v="1"/>
    <m/>
    <m/>
    <m/>
    <m/>
    <m/>
    <m/>
    <m/>
    <m/>
    <m/>
    <m/>
    <m/>
    <m/>
    <m/>
    <m/>
    <m/>
    <m/>
    <m/>
    <m/>
    <n v="7500"/>
    <n v="7500"/>
    <m/>
    <m/>
    <n v="300"/>
    <n v="7500"/>
    <s v="Y"/>
    <m/>
    <m/>
    <m/>
    <m/>
    <n v="2898"/>
    <m/>
    <m/>
    <m/>
    <m/>
    <m/>
    <m/>
    <m/>
    <m/>
    <m/>
    <m/>
    <m/>
    <s v="Singapore Airlines 006"/>
    <s v="liaison on AIR Team"/>
  </r>
  <r>
    <m/>
    <n v="34"/>
    <x v="39"/>
    <d v="2000-11-01T00:00:00"/>
    <x v="5"/>
    <n v="8"/>
    <m/>
    <n v="2000"/>
    <n v="13"/>
    <s v="Europe/Asia"/>
    <s v="Austria"/>
    <m/>
    <s v="Miscellaneous"/>
    <s v="Fire"/>
    <s v="Fire"/>
    <m/>
    <m/>
    <m/>
    <m/>
    <m/>
    <m/>
    <m/>
    <m/>
    <m/>
    <m/>
    <m/>
    <m/>
    <m/>
    <m/>
    <m/>
    <m/>
    <m/>
    <n v="0"/>
    <n v="0"/>
    <m/>
    <m/>
    <m/>
    <m/>
    <m/>
    <m/>
    <m/>
    <m/>
    <m/>
    <m/>
    <m/>
    <m/>
    <m/>
    <m/>
    <m/>
    <m/>
    <m/>
    <m/>
    <n v="2577.8000000000002"/>
    <n v="2577.8000000000002"/>
    <m/>
    <m/>
    <n v="3"/>
    <n v="2577.8000000000002"/>
    <s v="Y"/>
    <m/>
    <m/>
    <m/>
    <m/>
    <n v="2898"/>
    <m/>
    <m/>
    <m/>
    <m/>
    <m/>
    <m/>
    <m/>
    <m/>
    <m/>
    <m/>
    <m/>
    <s v="Cable Car Fire"/>
    <s v="plane tickets for family members via AFES"/>
  </r>
  <r>
    <m/>
    <n v="35"/>
    <x v="40"/>
    <d v="2000-11-01T00:00:00"/>
    <x v="5"/>
    <n v="9"/>
    <m/>
    <n v="2000"/>
    <n v="14"/>
    <s v="Europe/Asia"/>
    <s v="Azerbaijan"/>
    <m/>
    <s v="Earthquake"/>
    <s v="Earthquake"/>
    <s v="Earthquake"/>
    <m/>
    <m/>
    <m/>
    <m/>
    <m/>
    <m/>
    <m/>
    <m/>
    <m/>
    <m/>
    <m/>
    <m/>
    <m/>
    <m/>
    <m/>
    <m/>
    <m/>
    <n v="0"/>
    <n v="1"/>
    <m/>
    <m/>
    <m/>
    <m/>
    <m/>
    <m/>
    <m/>
    <m/>
    <m/>
    <m/>
    <m/>
    <m/>
    <m/>
    <m/>
    <m/>
    <m/>
    <m/>
    <n v="25000"/>
    <n v="5500"/>
    <n v="30500"/>
    <m/>
    <m/>
    <n v="3050"/>
    <n v="30500"/>
    <s v="Y"/>
    <m/>
    <m/>
    <m/>
    <m/>
    <n v="2898"/>
    <m/>
    <m/>
    <m/>
    <m/>
    <m/>
    <m/>
    <m/>
    <m/>
    <m/>
    <m/>
    <m/>
    <m/>
    <s v="10 generators, tents &amp; cooking sets. Delegate from Armenia deployed"/>
  </r>
  <r>
    <m/>
    <n v="36"/>
    <x v="41"/>
    <d v="2000-12-01T00:00:00"/>
    <x v="5"/>
    <n v="10"/>
    <m/>
    <n v="2000"/>
    <n v="15"/>
    <s v="Europe/Asia"/>
    <s v="Sri Lanka"/>
    <m/>
    <s v="Storm"/>
    <s v="Tropical Cyclone"/>
    <s v="Cyclone"/>
    <m/>
    <m/>
    <m/>
    <m/>
    <m/>
    <m/>
    <m/>
    <m/>
    <m/>
    <m/>
    <m/>
    <m/>
    <m/>
    <m/>
    <m/>
    <m/>
    <m/>
    <n v="0"/>
    <n v="0"/>
    <m/>
    <m/>
    <m/>
    <m/>
    <m/>
    <m/>
    <m/>
    <m/>
    <m/>
    <m/>
    <m/>
    <m/>
    <m/>
    <m/>
    <m/>
    <m/>
    <m/>
    <n v="20000"/>
    <m/>
    <n v="20000"/>
    <m/>
    <m/>
    <n v="3000"/>
    <n v="20000"/>
    <s v="Y"/>
    <m/>
    <m/>
    <m/>
    <m/>
    <n v="2898"/>
    <m/>
    <m/>
    <m/>
    <m/>
    <m/>
    <m/>
    <m/>
    <m/>
    <m/>
    <m/>
    <m/>
    <s v="Cyclone 04B"/>
    <s v="Bedsheets and kitchen sets"/>
  </r>
  <r>
    <m/>
    <n v="37"/>
    <x v="42"/>
    <d v="2001-01-01T00:00:00"/>
    <x v="5"/>
    <n v="11"/>
    <m/>
    <n v="2001"/>
    <n v="1"/>
    <s v="Africa"/>
    <s v="South Africa"/>
    <m/>
    <s v="Epidemic"/>
    <s v="Bacterial"/>
    <s v="Bacterial"/>
    <m/>
    <m/>
    <m/>
    <m/>
    <m/>
    <m/>
    <m/>
    <m/>
    <m/>
    <m/>
    <m/>
    <m/>
    <n v="0"/>
    <n v="25000"/>
    <m/>
    <m/>
    <m/>
    <n v="25000"/>
    <n v="0"/>
    <m/>
    <m/>
    <m/>
    <m/>
    <m/>
    <m/>
    <m/>
    <m/>
    <m/>
    <m/>
    <m/>
    <m/>
    <m/>
    <m/>
    <m/>
    <m/>
    <m/>
    <m/>
    <m/>
    <n v="25000"/>
    <m/>
    <m/>
    <n v="5000"/>
    <n v="25000"/>
    <s v="Y"/>
    <m/>
    <m/>
    <m/>
    <m/>
    <n v="2898"/>
    <m/>
    <m/>
    <m/>
    <m/>
    <m/>
    <m/>
    <m/>
    <m/>
    <m/>
    <m/>
    <m/>
    <s v="Cholera Outbreak"/>
    <s v="Federation Appeal 32/00"/>
  </r>
  <r>
    <m/>
    <n v="38"/>
    <x v="43"/>
    <d v="2001-01-01T00:00:00"/>
    <x v="5"/>
    <n v="12"/>
    <m/>
    <n v="2001"/>
    <n v="2"/>
    <s v="LAC"/>
    <s v="El Salvador"/>
    <m/>
    <s v="Earthquake"/>
    <s v="Earthquake"/>
    <s v="Earthquake"/>
    <m/>
    <m/>
    <m/>
    <m/>
    <m/>
    <m/>
    <m/>
    <m/>
    <m/>
    <m/>
    <m/>
    <m/>
    <m/>
    <m/>
    <m/>
    <n v="77500"/>
    <m/>
    <n v="77500"/>
    <n v="12"/>
    <m/>
    <m/>
    <m/>
    <m/>
    <m/>
    <m/>
    <m/>
    <m/>
    <m/>
    <m/>
    <m/>
    <m/>
    <m/>
    <m/>
    <m/>
    <m/>
    <m/>
    <n v="150000"/>
    <m/>
    <n v="227500"/>
    <m/>
    <m/>
    <m/>
    <n v="227500"/>
    <s v="Y"/>
    <m/>
    <m/>
    <m/>
    <m/>
    <n v="2953"/>
    <m/>
    <m/>
    <m/>
    <m/>
    <m/>
    <m/>
    <m/>
    <m/>
    <m/>
    <m/>
    <m/>
    <m/>
    <s v="Cash sent to ARC Delegation in region. Supplies from Regional Warehouses.   Total expenditures as of February 2001, post 2.01 expenditures were rolled into the second El Salvador earthquake."/>
  </r>
  <r>
    <m/>
    <n v="39"/>
    <x v="44"/>
    <d v="2001-01-01T00:00:00"/>
    <x v="5"/>
    <n v="13"/>
    <m/>
    <n v="2001"/>
    <n v="3"/>
    <s v="Europe/Asia"/>
    <s v="China"/>
    <m/>
    <s v="Storm"/>
    <s v="Winter Storm"/>
    <s v="Snowstorm"/>
    <m/>
    <m/>
    <m/>
    <m/>
    <m/>
    <m/>
    <m/>
    <m/>
    <m/>
    <m/>
    <m/>
    <m/>
    <m/>
    <m/>
    <m/>
    <n v="50000"/>
    <m/>
    <n v="50000"/>
    <n v="0"/>
    <m/>
    <m/>
    <m/>
    <m/>
    <m/>
    <m/>
    <m/>
    <m/>
    <m/>
    <m/>
    <m/>
    <m/>
    <m/>
    <m/>
    <m/>
    <m/>
    <m/>
    <m/>
    <m/>
    <n v="50000"/>
    <m/>
    <m/>
    <n v="5000"/>
    <n v="50000"/>
    <s v="Y"/>
    <m/>
    <m/>
    <m/>
    <m/>
    <n v="2060"/>
    <m/>
    <m/>
    <m/>
    <m/>
    <m/>
    <m/>
    <m/>
    <m/>
    <m/>
    <m/>
    <m/>
    <s v="Inner Mongolia"/>
    <s v="fund to purchase food (wheat), winter clothes and cotton quilts"/>
  </r>
  <r>
    <m/>
    <n v="40"/>
    <x v="45"/>
    <d v="2001-01-01T00:00:00"/>
    <x v="5"/>
    <n v="14"/>
    <m/>
    <n v="2001"/>
    <n v="4"/>
    <s v="Europe/Asia"/>
    <s v="India"/>
    <m/>
    <s v="Earthquake"/>
    <s v="Earthquake"/>
    <s v="Earthquake"/>
    <n v="15850000"/>
    <m/>
    <m/>
    <m/>
    <m/>
    <m/>
    <m/>
    <m/>
    <m/>
    <m/>
    <m/>
    <m/>
    <n v="1"/>
    <n v="100000"/>
    <m/>
    <n v="25000"/>
    <m/>
    <n v="125000"/>
    <n v="19"/>
    <m/>
    <m/>
    <m/>
    <m/>
    <m/>
    <m/>
    <m/>
    <m/>
    <m/>
    <m/>
    <m/>
    <m/>
    <m/>
    <m/>
    <m/>
    <m/>
    <m/>
    <n v="1371479"/>
    <n v="366481.13"/>
    <n v="1862960.13"/>
    <m/>
    <m/>
    <n v="324495"/>
    <n v="14000000"/>
    <s v="Y"/>
    <m/>
    <m/>
    <m/>
    <m/>
    <n v="2954"/>
    <m/>
    <m/>
    <m/>
    <m/>
    <m/>
    <m/>
    <m/>
    <m/>
    <m/>
    <m/>
    <m/>
    <m/>
    <s v="ARC also served an additional 190,185 beneficiaries by  distributing inputs from other NS.  Total expenditures as of May 2001."/>
  </r>
  <r>
    <m/>
    <n v="41"/>
    <x v="43"/>
    <d v="2001-02-01T00:00:00"/>
    <x v="5"/>
    <n v="15"/>
    <m/>
    <n v="2001"/>
    <n v="5"/>
    <s v="LAC"/>
    <s v="El Salvador"/>
    <m/>
    <s v="Earthquake"/>
    <s v="Earthquake"/>
    <s v="Earthquake"/>
    <m/>
    <m/>
    <m/>
    <m/>
    <m/>
    <m/>
    <m/>
    <m/>
    <m/>
    <m/>
    <m/>
    <m/>
    <m/>
    <m/>
    <m/>
    <n v="70000"/>
    <m/>
    <n v="70000"/>
    <n v="8"/>
    <m/>
    <m/>
    <m/>
    <m/>
    <m/>
    <m/>
    <m/>
    <m/>
    <m/>
    <m/>
    <m/>
    <m/>
    <m/>
    <m/>
    <m/>
    <m/>
    <m/>
    <n v="620000"/>
    <m/>
    <n v="690000"/>
    <m/>
    <m/>
    <n v="41628.709446663277"/>
    <n v="690000"/>
    <s v="Y"/>
    <m/>
    <m/>
    <m/>
    <m/>
    <n v="2953"/>
    <m/>
    <m/>
    <m/>
    <m/>
    <m/>
    <m/>
    <m/>
    <m/>
    <m/>
    <m/>
    <m/>
    <m/>
    <s v="To Purchase Warm cloths, footwear, blankets sheets and left over for food. Total expenditures for both earthquakes in El Salvador through May 2001."/>
  </r>
  <r>
    <m/>
    <n v="42"/>
    <x v="46"/>
    <d v="2001-02-01T00:00:00"/>
    <x v="5"/>
    <n v="16"/>
    <m/>
    <n v="2001"/>
    <n v="6"/>
    <s v="Africa"/>
    <s v="Mozambique"/>
    <m/>
    <s v="Floods"/>
    <s v="General Floods"/>
    <s v="General Floods"/>
    <m/>
    <m/>
    <m/>
    <m/>
    <m/>
    <m/>
    <m/>
    <m/>
    <m/>
    <m/>
    <m/>
    <m/>
    <m/>
    <m/>
    <m/>
    <m/>
    <m/>
    <n v="0"/>
    <n v="1"/>
    <m/>
    <m/>
    <m/>
    <m/>
    <m/>
    <m/>
    <m/>
    <m/>
    <m/>
    <m/>
    <m/>
    <m/>
    <m/>
    <m/>
    <m/>
    <m/>
    <m/>
    <m/>
    <n v="250000"/>
    <n v="250000"/>
    <m/>
    <m/>
    <n v="75000"/>
    <n v="250000"/>
    <s v="Y"/>
    <m/>
    <m/>
    <m/>
    <m/>
    <n v="2675"/>
    <m/>
    <m/>
    <m/>
    <m/>
    <m/>
    <m/>
    <m/>
    <m/>
    <m/>
    <m/>
    <m/>
    <m/>
    <s v="Fed Appeal 10/2001;  Includes regional supply purchase; one delegate.  Total expenditure also includes Malawi expense."/>
  </r>
  <r>
    <m/>
    <n v="43"/>
    <x v="47"/>
    <d v="2001-02-01T00:00:00"/>
    <x v="5"/>
    <n v="17"/>
    <m/>
    <n v="2001"/>
    <n v="7"/>
    <s v="Africa"/>
    <s v="Malawi"/>
    <m/>
    <s v="Floods"/>
    <s v="General Floods"/>
    <s v="General Floods"/>
    <m/>
    <m/>
    <m/>
    <m/>
    <m/>
    <m/>
    <m/>
    <m/>
    <m/>
    <m/>
    <m/>
    <m/>
    <m/>
    <m/>
    <m/>
    <n v="25000"/>
    <m/>
    <n v="25000"/>
    <n v="2"/>
    <m/>
    <m/>
    <m/>
    <m/>
    <m/>
    <m/>
    <m/>
    <m/>
    <m/>
    <m/>
    <m/>
    <m/>
    <m/>
    <m/>
    <m/>
    <m/>
    <m/>
    <n v="149000"/>
    <m/>
    <n v="174000"/>
    <m/>
    <m/>
    <n v="22452"/>
    <n v="174000"/>
    <s v="Y"/>
    <m/>
    <m/>
    <m/>
    <m/>
    <n v="2675"/>
    <m/>
    <m/>
    <m/>
    <m/>
    <m/>
    <m/>
    <m/>
    <m/>
    <m/>
    <m/>
    <m/>
    <m/>
    <s v="Fed Appeal 9/2001;  49,000 from CCC seeds, tools and water supply.  See Mozambique Total Expenditure (they are combined.)"/>
  </r>
  <r>
    <m/>
    <n v="44"/>
    <x v="48"/>
    <d v="2001-03-01T00:00:00"/>
    <x v="5"/>
    <n v="18"/>
    <m/>
    <n v="2001"/>
    <n v="8"/>
    <s v="LAC"/>
    <s v="Bolivia"/>
    <m/>
    <s v="Floods"/>
    <s v="General Floods"/>
    <s v="General Floods"/>
    <m/>
    <m/>
    <m/>
    <m/>
    <m/>
    <m/>
    <m/>
    <m/>
    <m/>
    <m/>
    <m/>
    <m/>
    <m/>
    <m/>
    <m/>
    <n v="15000"/>
    <m/>
    <n v="15000"/>
    <n v="0"/>
    <m/>
    <m/>
    <m/>
    <m/>
    <m/>
    <m/>
    <m/>
    <m/>
    <m/>
    <m/>
    <m/>
    <m/>
    <m/>
    <m/>
    <m/>
    <m/>
    <m/>
    <m/>
    <m/>
    <n v="15000"/>
    <m/>
    <m/>
    <n v="1500"/>
    <n v="15000"/>
    <s v="Y"/>
    <m/>
    <m/>
    <m/>
    <m/>
    <n v="2898"/>
    <m/>
    <m/>
    <m/>
    <m/>
    <m/>
    <m/>
    <m/>
    <m/>
    <m/>
    <m/>
    <m/>
    <m/>
    <s v="Fed Appeal 5/2001"/>
  </r>
  <r>
    <m/>
    <n v="45"/>
    <x v="49"/>
    <d v="2001-03-01T00:00:00"/>
    <x v="5"/>
    <n v="19"/>
    <m/>
    <n v="2001"/>
    <n v="9"/>
    <s v="LAC"/>
    <s v="Peru"/>
    <m/>
    <s v="Floods"/>
    <s v="General Floods"/>
    <s v="General Floods"/>
    <m/>
    <m/>
    <m/>
    <m/>
    <m/>
    <m/>
    <m/>
    <m/>
    <m/>
    <m/>
    <m/>
    <m/>
    <m/>
    <m/>
    <m/>
    <n v="15000"/>
    <m/>
    <n v="15000"/>
    <n v="0"/>
    <m/>
    <m/>
    <n v="6111"/>
    <m/>
    <m/>
    <n v="5100"/>
    <m/>
    <m/>
    <n v="761"/>
    <m/>
    <m/>
    <m/>
    <m/>
    <n v="250"/>
    <m/>
    <m/>
    <m/>
    <n v="0"/>
    <n v="0"/>
    <n v="15000"/>
    <m/>
    <m/>
    <n v="24805"/>
    <n v="15000"/>
    <s v="Y"/>
    <m/>
    <m/>
    <m/>
    <m/>
    <n v="2898"/>
    <m/>
    <m/>
    <m/>
    <m/>
    <m/>
    <m/>
    <m/>
    <m/>
    <m/>
    <m/>
    <m/>
    <m/>
    <m/>
  </r>
  <r>
    <m/>
    <n v="46"/>
    <x v="50"/>
    <d v="2001-04-01T00:00:00"/>
    <x v="5"/>
    <n v="20"/>
    <m/>
    <n v="2001"/>
    <n v="10"/>
    <s v="North America"/>
    <s v="Canada"/>
    <m/>
    <s v="Transport"/>
    <s v="Road"/>
    <s v="Road"/>
    <m/>
    <m/>
    <m/>
    <m/>
    <m/>
    <m/>
    <m/>
    <m/>
    <m/>
    <m/>
    <m/>
    <m/>
    <m/>
    <m/>
    <m/>
    <m/>
    <m/>
    <n v="0"/>
    <n v="2"/>
    <m/>
    <m/>
    <m/>
    <m/>
    <m/>
    <m/>
    <m/>
    <m/>
    <m/>
    <m/>
    <m/>
    <m/>
    <m/>
    <m/>
    <m/>
    <m/>
    <m/>
    <m/>
    <n v="1000"/>
    <n v="1000"/>
    <m/>
    <m/>
    <m/>
    <n v="1000"/>
    <s v="Y"/>
    <m/>
    <m/>
    <m/>
    <m/>
    <n v="2898"/>
    <m/>
    <m/>
    <m/>
    <m/>
    <m/>
    <m/>
    <m/>
    <m/>
    <m/>
    <m/>
    <m/>
    <s v="Bus Crash"/>
    <s v="American children survivors"/>
  </r>
  <r>
    <m/>
    <n v="47"/>
    <x v="51"/>
    <d v="2001-05-01T00:00:00"/>
    <x v="5"/>
    <n v="21"/>
    <m/>
    <n v="2001"/>
    <n v="11"/>
    <s v="Europe/Asia"/>
    <s v="Russian Fed."/>
    <m/>
    <s v="Floods"/>
    <s v="General Floods"/>
    <s v="General Floods"/>
    <m/>
    <m/>
    <m/>
    <m/>
    <m/>
    <m/>
    <m/>
    <m/>
    <m/>
    <m/>
    <m/>
    <m/>
    <m/>
    <m/>
    <m/>
    <n v="25000"/>
    <m/>
    <n v="25000"/>
    <n v="0"/>
    <m/>
    <m/>
    <m/>
    <m/>
    <m/>
    <m/>
    <m/>
    <m/>
    <m/>
    <m/>
    <m/>
    <m/>
    <m/>
    <m/>
    <m/>
    <m/>
    <m/>
    <m/>
    <m/>
    <n v="25000"/>
    <m/>
    <m/>
    <n v="3000"/>
    <n v="25000"/>
    <s v="Y"/>
    <m/>
    <m/>
    <m/>
    <m/>
    <n v="2898"/>
    <m/>
    <m/>
    <m/>
    <m/>
    <m/>
    <m/>
    <m/>
    <m/>
    <m/>
    <m/>
    <m/>
    <m/>
    <s v="Siberia: Procurement of warm cloths, footwear, blankets sheets &amp; food. "/>
  </r>
  <r>
    <m/>
    <n v="48"/>
    <x v="52"/>
    <d v="2001-06-01T00:00:00"/>
    <x v="5"/>
    <n v="22"/>
    <m/>
    <n v="2001"/>
    <n v="12"/>
    <s v="Europe/Asia"/>
    <s v="Macedonia"/>
    <m/>
    <s v="Conflict"/>
    <s v="Conflict"/>
    <s v="Conflict"/>
    <m/>
    <m/>
    <m/>
    <m/>
    <m/>
    <m/>
    <m/>
    <m/>
    <m/>
    <m/>
    <m/>
    <m/>
    <m/>
    <m/>
    <m/>
    <m/>
    <m/>
    <n v="0"/>
    <n v="0"/>
    <m/>
    <m/>
    <n v="10000"/>
    <m/>
    <m/>
    <m/>
    <m/>
    <m/>
    <m/>
    <m/>
    <m/>
    <m/>
    <m/>
    <m/>
    <m/>
    <m/>
    <m/>
    <n v="20700"/>
    <m/>
    <n v="20700"/>
    <m/>
    <m/>
    <n v="40000"/>
    <n v="20700"/>
    <s v="Y"/>
    <m/>
    <m/>
    <m/>
    <m/>
    <n v="2898"/>
    <m/>
    <m/>
    <m/>
    <m/>
    <m/>
    <m/>
    <m/>
    <m/>
    <m/>
    <m/>
    <m/>
    <m/>
    <s v="10,000 family  packets (Currently only 2,300) a family is 4 persons"/>
  </r>
  <r>
    <m/>
    <n v="49"/>
    <x v="53"/>
    <d v="2001-06-01T00:00:00"/>
    <x v="5"/>
    <n v="23"/>
    <m/>
    <n v="2001"/>
    <n v="13"/>
    <s v="Europe/Asia"/>
    <s v="Bosnia"/>
    <m/>
    <s v="Floods"/>
    <s v="General Floods"/>
    <s v="General Floods"/>
    <m/>
    <m/>
    <m/>
    <m/>
    <m/>
    <m/>
    <m/>
    <m/>
    <m/>
    <m/>
    <m/>
    <m/>
    <m/>
    <m/>
    <m/>
    <m/>
    <m/>
    <n v="0"/>
    <n v="0"/>
    <m/>
    <m/>
    <n v="6000"/>
    <m/>
    <m/>
    <n v="6000"/>
    <m/>
    <m/>
    <m/>
    <m/>
    <m/>
    <m/>
    <m/>
    <m/>
    <m/>
    <m/>
    <m/>
    <n v="18000"/>
    <m/>
    <n v="18000"/>
    <m/>
    <m/>
    <n v="6000"/>
    <n v="18000"/>
    <s v="Y"/>
    <m/>
    <m/>
    <m/>
    <m/>
    <n v="2898"/>
    <m/>
    <m/>
    <m/>
    <m/>
    <m/>
    <m/>
    <m/>
    <m/>
    <m/>
    <m/>
    <m/>
    <m/>
    <s v="Bulgaria stocks"/>
  </r>
  <r>
    <m/>
    <n v="50"/>
    <x v="54"/>
    <d v="2001-06-01T00:00:00"/>
    <x v="5"/>
    <n v="24"/>
    <m/>
    <n v="2001"/>
    <n v="14"/>
    <s v="LAC"/>
    <s v="Peru"/>
    <m/>
    <s v="Earthquake"/>
    <s v="Earthquake"/>
    <s v="Earthquake"/>
    <m/>
    <m/>
    <m/>
    <m/>
    <m/>
    <m/>
    <m/>
    <m/>
    <m/>
    <m/>
    <m/>
    <m/>
    <m/>
    <m/>
    <m/>
    <n v="24420"/>
    <m/>
    <n v="24420"/>
    <n v="3"/>
    <m/>
    <m/>
    <n v="6107"/>
    <m/>
    <m/>
    <n v="5100"/>
    <m/>
    <m/>
    <n v="757"/>
    <m/>
    <m/>
    <m/>
    <m/>
    <n v="250"/>
    <m/>
    <m/>
    <m/>
    <n v="361260"/>
    <n v="313450"/>
    <n v="699130"/>
    <m/>
    <m/>
    <n v="15000"/>
    <n v="699130"/>
    <s v="Y"/>
    <m/>
    <m/>
    <m/>
    <m/>
    <n v="2676"/>
    <m/>
    <m/>
    <m/>
    <m/>
    <m/>
    <m/>
    <m/>
    <m/>
    <m/>
    <m/>
    <m/>
    <m/>
    <s v="plastic sheeting ($81,250), blankets ($12,240), tents ($78,637). Total $271,627 (incl. transport).    tents ($147,706): Total $150,706 (incl. transport).  Replenishment of supplies $50,000"/>
  </r>
  <r>
    <m/>
    <n v="51"/>
    <x v="33"/>
    <d v="2001-07-01T00:00:00"/>
    <x v="6"/>
    <n v="1"/>
    <m/>
    <n v="2001"/>
    <n v="15"/>
    <s v="Europe/Asia"/>
    <s v="India"/>
    <m/>
    <s v="Floods"/>
    <s v="General Floods"/>
    <s v="General Floods"/>
    <n v="6000000"/>
    <m/>
    <m/>
    <m/>
    <m/>
    <m/>
    <m/>
    <m/>
    <m/>
    <m/>
    <m/>
    <m/>
    <m/>
    <m/>
    <m/>
    <m/>
    <m/>
    <n v="0"/>
    <n v="0"/>
    <m/>
    <m/>
    <m/>
    <m/>
    <m/>
    <m/>
    <m/>
    <m/>
    <m/>
    <m/>
    <m/>
    <m/>
    <m/>
    <m/>
    <m/>
    <m/>
    <m/>
    <n v="100000"/>
    <m/>
    <n v="100000"/>
    <m/>
    <m/>
    <n v="10000"/>
    <n v="100000"/>
    <s v="Y"/>
    <m/>
    <m/>
    <m/>
    <m/>
    <n v="2954"/>
    <m/>
    <m/>
    <m/>
    <m/>
    <m/>
    <m/>
    <m/>
    <m/>
    <m/>
    <m/>
    <m/>
    <m/>
    <m/>
  </r>
  <r>
    <m/>
    <n v="52"/>
    <x v="55"/>
    <d v="2001-08-01T00:00:00"/>
    <x v="6"/>
    <n v="2"/>
    <m/>
    <n v="2001"/>
    <n v="16"/>
    <s v="LAC"/>
    <s v="El Salvador"/>
    <m/>
    <s v="Drought"/>
    <s v="Drought"/>
    <s v="Drought"/>
    <m/>
    <m/>
    <m/>
    <m/>
    <m/>
    <m/>
    <m/>
    <m/>
    <m/>
    <m/>
    <m/>
    <m/>
    <m/>
    <m/>
    <m/>
    <n v="25000"/>
    <m/>
    <n v="25000"/>
    <n v="5"/>
    <m/>
    <m/>
    <m/>
    <m/>
    <m/>
    <m/>
    <m/>
    <m/>
    <m/>
    <m/>
    <m/>
    <m/>
    <m/>
    <m/>
    <m/>
    <m/>
    <m/>
    <m/>
    <m/>
    <n v="25000"/>
    <m/>
    <m/>
    <n v="5000"/>
    <n v="25000"/>
    <s v="Y"/>
    <m/>
    <m/>
    <m/>
    <m/>
    <n v="2837"/>
    <m/>
    <m/>
    <m/>
    <m/>
    <m/>
    <m/>
    <m/>
    <m/>
    <m/>
    <m/>
    <m/>
    <m/>
    <s v="$25,000 allocated to each national society to be implemented thr ARC delegations through $12,500 donation to the field delegation and $12,500 matched by the field.  Total expenditures through December 2001."/>
  </r>
  <r>
    <m/>
    <n v="52"/>
    <x v="56"/>
    <d v="2001-08-01T00:00:00"/>
    <x v="6"/>
    <n v="2"/>
    <m/>
    <n v="2001"/>
    <n v="16"/>
    <s v="LAC"/>
    <s v="Honduras"/>
    <m/>
    <s v="Drought"/>
    <s v="Drought"/>
    <s v="Drought"/>
    <m/>
    <m/>
    <m/>
    <m/>
    <m/>
    <m/>
    <m/>
    <m/>
    <m/>
    <m/>
    <m/>
    <m/>
    <m/>
    <m/>
    <m/>
    <m/>
    <m/>
    <n v="0"/>
    <m/>
    <m/>
    <m/>
    <m/>
    <m/>
    <m/>
    <m/>
    <m/>
    <m/>
    <m/>
    <m/>
    <m/>
    <m/>
    <m/>
    <m/>
    <m/>
    <m/>
    <m/>
    <m/>
    <m/>
    <n v="0"/>
    <m/>
    <m/>
    <m/>
    <n v="0"/>
    <s v="Y"/>
    <m/>
    <m/>
    <m/>
    <m/>
    <n v="2837"/>
    <m/>
    <m/>
    <m/>
    <m/>
    <m/>
    <m/>
    <m/>
    <m/>
    <m/>
    <m/>
    <m/>
    <m/>
    <m/>
  </r>
  <r>
    <m/>
    <n v="52"/>
    <x v="57"/>
    <d v="2001-08-01T00:00:00"/>
    <x v="6"/>
    <n v="2"/>
    <m/>
    <n v="2001"/>
    <n v="16"/>
    <s v="LAC"/>
    <s v="Nicaragua"/>
    <m/>
    <s v="Drought"/>
    <s v="Drought"/>
    <s v="Drought"/>
    <m/>
    <m/>
    <m/>
    <m/>
    <m/>
    <m/>
    <m/>
    <m/>
    <m/>
    <m/>
    <m/>
    <m/>
    <m/>
    <m/>
    <m/>
    <m/>
    <m/>
    <n v="0"/>
    <m/>
    <m/>
    <m/>
    <m/>
    <m/>
    <m/>
    <m/>
    <m/>
    <m/>
    <m/>
    <m/>
    <m/>
    <m/>
    <m/>
    <m/>
    <m/>
    <m/>
    <m/>
    <m/>
    <m/>
    <n v="0"/>
    <m/>
    <m/>
    <m/>
    <n v="0"/>
    <s v="Y"/>
    <m/>
    <m/>
    <m/>
    <m/>
    <n v="2837"/>
    <m/>
    <m/>
    <m/>
    <m/>
    <m/>
    <m/>
    <m/>
    <m/>
    <m/>
    <m/>
    <m/>
    <m/>
    <m/>
  </r>
  <r>
    <m/>
    <n v="52"/>
    <x v="58"/>
    <d v="2001-08-01T00:00:00"/>
    <x v="6"/>
    <n v="2"/>
    <m/>
    <n v="2001"/>
    <n v="16"/>
    <s v="LAC"/>
    <s v="Guatemala"/>
    <m/>
    <s v="Drought"/>
    <s v="Drought"/>
    <s v="Drought"/>
    <m/>
    <m/>
    <m/>
    <m/>
    <m/>
    <m/>
    <m/>
    <m/>
    <m/>
    <m/>
    <m/>
    <m/>
    <m/>
    <m/>
    <m/>
    <m/>
    <m/>
    <n v="0"/>
    <m/>
    <m/>
    <m/>
    <m/>
    <m/>
    <m/>
    <m/>
    <m/>
    <m/>
    <m/>
    <m/>
    <m/>
    <m/>
    <m/>
    <m/>
    <m/>
    <m/>
    <m/>
    <m/>
    <m/>
    <n v="0"/>
    <m/>
    <m/>
    <m/>
    <n v="0"/>
    <s v="Y"/>
    <m/>
    <m/>
    <m/>
    <m/>
    <n v="2837"/>
    <m/>
    <m/>
    <m/>
    <m/>
    <m/>
    <m/>
    <m/>
    <m/>
    <m/>
    <m/>
    <m/>
    <m/>
    <m/>
  </r>
  <r>
    <m/>
    <n v="53"/>
    <x v="59"/>
    <d v="2001-09-01T00:00:00"/>
    <x v="6"/>
    <n v="3"/>
    <m/>
    <n v="2001"/>
    <n v="17"/>
    <s v="LAC"/>
    <s v="Ecuador"/>
    <m/>
    <s v="Volcano"/>
    <s v="Volcanic Eruption"/>
    <s v="Volcanic Eruption"/>
    <m/>
    <m/>
    <m/>
    <m/>
    <m/>
    <m/>
    <m/>
    <m/>
    <m/>
    <m/>
    <m/>
    <m/>
    <m/>
    <m/>
    <m/>
    <n v="10000"/>
    <m/>
    <n v="10000"/>
    <m/>
    <m/>
    <m/>
    <m/>
    <m/>
    <m/>
    <m/>
    <m/>
    <m/>
    <m/>
    <m/>
    <m/>
    <m/>
    <m/>
    <m/>
    <m/>
    <m/>
    <m/>
    <m/>
    <m/>
    <n v="10000"/>
    <m/>
    <m/>
    <n v="1000"/>
    <n v="10000"/>
    <s v="Y"/>
    <m/>
    <m/>
    <m/>
    <m/>
    <n v="2898"/>
    <m/>
    <m/>
    <m/>
    <m/>
    <m/>
    <m/>
    <m/>
    <m/>
    <m/>
    <m/>
    <m/>
    <m/>
    <s v="$10,000 from IDRU in addition to $10,000 from the Americas Region to the Ecuador Red Cross for the Tungurahua Volcano Ash Fall "/>
  </r>
  <r>
    <m/>
    <n v="54"/>
    <x v="60"/>
    <d v="2001-09-01T00:00:00"/>
    <x v="6"/>
    <n v="4"/>
    <m/>
    <n v="2001"/>
    <n v="18"/>
    <s v="Europe/Asia"/>
    <s v="Afghanistan"/>
    <m/>
    <s v="Conflict"/>
    <s v="Conflict"/>
    <s v="Conflict"/>
    <m/>
    <m/>
    <m/>
    <m/>
    <m/>
    <m/>
    <m/>
    <m/>
    <m/>
    <m/>
    <m/>
    <m/>
    <m/>
    <m/>
    <m/>
    <m/>
    <m/>
    <n v="0"/>
    <n v="12"/>
    <m/>
    <m/>
    <m/>
    <m/>
    <m/>
    <m/>
    <m/>
    <m/>
    <m/>
    <m/>
    <m/>
    <m/>
    <m/>
    <m/>
    <m/>
    <m/>
    <m/>
    <n v="2032231"/>
    <n v="200000"/>
    <n v="2232231"/>
    <n v="9767769"/>
    <m/>
    <n v="380000"/>
    <n v="12000000"/>
    <s v="Y"/>
    <m/>
    <m/>
    <m/>
    <m/>
    <n v="2677"/>
    <m/>
    <m/>
    <m/>
    <m/>
    <m/>
    <m/>
    <m/>
    <m/>
    <m/>
    <m/>
    <m/>
    <m/>
    <s v="AFAC is a partnership with the White House.  Final report issued in August 2006."/>
  </r>
  <r>
    <m/>
    <n v="54"/>
    <x v="61"/>
    <d v="2001-09-01T00:00:00"/>
    <x v="6"/>
    <n v="4"/>
    <m/>
    <n v="2001"/>
    <n v="18"/>
    <s v="Europe/Asia"/>
    <s v="Pakistan"/>
    <m/>
    <s v="Conflict"/>
    <s v="Conflict"/>
    <s v="Conflict"/>
    <m/>
    <m/>
    <m/>
    <m/>
    <m/>
    <m/>
    <m/>
    <m/>
    <m/>
    <m/>
    <m/>
    <m/>
    <m/>
    <m/>
    <m/>
    <m/>
    <m/>
    <n v="0"/>
    <m/>
    <m/>
    <m/>
    <m/>
    <m/>
    <m/>
    <m/>
    <m/>
    <m/>
    <m/>
    <m/>
    <m/>
    <m/>
    <m/>
    <m/>
    <m/>
    <m/>
    <m/>
    <m/>
    <m/>
    <n v="0"/>
    <m/>
    <m/>
    <m/>
    <n v="0"/>
    <s v="Y"/>
    <m/>
    <m/>
    <m/>
    <m/>
    <n v="2677"/>
    <m/>
    <m/>
    <m/>
    <m/>
    <m/>
    <m/>
    <m/>
    <m/>
    <m/>
    <m/>
    <m/>
    <m/>
    <m/>
  </r>
  <r>
    <m/>
    <n v="54"/>
    <x v="62"/>
    <d v="2001-09-01T00:00:00"/>
    <x v="6"/>
    <n v="4"/>
    <m/>
    <n v="2001"/>
    <n v="18"/>
    <s v="Europe/Asia"/>
    <s v="Uzbekistan"/>
    <m/>
    <s v="Conflict"/>
    <s v="Conflict"/>
    <s v="Conflict"/>
    <m/>
    <m/>
    <m/>
    <m/>
    <m/>
    <m/>
    <m/>
    <m/>
    <m/>
    <m/>
    <m/>
    <m/>
    <m/>
    <m/>
    <m/>
    <m/>
    <m/>
    <n v="0"/>
    <m/>
    <m/>
    <m/>
    <m/>
    <m/>
    <m/>
    <m/>
    <m/>
    <m/>
    <m/>
    <m/>
    <m/>
    <m/>
    <m/>
    <m/>
    <m/>
    <m/>
    <m/>
    <m/>
    <m/>
    <n v="0"/>
    <m/>
    <m/>
    <m/>
    <n v="0"/>
    <s v="Y"/>
    <m/>
    <m/>
    <m/>
    <m/>
    <n v="2677"/>
    <m/>
    <m/>
    <m/>
    <m/>
    <m/>
    <m/>
    <m/>
    <m/>
    <m/>
    <m/>
    <m/>
    <m/>
    <m/>
  </r>
  <r>
    <m/>
    <n v="54"/>
    <x v="63"/>
    <d v="2001-09-01T00:00:00"/>
    <x v="6"/>
    <n v="4"/>
    <m/>
    <n v="2001"/>
    <n v="18"/>
    <s v="Europe/Asia"/>
    <s v="Iran"/>
    <m/>
    <s v="Conflict"/>
    <s v="Conflict"/>
    <s v="Conflict"/>
    <m/>
    <m/>
    <m/>
    <m/>
    <m/>
    <m/>
    <m/>
    <m/>
    <m/>
    <m/>
    <m/>
    <m/>
    <m/>
    <m/>
    <m/>
    <m/>
    <m/>
    <n v="0"/>
    <m/>
    <m/>
    <m/>
    <m/>
    <m/>
    <m/>
    <m/>
    <m/>
    <m/>
    <m/>
    <m/>
    <m/>
    <m/>
    <m/>
    <m/>
    <m/>
    <m/>
    <m/>
    <m/>
    <m/>
    <n v="0"/>
    <m/>
    <m/>
    <m/>
    <n v="0"/>
    <s v="Y"/>
    <m/>
    <m/>
    <m/>
    <m/>
    <n v="2677"/>
    <m/>
    <m/>
    <m/>
    <m/>
    <m/>
    <m/>
    <m/>
    <m/>
    <m/>
    <m/>
    <m/>
    <m/>
    <m/>
  </r>
  <r>
    <m/>
    <n v="54"/>
    <x v="64"/>
    <d v="2001-09-01T00:00:00"/>
    <x v="6"/>
    <n v="4"/>
    <m/>
    <n v="2001"/>
    <n v="18"/>
    <s v="Europe/Asia"/>
    <s v="Turkmenistan"/>
    <m/>
    <s v="Conflict"/>
    <s v="Conflict"/>
    <s v="Conflict"/>
    <m/>
    <m/>
    <m/>
    <m/>
    <m/>
    <m/>
    <m/>
    <m/>
    <m/>
    <m/>
    <m/>
    <m/>
    <m/>
    <m/>
    <m/>
    <m/>
    <m/>
    <n v="0"/>
    <m/>
    <m/>
    <m/>
    <m/>
    <m/>
    <m/>
    <m/>
    <m/>
    <m/>
    <m/>
    <m/>
    <m/>
    <m/>
    <m/>
    <m/>
    <m/>
    <m/>
    <m/>
    <m/>
    <m/>
    <n v="0"/>
    <m/>
    <m/>
    <m/>
    <n v="0"/>
    <s v="Y"/>
    <m/>
    <m/>
    <m/>
    <m/>
    <n v="2677"/>
    <m/>
    <m/>
    <m/>
    <m/>
    <m/>
    <m/>
    <m/>
    <m/>
    <m/>
    <m/>
    <m/>
    <m/>
    <m/>
  </r>
  <r>
    <m/>
    <n v="55"/>
    <x v="65"/>
    <d v="2001-09-01T00:00:00"/>
    <x v="6"/>
    <n v="5"/>
    <m/>
    <n v="2001"/>
    <n v="19"/>
    <s v="North America"/>
    <s v="US"/>
    <m/>
    <s v="Terrorism"/>
    <s v="Terrorism"/>
    <s v="Terrorism"/>
    <m/>
    <m/>
    <m/>
    <m/>
    <m/>
    <m/>
    <m/>
    <m/>
    <m/>
    <m/>
    <m/>
    <m/>
    <m/>
    <m/>
    <m/>
    <n v="3257775.37"/>
    <m/>
    <n v="3257775.37"/>
    <n v="30"/>
    <m/>
    <m/>
    <m/>
    <m/>
    <m/>
    <m/>
    <m/>
    <m/>
    <m/>
    <m/>
    <m/>
    <m/>
    <m/>
    <m/>
    <m/>
    <m/>
    <m/>
    <n v="0"/>
    <n v="257704"/>
    <n v="3515479.37"/>
    <m/>
    <m/>
    <n v="2622"/>
    <n v="3515479.37"/>
    <s v="Y"/>
    <m/>
    <m/>
    <m/>
    <m/>
    <n v="4949"/>
    <m/>
    <m/>
    <m/>
    <m/>
    <m/>
    <m/>
    <m/>
    <m/>
    <m/>
    <m/>
    <m/>
    <d v="2008-09-11T00:00:00"/>
    <s v="The $3,084,914.31 distributed was to international families of victims of the terrorist attacks.   Beneficiaries: 6 members per each family assisted."/>
  </r>
  <r>
    <m/>
    <n v="56"/>
    <x v="66"/>
    <d v="2001-09-01T00:00:00"/>
    <x v="6"/>
    <n v="6"/>
    <m/>
    <n v="2001"/>
    <n v="20"/>
    <s v="LAC"/>
    <s v="Mexico"/>
    <m/>
    <s v="Transport"/>
    <s v="Air"/>
    <s v="Air"/>
    <m/>
    <m/>
    <m/>
    <m/>
    <m/>
    <m/>
    <m/>
    <m/>
    <m/>
    <m/>
    <m/>
    <m/>
    <m/>
    <m/>
    <m/>
    <m/>
    <m/>
    <n v="0"/>
    <n v="4"/>
    <m/>
    <m/>
    <m/>
    <m/>
    <m/>
    <m/>
    <m/>
    <m/>
    <m/>
    <m/>
    <m/>
    <m/>
    <m/>
    <m/>
    <m/>
    <m/>
    <m/>
    <n v="0"/>
    <n v="15000"/>
    <n v="15000"/>
    <m/>
    <m/>
    <n v="95"/>
    <n v="15000"/>
    <s v="Y"/>
    <m/>
    <m/>
    <m/>
    <m/>
    <n v="2679"/>
    <m/>
    <m/>
    <m/>
    <m/>
    <m/>
    <m/>
    <m/>
    <m/>
    <m/>
    <m/>
    <m/>
    <s v="Plane Crash"/>
    <s v="Financial contribution made to memorial; beneficiaries: 5 members per each family assisted."/>
  </r>
  <r>
    <m/>
    <n v="57"/>
    <x v="67"/>
    <d v="2001-10-01T00:00:00"/>
    <x v="6"/>
    <n v="7"/>
    <m/>
    <n v="2001"/>
    <n v="21"/>
    <s v="LAC"/>
    <s v="Mexico"/>
    <m/>
    <s v="Storm"/>
    <s v="Tropical Cyclone"/>
    <s v="Hurricane"/>
    <m/>
    <m/>
    <m/>
    <m/>
    <m/>
    <m/>
    <m/>
    <m/>
    <m/>
    <m/>
    <m/>
    <m/>
    <m/>
    <m/>
    <m/>
    <n v="25000"/>
    <m/>
    <n v="25000"/>
    <n v="1"/>
    <m/>
    <m/>
    <m/>
    <m/>
    <m/>
    <m/>
    <m/>
    <m/>
    <m/>
    <m/>
    <m/>
    <m/>
    <m/>
    <m/>
    <m/>
    <m/>
    <m/>
    <m/>
    <m/>
    <n v="25000"/>
    <m/>
    <m/>
    <n v="5000"/>
    <n v="25000"/>
    <s v="Y"/>
    <m/>
    <m/>
    <m/>
    <m/>
    <n v="2898"/>
    <m/>
    <m/>
    <m/>
    <m/>
    <m/>
    <m/>
    <m/>
    <m/>
    <m/>
    <m/>
    <m/>
    <s v="Juliette"/>
    <s v="Financial contribution designated for relief supplies.  Beneficiaries: 5 members per each family assisted."/>
  </r>
  <r>
    <m/>
    <n v="58"/>
    <x v="68"/>
    <d v="2001-10-01T00:00:00"/>
    <x v="6"/>
    <n v="8"/>
    <m/>
    <n v="2001"/>
    <n v="22"/>
    <s v="LAC"/>
    <s v="Belize"/>
    <m/>
    <s v="Meteorological"/>
    <s v="Tropical Cyclone"/>
    <s v="Hurricane"/>
    <m/>
    <m/>
    <m/>
    <m/>
    <m/>
    <m/>
    <m/>
    <m/>
    <m/>
    <m/>
    <m/>
    <m/>
    <m/>
    <m/>
    <m/>
    <n v="25000"/>
    <m/>
    <n v="25000"/>
    <n v="3"/>
    <m/>
    <m/>
    <m/>
    <m/>
    <m/>
    <m/>
    <m/>
    <m/>
    <m/>
    <m/>
    <m/>
    <m/>
    <m/>
    <m/>
    <m/>
    <m/>
    <m/>
    <n v="69000"/>
    <n v="3982"/>
    <n v="97982"/>
    <m/>
    <m/>
    <n v="5000"/>
    <n v="97982"/>
    <s v="Y"/>
    <m/>
    <m/>
    <m/>
    <m/>
    <n v="2678"/>
    <m/>
    <m/>
    <m/>
    <m/>
    <m/>
    <m/>
    <m/>
    <m/>
    <m/>
    <m/>
    <m/>
    <s v="Iris"/>
    <s v="$20,000 for hygiene kits; $19,000 given to Guatemala ARC delegation for hygiene kits and $50,000 in relief supplies to BRC."/>
  </r>
  <r>
    <m/>
    <n v="59"/>
    <x v="69"/>
    <d v="2001-10-01T00:00:00"/>
    <x v="6"/>
    <n v="9"/>
    <m/>
    <n v="2001"/>
    <n v="23"/>
    <s v="LAC"/>
    <s v="Belize"/>
    <m/>
    <s v="Transport"/>
    <s v="Water"/>
    <s v="Water"/>
    <m/>
    <m/>
    <m/>
    <m/>
    <m/>
    <m/>
    <m/>
    <m/>
    <m/>
    <m/>
    <m/>
    <m/>
    <m/>
    <m/>
    <m/>
    <m/>
    <m/>
    <n v="0"/>
    <n v="2"/>
    <m/>
    <m/>
    <m/>
    <m/>
    <m/>
    <m/>
    <m/>
    <m/>
    <m/>
    <m/>
    <m/>
    <m/>
    <m/>
    <m/>
    <m/>
    <m/>
    <m/>
    <n v="0"/>
    <n v="4400"/>
    <n v="4400"/>
    <m/>
    <m/>
    <n v="135"/>
    <n v="4400"/>
    <s v="Y"/>
    <m/>
    <m/>
    <m/>
    <m/>
    <n v="2898"/>
    <m/>
    <m/>
    <m/>
    <m/>
    <m/>
    <m/>
    <m/>
    <m/>
    <m/>
    <m/>
    <m/>
    <s v="Boat Crash"/>
    <s v="Beneficiaries calculated at 5 family members per each 27 families assisted."/>
  </r>
  <r>
    <m/>
    <n v="60"/>
    <x v="70"/>
    <d v="2001-10-01T00:00:00"/>
    <x v="6"/>
    <n v="10"/>
    <m/>
    <n v="2001"/>
    <n v="24"/>
    <s v="LAC"/>
    <s v="Honduras"/>
    <m/>
    <s v="Storm"/>
    <s v="Tropical Cyclone"/>
    <s v="Tropical Storm"/>
    <m/>
    <m/>
    <m/>
    <m/>
    <m/>
    <m/>
    <m/>
    <m/>
    <m/>
    <m/>
    <m/>
    <m/>
    <m/>
    <m/>
    <m/>
    <m/>
    <m/>
    <n v="0"/>
    <m/>
    <m/>
    <m/>
    <m/>
    <m/>
    <m/>
    <m/>
    <m/>
    <m/>
    <m/>
    <m/>
    <m/>
    <m/>
    <m/>
    <m/>
    <m/>
    <m/>
    <m/>
    <m/>
    <m/>
    <n v="0"/>
    <m/>
    <m/>
    <m/>
    <n v="0"/>
    <s v="Y"/>
    <m/>
    <m/>
    <m/>
    <m/>
    <n v="2898"/>
    <m/>
    <m/>
    <m/>
    <m/>
    <m/>
    <m/>
    <m/>
    <m/>
    <m/>
    <m/>
    <m/>
    <s v="Michelle"/>
    <m/>
  </r>
  <r>
    <m/>
    <n v="60"/>
    <x v="71"/>
    <d v="2001-11-01T00:00:00"/>
    <x v="6"/>
    <n v="10"/>
    <m/>
    <n v="2001"/>
    <n v="24"/>
    <s v="LAC"/>
    <s v="Nicaragua"/>
    <m/>
    <s v="Storm"/>
    <s v="Tropical Cyclone"/>
    <s v="Tropical Storm"/>
    <m/>
    <m/>
    <m/>
    <m/>
    <m/>
    <m/>
    <m/>
    <m/>
    <m/>
    <m/>
    <m/>
    <m/>
    <m/>
    <m/>
    <m/>
    <m/>
    <m/>
    <n v="0"/>
    <m/>
    <m/>
    <m/>
    <m/>
    <m/>
    <m/>
    <m/>
    <m/>
    <m/>
    <m/>
    <m/>
    <m/>
    <m/>
    <m/>
    <m/>
    <m/>
    <m/>
    <m/>
    <m/>
    <n v="60000"/>
    <n v="60000"/>
    <m/>
    <m/>
    <n v="5000"/>
    <n v="60000"/>
    <s v="Y"/>
    <m/>
    <m/>
    <m/>
    <m/>
    <n v="2898"/>
    <m/>
    <m/>
    <m/>
    <m/>
    <m/>
    <m/>
    <m/>
    <m/>
    <m/>
    <m/>
    <m/>
    <s v="Michelle"/>
    <s v="$10,000 from Nicaragua delegation for procurement of relief supplies.  $50,000 from OFDA for Honduras. (The 1,000 families assisted were in Honduras through the Emergency Food Rations) "/>
  </r>
  <r>
    <m/>
    <n v="60"/>
    <x v="72"/>
    <d v="2001-11-01T00:00:00"/>
    <x v="6"/>
    <n v="10"/>
    <m/>
    <n v="2001"/>
    <n v="24"/>
    <s v="LAC"/>
    <s v="Cuba"/>
    <m/>
    <s v="Storm"/>
    <s v="Tropical Cyclone"/>
    <s v="Tropical Storm"/>
    <m/>
    <m/>
    <m/>
    <m/>
    <m/>
    <m/>
    <m/>
    <m/>
    <m/>
    <m/>
    <m/>
    <m/>
    <m/>
    <m/>
    <m/>
    <m/>
    <m/>
    <n v="0"/>
    <m/>
    <m/>
    <m/>
    <m/>
    <m/>
    <m/>
    <m/>
    <m/>
    <m/>
    <m/>
    <m/>
    <m/>
    <m/>
    <m/>
    <m/>
    <m/>
    <m/>
    <m/>
    <m/>
    <m/>
    <n v="0"/>
    <m/>
    <m/>
    <m/>
    <n v="0"/>
    <s v="Y"/>
    <m/>
    <m/>
    <m/>
    <m/>
    <n v="2898"/>
    <m/>
    <m/>
    <m/>
    <m/>
    <m/>
    <m/>
    <m/>
    <m/>
    <m/>
    <m/>
    <m/>
    <s v="Michelle"/>
    <m/>
  </r>
  <r>
    <m/>
    <n v="60"/>
    <x v="73"/>
    <d v="2001-11-01T00:00:00"/>
    <x v="6"/>
    <n v="10"/>
    <m/>
    <n v="2001"/>
    <n v="24"/>
    <s v="LAC"/>
    <s v="Jamaica"/>
    <m/>
    <s v="Storm"/>
    <s v="Tropical Cyclone"/>
    <s v="Tropical Storm"/>
    <m/>
    <m/>
    <m/>
    <m/>
    <m/>
    <m/>
    <m/>
    <m/>
    <m/>
    <m/>
    <m/>
    <m/>
    <m/>
    <m/>
    <m/>
    <n v="5000"/>
    <m/>
    <n v="5000"/>
    <m/>
    <m/>
    <m/>
    <m/>
    <m/>
    <m/>
    <m/>
    <m/>
    <m/>
    <m/>
    <m/>
    <m/>
    <m/>
    <m/>
    <m/>
    <m/>
    <m/>
    <m/>
    <m/>
    <m/>
    <n v="5000"/>
    <m/>
    <m/>
    <m/>
    <n v="5000"/>
    <s v="Y"/>
    <m/>
    <m/>
    <m/>
    <m/>
    <n v="2898"/>
    <m/>
    <m/>
    <m/>
    <m/>
    <m/>
    <m/>
    <m/>
    <m/>
    <m/>
    <m/>
    <m/>
    <s v="Michelle"/>
    <m/>
  </r>
  <r>
    <m/>
    <n v="61"/>
    <x v="13"/>
    <d v="2001-11-01T00:00:00"/>
    <x v="6"/>
    <n v="11"/>
    <m/>
    <n v="2001"/>
    <n v="25"/>
    <s v="LAC"/>
    <s v="Bahamas"/>
    <m/>
    <s v="Storm"/>
    <s v="Tropical Cyclone"/>
    <s v="Tropical Storm"/>
    <m/>
    <m/>
    <m/>
    <m/>
    <m/>
    <m/>
    <m/>
    <m/>
    <m/>
    <m/>
    <m/>
    <m/>
    <m/>
    <m/>
    <m/>
    <n v="5000"/>
    <m/>
    <n v="5000"/>
    <n v="0"/>
    <m/>
    <m/>
    <m/>
    <m/>
    <m/>
    <m/>
    <m/>
    <m/>
    <m/>
    <m/>
    <m/>
    <m/>
    <m/>
    <m/>
    <m/>
    <m/>
    <m/>
    <m/>
    <m/>
    <n v="5000"/>
    <m/>
    <m/>
    <m/>
    <n v="5000"/>
    <s v="Y"/>
    <m/>
    <m/>
    <m/>
    <m/>
    <n v="2898"/>
    <m/>
    <m/>
    <m/>
    <m/>
    <m/>
    <m/>
    <m/>
    <m/>
    <m/>
    <m/>
    <m/>
    <s v="Michelle"/>
    <m/>
  </r>
  <r>
    <m/>
    <n v="62"/>
    <x v="74"/>
    <d v="2001-11-01T00:00:00"/>
    <x v="6"/>
    <n v="12"/>
    <m/>
    <n v="2001"/>
    <n v="26"/>
    <s v="North America"/>
    <s v="US"/>
    <m/>
    <s v="Transport"/>
    <s v="Air"/>
    <s v="Air"/>
    <m/>
    <m/>
    <m/>
    <m/>
    <m/>
    <m/>
    <m/>
    <m/>
    <m/>
    <m/>
    <m/>
    <m/>
    <m/>
    <m/>
    <m/>
    <m/>
    <m/>
    <n v="0"/>
    <n v="5"/>
    <m/>
    <m/>
    <m/>
    <m/>
    <m/>
    <m/>
    <m/>
    <m/>
    <m/>
    <m/>
    <m/>
    <m/>
    <m/>
    <m/>
    <m/>
    <m/>
    <m/>
    <n v="0"/>
    <n v="500"/>
    <n v="500"/>
    <m/>
    <m/>
    <m/>
    <n v="500"/>
    <s v="Y"/>
    <m/>
    <m/>
    <m/>
    <m/>
    <n v="2680"/>
    <m/>
    <m/>
    <m/>
    <m/>
    <m/>
    <m/>
    <m/>
    <m/>
    <m/>
    <m/>
    <m/>
    <s v="AA #587"/>
    <s v="Crash of AA 587 to D.R.  Beneficiaries calculated at 5 family members per each 260 families assisted."/>
  </r>
  <r>
    <m/>
    <n v="63"/>
    <x v="75"/>
    <d v="2002-01-01T00:00:00"/>
    <x v="6"/>
    <n v="13"/>
    <m/>
    <n v="2002"/>
    <n v="1"/>
    <s v="Europe/Asia"/>
    <s v="Cambodia"/>
    <m/>
    <s v="Miscellaneous"/>
    <s v="Fire"/>
    <s v="Urban Fire"/>
    <m/>
    <m/>
    <m/>
    <m/>
    <m/>
    <m/>
    <m/>
    <m/>
    <m/>
    <m/>
    <m/>
    <m/>
    <m/>
    <m/>
    <m/>
    <m/>
    <m/>
    <n v="0"/>
    <m/>
    <m/>
    <m/>
    <m/>
    <m/>
    <m/>
    <m/>
    <m/>
    <m/>
    <m/>
    <m/>
    <m/>
    <m/>
    <m/>
    <m/>
    <m/>
    <m/>
    <m/>
    <n v="10000"/>
    <m/>
    <n v="10000"/>
    <m/>
    <m/>
    <n v="2079"/>
    <n v="10000"/>
    <s v="Y"/>
    <m/>
    <m/>
    <m/>
    <m/>
    <n v="2898"/>
    <m/>
    <m/>
    <m/>
    <m/>
    <m/>
    <m/>
    <m/>
    <m/>
    <m/>
    <m/>
    <m/>
    <s v="Phnom Penh"/>
    <m/>
  </r>
  <r>
    <m/>
    <n v="64"/>
    <x v="76"/>
    <d v="2002-01-01T00:00:00"/>
    <x v="6"/>
    <n v="14"/>
    <m/>
    <n v="2002"/>
    <n v="2"/>
    <s v="Europe/Asia"/>
    <s v="Albania"/>
    <m/>
    <s v="Storm"/>
    <s v="Winter Emergency"/>
    <m/>
    <m/>
    <m/>
    <m/>
    <m/>
    <m/>
    <m/>
    <m/>
    <m/>
    <m/>
    <m/>
    <m/>
    <m/>
    <m/>
    <m/>
    <m/>
    <m/>
    <m/>
    <n v="0"/>
    <n v="1"/>
    <m/>
    <m/>
    <m/>
    <m/>
    <m/>
    <m/>
    <m/>
    <m/>
    <m/>
    <m/>
    <m/>
    <m/>
    <m/>
    <m/>
    <m/>
    <m/>
    <m/>
    <n v="71832"/>
    <m/>
    <n v="71832"/>
    <m/>
    <m/>
    <n v="20000"/>
    <n v="71832"/>
    <s v="Y"/>
    <m/>
    <m/>
    <m/>
    <m/>
    <n v="2898"/>
    <m/>
    <m/>
    <m/>
    <m/>
    <m/>
    <m/>
    <m/>
    <m/>
    <m/>
    <m/>
    <m/>
    <m/>
    <s v="Beneficiaries calculated at 5 family members per the 4,000 families assisted."/>
  </r>
  <r>
    <m/>
    <n v="65"/>
    <x v="77"/>
    <d v="2002-01-01T00:00:00"/>
    <x v="6"/>
    <n v="15"/>
    <m/>
    <n v="2002"/>
    <n v="3"/>
    <s v="Africa"/>
    <s v="DR Congo"/>
    <m/>
    <s v="Volcano"/>
    <s v="Volcanic Eruption"/>
    <s v="Volcanic Eruption"/>
    <m/>
    <m/>
    <m/>
    <m/>
    <m/>
    <m/>
    <m/>
    <m/>
    <m/>
    <m/>
    <m/>
    <m/>
    <n v="0"/>
    <n v="25000"/>
    <m/>
    <m/>
    <m/>
    <n v="25000"/>
    <m/>
    <m/>
    <m/>
    <m/>
    <m/>
    <m/>
    <m/>
    <m/>
    <m/>
    <m/>
    <m/>
    <m/>
    <m/>
    <m/>
    <m/>
    <m/>
    <m/>
    <m/>
    <n v="20000"/>
    <m/>
    <n v="45000"/>
    <m/>
    <m/>
    <n v="30000"/>
    <n v="45000"/>
    <s v="Y"/>
    <m/>
    <m/>
    <m/>
    <m/>
    <n v="2681"/>
    <m/>
    <m/>
    <m/>
    <m/>
    <m/>
    <m/>
    <m/>
    <m/>
    <m/>
    <m/>
    <m/>
    <s v="North Kivu"/>
    <s v="3 NEHK (approx. value $20,000 incl. transport) = 30,000 people for 3 months."/>
  </r>
  <r>
    <m/>
    <n v="66"/>
    <x v="78"/>
    <d v="2002-01-01T00:00:00"/>
    <x v="6"/>
    <n v="17"/>
    <m/>
    <n v="2002"/>
    <n v="5"/>
    <s v="Africa"/>
    <s v="Nigeria"/>
    <m/>
    <s v="Industrial"/>
    <s v="Explosion"/>
    <s v="Explosion"/>
    <m/>
    <m/>
    <m/>
    <m/>
    <m/>
    <m/>
    <m/>
    <m/>
    <m/>
    <m/>
    <m/>
    <m/>
    <n v="0"/>
    <n v="21612.23"/>
    <m/>
    <m/>
    <m/>
    <n v="21612.23"/>
    <m/>
    <m/>
    <m/>
    <m/>
    <m/>
    <m/>
    <m/>
    <m/>
    <m/>
    <m/>
    <m/>
    <m/>
    <m/>
    <m/>
    <m/>
    <m/>
    <m/>
    <m/>
    <m/>
    <m/>
    <n v="21612.23"/>
    <m/>
    <m/>
    <n v="677.77942515832501"/>
    <n v="21612.23"/>
    <s v="Y"/>
    <m/>
    <m/>
    <m/>
    <m/>
    <n v="2682"/>
    <m/>
    <m/>
    <m/>
    <m/>
    <m/>
    <m/>
    <m/>
    <m/>
    <m/>
    <m/>
    <m/>
    <s v="Munitions Explosion"/>
    <s v="$20,000 Citicorp donation; $1,612.23 PMN sent to Federation 22 August 03"/>
  </r>
  <r>
    <m/>
    <n v="67"/>
    <x v="9"/>
    <d v="2002-02-01T00:00:00"/>
    <x v="6"/>
    <n v="16"/>
    <m/>
    <n v="2002"/>
    <n v="4"/>
    <s v="Europe/Asia"/>
    <s v="Turkey"/>
    <m/>
    <s v="Earthquake"/>
    <s v="Earthquake"/>
    <s v="Earthquake"/>
    <m/>
    <m/>
    <m/>
    <m/>
    <m/>
    <m/>
    <m/>
    <m/>
    <m/>
    <m/>
    <m/>
    <m/>
    <m/>
    <m/>
    <m/>
    <m/>
    <m/>
    <n v="0"/>
    <n v="1"/>
    <m/>
    <m/>
    <m/>
    <m/>
    <m/>
    <m/>
    <m/>
    <m/>
    <m/>
    <m/>
    <m/>
    <m/>
    <m/>
    <m/>
    <m/>
    <m/>
    <m/>
    <n v="350424.24"/>
    <m/>
    <n v="350424.24"/>
    <m/>
    <m/>
    <n v="49315"/>
    <n v="350424.24"/>
    <s v="Y"/>
    <m/>
    <m/>
    <m/>
    <m/>
    <n v="2814"/>
    <m/>
    <m/>
    <m/>
    <m/>
    <m/>
    <m/>
    <m/>
    <m/>
    <m/>
    <m/>
    <m/>
    <m/>
    <m/>
  </r>
  <r>
    <m/>
    <n v="68"/>
    <x v="48"/>
    <d v="2002-03-01T00:00:00"/>
    <x v="6"/>
    <n v="18"/>
    <m/>
    <n v="2002"/>
    <n v="6"/>
    <s v="LAC"/>
    <s v="Bolivia"/>
    <m/>
    <s v="Floods"/>
    <s v="General Floods"/>
    <s v="General Floods"/>
    <m/>
    <m/>
    <m/>
    <m/>
    <m/>
    <m/>
    <m/>
    <m/>
    <m/>
    <m/>
    <m/>
    <m/>
    <m/>
    <m/>
    <m/>
    <n v="11700"/>
    <m/>
    <n v="11700"/>
    <m/>
    <m/>
    <m/>
    <m/>
    <m/>
    <m/>
    <m/>
    <m/>
    <m/>
    <m/>
    <m/>
    <m/>
    <m/>
    <m/>
    <m/>
    <m/>
    <m/>
    <m/>
    <m/>
    <m/>
    <n v="11700"/>
    <m/>
    <m/>
    <n v="300"/>
    <n v="11700"/>
    <s v="Y"/>
    <m/>
    <m/>
    <m/>
    <m/>
    <n v="2898"/>
    <m/>
    <m/>
    <m/>
    <m/>
    <m/>
    <m/>
    <m/>
    <m/>
    <m/>
    <m/>
    <m/>
    <m/>
    <m/>
  </r>
  <r>
    <m/>
    <n v="69"/>
    <x v="79"/>
    <d v="2002-03-01T00:00:00"/>
    <x v="6"/>
    <n v="19"/>
    <m/>
    <n v="2002"/>
    <n v="7"/>
    <s v="Europe/Asia"/>
    <s v="Afghanistan"/>
    <m/>
    <s v="Earthquake"/>
    <s v="Earthquake"/>
    <s v="Earthquake"/>
    <m/>
    <m/>
    <m/>
    <m/>
    <m/>
    <m/>
    <m/>
    <m/>
    <m/>
    <m/>
    <m/>
    <m/>
    <m/>
    <m/>
    <n v="104805"/>
    <m/>
    <m/>
    <n v="104805"/>
    <n v="2"/>
    <m/>
    <m/>
    <m/>
    <m/>
    <m/>
    <m/>
    <m/>
    <m/>
    <m/>
    <m/>
    <m/>
    <m/>
    <m/>
    <m/>
    <m/>
    <m/>
    <m/>
    <m/>
    <m/>
    <n v="104805"/>
    <m/>
    <m/>
    <n v="19678.7"/>
    <n v="104805"/>
    <s v="Y"/>
    <m/>
    <m/>
    <m/>
    <m/>
    <n v="2876"/>
    <m/>
    <m/>
    <m/>
    <m/>
    <m/>
    <m/>
    <m/>
    <m/>
    <m/>
    <m/>
    <m/>
    <m/>
    <s v="NEHK for Mazar e Sharif "/>
  </r>
  <r>
    <m/>
    <n v="70"/>
    <x v="36"/>
    <d v="2002-04-01T00:00:00"/>
    <x v="6"/>
    <n v="20"/>
    <m/>
    <n v="2002"/>
    <n v="8"/>
    <s v="Europe/Asia"/>
    <s v="Jordan"/>
    <m/>
    <s v="Conflict"/>
    <s v="Conflict"/>
    <s v="Conflict"/>
    <m/>
    <m/>
    <m/>
    <m/>
    <m/>
    <m/>
    <m/>
    <m/>
    <m/>
    <m/>
    <m/>
    <m/>
    <n v="0"/>
    <n v="25000"/>
    <m/>
    <n v="200000"/>
    <m/>
    <n v="225000"/>
    <n v="1"/>
    <m/>
    <m/>
    <m/>
    <m/>
    <m/>
    <m/>
    <m/>
    <m/>
    <m/>
    <m/>
    <m/>
    <m/>
    <m/>
    <m/>
    <m/>
    <m/>
    <m/>
    <m/>
    <m/>
    <n v="225000"/>
    <m/>
    <m/>
    <m/>
    <n v="225000"/>
    <s v="Y"/>
    <m/>
    <m/>
    <m/>
    <m/>
    <n v="2898"/>
    <m/>
    <m/>
    <m/>
    <m/>
    <m/>
    <m/>
    <m/>
    <m/>
    <m/>
    <m/>
    <m/>
    <m/>
    <s v="Second Installment for ICU sent in Nov 2002"/>
  </r>
  <r>
    <m/>
    <n v="71"/>
    <x v="80"/>
    <d v="2002-05-01T00:00:00"/>
    <x v="6"/>
    <n v="21"/>
    <m/>
    <n v="2002"/>
    <n v="9"/>
    <s v="LAC"/>
    <s v="Panama"/>
    <m/>
    <s v="Floods"/>
    <s v="General Floods"/>
    <s v="General Floods"/>
    <m/>
    <m/>
    <m/>
    <m/>
    <m/>
    <m/>
    <m/>
    <m/>
    <m/>
    <m/>
    <m/>
    <m/>
    <m/>
    <m/>
    <m/>
    <n v="2000"/>
    <m/>
    <n v="2000"/>
    <m/>
    <m/>
    <m/>
    <m/>
    <m/>
    <m/>
    <m/>
    <m/>
    <m/>
    <m/>
    <m/>
    <m/>
    <m/>
    <m/>
    <m/>
    <m/>
    <m/>
    <m/>
    <m/>
    <m/>
    <n v="2000"/>
    <m/>
    <m/>
    <m/>
    <n v="2000"/>
    <s v="Y"/>
    <m/>
    <m/>
    <m/>
    <m/>
    <n v="2898"/>
    <m/>
    <m/>
    <m/>
    <m/>
    <m/>
    <m/>
    <m/>
    <m/>
    <m/>
    <m/>
    <m/>
    <m/>
    <m/>
  </r>
  <r>
    <m/>
    <n v="71"/>
    <x v="7"/>
    <d v="2002-05-01T00:00:00"/>
    <x v="6"/>
    <n v="21"/>
    <m/>
    <n v="2002"/>
    <n v="9"/>
    <s v="LAC"/>
    <s v="Costa Rica"/>
    <m/>
    <s v="Floods"/>
    <s v="General Floods"/>
    <s v="General Floods"/>
    <m/>
    <m/>
    <m/>
    <m/>
    <m/>
    <m/>
    <m/>
    <m/>
    <m/>
    <m/>
    <m/>
    <m/>
    <m/>
    <m/>
    <m/>
    <n v="2000"/>
    <m/>
    <n v="2000"/>
    <m/>
    <m/>
    <m/>
    <m/>
    <m/>
    <m/>
    <m/>
    <m/>
    <m/>
    <m/>
    <m/>
    <m/>
    <m/>
    <m/>
    <m/>
    <m/>
    <m/>
    <m/>
    <m/>
    <m/>
    <n v="2000"/>
    <m/>
    <m/>
    <n v="0"/>
    <n v="2000"/>
    <s v="Y"/>
    <m/>
    <m/>
    <m/>
    <m/>
    <n v="2898"/>
    <m/>
    <m/>
    <m/>
    <m/>
    <m/>
    <m/>
    <m/>
    <m/>
    <m/>
    <m/>
    <m/>
    <m/>
    <m/>
  </r>
  <r>
    <m/>
    <n v="72"/>
    <x v="81"/>
    <d v="2002-05-01T00:00:00"/>
    <x v="6"/>
    <n v="22"/>
    <m/>
    <n v="2002"/>
    <n v="10"/>
    <s v="Africa"/>
    <s v="Kenya"/>
    <m/>
    <s v="Floods"/>
    <s v="General Floods"/>
    <s v="General Floods"/>
    <m/>
    <m/>
    <m/>
    <m/>
    <m/>
    <m/>
    <m/>
    <m/>
    <m/>
    <m/>
    <m/>
    <m/>
    <n v="0"/>
    <n v="10000"/>
    <m/>
    <m/>
    <m/>
    <n v="10000"/>
    <m/>
    <m/>
    <m/>
    <m/>
    <m/>
    <m/>
    <m/>
    <m/>
    <m/>
    <m/>
    <m/>
    <m/>
    <m/>
    <m/>
    <m/>
    <m/>
    <m/>
    <m/>
    <m/>
    <m/>
    <n v="10000"/>
    <m/>
    <m/>
    <n v="1160.6960462049883"/>
    <n v="10000"/>
    <s v="Y"/>
    <m/>
    <m/>
    <m/>
    <m/>
    <n v="2898"/>
    <m/>
    <m/>
    <m/>
    <m/>
    <m/>
    <m/>
    <m/>
    <m/>
    <m/>
    <m/>
    <m/>
    <m/>
    <m/>
  </r>
  <r>
    <m/>
    <n v="73"/>
    <x v="82"/>
    <d v="2002-05-01T00:00:00"/>
    <x v="6"/>
    <n v="23"/>
    <m/>
    <n v="2002"/>
    <n v="11"/>
    <s v="Africa"/>
    <s v="Malawi"/>
    <m/>
    <s v="Food Insecurity"/>
    <s v="Food Insecurity"/>
    <s v="Food Insecurity"/>
    <m/>
    <m/>
    <m/>
    <m/>
    <m/>
    <m/>
    <m/>
    <m/>
    <m/>
    <m/>
    <m/>
    <m/>
    <m/>
    <m/>
    <m/>
    <m/>
    <m/>
    <n v="0"/>
    <n v="3"/>
    <m/>
    <m/>
    <m/>
    <m/>
    <m/>
    <m/>
    <m/>
    <m/>
    <m/>
    <m/>
    <m/>
    <m/>
    <m/>
    <m/>
    <m/>
    <m/>
    <m/>
    <m/>
    <n v="100000"/>
    <n v="100000"/>
    <m/>
    <m/>
    <n v="96000"/>
    <n v="100000"/>
    <s v="Y"/>
    <m/>
    <m/>
    <m/>
    <m/>
    <n v="2683"/>
    <m/>
    <m/>
    <m/>
    <m/>
    <m/>
    <m/>
    <m/>
    <m/>
    <m/>
    <m/>
    <m/>
    <m/>
    <m/>
  </r>
  <r>
    <m/>
    <n v="74"/>
    <x v="83"/>
    <d v="2002-06-01T00:00:00"/>
    <x v="6"/>
    <n v="24"/>
    <m/>
    <n v="2002"/>
    <n v="12"/>
    <s v="LAC"/>
    <s v="Nicaragua"/>
    <m/>
    <s v="Floods"/>
    <s v="General Floods"/>
    <s v="General Floods"/>
    <m/>
    <m/>
    <m/>
    <m/>
    <m/>
    <m/>
    <m/>
    <m/>
    <m/>
    <m/>
    <m/>
    <m/>
    <m/>
    <m/>
    <m/>
    <m/>
    <m/>
    <n v="0"/>
    <n v="1"/>
    <m/>
    <m/>
    <m/>
    <m/>
    <m/>
    <m/>
    <m/>
    <m/>
    <m/>
    <m/>
    <m/>
    <m/>
    <m/>
    <m/>
    <m/>
    <m/>
    <m/>
    <m/>
    <m/>
    <n v="0"/>
    <m/>
    <m/>
    <n v="0"/>
    <n v="0"/>
    <s v="Y"/>
    <m/>
    <m/>
    <m/>
    <m/>
    <n v="2821"/>
    <m/>
    <m/>
    <m/>
    <m/>
    <m/>
    <m/>
    <m/>
    <m/>
    <m/>
    <m/>
    <m/>
    <m/>
    <s v="supervised dist. of $50,000 of supplies given to NRC by USAID"/>
  </r>
  <r>
    <m/>
    <n v="75"/>
    <x v="84"/>
    <d v="2002-06-01T00:00:00"/>
    <x v="6"/>
    <n v="25"/>
    <m/>
    <n v="2002"/>
    <n v="13"/>
    <s v="Europe/Asia"/>
    <s v="Syria"/>
    <m/>
    <s v="Miscellaneous"/>
    <s v="Collapse"/>
    <s v="Collapse"/>
    <m/>
    <m/>
    <m/>
    <m/>
    <m/>
    <m/>
    <m/>
    <m/>
    <m/>
    <m/>
    <m/>
    <m/>
    <n v="0"/>
    <n v="10000"/>
    <m/>
    <m/>
    <m/>
    <n v="10000"/>
    <m/>
    <m/>
    <m/>
    <m/>
    <m/>
    <m/>
    <m/>
    <m/>
    <m/>
    <m/>
    <m/>
    <m/>
    <m/>
    <m/>
    <m/>
    <m/>
    <m/>
    <m/>
    <m/>
    <m/>
    <n v="10000"/>
    <m/>
    <m/>
    <n v="216.21621621621622"/>
    <n v="10000"/>
    <s v="Y"/>
    <m/>
    <m/>
    <m/>
    <m/>
    <n v="2898"/>
    <m/>
    <m/>
    <m/>
    <m/>
    <m/>
    <m/>
    <m/>
    <m/>
    <m/>
    <m/>
    <m/>
    <s v="Dam Burst"/>
    <s v="Federation appeal15/2002 - Zeyzoun Dam Collapse"/>
  </r>
  <r>
    <m/>
    <n v="76"/>
    <x v="8"/>
    <d v="2002-06-01T00:00:00"/>
    <x v="6"/>
    <n v="26"/>
    <m/>
    <n v="2002"/>
    <n v="14"/>
    <s v="Europe/Asia"/>
    <s v="China"/>
    <m/>
    <s v="Floods"/>
    <s v="General Floods"/>
    <s v="General Floods"/>
    <m/>
    <m/>
    <m/>
    <m/>
    <m/>
    <m/>
    <m/>
    <m/>
    <m/>
    <m/>
    <m/>
    <m/>
    <m/>
    <m/>
    <m/>
    <n v="75000"/>
    <m/>
    <n v="75000"/>
    <m/>
    <m/>
    <m/>
    <m/>
    <m/>
    <m/>
    <m/>
    <m/>
    <m/>
    <m/>
    <m/>
    <m/>
    <m/>
    <m/>
    <m/>
    <m/>
    <m/>
    <m/>
    <m/>
    <m/>
    <n v="75000"/>
    <m/>
    <m/>
    <n v="2243.493867783428"/>
    <n v="75000"/>
    <s v="Y"/>
    <m/>
    <m/>
    <m/>
    <m/>
    <n v="2060"/>
    <m/>
    <m/>
    <m/>
    <m/>
    <m/>
    <m/>
    <m/>
    <m/>
    <m/>
    <m/>
    <m/>
    <m/>
    <s v="Federation appeal 16/2002; $75,000 from Region"/>
  </r>
  <r>
    <m/>
    <n v="76"/>
    <x v="8"/>
    <d v="2002-06-01T00:00:00"/>
    <x v="6"/>
    <n v="26"/>
    <m/>
    <n v="2002"/>
    <n v="14"/>
    <s v="Europe/Asia"/>
    <s v="China"/>
    <m/>
    <s v="Floods"/>
    <s v="General Floods"/>
    <s v="General Floods"/>
    <m/>
    <m/>
    <m/>
    <m/>
    <m/>
    <m/>
    <m/>
    <m/>
    <m/>
    <m/>
    <m/>
    <m/>
    <m/>
    <m/>
    <m/>
    <n v="25000"/>
    <m/>
    <n v="25000"/>
    <m/>
    <m/>
    <m/>
    <m/>
    <m/>
    <m/>
    <m/>
    <m/>
    <m/>
    <m/>
    <m/>
    <m/>
    <m/>
    <m/>
    <m/>
    <m/>
    <m/>
    <m/>
    <m/>
    <m/>
    <n v="25000"/>
    <m/>
    <m/>
    <m/>
    <n v="25000"/>
    <s v="Y"/>
    <m/>
    <m/>
    <m/>
    <m/>
    <n v="2898"/>
    <m/>
    <m/>
    <m/>
    <m/>
    <m/>
    <m/>
    <m/>
    <m/>
    <m/>
    <m/>
    <m/>
    <m/>
    <m/>
  </r>
  <r>
    <m/>
    <n v="76"/>
    <x v="8"/>
    <d v="2002-06-01T00:00:00"/>
    <x v="6"/>
    <n v="26"/>
    <m/>
    <n v="2002"/>
    <n v="14"/>
    <s v="Europe/Asia"/>
    <s v="China"/>
    <m/>
    <s v="Floods"/>
    <s v="General Floods"/>
    <s v="General Floods"/>
    <m/>
    <m/>
    <m/>
    <m/>
    <m/>
    <m/>
    <m/>
    <m/>
    <m/>
    <m/>
    <m/>
    <m/>
    <m/>
    <m/>
    <m/>
    <n v="100000"/>
    <m/>
    <n v="100000"/>
    <m/>
    <m/>
    <m/>
    <m/>
    <m/>
    <m/>
    <m/>
    <m/>
    <m/>
    <m/>
    <m/>
    <m/>
    <m/>
    <m/>
    <m/>
    <m/>
    <m/>
    <m/>
    <m/>
    <m/>
    <n v="100000"/>
    <m/>
    <m/>
    <m/>
    <n v="100000"/>
    <s v="N"/>
    <m/>
    <m/>
    <m/>
    <m/>
    <n v="2099"/>
    <m/>
    <m/>
    <m/>
    <m/>
    <m/>
    <m/>
    <m/>
    <m/>
    <m/>
    <m/>
    <m/>
    <m/>
    <s v="$100,000 from Phillip Morris (AP 2099) in October 2002"/>
  </r>
  <r>
    <m/>
    <n v="77"/>
    <x v="51"/>
    <d v="2002-07-01T00:00:00"/>
    <x v="7"/>
    <n v="1"/>
    <m/>
    <n v="2002"/>
    <n v="15"/>
    <s v="Europe/Asia"/>
    <s v="Russian Fed."/>
    <m/>
    <s v="Floods"/>
    <s v="General Floods"/>
    <s v="General Floods"/>
    <m/>
    <m/>
    <m/>
    <m/>
    <m/>
    <m/>
    <m/>
    <m/>
    <m/>
    <m/>
    <m/>
    <m/>
    <m/>
    <m/>
    <m/>
    <n v="50000"/>
    <m/>
    <n v="50000"/>
    <n v="1"/>
    <m/>
    <m/>
    <m/>
    <m/>
    <m/>
    <m/>
    <m/>
    <m/>
    <m/>
    <m/>
    <m/>
    <m/>
    <m/>
    <m/>
    <m/>
    <m/>
    <m/>
    <m/>
    <m/>
    <n v="50000"/>
    <m/>
    <m/>
    <n v="5000"/>
    <n v="50000"/>
    <s v="Y"/>
    <m/>
    <m/>
    <m/>
    <m/>
    <n v="2664"/>
    <m/>
    <m/>
    <m/>
    <m/>
    <m/>
    <m/>
    <m/>
    <m/>
    <m/>
    <m/>
    <m/>
    <m/>
    <s v="Dagestan:  IRT Ramsey Rayyis; Federation Appeal 20/2002; grant from US Embassy in Moscow"/>
  </r>
  <r>
    <m/>
    <n v="78"/>
    <x v="85"/>
    <d v="2002-07-01T00:00:00"/>
    <x v="7"/>
    <n v="2"/>
    <m/>
    <n v="2002"/>
    <n v="16"/>
    <s v="Europe/Asia"/>
    <s v="FS Micronesia"/>
    <m/>
    <s v="Storm"/>
    <s v="Tropical Cyclone"/>
    <s v="Typhoon"/>
    <m/>
    <m/>
    <m/>
    <m/>
    <m/>
    <m/>
    <m/>
    <m/>
    <m/>
    <m/>
    <m/>
    <m/>
    <m/>
    <m/>
    <m/>
    <m/>
    <m/>
    <n v="0"/>
    <m/>
    <m/>
    <m/>
    <m/>
    <m/>
    <m/>
    <m/>
    <m/>
    <m/>
    <m/>
    <m/>
    <m/>
    <m/>
    <m/>
    <m/>
    <m/>
    <m/>
    <m/>
    <n v="10000"/>
    <m/>
    <n v="10000"/>
    <m/>
    <m/>
    <n v="1000"/>
    <n v="10000"/>
    <s v="Y"/>
    <m/>
    <m/>
    <m/>
    <m/>
    <n v="2898"/>
    <m/>
    <m/>
    <m/>
    <m/>
    <m/>
    <m/>
    <m/>
    <m/>
    <m/>
    <m/>
    <m/>
    <s v="Chata'an"/>
    <s v="Replenished Supplies sent from ARC/Saipan"/>
  </r>
  <r>
    <m/>
    <n v="79"/>
    <x v="86"/>
    <d v="2002-07-01T00:00:00"/>
    <x v="7"/>
    <n v="3"/>
    <m/>
    <n v="2002"/>
    <n v="17"/>
    <s v="LAC"/>
    <s v="Peru"/>
    <m/>
    <s v="Storm"/>
    <s v="Winter Storm"/>
    <s v="Snowstorm"/>
    <m/>
    <m/>
    <m/>
    <m/>
    <m/>
    <m/>
    <m/>
    <m/>
    <m/>
    <m/>
    <m/>
    <m/>
    <n v="0"/>
    <n v="5000"/>
    <m/>
    <m/>
    <m/>
    <n v="5000"/>
    <m/>
    <m/>
    <m/>
    <m/>
    <m/>
    <m/>
    <m/>
    <m/>
    <m/>
    <m/>
    <m/>
    <m/>
    <m/>
    <m/>
    <m/>
    <m/>
    <m/>
    <m/>
    <m/>
    <m/>
    <n v="5000"/>
    <m/>
    <m/>
    <m/>
    <n v="5000"/>
    <s v="Y"/>
    <m/>
    <m/>
    <m/>
    <m/>
    <n v="2898"/>
    <m/>
    <m/>
    <m/>
    <m/>
    <m/>
    <m/>
    <m/>
    <m/>
    <m/>
    <m/>
    <m/>
    <m/>
    <s v="DREF Replenishment"/>
  </r>
  <r>
    <m/>
    <n v="80"/>
    <x v="87"/>
    <d v="2002-07-01T00:00:00"/>
    <x v="7"/>
    <n v="4"/>
    <m/>
    <n v="2002"/>
    <n v="18"/>
    <s v="LAC"/>
    <s v="Bolivia"/>
    <m/>
    <s v="Storm"/>
    <s v="Winter Storm"/>
    <s v="Snowstorm"/>
    <m/>
    <m/>
    <m/>
    <m/>
    <m/>
    <m/>
    <m/>
    <m/>
    <m/>
    <m/>
    <m/>
    <m/>
    <n v="0"/>
    <n v="5000"/>
    <m/>
    <m/>
    <m/>
    <n v="5000"/>
    <m/>
    <m/>
    <m/>
    <m/>
    <m/>
    <m/>
    <m/>
    <m/>
    <m/>
    <m/>
    <m/>
    <m/>
    <m/>
    <m/>
    <m/>
    <m/>
    <m/>
    <m/>
    <m/>
    <m/>
    <n v="5000"/>
    <m/>
    <m/>
    <m/>
    <n v="5000"/>
    <s v="Y"/>
    <m/>
    <m/>
    <m/>
    <m/>
    <n v="2898"/>
    <m/>
    <m/>
    <m/>
    <m/>
    <m/>
    <m/>
    <m/>
    <m/>
    <m/>
    <m/>
    <m/>
    <m/>
    <s v="DREF Replenishment"/>
  </r>
  <r>
    <m/>
    <n v="81"/>
    <x v="27"/>
    <d v="2002-07-01T00:00:00"/>
    <x v="7"/>
    <n v="5"/>
    <m/>
    <n v="2002"/>
    <n v="19"/>
    <s v="LAC"/>
    <s v="Venezuela"/>
    <m/>
    <s v="Floods"/>
    <s v="General Floods"/>
    <s v="General Floods"/>
    <m/>
    <m/>
    <m/>
    <m/>
    <m/>
    <m/>
    <m/>
    <m/>
    <m/>
    <m/>
    <m/>
    <m/>
    <m/>
    <m/>
    <m/>
    <n v="50000"/>
    <m/>
    <n v="50000"/>
    <n v="1"/>
    <m/>
    <m/>
    <m/>
    <m/>
    <m/>
    <m/>
    <m/>
    <m/>
    <m/>
    <m/>
    <m/>
    <m/>
    <m/>
    <m/>
    <m/>
    <m/>
    <m/>
    <m/>
    <m/>
    <n v="50000"/>
    <m/>
    <m/>
    <n v="3840"/>
    <n v="50000"/>
    <s v="Y"/>
    <m/>
    <m/>
    <m/>
    <m/>
    <n v="2912"/>
    <m/>
    <m/>
    <m/>
    <m/>
    <m/>
    <m/>
    <m/>
    <m/>
    <m/>
    <m/>
    <m/>
    <m/>
    <s v="Funds provided by US Embassy; program implemented by Delegates/IRT members based in Caracas"/>
  </r>
  <r>
    <m/>
    <n v="82"/>
    <x v="33"/>
    <d v="2002-08-01T00:00:00"/>
    <x v="7"/>
    <n v="6"/>
    <m/>
    <n v="2002"/>
    <n v="20"/>
    <s v="Europe/Asia"/>
    <s v="India"/>
    <m/>
    <s v="Floods"/>
    <s v="General Floods"/>
    <s v="General Floods"/>
    <m/>
    <m/>
    <m/>
    <m/>
    <m/>
    <m/>
    <m/>
    <m/>
    <m/>
    <m/>
    <m/>
    <m/>
    <n v="1"/>
    <n v="66918.959999999992"/>
    <m/>
    <m/>
    <m/>
    <n v="66918.959999999992"/>
    <n v="7"/>
    <m/>
    <m/>
    <n v="2900"/>
    <m/>
    <m/>
    <m/>
    <m/>
    <m/>
    <m/>
    <m/>
    <m/>
    <m/>
    <m/>
    <m/>
    <m/>
    <m/>
    <m/>
    <n v="122911.16"/>
    <n v="42422.75"/>
    <n v="232252.87"/>
    <m/>
    <m/>
    <n v="36500"/>
    <n v="232252.87"/>
    <s v="Y"/>
    <m/>
    <m/>
    <m/>
    <m/>
    <n v="2954"/>
    <m/>
    <m/>
    <m/>
    <m/>
    <m/>
    <m/>
    <m/>
    <m/>
    <m/>
    <m/>
    <m/>
    <m/>
    <s v="2,900 Family Kits @ $35.88 each; 2 WHO NEHK; 2 WHO Cholera Kits; Flood Mitigation in Assam and Bihar thru Appeal."/>
  </r>
  <r>
    <m/>
    <n v="83"/>
    <x v="88"/>
    <d v="2002-08-01T00:00:00"/>
    <x v="7"/>
    <n v="7"/>
    <m/>
    <n v="2002"/>
    <n v="21"/>
    <s v="Europe/Asia"/>
    <s v="Romania"/>
    <m/>
    <s v="Floods"/>
    <s v="General Floods"/>
    <s v="General Floods"/>
    <m/>
    <m/>
    <m/>
    <m/>
    <m/>
    <m/>
    <m/>
    <m/>
    <m/>
    <m/>
    <m/>
    <m/>
    <m/>
    <m/>
    <m/>
    <m/>
    <m/>
    <n v="0"/>
    <n v="3"/>
    <m/>
    <m/>
    <n v="14500"/>
    <m/>
    <m/>
    <m/>
    <m/>
    <m/>
    <m/>
    <m/>
    <m/>
    <m/>
    <n v="14500"/>
    <m/>
    <m/>
    <m/>
    <m/>
    <n v="102950"/>
    <n v="12189.84"/>
    <n v="115139.84"/>
    <m/>
    <m/>
    <n v="58000"/>
    <n v="115139.84"/>
    <s v="Y"/>
    <m/>
    <m/>
    <m/>
    <m/>
    <n v="2685"/>
    <m/>
    <m/>
    <m/>
    <m/>
    <m/>
    <m/>
    <m/>
    <m/>
    <m/>
    <m/>
    <m/>
    <m/>
    <s v="ex Sofia"/>
  </r>
  <r>
    <m/>
    <n v="83"/>
    <x v="89"/>
    <d v="2002-08-01T00:00:00"/>
    <x v="7"/>
    <n v="7"/>
    <m/>
    <n v="2002"/>
    <n v="21"/>
    <s v="Europe/Asia"/>
    <s v="Germany"/>
    <m/>
    <s v="Floods"/>
    <s v="General Floods"/>
    <s v="General Floods"/>
    <m/>
    <m/>
    <m/>
    <m/>
    <m/>
    <m/>
    <m/>
    <m/>
    <m/>
    <m/>
    <m/>
    <m/>
    <m/>
    <m/>
    <m/>
    <n v="75000"/>
    <m/>
    <n v="75000"/>
    <m/>
    <m/>
    <m/>
    <m/>
    <m/>
    <m/>
    <m/>
    <m/>
    <m/>
    <m/>
    <m/>
    <m/>
    <m/>
    <m/>
    <m/>
    <m/>
    <m/>
    <m/>
    <m/>
    <m/>
    <n v="75000"/>
    <m/>
    <m/>
    <n v="7500"/>
    <n v="75000"/>
    <s v="N"/>
    <m/>
    <m/>
    <m/>
    <m/>
    <n v="2099"/>
    <m/>
    <m/>
    <m/>
    <m/>
    <m/>
    <m/>
    <m/>
    <m/>
    <m/>
    <m/>
    <m/>
    <m/>
    <s v="Pass throughs from  Alcoa, AmEx, Citigroup, Levi Strauss"/>
  </r>
  <r>
    <m/>
    <n v="83"/>
    <x v="90"/>
    <d v="2002-08-01T00:00:00"/>
    <x v="7"/>
    <n v="7"/>
    <m/>
    <n v="2002"/>
    <n v="21"/>
    <s v="Europe/Asia"/>
    <s v="Czech Republic"/>
    <m/>
    <s v="Floods"/>
    <s v="General Floods"/>
    <s v="General Floods"/>
    <m/>
    <m/>
    <m/>
    <m/>
    <m/>
    <m/>
    <m/>
    <m/>
    <m/>
    <m/>
    <m/>
    <m/>
    <m/>
    <m/>
    <m/>
    <n v="90000"/>
    <m/>
    <n v="90000"/>
    <m/>
    <m/>
    <m/>
    <m/>
    <m/>
    <m/>
    <m/>
    <m/>
    <m/>
    <m/>
    <m/>
    <m/>
    <m/>
    <m/>
    <m/>
    <m/>
    <m/>
    <m/>
    <m/>
    <m/>
    <n v="90000"/>
    <m/>
    <m/>
    <n v="9000"/>
    <n v="90000"/>
    <s v="N"/>
    <m/>
    <m/>
    <m/>
    <m/>
    <n v="2099"/>
    <m/>
    <m/>
    <m/>
    <m/>
    <m/>
    <m/>
    <m/>
    <m/>
    <m/>
    <m/>
    <m/>
    <m/>
    <s v="Pass throughs from  AmEx (2099), Levi Strauss (2099) and JP Morgan (2608)"/>
  </r>
  <r>
    <m/>
    <n v="83"/>
    <x v="91"/>
    <d v="2002-08-01T00:00:00"/>
    <x v="7"/>
    <n v="7"/>
    <m/>
    <n v="2002"/>
    <n v="21"/>
    <s v="Europe/Asia"/>
    <s v="Slovakia"/>
    <m/>
    <s v="Floods"/>
    <s v="General Floods"/>
    <s v="General Floods"/>
    <m/>
    <m/>
    <m/>
    <m/>
    <m/>
    <m/>
    <m/>
    <m/>
    <m/>
    <m/>
    <m/>
    <m/>
    <m/>
    <m/>
    <m/>
    <n v="10000"/>
    <m/>
    <n v="10000"/>
    <m/>
    <m/>
    <m/>
    <m/>
    <m/>
    <m/>
    <m/>
    <m/>
    <m/>
    <m/>
    <m/>
    <m/>
    <m/>
    <m/>
    <m/>
    <m/>
    <m/>
    <m/>
    <m/>
    <m/>
    <n v="10000"/>
    <m/>
    <m/>
    <n v="1000"/>
    <n v="10000"/>
    <s v="Y"/>
    <m/>
    <m/>
    <m/>
    <m/>
    <n v="2608"/>
    <m/>
    <m/>
    <m/>
    <m/>
    <m/>
    <m/>
    <m/>
    <m/>
    <m/>
    <m/>
    <m/>
    <m/>
    <s v="Pass through from JP Morgan / Chase"/>
  </r>
  <r>
    <m/>
    <n v="83"/>
    <x v="92"/>
    <d v="2002-08-01T00:00:00"/>
    <x v="7"/>
    <n v="7"/>
    <m/>
    <n v="2002"/>
    <n v="21"/>
    <s v="Europe/Asia"/>
    <s v="Hungary"/>
    <m/>
    <s v="Floods"/>
    <s v="General Floods"/>
    <s v="General Floods"/>
    <m/>
    <m/>
    <m/>
    <m/>
    <m/>
    <m/>
    <m/>
    <m/>
    <m/>
    <m/>
    <m/>
    <m/>
    <m/>
    <m/>
    <m/>
    <n v="35000"/>
    <m/>
    <n v="35000"/>
    <m/>
    <m/>
    <m/>
    <m/>
    <m/>
    <m/>
    <m/>
    <m/>
    <m/>
    <m/>
    <m/>
    <m/>
    <m/>
    <m/>
    <m/>
    <m/>
    <m/>
    <m/>
    <m/>
    <m/>
    <n v="35000"/>
    <m/>
    <m/>
    <n v="3500"/>
    <n v="35000"/>
    <s v="N"/>
    <m/>
    <m/>
    <m/>
    <m/>
    <n v="2099"/>
    <m/>
    <m/>
    <m/>
    <m/>
    <m/>
    <m/>
    <m/>
    <m/>
    <m/>
    <m/>
    <m/>
    <m/>
    <s v="Pass through from  Citigroup (2099) &amp; JP Morgan (2608)"/>
  </r>
  <r>
    <m/>
    <n v="83"/>
    <x v="93"/>
    <d v="2002-08-01T00:00:00"/>
    <x v="7"/>
    <n v="7"/>
    <m/>
    <n v="2002"/>
    <n v="21"/>
    <s v="Europe/Asia"/>
    <s v="Austria"/>
    <m/>
    <s v="Floods"/>
    <s v="General Floods"/>
    <s v="General Floods"/>
    <m/>
    <m/>
    <m/>
    <m/>
    <m/>
    <m/>
    <m/>
    <m/>
    <m/>
    <m/>
    <m/>
    <m/>
    <m/>
    <m/>
    <m/>
    <n v="25000"/>
    <m/>
    <n v="25000"/>
    <m/>
    <m/>
    <m/>
    <m/>
    <m/>
    <m/>
    <m/>
    <m/>
    <m/>
    <m/>
    <m/>
    <m/>
    <m/>
    <m/>
    <m/>
    <m/>
    <m/>
    <m/>
    <m/>
    <m/>
    <n v="25000"/>
    <m/>
    <m/>
    <n v="2500"/>
    <n v="25000"/>
    <s v="Y"/>
    <m/>
    <m/>
    <m/>
    <m/>
    <n v="2608"/>
    <m/>
    <m/>
    <m/>
    <m/>
    <m/>
    <m/>
    <m/>
    <m/>
    <m/>
    <m/>
    <m/>
    <m/>
    <s v="AMEX re-directed funds from their ADGP"/>
  </r>
  <r>
    <m/>
    <n v="84"/>
    <x v="67"/>
    <d v="2002-09-01T00:00:00"/>
    <x v="7"/>
    <n v="8"/>
    <m/>
    <n v="2002"/>
    <n v="22"/>
    <s v="LAC"/>
    <s v="Mexico"/>
    <m/>
    <s v="Storm"/>
    <s v="Tropical Cyclone"/>
    <s v="Hurricane"/>
    <m/>
    <m/>
    <m/>
    <m/>
    <m/>
    <m/>
    <m/>
    <m/>
    <m/>
    <m/>
    <m/>
    <m/>
    <m/>
    <m/>
    <m/>
    <m/>
    <m/>
    <n v="0"/>
    <n v="2"/>
    <m/>
    <m/>
    <m/>
    <m/>
    <m/>
    <m/>
    <m/>
    <m/>
    <m/>
    <m/>
    <m/>
    <m/>
    <m/>
    <m/>
    <m/>
    <m/>
    <m/>
    <m/>
    <n v="60000"/>
    <n v="60000"/>
    <m/>
    <m/>
    <n v="20000"/>
    <n v="60000"/>
    <s v="Y"/>
    <m/>
    <m/>
    <m/>
    <m/>
    <n v="2687"/>
    <m/>
    <m/>
    <m/>
    <m/>
    <m/>
    <m/>
    <m/>
    <m/>
    <m/>
    <m/>
    <m/>
    <s v="Isidore"/>
    <s v="$50,000 from OFDA; 4,000 hygiene parcels"/>
  </r>
  <r>
    <m/>
    <n v="85"/>
    <x v="94"/>
    <d v="2002-10-01T00:00:00"/>
    <x v="7"/>
    <n v="9"/>
    <m/>
    <n v="2002"/>
    <n v="23"/>
    <s v="LAC"/>
    <s v="Paraguay"/>
    <m/>
    <s v="Drought"/>
    <s v="Drought"/>
    <s v="Drought"/>
    <m/>
    <m/>
    <m/>
    <m/>
    <m/>
    <m/>
    <m/>
    <m/>
    <m/>
    <m/>
    <m/>
    <m/>
    <m/>
    <m/>
    <m/>
    <m/>
    <m/>
    <n v="0"/>
    <n v="2"/>
    <m/>
    <m/>
    <m/>
    <m/>
    <m/>
    <m/>
    <m/>
    <m/>
    <m/>
    <m/>
    <m/>
    <m/>
    <m/>
    <m/>
    <m/>
    <m/>
    <m/>
    <m/>
    <m/>
    <n v="0"/>
    <m/>
    <m/>
    <n v="8165"/>
    <n v="0"/>
    <s v="Y"/>
    <m/>
    <m/>
    <m/>
    <m/>
    <n v="2898"/>
    <m/>
    <m/>
    <m/>
    <m/>
    <m/>
    <m/>
    <m/>
    <m/>
    <m/>
    <m/>
    <m/>
    <m/>
    <s v="$50,000 from OFDA money given directly to the Paraguay RC for relief food distributions"/>
  </r>
  <r>
    <m/>
    <n v="86"/>
    <x v="67"/>
    <d v="2002-10-01T00:00:00"/>
    <x v="7"/>
    <n v="10"/>
    <m/>
    <n v="2002"/>
    <n v="24"/>
    <s v="LAC"/>
    <s v="Mexico"/>
    <m/>
    <s v="Storm"/>
    <s v="Tropical Cyclone"/>
    <s v="Hurricane"/>
    <m/>
    <m/>
    <m/>
    <m/>
    <m/>
    <m/>
    <m/>
    <m/>
    <m/>
    <m/>
    <m/>
    <m/>
    <m/>
    <m/>
    <m/>
    <m/>
    <m/>
    <n v="0"/>
    <n v="1"/>
    <m/>
    <m/>
    <m/>
    <m/>
    <m/>
    <m/>
    <m/>
    <m/>
    <m/>
    <m/>
    <m/>
    <m/>
    <m/>
    <m/>
    <m/>
    <m/>
    <m/>
    <m/>
    <m/>
    <n v="0"/>
    <m/>
    <m/>
    <m/>
    <n v="0"/>
    <s v="Y"/>
    <m/>
    <m/>
    <m/>
    <m/>
    <n v="2688"/>
    <m/>
    <m/>
    <m/>
    <m/>
    <m/>
    <m/>
    <m/>
    <m/>
    <m/>
    <m/>
    <m/>
    <s v="Kenna"/>
    <m/>
  </r>
  <r>
    <m/>
    <n v="87"/>
    <x v="95"/>
    <d v="2002-10-01T00:00:00"/>
    <x v="7"/>
    <n v="11"/>
    <m/>
    <n v="2002"/>
    <n v="25"/>
    <s v="Europe/Asia"/>
    <s v="South Korea"/>
    <m/>
    <s v="Storm"/>
    <s v="Tropical Cyclone"/>
    <s v="Typhoon"/>
    <m/>
    <m/>
    <m/>
    <m/>
    <m/>
    <m/>
    <m/>
    <m/>
    <m/>
    <m/>
    <m/>
    <m/>
    <m/>
    <m/>
    <m/>
    <n v="120000"/>
    <m/>
    <n v="120000"/>
    <m/>
    <m/>
    <m/>
    <m/>
    <m/>
    <m/>
    <m/>
    <m/>
    <m/>
    <m/>
    <m/>
    <m/>
    <m/>
    <m/>
    <m/>
    <m/>
    <m/>
    <m/>
    <m/>
    <n v="10000"/>
    <n v="130000"/>
    <m/>
    <m/>
    <n v="5775"/>
    <n v="130000"/>
    <s v="Y"/>
    <m/>
    <m/>
    <m/>
    <m/>
    <n v="2686"/>
    <m/>
    <m/>
    <m/>
    <m/>
    <m/>
    <m/>
    <m/>
    <m/>
    <m/>
    <m/>
    <m/>
    <s v="Rusa"/>
    <s v="$10,000 from Alcoa for winter clothing in donor-specified province; $110,000 from CISCO &amp; Lucent for DPP training."/>
  </r>
  <r>
    <m/>
    <n v="88"/>
    <x v="96"/>
    <d v="2002-10-01T00:00:00"/>
    <x v="7"/>
    <n v="12"/>
    <m/>
    <n v="2002"/>
    <n v="26"/>
    <s v="Europe/Asia"/>
    <s v="Italy"/>
    <m/>
    <s v="Earthquake"/>
    <s v="Earthquake"/>
    <s v="Earthquake"/>
    <m/>
    <m/>
    <m/>
    <m/>
    <m/>
    <m/>
    <m/>
    <m/>
    <m/>
    <m/>
    <m/>
    <m/>
    <m/>
    <m/>
    <m/>
    <n v="10000"/>
    <m/>
    <n v="10000"/>
    <m/>
    <m/>
    <m/>
    <m/>
    <m/>
    <m/>
    <m/>
    <m/>
    <m/>
    <m/>
    <m/>
    <m/>
    <m/>
    <m/>
    <m/>
    <m/>
    <m/>
    <m/>
    <m/>
    <m/>
    <n v="10000"/>
    <m/>
    <m/>
    <m/>
    <n v="10000"/>
    <s v="Y"/>
    <m/>
    <m/>
    <m/>
    <m/>
    <n v="2608"/>
    <m/>
    <m/>
    <m/>
    <m/>
    <m/>
    <m/>
    <m/>
    <m/>
    <m/>
    <m/>
    <m/>
    <m/>
    <s v="Verizon Pass through"/>
  </r>
  <r>
    <m/>
    <n v="89"/>
    <x v="97"/>
    <d v="2002-10-01T00:00:00"/>
    <x v="7"/>
    <n v="13"/>
    <m/>
    <n v="2002"/>
    <n v="27"/>
    <s v="Europe/Asia"/>
    <s v="Indonesia"/>
    <m/>
    <s v="Terrorism"/>
    <s v="Terrorism"/>
    <s v="Terrorism"/>
    <m/>
    <m/>
    <m/>
    <m/>
    <m/>
    <m/>
    <m/>
    <m/>
    <m/>
    <m/>
    <m/>
    <m/>
    <m/>
    <m/>
    <m/>
    <n v="46670"/>
    <m/>
    <n v="46670"/>
    <m/>
    <m/>
    <m/>
    <m/>
    <m/>
    <m/>
    <m/>
    <m/>
    <m/>
    <m/>
    <m/>
    <m/>
    <m/>
    <m/>
    <m/>
    <m/>
    <m/>
    <m/>
    <m/>
    <m/>
    <n v="46670"/>
    <m/>
    <m/>
    <m/>
    <n v="46670"/>
    <s v="Y"/>
    <m/>
    <m/>
    <m/>
    <m/>
    <n v="2613"/>
    <m/>
    <m/>
    <m/>
    <m/>
    <m/>
    <m/>
    <m/>
    <m/>
    <m/>
    <m/>
    <m/>
    <s v="Bali"/>
    <s v="Exxon/Mobil provided  $30,000 for Indonesia (to be programmed by AusCross); Citigroup provided $10,000 (2099), G.E provided $5,000 (2898) and Assoc. of Chartered Accountants provided $1,670"/>
  </r>
  <r>
    <m/>
    <n v="89"/>
    <x v="98"/>
    <d v="2002-10-01T00:00:00"/>
    <x v="7"/>
    <n v="13"/>
    <m/>
    <n v="2002"/>
    <n v="27"/>
    <s v="Europe/Asia"/>
    <s v="Australia"/>
    <m/>
    <s v="Terrorism"/>
    <s v="Terrorism"/>
    <s v="Terrorism"/>
    <m/>
    <m/>
    <m/>
    <m/>
    <m/>
    <m/>
    <m/>
    <m/>
    <m/>
    <m/>
    <m/>
    <m/>
    <m/>
    <m/>
    <m/>
    <n v="237898.78"/>
    <m/>
    <n v="237898.78"/>
    <n v="1"/>
    <m/>
    <m/>
    <m/>
    <m/>
    <m/>
    <m/>
    <m/>
    <m/>
    <m/>
    <m/>
    <m/>
    <m/>
    <m/>
    <m/>
    <m/>
    <m/>
    <m/>
    <m/>
    <m/>
    <n v="237898.78"/>
    <m/>
    <m/>
    <m/>
    <n v="237898.78"/>
    <s v="Y"/>
    <m/>
    <m/>
    <m/>
    <m/>
    <n v="2613"/>
    <m/>
    <m/>
    <m/>
    <m/>
    <m/>
    <m/>
    <m/>
    <m/>
    <m/>
    <m/>
    <m/>
    <s v="Bali"/>
    <s v="includes $151,228.89 from AP 2613 (estab. Oct 2002). Exxon/Mobil provided  $70,000; Anne Bike sent to Australia."/>
  </r>
  <r>
    <m/>
    <n v="90"/>
    <x v="99"/>
    <d v="2002-10-01T00:00:00"/>
    <x v="7"/>
    <n v="14"/>
    <m/>
    <n v="2002"/>
    <n v="28"/>
    <s v="Europe/Asia"/>
    <s v="Vietnam"/>
    <m/>
    <s v="Miscellaneous"/>
    <s v="Fire"/>
    <s v="Urban Fire"/>
    <m/>
    <m/>
    <m/>
    <m/>
    <m/>
    <m/>
    <m/>
    <m/>
    <m/>
    <m/>
    <m/>
    <m/>
    <m/>
    <m/>
    <m/>
    <n v="100000"/>
    <m/>
    <n v="100000"/>
    <m/>
    <m/>
    <m/>
    <m/>
    <m/>
    <m/>
    <m/>
    <m/>
    <m/>
    <m/>
    <m/>
    <m/>
    <m/>
    <m/>
    <m/>
    <m/>
    <m/>
    <m/>
    <m/>
    <m/>
    <n v="100000"/>
    <m/>
    <m/>
    <n v="1000"/>
    <n v="100000"/>
    <s v="Y"/>
    <m/>
    <m/>
    <m/>
    <m/>
    <n v="2608"/>
    <m/>
    <m/>
    <m/>
    <m/>
    <m/>
    <m/>
    <m/>
    <m/>
    <m/>
    <m/>
    <m/>
    <s v="International Trade Center - HCM City"/>
    <s v="SDP developed for Starr Foundation contribution for $100,000"/>
  </r>
  <r>
    <m/>
    <n v="91"/>
    <x v="72"/>
    <d v="2002-10-01T00:00:00"/>
    <x v="7"/>
    <n v="15"/>
    <m/>
    <n v="2002"/>
    <n v="29"/>
    <s v="LAC"/>
    <s v="Cuba"/>
    <m/>
    <s v="Storm"/>
    <s v="Tropical Cyclone"/>
    <s v="Hurricane"/>
    <m/>
    <m/>
    <m/>
    <m/>
    <m/>
    <m/>
    <m/>
    <m/>
    <m/>
    <m/>
    <m/>
    <m/>
    <n v="0"/>
    <n v="10000"/>
    <m/>
    <m/>
    <m/>
    <n v="10000"/>
    <m/>
    <m/>
    <m/>
    <m/>
    <m/>
    <m/>
    <m/>
    <m/>
    <m/>
    <m/>
    <m/>
    <m/>
    <m/>
    <m/>
    <m/>
    <m/>
    <m/>
    <m/>
    <m/>
    <m/>
    <n v="10000"/>
    <m/>
    <m/>
    <n v="1000"/>
    <n v="10000"/>
    <s v="Y"/>
    <m/>
    <m/>
    <m/>
    <m/>
    <n v="2898"/>
    <m/>
    <m/>
    <m/>
    <m/>
    <m/>
    <m/>
    <m/>
    <m/>
    <m/>
    <m/>
    <m/>
    <s v="Isidore / Lili"/>
    <s v="Toward the Federation Appeal"/>
  </r>
  <r>
    <m/>
    <n v="92"/>
    <x v="100"/>
    <d v="2002-10-01T00:00:00"/>
    <x v="7"/>
    <n v="16"/>
    <m/>
    <n v="2002"/>
    <n v="30"/>
    <s v="Africa"/>
    <s v="Lesotho"/>
    <m/>
    <s v="Food Insecurity"/>
    <s v="Food Insecurity"/>
    <s v="Food Insecurity"/>
    <m/>
    <m/>
    <m/>
    <m/>
    <m/>
    <m/>
    <m/>
    <m/>
    <m/>
    <m/>
    <m/>
    <m/>
    <n v="0"/>
    <n v="25000"/>
    <m/>
    <m/>
    <m/>
    <n v="25000"/>
    <m/>
    <m/>
    <m/>
    <m/>
    <m/>
    <m/>
    <m/>
    <m/>
    <m/>
    <m/>
    <m/>
    <m/>
    <m/>
    <m/>
    <m/>
    <m/>
    <m/>
    <m/>
    <m/>
    <m/>
    <n v="25000"/>
    <m/>
    <m/>
    <n v="2500"/>
    <n v="25000"/>
    <s v="Y"/>
    <m/>
    <m/>
    <m/>
    <m/>
    <n v="2898"/>
    <m/>
    <m/>
    <m/>
    <m/>
    <m/>
    <m/>
    <m/>
    <m/>
    <m/>
    <m/>
    <m/>
    <m/>
    <s v="Toward the Federation Appeal for Southern Africa"/>
  </r>
  <r>
    <m/>
    <n v="93"/>
    <x v="7"/>
    <d v="2002-12-01T00:00:00"/>
    <x v="7"/>
    <n v="17"/>
    <m/>
    <n v="2002"/>
    <n v="31"/>
    <s v="LAC"/>
    <s v="Costa Rica"/>
    <m/>
    <s v="Floods"/>
    <s v="General Floods"/>
    <s v="General Floods"/>
    <m/>
    <m/>
    <m/>
    <m/>
    <m/>
    <m/>
    <m/>
    <m/>
    <m/>
    <m/>
    <m/>
    <m/>
    <m/>
    <m/>
    <m/>
    <n v="1000"/>
    <m/>
    <n v="1000"/>
    <m/>
    <m/>
    <m/>
    <m/>
    <m/>
    <m/>
    <m/>
    <m/>
    <m/>
    <m/>
    <m/>
    <m/>
    <m/>
    <m/>
    <m/>
    <m/>
    <m/>
    <m/>
    <m/>
    <m/>
    <n v="1000"/>
    <m/>
    <m/>
    <m/>
    <n v="1000"/>
    <s v="Y"/>
    <m/>
    <m/>
    <m/>
    <m/>
    <n v="2898"/>
    <m/>
    <m/>
    <m/>
    <m/>
    <m/>
    <m/>
    <m/>
    <m/>
    <m/>
    <m/>
    <m/>
    <m/>
    <s v="Cash donation to National Society"/>
  </r>
  <r>
    <m/>
    <n v="94"/>
    <x v="80"/>
    <d v="2002-12-01T00:00:00"/>
    <x v="7"/>
    <n v="18"/>
    <m/>
    <n v="2002"/>
    <n v="32"/>
    <s v="LAC"/>
    <s v="Panama"/>
    <m/>
    <s v="Floods"/>
    <s v="General Floods"/>
    <s v="General Floods"/>
    <m/>
    <m/>
    <m/>
    <m/>
    <m/>
    <m/>
    <m/>
    <m/>
    <m/>
    <m/>
    <m/>
    <m/>
    <m/>
    <m/>
    <m/>
    <n v="1345"/>
    <m/>
    <n v="1345"/>
    <m/>
    <m/>
    <m/>
    <n v="675"/>
    <m/>
    <m/>
    <m/>
    <m/>
    <m/>
    <m/>
    <m/>
    <m/>
    <m/>
    <m/>
    <m/>
    <m/>
    <m/>
    <m/>
    <m/>
    <m/>
    <n v="1345"/>
    <m/>
    <m/>
    <n v="675"/>
    <n v="1345"/>
    <s v="Y"/>
    <m/>
    <m/>
    <m/>
    <m/>
    <n v="2898"/>
    <m/>
    <m/>
    <m/>
    <m/>
    <m/>
    <m/>
    <m/>
    <m/>
    <m/>
    <m/>
    <m/>
    <m/>
    <s v="675 jerry cans from pre-positioned stocks"/>
  </r>
  <r>
    <m/>
    <n v="95"/>
    <x v="101"/>
    <d v="2002-12-01T00:00:00"/>
    <x v="7"/>
    <n v="19"/>
    <m/>
    <n v="2002"/>
    <n v="33"/>
    <s v="Africa"/>
    <s v="Kenya"/>
    <m/>
    <s v="Epidemic"/>
    <s v="Parasitic"/>
    <s v="Parasitic"/>
    <m/>
    <m/>
    <m/>
    <m/>
    <m/>
    <m/>
    <m/>
    <m/>
    <m/>
    <m/>
    <m/>
    <m/>
    <m/>
    <m/>
    <m/>
    <n v="5000"/>
    <m/>
    <n v="5000"/>
    <m/>
    <m/>
    <m/>
    <m/>
    <m/>
    <m/>
    <m/>
    <m/>
    <m/>
    <m/>
    <m/>
    <m/>
    <m/>
    <m/>
    <m/>
    <m/>
    <m/>
    <m/>
    <m/>
    <m/>
    <n v="5000"/>
    <m/>
    <m/>
    <n v="500"/>
    <n v="5000"/>
    <s v="Y"/>
    <m/>
    <m/>
    <m/>
    <m/>
    <n v="2898"/>
    <m/>
    <m/>
    <m/>
    <m/>
    <m/>
    <m/>
    <m/>
    <m/>
    <m/>
    <m/>
    <m/>
    <s v="Malaria"/>
    <s v="Africa Region also donated $5,000 to KRC for a total of $10,000"/>
  </r>
  <r>
    <m/>
    <n v="96"/>
    <x v="102"/>
    <d v="2003-01-01T00:00:00"/>
    <x v="7"/>
    <n v="20"/>
    <m/>
    <n v="2003"/>
    <n v="1"/>
    <s v="Europe/Asia"/>
    <s v="Solomon Islands"/>
    <m/>
    <s v="Storm"/>
    <s v="Tropical Cyclone"/>
    <s v="Cyclone"/>
    <m/>
    <m/>
    <m/>
    <m/>
    <m/>
    <m/>
    <m/>
    <m/>
    <m/>
    <m/>
    <m/>
    <m/>
    <n v="0"/>
    <n v="7242.1372799999999"/>
    <m/>
    <m/>
    <m/>
    <n v="7242.1372799999999"/>
    <m/>
    <m/>
    <m/>
    <m/>
    <m/>
    <m/>
    <m/>
    <m/>
    <m/>
    <m/>
    <m/>
    <m/>
    <m/>
    <m/>
    <m/>
    <m/>
    <m/>
    <m/>
    <m/>
    <m/>
    <n v="7242.1372799999999"/>
    <m/>
    <m/>
    <m/>
    <n v="7242.1372799999999"/>
    <s v="Y"/>
    <m/>
    <m/>
    <m/>
    <m/>
    <n v="2881"/>
    <m/>
    <m/>
    <m/>
    <m/>
    <m/>
    <m/>
    <m/>
    <m/>
    <m/>
    <m/>
    <m/>
    <s v="Zoe"/>
    <s v="FJD 14,369.32 for re-stocking Solomon Islands RC"/>
  </r>
  <r>
    <m/>
    <n v="97"/>
    <x v="0"/>
    <d v="2003-01-01T00:00:00"/>
    <x v="7"/>
    <n v="21"/>
    <m/>
    <n v="2003"/>
    <n v="2"/>
    <s v="LAC"/>
    <s v="Mexico"/>
    <m/>
    <s v="Earthquake"/>
    <s v="Earthquake"/>
    <s v="Earthquake"/>
    <m/>
    <m/>
    <m/>
    <m/>
    <m/>
    <m/>
    <m/>
    <m/>
    <m/>
    <m/>
    <m/>
    <m/>
    <m/>
    <m/>
    <m/>
    <n v="350000"/>
    <m/>
    <n v="350000"/>
    <n v="3"/>
    <m/>
    <m/>
    <m/>
    <m/>
    <m/>
    <m/>
    <m/>
    <m/>
    <m/>
    <m/>
    <m/>
    <m/>
    <m/>
    <m/>
    <m/>
    <m/>
    <m/>
    <m/>
    <m/>
    <n v="350000"/>
    <m/>
    <m/>
    <n v="2000"/>
    <n v="350000"/>
    <s v="Y"/>
    <m/>
    <m/>
    <m/>
    <m/>
    <n v="2690"/>
    <m/>
    <m/>
    <m/>
    <m/>
    <m/>
    <m/>
    <m/>
    <m/>
    <m/>
    <m/>
    <m/>
    <m/>
    <s v="$100,000 donation from Wells Fargo was programmed by ARC in partnership with Mexican Red Cross (MRC). Steve McAndrew responded and 2 IRT members (Jerry Lisenby and M-C Brien) were subsequently deployed to manage the operation. Toyota donated $250,000 to the relief effort as a strict pass-through to the Mexican Red Cross."/>
  </r>
  <r>
    <m/>
    <n v="97"/>
    <x v="0"/>
    <d v="2003-01-01T00:00:00"/>
    <x v="7"/>
    <n v="21"/>
    <m/>
    <n v="2003"/>
    <n v="2"/>
    <s v="LAC"/>
    <s v="Mexico"/>
    <m/>
    <s v="Earthquake"/>
    <s v="Earthquake"/>
    <s v="Earthquake"/>
    <m/>
    <m/>
    <m/>
    <m/>
    <m/>
    <m/>
    <m/>
    <m/>
    <m/>
    <m/>
    <m/>
    <m/>
    <m/>
    <m/>
    <m/>
    <n v="100000"/>
    <m/>
    <n v="100000"/>
    <m/>
    <m/>
    <m/>
    <m/>
    <m/>
    <m/>
    <m/>
    <m/>
    <m/>
    <m/>
    <m/>
    <m/>
    <m/>
    <m/>
    <m/>
    <m/>
    <m/>
    <m/>
    <m/>
    <m/>
    <n v="100000"/>
    <m/>
    <m/>
    <m/>
    <n v="100000"/>
    <s v="Y"/>
    <m/>
    <m/>
    <m/>
    <m/>
    <n v="2642"/>
    <m/>
    <m/>
    <m/>
    <m/>
    <m/>
    <m/>
    <m/>
    <m/>
    <m/>
    <m/>
    <m/>
    <m/>
    <s v="$100,000 from OFDA was programmed by ARC in partnership with Mexican Red Cross (MRC)."/>
  </r>
  <r>
    <m/>
    <n v="98"/>
    <x v="103"/>
    <d v="2003-02-01T00:00:00"/>
    <x v="7"/>
    <n v="22"/>
    <m/>
    <n v="2003"/>
    <n v="3"/>
    <s v="Europe/Asia"/>
    <s v="South Korea"/>
    <m/>
    <s v="Transport"/>
    <s v="Rail"/>
    <s v="Fire"/>
    <m/>
    <m/>
    <m/>
    <m/>
    <m/>
    <m/>
    <m/>
    <m/>
    <m/>
    <m/>
    <m/>
    <m/>
    <m/>
    <m/>
    <m/>
    <n v="10000"/>
    <m/>
    <n v="10000"/>
    <m/>
    <m/>
    <m/>
    <m/>
    <m/>
    <m/>
    <m/>
    <m/>
    <m/>
    <m/>
    <m/>
    <m/>
    <m/>
    <m/>
    <m/>
    <m/>
    <m/>
    <m/>
    <m/>
    <m/>
    <n v="10000"/>
    <m/>
    <m/>
    <n v="1000"/>
    <n v="10000"/>
    <s v="Y"/>
    <m/>
    <m/>
    <m/>
    <m/>
    <n v="2608"/>
    <m/>
    <m/>
    <m/>
    <m/>
    <m/>
    <m/>
    <m/>
    <m/>
    <m/>
    <m/>
    <m/>
    <s v="Taegu Subway fire"/>
    <s v="Alcoa passthrough"/>
  </r>
  <r>
    <m/>
    <n v="99"/>
    <x v="104"/>
    <d v="2003-02-01T00:00:00"/>
    <x v="7"/>
    <n v="23"/>
    <m/>
    <n v="2003"/>
    <n v="4"/>
    <s v="Europe/Asia"/>
    <s v="China"/>
    <m/>
    <s v="Earthquake"/>
    <s v="Earthquake"/>
    <s v="Earthquake"/>
    <m/>
    <m/>
    <m/>
    <m/>
    <m/>
    <m/>
    <m/>
    <m/>
    <m/>
    <m/>
    <m/>
    <m/>
    <m/>
    <m/>
    <m/>
    <n v="50000"/>
    <m/>
    <n v="50000"/>
    <m/>
    <m/>
    <m/>
    <m/>
    <m/>
    <m/>
    <m/>
    <m/>
    <m/>
    <m/>
    <m/>
    <m/>
    <m/>
    <m/>
    <m/>
    <m/>
    <m/>
    <m/>
    <m/>
    <m/>
    <n v="50000"/>
    <m/>
    <m/>
    <n v="1350"/>
    <n v="50000"/>
    <s v="Y"/>
    <m/>
    <m/>
    <m/>
    <m/>
    <s v="0000"/>
    <m/>
    <m/>
    <m/>
    <m/>
    <m/>
    <m/>
    <m/>
    <m/>
    <m/>
    <m/>
    <m/>
    <m/>
    <s v="Altria passthrough"/>
  </r>
  <r>
    <m/>
    <n v="100"/>
    <x v="105"/>
    <d v="2003-03-01T00:00:00"/>
    <x v="7"/>
    <n v="24"/>
    <m/>
    <n v="2003"/>
    <n v="5"/>
    <s v="Europe/Asia"/>
    <s v="Iraq"/>
    <m/>
    <s v="Conflict"/>
    <s v="Conflict"/>
    <s v="Conflict"/>
    <m/>
    <m/>
    <m/>
    <m/>
    <m/>
    <m/>
    <m/>
    <m/>
    <m/>
    <m/>
    <m/>
    <m/>
    <n v="1"/>
    <n v="100000"/>
    <n v="100000"/>
    <m/>
    <m/>
    <n v="200000"/>
    <m/>
    <m/>
    <m/>
    <n v="64200"/>
    <m/>
    <m/>
    <n v="34200"/>
    <n v="30000"/>
    <m/>
    <m/>
    <m/>
    <m/>
    <m/>
    <m/>
    <m/>
    <m/>
    <m/>
    <m/>
    <n v="221694"/>
    <m/>
    <n v="421694"/>
    <m/>
    <m/>
    <n v="54200"/>
    <n v="421694"/>
    <s v="Y"/>
    <m/>
    <m/>
    <m/>
    <m/>
    <n v="2689"/>
    <m/>
    <m/>
    <m/>
    <m/>
    <m/>
    <m/>
    <m/>
    <m/>
    <m/>
    <m/>
    <m/>
    <s v="Iraq"/>
    <m/>
  </r>
  <r>
    <m/>
    <n v="100"/>
    <x v="106"/>
    <d v="2003-03-01T00:00:00"/>
    <x v="7"/>
    <n v="24"/>
    <m/>
    <n v="2003"/>
    <n v="5"/>
    <s v="Europe/Asia"/>
    <s v="Syria"/>
    <m/>
    <s v="Conflict"/>
    <s v="Conflict"/>
    <s v="Conflict"/>
    <m/>
    <m/>
    <m/>
    <m/>
    <m/>
    <m/>
    <m/>
    <m/>
    <m/>
    <m/>
    <m/>
    <m/>
    <m/>
    <m/>
    <m/>
    <n v="15000"/>
    <m/>
    <n v="15000"/>
    <m/>
    <m/>
    <m/>
    <m/>
    <m/>
    <m/>
    <m/>
    <m/>
    <m/>
    <m/>
    <m/>
    <m/>
    <m/>
    <m/>
    <m/>
    <m/>
    <m/>
    <m/>
    <m/>
    <m/>
    <n v="15000"/>
    <m/>
    <m/>
    <n v="1000"/>
    <n v="15000"/>
    <s v="Y"/>
    <m/>
    <m/>
    <m/>
    <m/>
    <n v="2689"/>
    <m/>
    <m/>
    <m/>
    <m/>
    <m/>
    <m/>
    <m/>
    <m/>
    <m/>
    <m/>
    <m/>
    <s v="Iraq"/>
    <s v="PMN for SARC"/>
  </r>
  <r>
    <m/>
    <n v="100"/>
    <x v="36"/>
    <d v="2003-03-01T00:00:00"/>
    <x v="7"/>
    <n v="24"/>
    <m/>
    <n v="2003"/>
    <n v="5"/>
    <s v="Europe/Asia"/>
    <s v="Jordan"/>
    <m/>
    <s v="Conflict"/>
    <s v="Conflict"/>
    <s v="Conflict"/>
    <m/>
    <m/>
    <m/>
    <m/>
    <m/>
    <m/>
    <m/>
    <m/>
    <m/>
    <m/>
    <m/>
    <m/>
    <m/>
    <m/>
    <m/>
    <n v="15000"/>
    <m/>
    <n v="15000"/>
    <n v="2"/>
    <m/>
    <m/>
    <m/>
    <m/>
    <m/>
    <m/>
    <m/>
    <m/>
    <m/>
    <m/>
    <m/>
    <m/>
    <m/>
    <m/>
    <m/>
    <m/>
    <m/>
    <m/>
    <n v="17812"/>
    <n v="32812"/>
    <m/>
    <m/>
    <n v="1000"/>
    <n v="32812"/>
    <s v="Y"/>
    <m/>
    <m/>
    <m/>
    <m/>
    <n v="2689"/>
    <m/>
    <m/>
    <m/>
    <m/>
    <m/>
    <m/>
    <m/>
    <m/>
    <m/>
    <m/>
    <m/>
    <s v="Iraq"/>
    <s v="PMN for JRCS; Jensen &amp; Dmitryuk in Amman"/>
  </r>
  <r>
    <m/>
    <n v="100"/>
    <x v="107"/>
    <d v="2003-03-01T00:00:00"/>
    <x v="7"/>
    <n v="24"/>
    <m/>
    <n v="2003"/>
    <n v="5"/>
    <s v="Europe/Asia"/>
    <s v="Turkey"/>
    <m/>
    <s v="Conflict"/>
    <s v="Conflict"/>
    <s v="Conflict"/>
    <m/>
    <m/>
    <m/>
    <m/>
    <m/>
    <m/>
    <m/>
    <m/>
    <m/>
    <m/>
    <m/>
    <m/>
    <m/>
    <m/>
    <m/>
    <m/>
    <m/>
    <n v="0"/>
    <n v="1"/>
    <m/>
    <m/>
    <m/>
    <m/>
    <m/>
    <m/>
    <m/>
    <m/>
    <m/>
    <m/>
    <m/>
    <m/>
    <m/>
    <m/>
    <m/>
    <m/>
    <m/>
    <m/>
    <n v="17812"/>
    <n v="17812"/>
    <m/>
    <m/>
    <m/>
    <n v="17812"/>
    <s v="Y"/>
    <m/>
    <m/>
    <m/>
    <m/>
    <n v="2689"/>
    <m/>
    <m/>
    <m/>
    <m/>
    <m/>
    <m/>
    <m/>
    <m/>
    <m/>
    <m/>
    <m/>
    <s v="Iraq"/>
    <s v="McAndrew in Ankara"/>
  </r>
  <r>
    <m/>
    <n v="101"/>
    <x v="108"/>
    <d v="2003-05-01T00:00:00"/>
    <x v="7"/>
    <n v="25"/>
    <m/>
    <n v="2003"/>
    <n v="6"/>
    <s v="LAC"/>
    <s v="Argentina"/>
    <m/>
    <s v="Floods"/>
    <s v="General Floods"/>
    <s v="General Floods"/>
    <m/>
    <m/>
    <m/>
    <m/>
    <m/>
    <m/>
    <m/>
    <m/>
    <m/>
    <m/>
    <m/>
    <m/>
    <n v="0"/>
    <n v="15000"/>
    <m/>
    <m/>
    <m/>
    <n v="15000"/>
    <n v="1"/>
    <m/>
    <m/>
    <m/>
    <m/>
    <m/>
    <m/>
    <m/>
    <m/>
    <m/>
    <m/>
    <m/>
    <m/>
    <m/>
    <m/>
    <m/>
    <m/>
    <m/>
    <m/>
    <m/>
    <n v="15000"/>
    <m/>
    <m/>
    <n v="1500"/>
    <n v="15000"/>
    <s v="Y"/>
    <m/>
    <m/>
    <m/>
    <m/>
    <n v="2898"/>
    <m/>
    <m/>
    <m/>
    <m/>
    <m/>
    <m/>
    <m/>
    <m/>
    <m/>
    <m/>
    <m/>
    <m/>
    <s v="Rob McKenney from PADRU"/>
  </r>
  <r>
    <m/>
    <n v="102"/>
    <x v="9"/>
    <d v="2003-05-01T00:00:00"/>
    <x v="7"/>
    <n v="26"/>
    <m/>
    <n v="2003"/>
    <n v="7"/>
    <s v="Europe/Asia"/>
    <s v="Turkey"/>
    <m/>
    <s v="Earthquake"/>
    <s v="Earthquake"/>
    <s v="Earthquake"/>
    <m/>
    <m/>
    <m/>
    <m/>
    <m/>
    <m/>
    <m/>
    <m/>
    <m/>
    <m/>
    <m/>
    <m/>
    <m/>
    <m/>
    <m/>
    <m/>
    <m/>
    <n v="0"/>
    <n v="2"/>
    <m/>
    <m/>
    <n v="9000"/>
    <m/>
    <m/>
    <m/>
    <m/>
    <m/>
    <m/>
    <m/>
    <m/>
    <m/>
    <n v="9000"/>
    <m/>
    <m/>
    <m/>
    <m/>
    <n v="331380"/>
    <m/>
    <n v="331380"/>
    <m/>
    <m/>
    <n v="45000"/>
    <n v="331380"/>
    <s v="Y"/>
    <m/>
    <m/>
    <m/>
    <m/>
    <n v="2898"/>
    <m/>
    <m/>
    <m/>
    <m/>
    <m/>
    <m/>
    <m/>
    <m/>
    <m/>
    <m/>
    <m/>
    <s v="Bingol"/>
    <s v="Food Parcels paid for by Region; IRT Kelly Hurd sent to support TRCS distribution; IRT R. Chapman deployed to support TRCS"/>
  </r>
  <r>
    <m/>
    <n v="103"/>
    <x v="109"/>
    <d v="2003-05-01T00:00:00"/>
    <x v="7"/>
    <n v="27"/>
    <m/>
    <n v="2003"/>
    <n v="8"/>
    <s v="Europe/Asia"/>
    <s v="China"/>
    <m/>
    <s v="Epidemic"/>
    <s v="Viral"/>
    <s v="Viral"/>
    <m/>
    <m/>
    <m/>
    <m/>
    <m/>
    <m/>
    <m/>
    <m/>
    <m/>
    <m/>
    <m/>
    <m/>
    <m/>
    <m/>
    <m/>
    <n v="32500"/>
    <m/>
    <n v="32500"/>
    <m/>
    <m/>
    <m/>
    <m/>
    <m/>
    <m/>
    <m/>
    <m/>
    <m/>
    <m/>
    <m/>
    <m/>
    <m/>
    <m/>
    <m/>
    <m/>
    <m/>
    <m/>
    <m/>
    <m/>
    <n v="32500"/>
    <m/>
    <m/>
    <n v="59000"/>
    <n v="32500"/>
    <s v="Y"/>
    <m/>
    <m/>
    <m/>
    <m/>
    <n v="2691"/>
    <m/>
    <m/>
    <m/>
    <m/>
    <m/>
    <m/>
    <m/>
    <m/>
    <m/>
    <m/>
    <m/>
    <s v="SARS"/>
    <s v="AMEX: $25,000 + $7,500"/>
  </r>
  <r>
    <m/>
    <n v="103"/>
    <x v="109"/>
    <d v="2003-05-01T00:00:00"/>
    <x v="7"/>
    <n v="27"/>
    <m/>
    <n v="2003"/>
    <n v="8"/>
    <s v="Europe/Asia"/>
    <s v="China"/>
    <m/>
    <s v="Epidemic"/>
    <s v="Viral"/>
    <s v="Viral"/>
    <m/>
    <m/>
    <m/>
    <m/>
    <m/>
    <m/>
    <m/>
    <m/>
    <m/>
    <m/>
    <m/>
    <m/>
    <m/>
    <m/>
    <m/>
    <n v="370642"/>
    <m/>
    <n v="370642"/>
    <m/>
    <m/>
    <m/>
    <m/>
    <m/>
    <m/>
    <m/>
    <m/>
    <m/>
    <m/>
    <m/>
    <m/>
    <m/>
    <m/>
    <m/>
    <m/>
    <m/>
    <m/>
    <m/>
    <m/>
    <n v="370642"/>
    <m/>
    <m/>
    <n v="15000"/>
    <n v="370642"/>
    <s v="Y"/>
    <m/>
    <m/>
    <m/>
    <m/>
    <s v="0000"/>
    <m/>
    <m/>
    <m/>
    <m/>
    <m/>
    <m/>
    <m/>
    <m/>
    <m/>
    <m/>
    <m/>
    <s v="SARS"/>
    <s v="Pfizer: $200,000; JP Morgan/Chase: $128,000; Microsoft: $42,642"/>
  </r>
  <r>
    <m/>
    <n v="103"/>
    <x v="110"/>
    <d v="2003-05-01T00:00:00"/>
    <x v="7"/>
    <n v="27"/>
    <m/>
    <n v="2003"/>
    <n v="8"/>
    <s v="Europe/Asia"/>
    <s v="Hong Kong"/>
    <m/>
    <s v="Epidemic"/>
    <s v="Viral"/>
    <s v="Viral"/>
    <m/>
    <m/>
    <m/>
    <m/>
    <m/>
    <m/>
    <m/>
    <m/>
    <m/>
    <m/>
    <m/>
    <m/>
    <m/>
    <m/>
    <m/>
    <n v="60000"/>
    <m/>
    <n v="60000"/>
    <m/>
    <m/>
    <m/>
    <m/>
    <m/>
    <m/>
    <m/>
    <m/>
    <m/>
    <m/>
    <m/>
    <m/>
    <m/>
    <m/>
    <m/>
    <m/>
    <m/>
    <m/>
    <m/>
    <m/>
    <n v="60000"/>
    <m/>
    <m/>
    <n v="72500"/>
    <n v="60000"/>
    <s v="Y"/>
    <m/>
    <m/>
    <m/>
    <m/>
    <n v="2060"/>
    <m/>
    <m/>
    <m/>
    <m/>
    <m/>
    <m/>
    <m/>
    <m/>
    <m/>
    <m/>
    <m/>
    <s v="SARS"/>
    <s v="$25,000 from AMEX and $35,000 from JP Morgan Chase (both) programmed against total invoice of $97,923.15 for 1.2 million alcohol swabs and 435,000 surgical masks"/>
  </r>
  <r>
    <m/>
    <n v="104"/>
    <x v="111"/>
    <d v="2003-05-01T00:00:00"/>
    <x v="7"/>
    <n v="28"/>
    <m/>
    <n v="2003"/>
    <n v="9"/>
    <s v="Europe/Asia"/>
    <s v="Sri Lanka"/>
    <m/>
    <s v="Floods"/>
    <s v="General Floods"/>
    <s v="General Floods"/>
    <m/>
    <m/>
    <m/>
    <m/>
    <m/>
    <m/>
    <m/>
    <m/>
    <m/>
    <m/>
    <m/>
    <m/>
    <n v="0"/>
    <n v="21400"/>
    <m/>
    <m/>
    <m/>
    <n v="21400"/>
    <m/>
    <m/>
    <m/>
    <m/>
    <m/>
    <m/>
    <m/>
    <m/>
    <m/>
    <m/>
    <m/>
    <m/>
    <m/>
    <m/>
    <m/>
    <m/>
    <m/>
    <m/>
    <m/>
    <m/>
    <n v="21400"/>
    <m/>
    <m/>
    <n v="2862.1931568439049"/>
    <n v="21400"/>
    <s v="Y"/>
    <m/>
    <m/>
    <m/>
    <m/>
    <n v="2692"/>
    <m/>
    <m/>
    <m/>
    <m/>
    <m/>
    <m/>
    <m/>
    <m/>
    <m/>
    <m/>
    <m/>
    <m/>
    <s v="Funds provided through Citigroup's ADGP; Federation Appeal for $934,598 / 125,000 beneficiaries / 3 months"/>
  </r>
  <r>
    <m/>
    <n v="105"/>
    <x v="80"/>
    <d v="2003-07-01T00:00:00"/>
    <x v="8"/>
    <n v="1"/>
    <m/>
    <n v="2003"/>
    <n v="10"/>
    <s v="LAC"/>
    <s v="Panama"/>
    <m/>
    <s v="Floods"/>
    <s v="General Floods"/>
    <s v="General Floods"/>
    <m/>
    <m/>
    <m/>
    <m/>
    <m/>
    <m/>
    <m/>
    <m/>
    <m/>
    <m/>
    <m/>
    <m/>
    <m/>
    <m/>
    <m/>
    <m/>
    <m/>
    <n v="0"/>
    <n v="1"/>
    <m/>
    <m/>
    <n v="6500"/>
    <m/>
    <n v="500"/>
    <m/>
    <m/>
    <m/>
    <m/>
    <m/>
    <n v="6000"/>
    <m/>
    <m/>
    <m/>
    <m/>
    <m/>
    <m/>
    <n v="16700"/>
    <m/>
    <n v="16700"/>
    <m/>
    <m/>
    <n v="3000"/>
    <n v="16700"/>
    <s v="Y"/>
    <m/>
    <m/>
    <m/>
    <m/>
    <n v="2898"/>
    <m/>
    <m/>
    <m/>
    <m/>
    <m/>
    <m/>
    <m/>
    <m/>
    <m/>
    <m/>
    <m/>
    <m/>
    <s v="hygiene kits (value $1,770) and bedsheets (500 packets of 12 at a total value of $15,000) from PADRU as part of a joint ARC/Federation/Panamanian Red Cross operation. Steve McAndrew was deployed from PADRU to oversee the distributions"/>
  </r>
  <r>
    <m/>
    <n v="106"/>
    <x v="112"/>
    <d v="2003-09-01T00:00:00"/>
    <x v="8"/>
    <n v="2"/>
    <m/>
    <n v="2003"/>
    <n v="11"/>
    <s v="North America"/>
    <s v="Canada"/>
    <m/>
    <s v="Wildfire"/>
    <s v="Forest Fire"/>
    <s v="Fire"/>
    <m/>
    <m/>
    <m/>
    <m/>
    <m/>
    <m/>
    <m/>
    <m/>
    <m/>
    <m/>
    <m/>
    <m/>
    <m/>
    <m/>
    <m/>
    <n v="10000"/>
    <m/>
    <n v="10000"/>
    <m/>
    <m/>
    <m/>
    <m/>
    <m/>
    <m/>
    <m/>
    <m/>
    <m/>
    <m/>
    <m/>
    <m/>
    <m/>
    <m/>
    <m/>
    <m/>
    <m/>
    <m/>
    <m/>
    <m/>
    <n v="10000"/>
    <m/>
    <m/>
    <n v="250"/>
    <n v="10000"/>
    <s v="N"/>
    <m/>
    <m/>
    <m/>
    <m/>
    <n v="2099"/>
    <m/>
    <m/>
    <m/>
    <m/>
    <m/>
    <m/>
    <m/>
    <m/>
    <m/>
    <m/>
    <m/>
    <m/>
    <s v="$10,000 donation from Citigroup for forest fires in British Columbia (Citigroup $ kept in 2099 per a prior agreement)"/>
  </r>
  <r>
    <m/>
    <n v="107"/>
    <x v="113"/>
    <d v="2003-10-01T00:00:00"/>
    <x v="8"/>
    <n v="3"/>
    <m/>
    <n v="2003"/>
    <n v="12"/>
    <s v="LAC"/>
    <s v="Dominican Republic"/>
    <m/>
    <s v="Earthquake"/>
    <s v="Earthquake"/>
    <s v="Earthquake"/>
    <m/>
    <m/>
    <m/>
    <m/>
    <m/>
    <m/>
    <m/>
    <m/>
    <m/>
    <m/>
    <m/>
    <m/>
    <m/>
    <m/>
    <m/>
    <m/>
    <m/>
    <n v="0"/>
    <m/>
    <m/>
    <m/>
    <m/>
    <m/>
    <m/>
    <m/>
    <m/>
    <m/>
    <m/>
    <m/>
    <m/>
    <m/>
    <m/>
    <m/>
    <m/>
    <m/>
    <m/>
    <n v="25000"/>
    <m/>
    <n v="25000"/>
    <m/>
    <m/>
    <n v="100"/>
    <n v="25000"/>
    <s v="Y"/>
    <m/>
    <m/>
    <m/>
    <m/>
    <n v="2694"/>
    <m/>
    <m/>
    <m/>
    <m/>
    <m/>
    <m/>
    <m/>
    <m/>
    <m/>
    <m/>
    <m/>
    <s v="Puerto Plata"/>
    <s v="$25,000 from Verizon (AP is shared with November 2003 floods in Cibao / Montecristi)"/>
  </r>
  <r>
    <m/>
    <n v="108"/>
    <x v="114"/>
    <d v="2003-05-01T00:00:00"/>
    <x v="8"/>
    <n v="4"/>
    <m/>
    <n v="2003"/>
    <n v="13"/>
    <s v="Africa"/>
    <s v="Algeria"/>
    <m/>
    <s v="Earthquake"/>
    <s v="Earthquake"/>
    <s v="Earthquake"/>
    <m/>
    <m/>
    <m/>
    <m/>
    <m/>
    <m/>
    <m/>
    <m/>
    <m/>
    <m/>
    <m/>
    <m/>
    <m/>
    <m/>
    <m/>
    <m/>
    <m/>
    <n v="0"/>
    <m/>
    <m/>
    <m/>
    <n v="10000"/>
    <m/>
    <n v="10000"/>
    <m/>
    <m/>
    <m/>
    <m/>
    <m/>
    <m/>
    <m/>
    <m/>
    <m/>
    <m/>
    <m/>
    <m/>
    <n v="37200"/>
    <n v="28670"/>
    <n v="65870"/>
    <m/>
    <m/>
    <n v="50000"/>
    <n v="65870"/>
    <s v="Y"/>
    <m/>
    <m/>
    <m/>
    <m/>
    <n v="2693"/>
    <m/>
    <m/>
    <m/>
    <m/>
    <m/>
    <m/>
    <m/>
    <m/>
    <m/>
    <m/>
    <m/>
    <s v="RESPONSE IN FY 04"/>
    <s v="hygiene kits ($3.72 each) ex Bulgaria; $8,470 for transport, $1,200 demurrage, $19,000 to remove washing powder in Greece"/>
  </r>
  <r>
    <m/>
    <n v="109"/>
    <x v="115"/>
    <d v="2003-08-01T00:00:00"/>
    <x v="8"/>
    <n v="5"/>
    <m/>
    <n v="2003"/>
    <n v="14"/>
    <s v="Africa"/>
    <s v="Liberia"/>
    <m/>
    <s v="Conflict"/>
    <s v="Conflict"/>
    <s v="Conflict"/>
    <m/>
    <m/>
    <m/>
    <m/>
    <m/>
    <m/>
    <m/>
    <m/>
    <m/>
    <m/>
    <m/>
    <m/>
    <n v="0"/>
    <n v="35027"/>
    <m/>
    <m/>
    <m/>
    <n v="35027"/>
    <m/>
    <m/>
    <m/>
    <m/>
    <m/>
    <m/>
    <m/>
    <m/>
    <m/>
    <m/>
    <m/>
    <m/>
    <m/>
    <m/>
    <m/>
    <m/>
    <m/>
    <m/>
    <m/>
    <m/>
    <n v="35027"/>
    <m/>
    <m/>
    <n v="2500"/>
    <n v="35027"/>
    <s v="Y"/>
    <m/>
    <m/>
    <m/>
    <m/>
    <n v="2631"/>
    <m/>
    <m/>
    <m/>
    <m/>
    <m/>
    <m/>
    <m/>
    <m/>
    <m/>
    <m/>
    <m/>
    <m/>
    <s v="Funds from Region's budget previously sent to Geneva re-allocated  - signed PMN returned to IDRU in October 2003"/>
  </r>
  <r>
    <m/>
    <n v="110"/>
    <x v="6"/>
    <d v="2003-09-01T00:00:00"/>
    <x v="8"/>
    <n v="6"/>
    <m/>
    <n v="2003"/>
    <n v="15"/>
    <s v="LAC"/>
    <s v="Mexico"/>
    <m/>
    <s v="Floods"/>
    <s v="General Floods"/>
    <s v="General Floods"/>
    <m/>
    <m/>
    <m/>
    <m/>
    <m/>
    <m/>
    <m/>
    <m/>
    <m/>
    <m/>
    <m/>
    <m/>
    <m/>
    <m/>
    <m/>
    <n v="10500"/>
    <m/>
    <n v="10500"/>
    <n v="2"/>
    <m/>
    <m/>
    <m/>
    <m/>
    <m/>
    <m/>
    <m/>
    <m/>
    <m/>
    <m/>
    <m/>
    <m/>
    <m/>
    <m/>
    <m/>
    <m/>
    <m/>
    <m/>
    <m/>
    <n v="10500"/>
    <m/>
    <m/>
    <n v="3000"/>
    <n v="10500"/>
    <s v="Y"/>
    <m/>
    <m/>
    <m/>
    <m/>
    <n v="2688"/>
    <m/>
    <m/>
    <m/>
    <m/>
    <m/>
    <m/>
    <m/>
    <m/>
    <m/>
    <m/>
    <m/>
    <m/>
    <s v="Hurricane Kenna funds ($11,636.16 minus 11.15%); Christine Strater and Nate Cooper deployed 5 October 2003"/>
  </r>
  <r>
    <m/>
    <n v="111"/>
    <x v="95"/>
    <d v="2003-10-01T00:00:00"/>
    <x v="8"/>
    <n v="7"/>
    <m/>
    <n v="2003"/>
    <n v="16"/>
    <s v="Europe/Asia"/>
    <s v="South Korea"/>
    <m/>
    <s v="Storm"/>
    <s v="Tropical Cyclone"/>
    <s v="Typhoon"/>
    <m/>
    <m/>
    <m/>
    <m/>
    <m/>
    <m/>
    <m/>
    <m/>
    <m/>
    <m/>
    <m/>
    <m/>
    <m/>
    <m/>
    <m/>
    <n v="10000"/>
    <m/>
    <n v="10000"/>
    <m/>
    <m/>
    <m/>
    <m/>
    <m/>
    <m/>
    <m/>
    <m/>
    <m/>
    <m/>
    <m/>
    <m/>
    <m/>
    <m/>
    <m/>
    <m/>
    <m/>
    <m/>
    <m/>
    <m/>
    <n v="10000"/>
    <m/>
    <m/>
    <m/>
    <n v="10000"/>
    <s v="Y"/>
    <m/>
    <m/>
    <m/>
    <m/>
    <n v="2647"/>
    <m/>
    <m/>
    <m/>
    <m/>
    <m/>
    <m/>
    <m/>
    <m/>
    <m/>
    <m/>
    <m/>
    <s v="Maemi"/>
    <s v="Alcoa funds for re-stocking KNRC warehouse"/>
  </r>
  <r>
    <m/>
    <n v="112"/>
    <x v="116"/>
    <d v="2003-11-01T00:00:00"/>
    <x v="8"/>
    <n v="8"/>
    <m/>
    <n v="2003"/>
    <n v="17"/>
    <s v="LAC"/>
    <s v="Dominican Republic"/>
    <m/>
    <s v="Floods"/>
    <s v="General Floods"/>
    <s v="General Floods"/>
    <m/>
    <m/>
    <m/>
    <m/>
    <m/>
    <m/>
    <m/>
    <m/>
    <m/>
    <m/>
    <m/>
    <m/>
    <m/>
    <m/>
    <m/>
    <m/>
    <m/>
    <n v="0"/>
    <n v="3"/>
    <s v="Relief ERU"/>
    <m/>
    <m/>
    <m/>
    <m/>
    <m/>
    <m/>
    <m/>
    <m/>
    <m/>
    <m/>
    <m/>
    <m/>
    <m/>
    <m/>
    <m/>
    <m/>
    <n v="50000"/>
    <m/>
    <n v="50000"/>
    <m/>
    <m/>
    <n v="500"/>
    <n v="50000"/>
    <s v="Y"/>
    <m/>
    <m/>
    <m/>
    <m/>
    <n v="2618"/>
    <m/>
    <m/>
    <m/>
    <m/>
    <m/>
    <m/>
    <m/>
    <m/>
    <m/>
    <m/>
    <m/>
    <s v="Cibao / Montecristi"/>
    <s v="$50,000 from OFDA; Greenhalgh, McAndrew and Chapman deployed in November 2003 on Relief ERU Pilot"/>
  </r>
  <r>
    <m/>
    <n v="112"/>
    <x v="116"/>
    <d v="2003-11-01T00:00:00"/>
    <x v="8"/>
    <n v="8"/>
    <m/>
    <n v="2003"/>
    <n v="17"/>
    <s v="LAC"/>
    <s v="Dominican Republic"/>
    <m/>
    <s v="Floods"/>
    <s v="General Floods"/>
    <s v="General Floods"/>
    <m/>
    <m/>
    <m/>
    <m/>
    <m/>
    <m/>
    <m/>
    <m/>
    <m/>
    <m/>
    <m/>
    <m/>
    <m/>
    <m/>
    <m/>
    <m/>
    <m/>
    <n v="0"/>
    <m/>
    <m/>
    <m/>
    <m/>
    <m/>
    <m/>
    <m/>
    <m/>
    <m/>
    <m/>
    <m/>
    <m/>
    <m/>
    <m/>
    <m/>
    <m/>
    <m/>
    <m/>
    <m/>
    <m/>
    <n v="0"/>
    <m/>
    <m/>
    <m/>
    <n v="0"/>
    <s v="Y"/>
    <m/>
    <m/>
    <m/>
    <m/>
    <n v="2694"/>
    <m/>
    <m/>
    <m/>
    <m/>
    <m/>
    <m/>
    <m/>
    <m/>
    <m/>
    <m/>
    <m/>
    <s v="Cibao / Montecristi"/>
    <s v="(AP is shared with October 2003 Earthquake in Puerto Plata)"/>
  </r>
  <r>
    <m/>
    <n v="113"/>
    <x v="117"/>
    <d v="2003-12-01T00:00:00"/>
    <x v="8"/>
    <n v="9"/>
    <m/>
    <n v="2003"/>
    <n v="18"/>
    <s v="Europe/Asia"/>
    <s v="Iran"/>
    <m/>
    <s v="Earthquake"/>
    <s v="Earthquake"/>
    <s v="Earthquake"/>
    <m/>
    <m/>
    <m/>
    <m/>
    <m/>
    <m/>
    <m/>
    <m/>
    <m/>
    <m/>
    <m/>
    <m/>
    <n v="1"/>
    <n v="200000"/>
    <m/>
    <m/>
    <m/>
    <n v="200000"/>
    <n v="6"/>
    <s v="Relief ERU"/>
    <m/>
    <n v="115560"/>
    <m/>
    <n v="45000"/>
    <n v="27000"/>
    <m/>
    <m/>
    <n v="490"/>
    <m/>
    <m/>
    <m/>
    <m/>
    <m/>
    <m/>
    <m/>
    <m/>
    <n v="825763"/>
    <n v="150038.97999999998"/>
    <n v="1175801.98"/>
    <m/>
    <m/>
    <n v="225000"/>
    <n v="1175801.98"/>
    <s v="Y"/>
    <m/>
    <m/>
    <m/>
    <m/>
    <n v="2019"/>
    <m/>
    <m/>
    <m/>
    <m/>
    <m/>
    <m/>
    <m/>
    <m/>
    <m/>
    <m/>
    <m/>
    <s v="Bam"/>
    <s v="Relief ERU deployed: McAndrew (TL), Stephenson, Stops, Parry, Strater &amp; Swadzka.  $200,000 PMN sent to Federation; Commodities provide: 10,000 towels and 20,000 nail clippers"/>
  </r>
  <r>
    <m/>
    <n v="113"/>
    <x v="117"/>
    <d v="2003-12-01T00:00:00"/>
    <x v="8"/>
    <n v="9"/>
    <m/>
    <n v="2003"/>
    <n v="18"/>
    <s v="Europe/Asia"/>
    <s v="Iran"/>
    <m/>
    <s v="Earthquake"/>
    <s v="Earthquake"/>
    <s v="Earthquake"/>
    <m/>
    <m/>
    <m/>
    <m/>
    <m/>
    <m/>
    <m/>
    <m/>
    <m/>
    <m/>
    <m/>
    <m/>
    <m/>
    <m/>
    <m/>
    <m/>
    <m/>
    <n v="0"/>
    <m/>
    <m/>
    <m/>
    <n v="11"/>
    <m/>
    <m/>
    <m/>
    <m/>
    <m/>
    <n v="11"/>
    <m/>
    <m/>
    <m/>
    <m/>
    <m/>
    <m/>
    <m/>
    <m/>
    <n v="19975"/>
    <m/>
    <n v="19975"/>
    <m/>
    <m/>
    <n v="440"/>
    <n v="19975"/>
    <s v="Y"/>
    <m/>
    <m/>
    <m/>
    <m/>
    <n v="2616"/>
    <m/>
    <m/>
    <m/>
    <m/>
    <m/>
    <m/>
    <m/>
    <m/>
    <m/>
    <m/>
    <m/>
    <s v="Bam"/>
    <s v="Grant from Reuters / AlertNet"/>
  </r>
  <r>
    <m/>
    <n v="113"/>
    <x v="117"/>
    <d v="2003-12-01T00:00:00"/>
    <x v="8"/>
    <n v="9"/>
    <m/>
    <n v="2003"/>
    <n v="18"/>
    <s v="Europe/Asia"/>
    <s v="Iran"/>
    <m/>
    <s v="Earthquake"/>
    <s v="Earthquake"/>
    <s v="Earthquake"/>
    <m/>
    <m/>
    <m/>
    <m/>
    <m/>
    <m/>
    <m/>
    <m/>
    <m/>
    <m/>
    <m/>
    <m/>
    <m/>
    <m/>
    <m/>
    <m/>
    <m/>
    <n v="0"/>
    <m/>
    <m/>
    <m/>
    <m/>
    <m/>
    <m/>
    <m/>
    <m/>
    <m/>
    <m/>
    <m/>
    <m/>
    <m/>
    <m/>
    <m/>
    <m/>
    <m/>
    <m/>
    <n v="60000"/>
    <m/>
    <n v="60000"/>
    <m/>
    <m/>
    <m/>
    <n v="60000"/>
    <s v="Y"/>
    <m/>
    <m/>
    <m/>
    <m/>
    <n v="2793"/>
    <m/>
    <m/>
    <m/>
    <m/>
    <m/>
    <m/>
    <m/>
    <m/>
    <m/>
    <m/>
    <m/>
    <s v="Bam"/>
    <s v="Grant from Semnani Foundation."/>
  </r>
  <r>
    <m/>
    <n v="114"/>
    <x v="118"/>
    <d v="2003-12-01T00:00:00"/>
    <x v="8"/>
    <n v="10"/>
    <m/>
    <n v="2003"/>
    <n v="19"/>
    <s v="LAC"/>
    <s v="Panama"/>
    <m/>
    <s v="Earthquake"/>
    <s v="Earthquake"/>
    <s v="Earthquake"/>
    <m/>
    <m/>
    <m/>
    <m/>
    <m/>
    <m/>
    <m/>
    <m/>
    <m/>
    <m/>
    <m/>
    <m/>
    <m/>
    <m/>
    <m/>
    <m/>
    <m/>
    <n v="0"/>
    <m/>
    <m/>
    <m/>
    <n v="2300"/>
    <m/>
    <m/>
    <n v="1000"/>
    <m/>
    <m/>
    <m/>
    <m/>
    <n v="1100"/>
    <m/>
    <m/>
    <m/>
    <m/>
    <m/>
    <m/>
    <n v="6178"/>
    <m/>
    <n v="6178"/>
    <m/>
    <m/>
    <n v="550"/>
    <n v="6178"/>
    <s v="Y"/>
    <m/>
    <m/>
    <m/>
    <m/>
    <n v="2898"/>
    <m/>
    <m/>
    <m/>
    <m/>
    <m/>
    <m/>
    <m/>
    <m/>
    <m/>
    <m/>
    <m/>
    <m/>
    <s v="Supplies to Panama RC"/>
  </r>
  <r>
    <m/>
    <n v="115"/>
    <x v="119"/>
    <d v="2004-04-01T00:00:00"/>
    <x v="8"/>
    <n v="11"/>
    <m/>
    <n v="2004"/>
    <n v="1"/>
    <s v="Europe/Asia"/>
    <s v="DPRK/North Korea"/>
    <m/>
    <s v="Transport"/>
    <s v="Rail"/>
    <s v="Explosion"/>
    <m/>
    <m/>
    <m/>
    <m/>
    <m/>
    <m/>
    <m/>
    <m/>
    <m/>
    <m/>
    <m/>
    <m/>
    <n v="1"/>
    <n v="110000"/>
    <m/>
    <m/>
    <m/>
    <n v="110000"/>
    <m/>
    <m/>
    <m/>
    <m/>
    <m/>
    <m/>
    <m/>
    <m/>
    <m/>
    <m/>
    <m/>
    <m/>
    <m/>
    <m/>
    <m/>
    <m/>
    <m/>
    <m/>
    <m/>
    <m/>
    <n v="110000"/>
    <m/>
    <m/>
    <n v="3300"/>
    <n v="110000"/>
    <s v="Y"/>
    <m/>
    <m/>
    <m/>
    <m/>
    <s v="2861 / 2790"/>
    <m/>
    <m/>
    <m/>
    <m/>
    <m/>
    <m/>
    <m/>
    <m/>
    <m/>
    <m/>
    <m/>
    <s v="Ryongchon"/>
    <s v="CASH: $10,000  from 2861 funds from Asia Region ; $100,000 from OFDA / 2790;"/>
  </r>
  <r>
    <m/>
    <n v="116"/>
    <x v="116"/>
    <d v="2004-05-01T00:00:00"/>
    <x v="8"/>
    <n v="12"/>
    <m/>
    <n v="2004"/>
    <n v="2"/>
    <s v="LAC"/>
    <s v="Dominican Republic"/>
    <m/>
    <s v="Floods"/>
    <s v="General Floods"/>
    <s v="General Floods"/>
    <m/>
    <m/>
    <m/>
    <m/>
    <m/>
    <m/>
    <m/>
    <m/>
    <m/>
    <m/>
    <m/>
    <m/>
    <m/>
    <m/>
    <m/>
    <m/>
    <m/>
    <n v="0"/>
    <n v="1"/>
    <m/>
    <m/>
    <n v="10930"/>
    <m/>
    <m/>
    <m/>
    <n v="2350"/>
    <m/>
    <n v="150"/>
    <m/>
    <n v="5000"/>
    <m/>
    <m/>
    <n v="1000"/>
    <m/>
    <m/>
    <m/>
    <n v="205334.81245"/>
    <n v="14800"/>
    <n v="220134.81245"/>
    <m/>
    <m/>
    <n v="2500"/>
    <n v="220134.81245"/>
    <s v="Y"/>
    <m/>
    <m/>
    <m/>
    <m/>
    <n v="2694"/>
    <m/>
    <m/>
    <m/>
    <m/>
    <m/>
    <m/>
    <m/>
    <m/>
    <m/>
    <m/>
    <m/>
    <s v="Jimani &amp; Duarte"/>
    <s v="Nate Cooper deployed to DR with PADRU; stocks deployed ($74,526.50) from PADRU includes 2,430 school kits; $89,000 worth of generators"/>
  </r>
  <r>
    <m/>
    <n v="116"/>
    <x v="120"/>
    <d v="2004-05-01T00:00:00"/>
    <x v="8"/>
    <n v="12"/>
    <m/>
    <n v="2004"/>
    <n v="2"/>
    <s v="LAC"/>
    <s v="Haiti"/>
    <m/>
    <s v="Floods"/>
    <s v="General Floods"/>
    <s v="General Floods"/>
    <m/>
    <m/>
    <m/>
    <m/>
    <m/>
    <m/>
    <m/>
    <m/>
    <m/>
    <m/>
    <m/>
    <m/>
    <n v="0"/>
    <n v="20007"/>
    <m/>
    <m/>
    <m/>
    <n v="20007"/>
    <m/>
    <m/>
    <m/>
    <m/>
    <m/>
    <m/>
    <m/>
    <m/>
    <m/>
    <m/>
    <m/>
    <m/>
    <m/>
    <m/>
    <m/>
    <n v="2"/>
    <m/>
    <m/>
    <n v="16885.856"/>
    <n v="7665"/>
    <n v="44557.856"/>
    <m/>
    <m/>
    <n v="3000"/>
    <n v="44557.856"/>
    <s v="Y"/>
    <m/>
    <m/>
    <m/>
    <m/>
    <n v="2614"/>
    <m/>
    <m/>
    <m/>
    <m/>
    <m/>
    <m/>
    <m/>
    <m/>
    <m/>
    <m/>
    <m/>
    <s v="Eastern"/>
    <s v="PMN 0407052 ($18,000 + PSR) dated 7 July 2004; rental of two vehicles to be used in Haiti for 3 months each"/>
  </r>
  <r>
    <m/>
    <n v="116"/>
    <x v="121"/>
    <d v="2004-05-01T00:00:00"/>
    <x v="8"/>
    <n v="13"/>
    <m/>
    <n v="2004"/>
    <n v="3"/>
    <s v="Africa"/>
    <s v="Malawi"/>
    <m/>
    <s v="Epidemic"/>
    <s v="Viral"/>
    <s v="Viral"/>
    <m/>
    <m/>
    <m/>
    <m/>
    <m/>
    <m/>
    <m/>
    <m/>
    <m/>
    <m/>
    <m/>
    <m/>
    <m/>
    <m/>
    <m/>
    <m/>
    <m/>
    <n v="0"/>
    <m/>
    <m/>
    <m/>
    <n v="12380"/>
    <m/>
    <m/>
    <m/>
    <m/>
    <m/>
    <m/>
    <m/>
    <n v="12360"/>
    <m/>
    <m/>
    <n v="20"/>
    <m/>
    <m/>
    <m/>
    <n v="61220"/>
    <m/>
    <n v="61220"/>
    <m/>
    <m/>
    <n v="6180"/>
    <n v="61220"/>
    <s v="Y"/>
    <m/>
    <m/>
    <m/>
    <m/>
    <n v="2898"/>
    <m/>
    <m/>
    <m/>
    <m/>
    <m/>
    <m/>
    <m/>
    <m/>
    <m/>
    <m/>
    <m/>
    <s v="HIV/AIDS - Home Care"/>
    <s v="ex London"/>
  </r>
  <r>
    <m/>
    <n v="116"/>
    <x v="116"/>
    <d v="2004-07-01T00:00:00"/>
    <x v="8"/>
    <n v="12"/>
    <m/>
    <n v="2004"/>
    <n v="2"/>
    <s v="LAC"/>
    <s v="Dominican Republic"/>
    <m/>
    <s v="Floods"/>
    <s v="General Floods"/>
    <s v="General Floods"/>
    <m/>
    <m/>
    <m/>
    <m/>
    <m/>
    <m/>
    <m/>
    <m/>
    <m/>
    <m/>
    <m/>
    <m/>
    <m/>
    <m/>
    <m/>
    <m/>
    <m/>
    <n v="0"/>
    <n v="1"/>
    <m/>
    <m/>
    <m/>
    <m/>
    <m/>
    <m/>
    <m/>
    <m/>
    <m/>
    <m/>
    <m/>
    <m/>
    <m/>
    <m/>
    <m/>
    <m/>
    <m/>
    <n v="110266.26"/>
    <m/>
    <n v="110266.26"/>
    <m/>
    <m/>
    <n v="2500"/>
    <n v="110266.26"/>
    <s v="Y"/>
    <m/>
    <m/>
    <m/>
    <m/>
    <n v="2788"/>
    <m/>
    <m/>
    <m/>
    <m/>
    <m/>
    <m/>
    <m/>
    <m/>
    <m/>
    <m/>
    <m/>
    <s v="Jimani &amp; Duarte"/>
    <s v="Ricardo Caivano - Gates Foundation funds ($233,780 - 11.15% = $207,713.53 available - - 60% for DR)"/>
  </r>
  <r>
    <m/>
    <n v="116"/>
    <x v="120"/>
    <d v="2004-07-01T00:00:00"/>
    <x v="8"/>
    <n v="12"/>
    <m/>
    <n v="2004"/>
    <n v="2"/>
    <s v="LAC"/>
    <s v="Haiti"/>
    <m/>
    <s v="Floods"/>
    <s v="General Floods"/>
    <s v="General Floods"/>
    <m/>
    <m/>
    <m/>
    <m/>
    <m/>
    <m/>
    <m/>
    <m/>
    <m/>
    <m/>
    <m/>
    <m/>
    <m/>
    <m/>
    <m/>
    <m/>
    <m/>
    <n v="0"/>
    <m/>
    <m/>
    <m/>
    <m/>
    <m/>
    <m/>
    <m/>
    <m/>
    <m/>
    <m/>
    <m/>
    <m/>
    <m/>
    <m/>
    <m/>
    <m/>
    <m/>
    <m/>
    <n v="97442.48"/>
    <m/>
    <n v="97442.48"/>
    <m/>
    <m/>
    <n v="3000"/>
    <n v="97442.48"/>
    <s v="Y"/>
    <m/>
    <m/>
    <m/>
    <m/>
    <n v="2788"/>
    <m/>
    <m/>
    <m/>
    <m/>
    <m/>
    <m/>
    <m/>
    <m/>
    <m/>
    <m/>
    <m/>
    <s v="Eastern"/>
    <s v="Ricardo Caivano - Gates Foundation funds ($233,780 - 11.15% = $207,713.53 available - - 40% for Haiti)"/>
  </r>
  <r>
    <m/>
    <n v="117"/>
    <x v="122"/>
    <d v="2004-05-01T00:00:00"/>
    <x v="8"/>
    <n v="14"/>
    <m/>
    <n v="2004"/>
    <n v="4"/>
    <s v="LAC"/>
    <s v="Jamaica"/>
    <m/>
    <s v="Conflict"/>
    <s v="Conflict"/>
    <s v="Conflict"/>
    <m/>
    <m/>
    <m/>
    <m/>
    <m/>
    <m/>
    <m/>
    <m/>
    <m/>
    <m/>
    <m/>
    <m/>
    <m/>
    <m/>
    <m/>
    <m/>
    <m/>
    <n v="0"/>
    <n v="0"/>
    <m/>
    <m/>
    <n v="1000"/>
    <m/>
    <n v="500"/>
    <m/>
    <m/>
    <m/>
    <m/>
    <m/>
    <n v="500"/>
    <m/>
    <m/>
    <m/>
    <m/>
    <m/>
    <m/>
    <n v="3000"/>
    <m/>
    <n v="3000"/>
    <m/>
    <m/>
    <n v="500"/>
    <n v="3000"/>
    <s v="Y"/>
    <m/>
    <m/>
    <m/>
    <m/>
    <n v="2898"/>
    <m/>
    <m/>
    <m/>
    <m/>
    <m/>
    <m/>
    <m/>
    <m/>
    <m/>
    <m/>
    <m/>
    <s v="Haiti - Refugee"/>
    <s v="PADRU stocks"/>
  </r>
  <r>
    <m/>
    <n v="119"/>
    <x v="123"/>
    <d v="2004-08-01T00:00:00"/>
    <x v="9"/>
    <n v="1"/>
    <m/>
    <n v="2004"/>
    <n v="5"/>
    <s v="LAC"/>
    <s v="Paraguay"/>
    <m/>
    <s v="Miscellaneous"/>
    <s v="Fire"/>
    <s v="Urban Fire"/>
    <m/>
    <m/>
    <m/>
    <m/>
    <m/>
    <m/>
    <m/>
    <m/>
    <m/>
    <m/>
    <m/>
    <m/>
    <m/>
    <m/>
    <m/>
    <n v="18675"/>
    <m/>
    <n v="18675"/>
    <m/>
    <m/>
    <m/>
    <m/>
    <m/>
    <m/>
    <m/>
    <m/>
    <m/>
    <m/>
    <m/>
    <m/>
    <m/>
    <m/>
    <m/>
    <m/>
    <m/>
    <m/>
    <m/>
    <m/>
    <n v="18675"/>
    <m/>
    <m/>
    <m/>
    <n v="18675"/>
    <s v="Y"/>
    <m/>
    <m/>
    <m/>
    <m/>
    <n v="2816"/>
    <m/>
    <m/>
    <m/>
    <m/>
    <m/>
    <m/>
    <m/>
    <m/>
    <m/>
    <m/>
    <m/>
    <s v="Asuncion Supermarket"/>
    <s v="World Bank Employees; money arrived Oct 2004"/>
  </r>
  <r>
    <m/>
    <n v="120"/>
    <x v="124"/>
    <d v="2004-08-01T00:00:00"/>
    <x v="9"/>
    <n v="2"/>
    <m/>
    <n v="2004"/>
    <n v="6"/>
    <s v="Africa"/>
    <s v="Chad"/>
    <m/>
    <s v="Conflict"/>
    <s v="Conflict"/>
    <s v="Conflict"/>
    <m/>
    <m/>
    <m/>
    <m/>
    <m/>
    <m/>
    <m/>
    <m/>
    <m/>
    <m/>
    <m/>
    <m/>
    <n v="1"/>
    <n v="100000"/>
    <m/>
    <m/>
    <m/>
    <n v="100000"/>
    <m/>
    <m/>
    <m/>
    <m/>
    <m/>
    <m/>
    <m/>
    <m/>
    <m/>
    <m/>
    <m/>
    <m/>
    <m/>
    <m/>
    <m/>
    <m/>
    <m/>
    <m/>
    <m/>
    <m/>
    <n v="100000"/>
    <m/>
    <m/>
    <m/>
    <n v="100000"/>
    <s v="Y"/>
    <m/>
    <m/>
    <m/>
    <m/>
    <n v="9306"/>
    <m/>
    <m/>
    <m/>
    <m/>
    <m/>
    <m/>
    <m/>
    <m/>
    <m/>
    <m/>
    <m/>
    <s v="Darfur / Sudan"/>
    <s v="PMN Contribution to support Fed Appeal - Chad: Sudanese Refugees (from LDS)"/>
  </r>
  <r>
    <m/>
    <n v="120"/>
    <x v="125"/>
    <d v="2004-08-01T00:00:00"/>
    <x v="9"/>
    <n v="2"/>
    <m/>
    <n v="2004"/>
    <n v="6"/>
    <s v="Africa"/>
    <s v="Sudan"/>
    <m/>
    <s v="Conflict"/>
    <s v="Conflict"/>
    <s v="Conflict"/>
    <m/>
    <m/>
    <m/>
    <m/>
    <m/>
    <m/>
    <m/>
    <m/>
    <m/>
    <m/>
    <m/>
    <m/>
    <m/>
    <m/>
    <n v="242000"/>
    <m/>
    <m/>
    <n v="242000"/>
    <n v="1"/>
    <m/>
    <m/>
    <m/>
    <m/>
    <m/>
    <m/>
    <m/>
    <m/>
    <m/>
    <m/>
    <m/>
    <m/>
    <m/>
    <m/>
    <m/>
    <m/>
    <m/>
    <m/>
    <n v="5400"/>
    <n v="247400"/>
    <m/>
    <m/>
    <m/>
    <n v="247400"/>
    <s v="Y"/>
    <m/>
    <m/>
    <m/>
    <m/>
    <n v="2802"/>
    <m/>
    <m/>
    <m/>
    <m/>
    <m/>
    <m/>
    <m/>
    <m/>
    <m/>
    <m/>
    <m/>
    <s v="Darfur / Sudan"/>
    <s v="1. 2004 - L. Greenhalgh seconded to Fed, expenses $5400 2. 2006 - Pledge to ICRC Sudan Appeal, $242,000"/>
  </r>
  <r>
    <m/>
    <n v="121"/>
    <x v="19"/>
    <d v="2004-08-01T00:00:00"/>
    <x v="9"/>
    <n v="3"/>
    <m/>
    <n v="2004"/>
    <n v="7"/>
    <s v="Europe/Asia"/>
    <s v="Bangladesh"/>
    <m/>
    <s v="Floods"/>
    <s v="General Floods"/>
    <s v="General Floods"/>
    <m/>
    <m/>
    <m/>
    <m/>
    <m/>
    <m/>
    <m/>
    <m/>
    <m/>
    <m/>
    <m/>
    <m/>
    <n v="0"/>
    <n v="35975"/>
    <m/>
    <m/>
    <m/>
    <n v="35975"/>
    <m/>
    <m/>
    <m/>
    <m/>
    <m/>
    <m/>
    <m/>
    <m/>
    <m/>
    <m/>
    <m/>
    <m/>
    <m/>
    <m/>
    <m/>
    <m/>
    <m/>
    <m/>
    <m/>
    <m/>
    <n v="35975"/>
    <m/>
    <m/>
    <m/>
    <n v="35975"/>
    <s v="Y"/>
    <m/>
    <m/>
    <m/>
    <m/>
    <n v="2017"/>
    <m/>
    <m/>
    <m/>
    <m/>
    <m/>
    <m/>
    <m/>
    <m/>
    <m/>
    <m/>
    <m/>
    <s v="Country-wide"/>
    <s v="PMN: $15,975 from Citigroup and $20,000 from AMEX"/>
  </r>
  <r>
    <m/>
    <n v="122"/>
    <x v="126"/>
    <d v="2004-08-01T00:00:00"/>
    <x v="9"/>
    <n v="4"/>
    <m/>
    <n v="2004"/>
    <n v="8"/>
    <s v="Europe/Asia"/>
    <s v="Taiwan"/>
    <m/>
    <s v="Storm"/>
    <s v="Tropical Cyclone"/>
    <s v="Typhoon"/>
    <m/>
    <m/>
    <m/>
    <m/>
    <m/>
    <m/>
    <m/>
    <m/>
    <m/>
    <m/>
    <m/>
    <m/>
    <m/>
    <m/>
    <m/>
    <n v="59896.536212325685"/>
    <m/>
    <n v="59896.536212325685"/>
    <m/>
    <m/>
    <m/>
    <m/>
    <m/>
    <m/>
    <m/>
    <m/>
    <m/>
    <m/>
    <m/>
    <m/>
    <m/>
    <m/>
    <m/>
    <m/>
    <m/>
    <m/>
    <m/>
    <m/>
    <n v="59896.536212325685"/>
    <m/>
    <m/>
    <m/>
    <n v="59896.536212325685"/>
    <s v="Y"/>
    <m/>
    <m/>
    <m/>
    <m/>
    <n v="2824"/>
    <m/>
    <m/>
    <m/>
    <m/>
    <m/>
    <m/>
    <m/>
    <m/>
    <m/>
    <m/>
    <m/>
    <s v="Mindulle"/>
    <s v="Pass through from Intel ($50,000), Synopsys Community Foundation ($10,000 - 11.15%) and San Gabriel Valley Chapter ($1,000 - 11.15%)"/>
  </r>
  <r>
    <m/>
    <n v="123"/>
    <x v="25"/>
    <d v="2004-09-01T00:00:00"/>
    <x v="9"/>
    <n v="5"/>
    <m/>
    <n v="2004"/>
    <n v="9"/>
    <s v="LAC"/>
    <s v="Grenada"/>
    <m/>
    <s v="Storm"/>
    <s v="Tropical Cyclone"/>
    <s v="Hurricane"/>
    <m/>
    <m/>
    <m/>
    <m/>
    <m/>
    <m/>
    <m/>
    <m/>
    <m/>
    <m/>
    <m/>
    <m/>
    <n v="1"/>
    <n v="300000"/>
    <m/>
    <m/>
    <m/>
    <n v="300000"/>
    <n v="2"/>
    <m/>
    <m/>
    <n v="486"/>
    <m/>
    <m/>
    <m/>
    <n v="481"/>
    <m/>
    <n v="5"/>
    <m/>
    <m/>
    <m/>
    <m/>
    <m/>
    <m/>
    <m/>
    <m/>
    <n v="2452.19"/>
    <m/>
    <n v="302452.19"/>
    <m/>
    <m/>
    <m/>
    <n v="302452.19"/>
    <s v="Y"/>
    <m/>
    <m/>
    <m/>
    <m/>
    <n v="2024"/>
    <m/>
    <m/>
    <m/>
    <m/>
    <m/>
    <m/>
    <m/>
    <m/>
    <m/>
    <m/>
    <m/>
    <s v="Ivan"/>
    <s v="PMN - March 05; N. Cooper deployed to Grenada and Bahamas w/ PADRU; T. Reines deployed to Grenada.  5 Tents @ $299 each; Jerry Cans @ $1.99 each"/>
  </r>
  <r>
    <m/>
    <n v="123"/>
    <x v="73"/>
    <d v="2004-09-01T00:00:00"/>
    <x v="9"/>
    <n v="5"/>
    <m/>
    <n v="2004"/>
    <n v="9"/>
    <s v="LAC"/>
    <s v="Jamaica"/>
    <m/>
    <s v="Storm"/>
    <s v="Tropical Cyclone"/>
    <s v="Hurricane"/>
    <m/>
    <m/>
    <m/>
    <m/>
    <m/>
    <m/>
    <m/>
    <m/>
    <m/>
    <m/>
    <m/>
    <m/>
    <n v="1"/>
    <n v="100000"/>
    <m/>
    <m/>
    <m/>
    <n v="100000"/>
    <n v="1"/>
    <m/>
    <m/>
    <n v="7314"/>
    <m/>
    <m/>
    <n v="5000"/>
    <n v="802"/>
    <m/>
    <m/>
    <m/>
    <m/>
    <m/>
    <m/>
    <n v="1105"/>
    <m/>
    <m/>
    <m/>
    <n v="31046.879999999997"/>
    <m/>
    <n v="131046.88"/>
    <m/>
    <m/>
    <m/>
    <n v="131046.88"/>
    <s v="Y"/>
    <m/>
    <m/>
    <m/>
    <m/>
    <n v="2024"/>
    <m/>
    <m/>
    <m/>
    <m/>
    <m/>
    <m/>
    <m/>
    <m/>
    <m/>
    <m/>
    <m/>
    <s v="Ivan"/>
    <s v="PMN - March 05; M. Parry deployed with FACT; Jerry Cans @ $1.99 each, blankets @ $3.03 each, 407 flashlights @ $1.20 each,  tarpaulins @ $12.50 each"/>
  </r>
  <r>
    <m/>
    <n v="123"/>
    <x v="127"/>
    <d v="2004-09-01T00:00:00"/>
    <x v="9"/>
    <n v="5"/>
    <m/>
    <n v="2004"/>
    <n v="9"/>
    <s v="LAC"/>
    <s v="Cayman Islands"/>
    <m/>
    <s v="Storm"/>
    <s v="Tropical Cyclone"/>
    <s v="Hurricane"/>
    <m/>
    <m/>
    <m/>
    <m/>
    <m/>
    <m/>
    <m/>
    <m/>
    <m/>
    <m/>
    <m/>
    <m/>
    <n v="1"/>
    <n v="100000"/>
    <m/>
    <m/>
    <m/>
    <n v="100000"/>
    <n v="1"/>
    <m/>
    <m/>
    <n v="2346"/>
    <m/>
    <n v="1000"/>
    <m/>
    <n v="321"/>
    <m/>
    <n v="25"/>
    <m/>
    <m/>
    <m/>
    <m/>
    <m/>
    <m/>
    <m/>
    <m/>
    <n v="12853.79"/>
    <m/>
    <n v="112853.79000000001"/>
    <m/>
    <m/>
    <m/>
    <n v="112853.79000000001"/>
    <s v="Y"/>
    <m/>
    <m/>
    <m/>
    <m/>
    <n v="2024"/>
    <m/>
    <m/>
    <m/>
    <m/>
    <m/>
    <m/>
    <m/>
    <m/>
    <m/>
    <m/>
    <m/>
    <s v="Ivan"/>
    <s v="PMN - March 05; tents @ $299 each; Jerrry Cans @$1.99 each; 1,000 flashlights @ $1.20 each; Hygiene Kits @ $3.54 loaned to British Red Cross"/>
  </r>
  <r>
    <m/>
    <n v="123"/>
    <x v="13"/>
    <d v="2004-09-01T00:00:00"/>
    <x v="9"/>
    <n v="5"/>
    <m/>
    <n v="2004"/>
    <n v="9"/>
    <s v="LAC"/>
    <s v="Bahamas "/>
    <m/>
    <s v="Storm"/>
    <s v="Tropical Cyclone"/>
    <s v="Hurricane"/>
    <m/>
    <m/>
    <m/>
    <m/>
    <m/>
    <m/>
    <m/>
    <m/>
    <m/>
    <m/>
    <m/>
    <m/>
    <n v="1"/>
    <n v="100000"/>
    <m/>
    <m/>
    <m/>
    <n v="100000"/>
    <n v="4"/>
    <m/>
    <m/>
    <m/>
    <m/>
    <m/>
    <m/>
    <m/>
    <m/>
    <m/>
    <m/>
    <m/>
    <m/>
    <m/>
    <m/>
    <m/>
    <m/>
    <m/>
    <m/>
    <m/>
    <n v="100000"/>
    <m/>
    <m/>
    <m/>
    <n v="100000"/>
    <s v="Y"/>
    <m/>
    <m/>
    <m/>
    <m/>
    <n v="2024"/>
    <m/>
    <m/>
    <m/>
    <m/>
    <m/>
    <m/>
    <m/>
    <m/>
    <m/>
    <m/>
    <m/>
    <s v="Ivan"/>
    <s v="PMN - Jan 05; C. Garrison, S. Schaefer deployed 1 month; N. Cooper deployed several times"/>
  </r>
  <r>
    <m/>
    <n v="124"/>
    <x v="120"/>
    <d v="2004-09-01T00:00:00"/>
    <x v="9"/>
    <n v="6"/>
    <m/>
    <n v="2004"/>
    <n v="10"/>
    <s v="LAC"/>
    <s v="Haiti"/>
    <m/>
    <s v="Floods"/>
    <s v="Storm Surge"/>
    <s v="Storm Surge"/>
    <m/>
    <m/>
    <m/>
    <m/>
    <m/>
    <m/>
    <m/>
    <m/>
    <m/>
    <m/>
    <m/>
    <m/>
    <n v="1"/>
    <n v="400000"/>
    <m/>
    <m/>
    <m/>
    <n v="400000"/>
    <n v="1"/>
    <m/>
    <m/>
    <n v="110"/>
    <m/>
    <m/>
    <m/>
    <m/>
    <m/>
    <m/>
    <m/>
    <m/>
    <m/>
    <m/>
    <n v="110"/>
    <m/>
    <m/>
    <m/>
    <n v="1375"/>
    <m/>
    <n v="401375"/>
    <m/>
    <m/>
    <m/>
    <n v="401375"/>
    <s v="Y"/>
    <m/>
    <m/>
    <m/>
    <m/>
    <n v="2614"/>
    <m/>
    <m/>
    <m/>
    <m/>
    <m/>
    <m/>
    <m/>
    <m/>
    <m/>
    <m/>
    <m/>
    <s v="TS Jeanne"/>
    <s v="Brigitte Gallis deployed; tarpaulins @ $12.50 each; PMN 400K out of AP 2024 Jan 05"/>
  </r>
  <r>
    <m/>
    <n v="125"/>
    <x v="7"/>
    <d v="2004-11-01T00:00:00"/>
    <x v="9"/>
    <n v="7"/>
    <m/>
    <n v="2004"/>
    <n v="11"/>
    <s v="LAC"/>
    <s v="Costa Rica"/>
    <m/>
    <s v="Floods"/>
    <s v="General Floods"/>
    <s v="General Floods"/>
    <m/>
    <m/>
    <m/>
    <m/>
    <m/>
    <m/>
    <m/>
    <m/>
    <m/>
    <m/>
    <m/>
    <m/>
    <m/>
    <m/>
    <m/>
    <m/>
    <m/>
    <n v="0"/>
    <m/>
    <m/>
    <m/>
    <n v="750"/>
    <m/>
    <n v="750"/>
    <m/>
    <m/>
    <m/>
    <m/>
    <m/>
    <m/>
    <m/>
    <m/>
    <m/>
    <m/>
    <m/>
    <m/>
    <n v="2655"/>
    <m/>
    <n v="2655"/>
    <m/>
    <m/>
    <m/>
    <n v="2655"/>
    <s v="Y"/>
    <m/>
    <m/>
    <m/>
    <m/>
    <n v="2898"/>
    <m/>
    <m/>
    <m/>
    <m/>
    <m/>
    <m/>
    <m/>
    <m/>
    <m/>
    <m/>
    <m/>
    <m/>
    <s v="from PADRU @ $3.54 each"/>
  </r>
  <r>
    <m/>
    <n v="126"/>
    <x v="80"/>
    <d v="2004-12-01T00:00:00"/>
    <x v="9"/>
    <n v="8"/>
    <m/>
    <n v="2004"/>
    <n v="12"/>
    <s v="LAC"/>
    <s v="Panama"/>
    <s v="Hydrometerological"/>
    <s v="Floods"/>
    <s v="General Floods"/>
    <s v="General Floods"/>
    <m/>
    <m/>
    <m/>
    <m/>
    <m/>
    <m/>
    <m/>
    <m/>
    <m/>
    <m/>
    <m/>
    <m/>
    <m/>
    <m/>
    <m/>
    <m/>
    <m/>
    <n v="0"/>
    <m/>
    <m/>
    <m/>
    <m/>
    <m/>
    <m/>
    <m/>
    <m/>
    <m/>
    <m/>
    <m/>
    <m/>
    <m/>
    <m/>
    <m/>
    <m/>
    <m/>
    <m/>
    <m/>
    <m/>
    <n v="0"/>
    <m/>
    <m/>
    <m/>
    <n v="0"/>
    <s v="Y"/>
    <m/>
    <m/>
    <m/>
    <m/>
    <n v="2898"/>
    <m/>
    <m/>
    <m/>
    <m/>
    <m/>
    <m/>
    <m/>
    <m/>
    <m/>
    <m/>
    <m/>
    <s v="Darien"/>
    <s v="CANCELLED: 100 cases of laundry soap (5,000 bars = $7,200) and 5,000 bars of bath soap ($1,475)"/>
  </r>
  <r>
    <m/>
    <n v="127"/>
    <x v="128"/>
    <d v="2004-12-01T00:00:00"/>
    <x v="9"/>
    <n v="9"/>
    <m/>
    <n v="2004"/>
    <n v="13"/>
    <s v="Europe/Asia"/>
    <s v="Sri Lanka"/>
    <s v="Hydrometerological"/>
    <s v="Tsunami"/>
    <s v="Tsunami"/>
    <s v="Tsunami"/>
    <m/>
    <m/>
    <m/>
    <m/>
    <m/>
    <m/>
    <m/>
    <m/>
    <m/>
    <m/>
    <m/>
    <m/>
    <n v="1"/>
    <n v="1837066.6666666667"/>
    <m/>
    <m/>
    <m/>
    <n v="1837066.6666666667"/>
    <n v="17"/>
    <s v="Relief ERU"/>
    <m/>
    <m/>
    <m/>
    <m/>
    <m/>
    <m/>
    <m/>
    <m/>
    <m/>
    <m/>
    <m/>
    <m/>
    <m/>
    <m/>
    <m/>
    <m/>
    <n v="2011842.8599999999"/>
    <n v="100000000"/>
    <n v="103848909.52666667"/>
    <m/>
    <m/>
    <m/>
    <n v="103848909.52666667"/>
    <s v="Y"/>
    <m/>
    <m/>
    <m/>
    <m/>
    <n v="2695"/>
    <m/>
    <m/>
    <m/>
    <m/>
    <m/>
    <m/>
    <m/>
    <m/>
    <m/>
    <m/>
    <m/>
    <s v="S &amp; E Provinces"/>
    <s v="Parry, Ragan, Courville, Matthews, Caivano, Blake, Garrison, Szwadzka, Hurd, Chinn, Gaver, Brien, Reines, Thornton, Cummings, deployed with Relief ERU. Stephenson and Cooper deployed with British RC; Hagos deployed for 2 weeks in Feb 2005; L. Wilkinson (DP)   $5 million PMN sent to Federation for Appeal / 100K for emerg phase"/>
  </r>
  <r>
    <m/>
    <n v="127"/>
    <x v="129"/>
    <d v="2004-12-01T00:00:00"/>
    <x v="9"/>
    <n v="9"/>
    <m/>
    <n v="2004"/>
    <n v="13"/>
    <s v="Europe/Asia"/>
    <s v="Indonesia"/>
    <s v="Hydrometerological"/>
    <s v="Tsunami"/>
    <s v="Tsunami"/>
    <s v="Tsunami"/>
    <m/>
    <m/>
    <m/>
    <m/>
    <m/>
    <m/>
    <m/>
    <m/>
    <m/>
    <m/>
    <m/>
    <m/>
    <n v="1"/>
    <n v="1666666.6666666667"/>
    <m/>
    <m/>
    <m/>
    <n v="1666666.6666666667"/>
    <n v="5"/>
    <s v="Relief ERU"/>
    <m/>
    <m/>
    <m/>
    <m/>
    <m/>
    <m/>
    <m/>
    <m/>
    <m/>
    <m/>
    <m/>
    <m/>
    <m/>
    <m/>
    <m/>
    <m/>
    <n v="2300506.4"/>
    <m/>
    <n v="3967173.0666666664"/>
    <m/>
    <m/>
    <m/>
    <n v="477328823.80666667"/>
    <s v="Y"/>
    <m/>
    <m/>
    <m/>
    <m/>
    <n v="2695"/>
    <m/>
    <m/>
    <m/>
    <m/>
    <m/>
    <m/>
    <m/>
    <m/>
    <m/>
    <m/>
    <m/>
    <s v="N. Sumatra"/>
    <s v="O'Donnell, Michaud and Card deployed as w/ Relief ERU in Northern Sumatra; Greenhalgh on FACT.   $5 million PMN sent to Federation for Appeal; Caivano transferred from Sri Lanka to Indo; Karnes deployed as IRT (logs/ops) "/>
  </r>
  <r>
    <m/>
    <n v="127"/>
    <x v="130"/>
    <d v="2004-12-01T00:00:00"/>
    <x v="9"/>
    <n v="9"/>
    <m/>
    <n v="2004"/>
    <n v="13"/>
    <s v="Europe/Asia"/>
    <s v="Maldives"/>
    <s v="Hydrometerological"/>
    <s v="Tsunami"/>
    <s v="Tsunami"/>
    <s v="Tsunami"/>
    <m/>
    <m/>
    <m/>
    <m/>
    <m/>
    <m/>
    <m/>
    <m/>
    <m/>
    <m/>
    <m/>
    <m/>
    <n v="1"/>
    <n v="1666666.6666666667"/>
    <m/>
    <m/>
    <m/>
    <n v="1666666.6666666667"/>
    <n v="2"/>
    <m/>
    <m/>
    <m/>
    <m/>
    <m/>
    <m/>
    <m/>
    <m/>
    <m/>
    <m/>
    <m/>
    <m/>
    <m/>
    <m/>
    <m/>
    <m/>
    <m/>
    <n v="155600"/>
    <m/>
    <n v="1822266.6666666667"/>
    <m/>
    <m/>
    <m/>
    <n v="1822266.6666666667"/>
    <s v="Y"/>
    <m/>
    <m/>
    <m/>
    <m/>
    <n v="2695"/>
    <m/>
    <m/>
    <m/>
    <m/>
    <m/>
    <m/>
    <m/>
    <m/>
    <m/>
    <m/>
    <m/>
    <s v="Country-wide"/>
    <s v="Hagos on FACT; $5 million PMN sent to Federation for Appeal; Gould wat/san IRT"/>
  </r>
  <r>
    <m/>
    <n v="128"/>
    <x v="131"/>
    <d v="2005-01-01T00:00:00"/>
    <x v="9"/>
    <n v="10"/>
    <m/>
    <n v="2005"/>
    <n v="1"/>
    <s v="LAC"/>
    <s v="Guyana"/>
    <s v="Hydrometerological"/>
    <s v="Floods"/>
    <s v="General Floods"/>
    <s v="General Floods"/>
    <m/>
    <m/>
    <m/>
    <m/>
    <m/>
    <m/>
    <m/>
    <m/>
    <m/>
    <m/>
    <m/>
    <m/>
    <m/>
    <m/>
    <m/>
    <m/>
    <m/>
    <n v="0"/>
    <n v="2"/>
    <m/>
    <m/>
    <m/>
    <m/>
    <m/>
    <m/>
    <m/>
    <m/>
    <m/>
    <m/>
    <m/>
    <m/>
    <m/>
    <m/>
    <m/>
    <m/>
    <m/>
    <n v="10000"/>
    <n v="3100"/>
    <n v="13100"/>
    <m/>
    <m/>
    <m/>
    <n v="13100"/>
    <s v="Y"/>
    <m/>
    <m/>
    <m/>
    <m/>
    <n v="2774"/>
    <m/>
    <m/>
    <m/>
    <m/>
    <m/>
    <m/>
    <m/>
    <m/>
    <m/>
    <m/>
    <m/>
    <s v="Georgetown"/>
    <s v="Jim Gould and Jeffery Weiss deployed and purchased and shipped to the GRC $10,000 worth of individual and family First Aid Kits."/>
  </r>
  <r>
    <m/>
    <n v="129"/>
    <x v="132"/>
    <d v="2005-06-01T00:00:00"/>
    <x v="9"/>
    <n v="11"/>
    <m/>
    <n v="2005"/>
    <n v="2"/>
    <s v="North America"/>
    <s v="Canada"/>
    <s v="Hydrometerological"/>
    <s v="Floods"/>
    <s v="General Floods"/>
    <s v="General Floods"/>
    <m/>
    <m/>
    <m/>
    <m/>
    <m/>
    <m/>
    <m/>
    <m/>
    <m/>
    <m/>
    <m/>
    <m/>
    <m/>
    <m/>
    <m/>
    <n v="5000"/>
    <m/>
    <n v="5000"/>
    <m/>
    <m/>
    <m/>
    <m/>
    <m/>
    <m/>
    <m/>
    <m/>
    <m/>
    <m/>
    <m/>
    <m/>
    <m/>
    <m/>
    <m/>
    <m/>
    <m/>
    <m/>
    <m/>
    <m/>
    <n v="5000"/>
    <m/>
    <m/>
    <m/>
    <n v="5000"/>
    <s v="Y"/>
    <m/>
    <m/>
    <m/>
    <m/>
    <s v="N/A"/>
    <m/>
    <m/>
    <m/>
    <m/>
    <m/>
    <m/>
    <m/>
    <m/>
    <m/>
    <m/>
    <m/>
    <s v="Alberta Floods"/>
    <s v="Contribution from AmEx for the Alberta Floods (GID direct to CRC)."/>
  </r>
  <r>
    <m/>
    <n v="130"/>
    <x v="133"/>
    <d v="2005-07-01T00:00:00"/>
    <x v="10"/>
    <n v="1"/>
    <m/>
    <n v="2005"/>
    <n v="3"/>
    <s v="LAC"/>
    <s v="Jamaica"/>
    <s v="Hydrometerological"/>
    <s v="Storm"/>
    <s v="Tropical Cyclone"/>
    <s v="Hurricane"/>
    <m/>
    <s v="Y"/>
    <s v="IFRC"/>
    <n v="587000"/>
    <s v="05EA14"/>
    <m/>
    <m/>
    <m/>
    <m/>
    <n v="35000"/>
    <m/>
    <m/>
    <n v="0"/>
    <n v="25000"/>
    <m/>
    <m/>
    <m/>
    <n v="25000"/>
    <m/>
    <m/>
    <m/>
    <n v="25"/>
    <m/>
    <m/>
    <m/>
    <m/>
    <m/>
    <n v="25"/>
    <m/>
    <m/>
    <m/>
    <m/>
    <m/>
    <m/>
    <m/>
    <m/>
    <n v="7475"/>
    <m/>
    <n v="32475"/>
    <m/>
    <m/>
    <n v="100"/>
    <n v="32475"/>
    <s v="Y"/>
    <m/>
    <m/>
    <m/>
    <m/>
    <n v="2024"/>
    <m/>
    <m/>
    <m/>
    <m/>
    <m/>
    <m/>
    <m/>
    <m/>
    <m/>
    <m/>
    <m/>
    <s v="Dennis / Emily"/>
    <s v="Ex PADRU"/>
  </r>
  <r>
    <m/>
    <n v="130"/>
    <x v="134"/>
    <d v="2005-07-01T00:00:00"/>
    <x v="10"/>
    <n v="1"/>
    <m/>
    <n v="2005"/>
    <n v="3"/>
    <s v="LAC"/>
    <s v="Grenada"/>
    <s v="Hydrometerological"/>
    <s v="Storm"/>
    <s v="Tropical Cyclone"/>
    <s v="Hurricane"/>
    <m/>
    <m/>
    <m/>
    <m/>
    <m/>
    <m/>
    <m/>
    <m/>
    <m/>
    <m/>
    <m/>
    <m/>
    <n v="1"/>
    <n v="75000"/>
    <m/>
    <m/>
    <m/>
    <n v="75000"/>
    <m/>
    <m/>
    <m/>
    <m/>
    <m/>
    <m/>
    <m/>
    <m/>
    <m/>
    <m/>
    <m/>
    <m/>
    <m/>
    <m/>
    <m/>
    <m/>
    <m/>
    <m/>
    <m/>
    <m/>
    <n v="75000"/>
    <m/>
    <m/>
    <m/>
    <n v="75000"/>
    <s v="Y"/>
    <m/>
    <m/>
    <m/>
    <m/>
    <n v="2024"/>
    <m/>
    <m/>
    <m/>
    <m/>
    <m/>
    <m/>
    <m/>
    <m/>
    <m/>
    <m/>
    <m/>
    <s v="Dennis / Emily"/>
    <s v="$200,000 PMN sent: $100,000 to be divided between Jamaica and Grenada at Federation's discretion."/>
  </r>
  <r>
    <m/>
    <n v="130"/>
    <x v="135"/>
    <d v="2005-07-01T00:00:00"/>
    <x v="10"/>
    <n v="1"/>
    <m/>
    <n v="2005"/>
    <n v="3"/>
    <s v="LAC"/>
    <s v="Haiti"/>
    <s v="Hydrometerological"/>
    <s v="Storm"/>
    <s v="Tropical Cyclone"/>
    <s v="Hurricane"/>
    <m/>
    <m/>
    <m/>
    <m/>
    <m/>
    <m/>
    <m/>
    <m/>
    <m/>
    <m/>
    <m/>
    <m/>
    <n v="1"/>
    <n v="100000"/>
    <m/>
    <m/>
    <m/>
    <n v="100000"/>
    <m/>
    <m/>
    <m/>
    <n v="9995"/>
    <m/>
    <m/>
    <m/>
    <m/>
    <m/>
    <m/>
    <m/>
    <m/>
    <m/>
    <m/>
    <m/>
    <m/>
    <m/>
    <m/>
    <n v="8693"/>
    <m/>
    <n v="108693"/>
    <m/>
    <m/>
    <m/>
    <n v="108693"/>
    <s v="Y"/>
    <m/>
    <m/>
    <m/>
    <m/>
    <n v="2614"/>
    <m/>
    <m/>
    <m/>
    <m/>
    <m/>
    <m/>
    <m/>
    <m/>
    <m/>
    <m/>
    <m/>
    <s v="Dennis / Emily"/>
    <s v="4,995 pcs laundry soap &amp; 5,000 pcs bath soap sent from PADRU; $200,000 PMN sent with $100,000 for Haiti"/>
  </r>
  <r>
    <m/>
    <n v="131"/>
    <x v="136"/>
    <d v="2005-07-01T00:00:00"/>
    <x v="10"/>
    <n v="2"/>
    <m/>
    <n v="2005"/>
    <n v="4"/>
    <s v="Africa"/>
    <s v="Niger"/>
    <s v="Human Related"/>
    <s v="Food Insecurity"/>
    <s v="Food Insecurity"/>
    <s v="Food Insecurity"/>
    <m/>
    <s v="Y"/>
    <s v="IFRC"/>
    <n v="14211607"/>
    <s v="05EA015"/>
    <m/>
    <m/>
    <m/>
    <m/>
    <n v="222000"/>
    <m/>
    <m/>
    <m/>
    <m/>
    <m/>
    <m/>
    <m/>
    <n v="0"/>
    <n v="3"/>
    <m/>
    <m/>
    <m/>
    <m/>
    <m/>
    <m/>
    <m/>
    <m/>
    <m/>
    <m/>
    <m/>
    <m/>
    <m/>
    <m/>
    <m/>
    <m/>
    <m/>
    <m/>
    <n v="36200"/>
    <n v="36200"/>
    <m/>
    <m/>
    <m/>
    <n v="36200"/>
    <s v="Y"/>
    <m/>
    <m/>
    <m/>
    <m/>
    <n v="2949"/>
    <m/>
    <m/>
    <m/>
    <m/>
    <m/>
    <m/>
    <m/>
    <m/>
    <m/>
    <m/>
    <m/>
    <s v="Sahel"/>
    <s v="Paying for secondments of Langdon Greenhalgh, Brigitte Gaillis and Tim Cummings to IFRC"/>
  </r>
  <r>
    <m/>
    <n v="132"/>
    <x v="137"/>
    <d v="2005-08-01T00:00:00"/>
    <x v="10"/>
    <n v="3"/>
    <m/>
    <n v="2005"/>
    <n v="5"/>
    <s v="North America"/>
    <s v="US"/>
    <s v="Hydrometerological"/>
    <s v="Tropical Storm"/>
    <s v="Tropical Cyclone"/>
    <s v="Hurricane"/>
    <m/>
    <m/>
    <m/>
    <m/>
    <m/>
    <m/>
    <m/>
    <m/>
    <m/>
    <m/>
    <m/>
    <m/>
    <m/>
    <m/>
    <m/>
    <m/>
    <m/>
    <n v="0"/>
    <n v="3"/>
    <m/>
    <m/>
    <m/>
    <m/>
    <m/>
    <m/>
    <m/>
    <m/>
    <m/>
    <m/>
    <m/>
    <m/>
    <m/>
    <m/>
    <m/>
    <m/>
    <m/>
    <m/>
    <m/>
    <n v="0"/>
    <m/>
    <m/>
    <m/>
    <n v="0"/>
    <s v="Y"/>
    <m/>
    <m/>
    <m/>
    <m/>
    <m/>
    <m/>
    <m/>
    <m/>
    <m/>
    <m/>
    <m/>
    <m/>
    <m/>
    <m/>
    <m/>
    <m/>
    <s v="Katrina"/>
    <s v="Nate Cooper, Mark Smith and Lance Leverenz deployed to Mississippi, Lousiana and Alabama."/>
  </r>
  <r>
    <m/>
    <n v="133"/>
    <x v="138"/>
    <d v="2005-10-01T00:00:00"/>
    <x v="10"/>
    <n v="4"/>
    <m/>
    <n v="2005"/>
    <n v="6"/>
    <s v="Europe/Asia"/>
    <s v="Pakistan"/>
    <s v="Geophysical"/>
    <s v="Earthquake"/>
    <s v="Earthquake"/>
    <s v="Earthquake"/>
    <n v="3500000"/>
    <s v="Y"/>
    <s v="IFRC"/>
    <n v="117000000"/>
    <s v="05EA022"/>
    <m/>
    <m/>
    <m/>
    <m/>
    <n v="575000"/>
    <m/>
    <m/>
    <n v="1"/>
    <n v="6750000"/>
    <n v="1000000"/>
    <m/>
    <m/>
    <n v="7750000"/>
    <n v="4"/>
    <m/>
    <m/>
    <n v="325618"/>
    <m/>
    <n v="18000"/>
    <n v="222900"/>
    <m/>
    <n v="28000"/>
    <n v="5200"/>
    <n v="18000"/>
    <n v="30518"/>
    <m/>
    <m/>
    <n v="3000"/>
    <m/>
    <m/>
    <m/>
    <n v="4808310"/>
    <m/>
    <n v="12558310"/>
    <m/>
    <m/>
    <n v="120000"/>
    <n v="12558310"/>
    <s v="Y"/>
    <m/>
    <m/>
    <m/>
    <m/>
    <s v="2897/2771/2769"/>
    <m/>
    <m/>
    <m/>
    <m/>
    <m/>
    <m/>
    <m/>
    <m/>
    <m/>
    <m/>
    <s v="y"/>
    <s v="North West Frontier Province (NWFP) and Pakistan Administered Kashmir (PAK)"/>
    <s v="CASH: Non-designated PMN to the Fed $1,850,000; PMN to the Fed designated for one month cost of helicopter relief operations for $400,000; PMN to the Fed designated for corrugated iron sheeting (~73,000 pc) for $1,500,000. SUPPLIES:  Shawls at $50,000. (Cost includes all inspection costs/ transporation costs as well as commodity cost); PEOPLE: Seconded John Manley to FACT team and Jim Stephenson to Fed relief/logistics team.(Cost includes all inspection costs/ transporation costs as well as commodity cost). ICRC - $1M 2006 - Winter Prep - PMN for 1.5 million (500k to household repair kits, 300k to CGI);   (Cost includes all inspection costs/ transporation costs as well as commodity cost); seconded C. Chaperon and N. Cooper to Fed for monitoring."/>
  </r>
  <r>
    <m/>
    <n v="134"/>
    <x v="139"/>
    <d v="2005-10-01T00:00:00"/>
    <x v="10"/>
    <n v="5"/>
    <m/>
    <n v="2005"/>
    <n v="7"/>
    <s v="LAC"/>
    <s v="Guatemala"/>
    <s v="Hydrometerological"/>
    <s v="Tropical Storm"/>
    <s v="Tropical Cyclone"/>
    <s v="Hurricane"/>
    <m/>
    <m/>
    <m/>
    <m/>
    <m/>
    <m/>
    <m/>
    <m/>
    <m/>
    <m/>
    <m/>
    <m/>
    <n v="0"/>
    <n v="47581"/>
    <m/>
    <m/>
    <m/>
    <n v="47581"/>
    <m/>
    <m/>
    <m/>
    <m/>
    <m/>
    <m/>
    <m/>
    <m/>
    <m/>
    <m/>
    <m/>
    <m/>
    <m/>
    <m/>
    <m/>
    <m/>
    <m/>
    <m/>
    <m/>
    <m/>
    <n v="47581"/>
    <m/>
    <m/>
    <m/>
    <n v="47581"/>
    <s v="Y"/>
    <m/>
    <m/>
    <m/>
    <m/>
    <n v="2759"/>
    <m/>
    <m/>
    <m/>
    <m/>
    <m/>
    <m/>
    <m/>
    <m/>
    <m/>
    <m/>
    <m/>
    <s v="Stan"/>
    <s v="PMN contribution to support Federation's appeal relief operations."/>
  </r>
  <r>
    <m/>
    <n v="134"/>
    <x v="140"/>
    <d v="2005-10-01T00:00:00"/>
    <x v="10"/>
    <n v="5"/>
    <m/>
    <n v="2005"/>
    <n v="7"/>
    <s v="LAC"/>
    <s v="Mexico"/>
    <s v="Hydrometerological"/>
    <s v="Tropical Storm"/>
    <s v="Tropical Cyclone"/>
    <s v="Hurricane"/>
    <m/>
    <m/>
    <m/>
    <m/>
    <m/>
    <m/>
    <m/>
    <m/>
    <m/>
    <m/>
    <m/>
    <m/>
    <n v="1"/>
    <n v="257378"/>
    <m/>
    <n v="85000"/>
    <m/>
    <n v="342378"/>
    <m/>
    <m/>
    <m/>
    <m/>
    <m/>
    <m/>
    <m/>
    <m/>
    <m/>
    <m/>
    <m/>
    <m/>
    <m/>
    <m/>
    <m/>
    <m/>
    <m/>
    <m/>
    <m/>
    <m/>
    <n v="342378"/>
    <m/>
    <m/>
    <m/>
    <n v="342378"/>
    <s v="Y"/>
    <m/>
    <m/>
    <m/>
    <m/>
    <n v="2020"/>
    <m/>
    <m/>
    <m/>
    <m/>
    <m/>
    <m/>
    <m/>
    <m/>
    <m/>
    <m/>
    <m/>
    <s v="Stan"/>
    <s v="CASH: Initial PMN contribution for $25,000 from IRF 2099 for Federation's Hurricane Stan Appeal.Additional PMN contribution for $83,568 from AP2760 for Federation's Hurricane Stan Appeal relief operations. Additional $124,453 PMN contribution from AP 2020 for Federation's Hurricane Stan Appeal relief operations in Mexico. $49,357 PMN contribution from AP2882  to support Federation's appeal relief operations.Cash to Mex RC: $35,000 from AP2760 for Initial direct contribution to the MRC to support their relief operation. Additional contribution of $50,000 from AP2020 to the MexRC to support their relief operation gift from Exxon Mobil and G&amp;E."/>
  </r>
  <r>
    <s v="TC-2005-000173-SLV"/>
    <n v="135"/>
    <x v="141"/>
    <d v="2005-10-01T00:00:00"/>
    <x v="10"/>
    <n v="6"/>
    <m/>
    <n v="2005"/>
    <n v="8"/>
    <s v="LAC"/>
    <s v="El Salvador"/>
    <s v="Geophysical"/>
    <s v="Volcano"/>
    <s v="Volcanic Eruption"/>
    <s v="Volcanic Eruption"/>
    <m/>
    <m/>
    <m/>
    <n v="1098045"/>
    <s v="05EA020"/>
    <m/>
    <m/>
    <m/>
    <m/>
    <n v="21000"/>
    <m/>
    <m/>
    <n v="0"/>
    <n v="7034"/>
    <m/>
    <m/>
    <m/>
    <n v="7034"/>
    <n v="1"/>
    <m/>
    <m/>
    <m/>
    <m/>
    <m/>
    <m/>
    <m/>
    <m/>
    <m/>
    <m/>
    <m/>
    <m/>
    <m/>
    <m/>
    <m/>
    <m/>
    <m/>
    <m/>
    <m/>
    <n v="7034"/>
    <m/>
    <m/>
    <m/>
    <n v="7034"/>
    <s v="Y"/>
    <m/>
    <m/>
    <m/>
    <m/>
    <n v="2690"/>
    <m/>
    <m/>
    <m/>
    <m/>
    <m/>
    <m/>
    <m/>
    <m/>
    <m/>
    <m/>
    <m/>
    <s v="Also: Floods"/>
    <s v="Nate Cooper deployed on PADRU team and PMN contribution to support Federation's appeal  relief operation in response of floods and volcanic eruption in El Salvador."/>
  </r>
  <r>
    <s v="TC-2005-000178-BHS"/>
    <n v="136"/>
    <x v="142"/>
    <d v="2005-10-01T00:00:00"/>
    <x v="10"/>
    <n v="7"/>
    <m/>
    <n v="2005"/>
    <n v="9"/>
    <s v="LAC"/>
    <s v="Bahamas"/>
    <s v="Hydrometerological"/>
    <s v="Storm"/>
    <s v="Tropical Cyclone"/>
    <s v="Hurricane"/>
    <m/>
    <m/>
    <m/>
    <n v="1634707"/>
    <s v="05EA024"/>
    <m/>
    <m/>
    <m/>
    <m/>
    <m/>
    <m/>
    <m/>
    <m/>
    <m/>
    <m/>
    <m/>
    <m/>
    <n v="0"/>
    <m/>
    <m/>
    <m/>
    <n v="2371.9999999999995"/>
    <m/>
    <n v="2372"/>
    <m/>
    <m/>
    <m/>
    <m/>
    <m/>
    <m/>
    <m/>
    <m/>
    <m/>
    <m/>
    <m/>
    <m/>
    <n v="20597"/>
    <m/>
    <n v="20597"/>
    <m/>
    <m/>
    <n v="4000"/>
    <n v="20597"/>
    <s v="Y"/>
    <m/>
    <m/>
    <m/>
    <m/>
    <n v="2024"/>
    <m/>
    <m/>
    <m/>
    <m/>
    <m/>
    <m/>
    <m/>
    <m/>
    <m/>
    <m/>
    <m/>
    <s v="Wilma"/>
    <s v="$3.54 each + 6,200 (transport) = $14,596.88  plus shipping and handling"/>
  </r>
  <r>
    <s v="TC-2005-000178-MEX"/>
    <n v="136"/>
    <x v="143"/>
    <d v="2005-10-01T00:00:00"/>
    <x v="10"/>
    <n v="7"/>
    <m/>
    <n v="2005"/>
    <n v="9"/>
    <s v="LAC"/>
    <s v="Mexico"/>
    <s v="Hydrometerological"/>
    <s v="Storm"/>
    <s v="Tropical Cyclone"/>
    <s v="Hurricane"/>
    <n v="300000"/>
    <m/>
    <m/>
    <n v="1918000"/>
    <s v="05EA024"/>
    <m/>
    <m/>
    <m/>
    <m/>
    <m/>
    <m/>
    <m/>
    <n v="1"/>
    <n v="128869"/>
    <m/>
    <n v="325000"/>
    <m/>
    <n v="453869"/>
    <m/>
    <m/>
    <m/>
    <n v="4500"/>
    <m/>
    <n v="4500"/>
    <m/>
    <m/>
    <m/>
    <m/>
    <m/>
    <m/>
    <m/>
    <m/>
    <m/>
    <m/>
    <m/>
    <m/>
    <n v="43875"/>
    <m/>
    <n v="497744"/>
    <m/>
    <m/>
    <m/>
    <n v="497744"/>
    <s v="Y"/>
    <m/>
    <m/>
    <m/>
    <m/>
    <n v="2757"/>
    <m/>
    <m/>
    <m/>
    <m/>
    <m/>
    <m/>
    <m/>
    <m/>
    <m/>
    <m/>
    <m/>
    <s v="Wilma"/>
    <s v="CASH: $250,000 -Initital direct contribution from AP 2757 to the MexRC to support their relief operation in Cozumel, gift from Carnival Cruise Lines. 2) $75,000 additional direct contribution from AP 2020 to the MexRC to support their relief operations, gift from AmEx;.3) $100,000 PMN contribution from AP2758 to support Federation's appeal relief operations, 1. 62000 2. 38000 (10.06); 4) $28,869 PMN contribution from AP2757 to support Federation's appeal relief operations;    SUPPLIES: PADRU stocks valued at $43,875;"/>
  </r>
  <r>
    <m/>
    <n v="137"/>
    <x v="144"/>
    <d v="2005-10-01T00:00:00"/>
    <x v="10"/>
    <n v="8"/>
    <m/>
    <n v="2005"/>
    <n v="10"/>
    <s v="Europe/Asia"/>
    <s v="Vietnam"/>
    <s v="Hydrometerological"/>
    <s v="Storm"/>
    <s v="Tropical Cyclone"/>
    <s v="Typhoon"/>
    <m/>
    <s v="Y"/>
    <s v="IFRC"/>
    <n v="628813"/>
    <s v="05EA019"/>
    <n v="3.3504396378573595E-2"/>
    <m/>
    <m/>
    <m/>
    <n v="25000"/>
    <m/>
    <m/>
    <n v="0"/>
    <n v="21068"/>
    <m/>
    <m/>
    <m/>
    <n v="21068"/>
    <m/>
    <m/>
    <m/>
    <m/>
    <m/>
    <m/>
    <m/>
    <m/>
    <m/>
    <m/>
    <m/>
    <m/>
    <m/>
    <m/>
    <m/>
    <m/>
    <m/>
    <m/>
    <m/>
    <m/>
    <n v="21068"/>
    <m/>
    <m/>
    <m/>
    <n v="21068"/>
    <s v="Y"/>
    <m/>
    <m/>
    <m/>
    <m/>
    <n v="2870"/>
    <m/>
    <m/>
    <m/>
    <m/>
    <m/>
    <m/>
    <m/>
    <m/>
    <m/>
    <m/>
    <m/>
    <s v="Central Vietnam"/>
    <s v="PMN to the Federtion to support Vietnam: Typhoon Damrey Emergency Appeal. The funds were from Boejing and the PMN was handled by the region."/>
  </r>
  <r>
    <m/>
    <n v="138"/>
    <x v="145"/>
    <d v="2005-11-01T00:00:00"/>
    <x v="10"/>
    <n v="9"/>
    <m/>
    <n v="2005"/>
    <n v="11"/>
    <s v="LAC"/>
    <s v="Colombia"/>
    <s v="Geophysical"/>
    <s v="Volcano"/>
    <s v="Volcanic Eruption"/>
    <s v="Volcanic Eruption"/>
    <m/>
    <m/>
    <m/>
    <m/>
    <m/>
    <m/>
    <m/>
    <m/>
    <m/>
    <m/>
    <m/>
    <m/>
    <m/>
    <m/>
    <m/>
    <m/>
    <m/>
    <n v="0"/>
    <m/>
    <m/>
    <m/>
    <n v="45"/>
    <m/>
    <m/>
    <m/>
    <m/>
    <m/>
    <n v="45"/>
    <m/>
    <m/>
    <m/>
    <m/>
    <m/>
    <m/>
    <m/>
    <m/>
    <n v="17402"/>
    <m/>
    <n v="17402"/>
    <m/>
    <m/>
    <m/>
    <n v="17402"/>
    <s v="Y"/>
    <m/>
    <m/>
    <m/>
    <m/>
    <n v="2898"/>
    <m/>
    <m/>
    <m/>
    <m/>
    <m/>
    <m/>
    <m/>
    <m/>
    <m/>
    <m/>
    <m/>
    <s v="Galeras Volcano"/>
    <s v="tents to the CRC - cost of shipping charged to 2099."/>
  </r>
  <r>
    <m/>
    <n v="139"/>
    <x v="146"/>
    <d v="2006-01-01T00:00:00"/>
    <x v="10"/>
    <n v="10"/>
    <m/>
    <n v="2006"/>
    <n v="1"/>
    <s v="Africa"/>
    <s v="Lesotho"/>
    <s v="Hydrometerological"/>
    <s v="Drought"/>
    <s v="Drought"/>
    <s v="Drought"/>
    <m/>
    <s v="Y"/>
    <s v="IFRC"/>
    <m/>
    <s v="05EA023"/>
    <m/>
    <m/>
    <m/>
    <m/>
    <n v="1500000"/>
    <m/>
    <m/>
    <n v="1"/>
    <n v="100000"/>
    <m/>
    <m/>
    <m/>
    <n v="100000"/>
    <n v="3"/>
    <m/>
    <m/>
    <m/>
    <m/>
    <m/>
    <m/>
    <m/>
    <m/>
    <m/>
    <m/>
    <m/>
    <m/>
    <m/>
    <m/>
    <m/>
    <m/>
    <m/>
    <m/>
    <m/>
    <n v="100000"/>
    <m/>
    <m/>
    <m/>
    <n v="100000"/>
    <s v="N"/>
    <m/>
    <m/>
    <m/>
    <m/>
    <n v="2099"/>
    <m/>
    <m/>
    <m/>
    <m/>
    <m/>
    <m/>
    <m/>
    <m/>
    <m/>
    <m/>
    <m/>
    <s v="Food Crisis"/>
    <s v="PMN contribution to support Federation's appeal relief operations in Lesotho."/>
  </r>
  <r>
    <m/>
    <n v="139"/>
    <x v="147"/>
    <d v="2006-01-01T00:00:00"/>
    <x v="10"/>
    <n v="10"/>
    <m/>
    <n v="2006"/>
    <n v="1"/>
    <s v="Africa"/>
    <s v="Malawi"/>
    <s v="Hydrometerological"/>
    <s v="Drought"/>
    <s v="Drought"/>
    <s v="Drought"/>
    <m/>
    <m/>
    <m/>
    <m/>
    <s v="05EA023"/>
    <m/>
    <m/>
    <m/>
    <m/>
    <m/>
    <m/>
    <m/>
    <n v="1"/>
    <n v="150000"/>
    <m/>
    <m/>
    <m/>
    <n v="150000"/>
    <m/>
    <m/>
    <m/>
    <m/>
    <m/>
    <m/>
    <m/>
    <m/>
    <m/>
    <m/>
    <m/>
    <m/>
    <m/>
    <m/>
    <m/>
    <m/>
    <m/>
    <m/>
    <m/>
    <m/>
    <n v="150000"/>
    <m/>
    <m/>
    <m/>
    <n v="150000"/>
    <s v="N"/>
    <m/>
    <m/>
    <m/>
    <m/>
    <n v="2099"/>
    <m/>
    <m/>
    <m/>
    <m/>
    <m/>
    <m/>
    <m/>
    <m/>
    <m/>
    <m/>
    <m/>
    <s v="Food Crisis"/>
    <s v="PMN contribution to support Federation's appeal earmarked for Community Base Health Care Program to leverage NLRC funding."/>
  </r>
  <r>
    <m/>
    <n v="139"/>
    <x v="148"/>
    <d v="2006-01-01T00:00:00"/>
    <x v="10"/>
    <n v="10"/>
    <m/>
    <n v="2006"/>
    <n v="1"/>
    <s v="Africa"/>
    <s v="Zimbabwe"/>
    <s v="Hydrometerological"/>
    <s v="Drought"/>
    <s v="Drought"/>
    <s v="Drought"/>
    <m/>
    <m/>
    <m/>
    <m/>
    <s v="05EA023"/>
    <m/>
    <m/>
    <m/>
    <m/>
    <m/>
    <m/>
    <m/>
    <n v="1"/>
    <n v="250000"/>
    <m/>
    <m/>
    <m/>
    <n v="250000"/>
    <m/>
    <m/>
    <m/>
    <m/>
    <m/>
    <m/>
    <m/>
    <m/>
    <m/>
    <m/>
    <m/>
    <m/>
    <m/>
    <m/>
    <m/>
    <m/>
    <m/>
    <m/>
    <m/>
    <m/>
    <n v="250000"/>
    <m/>
    <m/>
    <m/>
    <n v="250000"/>
    <s v="N"/>
    <m/>
    <m/>
    <m/>
    <m/>
    <n v="2099"/>
    <m/>
    <m/>
    <m/>
    <m/>
    <m/>
    <m/>
    <m/>
    <m/>
    <m/>
    <m/>
    <m/>
    <s v="Food Crisis"/>
    <s v="PMN contribution to support Federation's appeal relief operations in Zimbabwe."/>
  </r>
  <r>
    <m/>
    <n v="139"/>
    <x v="149"/>
    <d v="2006-01-01T00:00:00"/>
    <x v="10"/>
    <n v="10"/>
    <m/>
    <n v="2006"/>
    <n v="1"/>
    <s v="Africa"/>
    <s v="Zambia"/>
    <s v="Hydrometerological"/>
    <s v="Drought"/>
    <s v="Drought"/>
    <s v="Drought"/>
    <m/>
    <m/>
    <m/>
    <s v="`"/>
    <s v="05EA023"/>
    <m/>
    <m/>
    <m/>
    <m/>
    <m/>
    <m/>
    <m/>
    <n v="1"/>
    <n v="400000"/>
    <m/>
    <m/>
    <m/>
    <n v="400000"/>
    <m/>
    <m/>
    <m/>
    <m/>
    <m/>
    <m/>
    <m/>
    <m/>
    <m/>
    <m/>
    <m/>
    <m/>
    <m/>
    <m/>
    <m/>
    <m/>
    <m/>
    <m/>
    <m/>
    <m/>
    <n v="400000"/>
    <m/>
    <m/>
    <m/>
    <n v="400000"/>
    <s v="N"/>
    <m/>
    <m/>
    <m/>
    <m/>
    <n v="2099"/>
    <m/>
    <m/>
    <m/>
    <m/>
    <m/>
    <m/>
    <m/>
    <m/>
    <m/>
    <m/>
    <m/>
    <s v="Food Crisis"/>
    <s v="$400K &amp; $100K PMN contribution to support Federation's appeal relief operations in Zambia."/>
  </r>
  <r>
    <m/>
    <n v="140"/>
    <x v="150"/>
    <d v="2006-03-01T00:00:00"/>
    <x v="10"/>
    <n v="11"/>
    <m/>
    <n v="2006"/>
    <n v="2"/>
    <s v="Africa"/>
    <s v="Kenya"/>
    <s v="Hydrometerological"/>
    <s v="Drought"/>
    <s v="Drought"/>
    <s v="Drought"/>
    <m/>
    <s v="Y"/>
    <s v="IFRC"/>
    <n v="10500000"/>
    <s v="MDRKE001"/>
    <n v="1.4285714285714285E-2"/>
    <m/>
    <m/>
    <m/>
    <n v="329000"/>
    <m/>
    <m/>
    <n v="1"/>
    <n v="150000"/>
    <m/>
    <m/>
    <m/>
    <n v="150000"/>
    <m/>
    <m/>
    <m/>
    <m/>
    <m/>
    <m/>
    <m/>
    <m/>
    <m/>
    <m/>
    <m/>
    <m/>
    <m/>
    <m/>
    <m/>
    <m/>
    <m/>
    <m/>
    <m/>
    <m/>
    <n v="150000"/>
    <m/>
    <m/>
    <m/>
    <n v="150000"/>
    <s v="N"/>
    <m/>
    <m/>
    <m/>
    <m/>
    <n v="2099"/>
    <m/>
    <m/>
    <m/>
    <m/>
    <m/>
    <m/>
    <m/>
    <m/>
    <m/>
    <m/>
    <m/>
    <s v="E. Africa Appeal"/>
    <s v="PMN contribution to support Federation's appeal relief operations."/>
  </r>
  <r>
    <m/>
    <n v="141"/>
    <x v="151"/>
    <d v="2006-03-01T00:00:00"/>
    <x v="10"/>
    <n v="12"/>
    <m/>
    <n v="2006"/>
    <n v="3"/>
    <s v="Europe/Asia"/>
    <s v="Iraq"/>
    <s v="Human Related"/>
    <s v="Conflict"/>
    <s v="Conflict"/>
    <s v="Conflict"/>
    <m/>
    <s v="Y"/>
    <s v="IFRC/ ICRC"/>
    <m/>
    <s v="MDRIQ001 / 05EA026 / REX 07/346"/>
    <m/>
    <m/>
    <m/>
    <m/>
    <n v="455000"/>
    <m/>
    <m/>
    <n v="1"/>
    <n v="88443"/>
    <n v="100000"/>
    <m/>
    <m/>
    <n v="188443"/>
    <m/>
    <m/>
    <m/>
    <m/>
    <m/>
    <m/>
    <m/>
    <m/>
    <m/>
    <m/>
    <m/>
    <m/>
    <m/>
    <m/>
    <m/>
    <m/>
    <m/>
    <m/>
    <m/>
    <m/>
    <n v="188443"/>
    <m/>
    <m/>
    <n v="455000"/>
    <n v="188443"/>
    <s v="Y"/>
    <m/>
    <m/>
    <m/>
    <m/>
    <n v="2689"/>
    <m/>
    <m/>
    <m/>
    <m/>
    <m/>
    <m/>
    <m/>
    <m/>
    <m/>
    <m/>
    <m/>
    <s v="Humanitarian Emergency"/>
    <s v="19,170 PMN to IFRC Iraq: Floods Appeal No. MDRIQ001 for 25,000 beneficiaries; 69,272.96 PMN to IFRC Iraq: Humanitarian Emergency Appeal No. 05 EA026 for 350,000 beneficiaries; 100,000 Cash Contribution to ICRC's emergency appeal for Iraq activities related to wat/san for 80,000 beneficiaries."/>
  </r>
  <r>
    <s v="-2006-000022-TMP"/>
    <n v="142"/>
    <x v="152"/>
    <d v="2006-02-01T00:00:00"/>
    <x v="10"/>
    <n v="13"/>
    <m/>
    <n v="2006"/>
    <n v="4"/>
    <s v="Europe/Asia"/>
    <s v="Timor-Leste"/>
    <s v="Hydrometerological"/>
    <s v="Floods"/>
    <s v="General Floods"/>
    <s v="General Floods"/>
    <m/>
    <s v="Y"/>
    <s v="IFRC"/>
    <n v="485000"/>
    <s v="MDRTP001"/>
    <n v="0.10309278350515463"/>
    <m/>
    <m/>
    <m/>
    <n v="8400"/>
    <m/>
    <m/>
    <n v="1"/>
    <n v="50000"/>
    <m/>
    <m/>
    <m/>
    <n v="50000"/>
    <m/>
    <m/>
    <m/>
    <m/>
    <m/>
    <m/>
    <m/>
    <m/>
    <m/>
    <m/>
    <m/>
    <m/>
    <m/>
    <m/>
    <m/>
    <m/>
    <m/>
    <m/>
    <m/>
    <m/>
    <n v="50000"/>
    <m/>
    <m/>
    <n v="8400"/>
    <n v="50000"/>
    <s v="N"/>
    <m/>
    <m/>
    <m/>
    <m/>
    <n v="2799"/>
    <m/>
    <m/>
    <m/>
    <m/>
    <m/>
    <m/>
    <m/>
    <m/>
    <m/>
    <m/>
    <m/>
    <s v="Oecusse, Ainaro, Viqueque, Bobonaro and Baucau Districts"/>
    <s v="PMN contribution to support the Federation's operation in response to the Timor-Leste: Storms and Floods Emergency Appeal No. MDRTP001."/>
  </r>
  <r>
    <s v="MS-2006-000179-PHL"/>
    <n v="143"/>
    <x v="153"/>
    <d v="2006-02-01T00:00:00"/>
    <x v="10"/>
    <n v="14"/>
    <m/>
    <n v="2006"/>
    <n v="5"/>
    <s v="Europe/Asia"/>
    <s v="Philippines"/>
    <s v="Hydrometerological"/>
    <s v="Mass Movement Wet"/>
    <s v="Landslide"/>
    <s v="Mudslide"/>
    <m/>
    <s v="Y"/>
    <s v="IFRC"/>
    <n v="2000000"/>
    <s v="MDRPH001"/>
    <n v="2.5000000000000001E-2"/>
    <m/>
    <m/>
    <m/>
    <n v="8000"/>
    <m/>
    <m/>
    <n v="1"/>
    <n v="50000"/>
    <m/>
    <n v="5000"/>
    <m/>
    <n v="55000"/>
    <m/>
    <m/>
    <m/>
    <m/>
    <m/>
    <m/>
    <m/>
    <m/>
    <m/>
    <m/>
    <m/>
    <m/>
    <m/>
    <m/>
    <m/>
    <m/>
    <m/>
    <m/>
    <m/>
    <m/>
    <n v="55000"/>
    <m/>
    <m/>
    <n v="8000"/>
    <n v="55000"/>
    <s v="Y"/>
    <m/>
    <m/>
    <m/>
    <m/>
    <n v="2032"/>
    <m/>
    <m/>
    <m/>
    <m/>
    <m/>
    <m/>
    <m/>
    <m/>
    <m/>
    <m/>
    <m/>
    <s v="Southern Leyte"/>
    <s v="PMN contribution to support the Federation's operation in the Philippines: Landslides and Floods Emergency Appeal No. MDRPH001 in the amount of 50,000 USD; Amex donation to Philippines National Red Cross for their emergency operations in the amount of 5,000 USD."/>
  </r>
  <r>
    <m/>
    <n v="144"/>
    <x v="154"/>
    <d v="2006-05-01T00:00:00"/>
    <x v="10"/>
    <n v="15"/>
    <m/>
    <n v="2006"/>
    <n v="6"/>
    <s v="Africa"/>
    <s v="Angola"/>
    <s v="Biological"/>
    <s v="Epidemic"/>
    <s v="Bacterial"/>
    <s v="Bacterial"/>
    <m/>
    <m/>
    <m/>
    <m/>
    <m/>
    <m/>
    <m/>
    <m/>
    <m/>
    <m/>
    <m/>
    <m/>
    <m/>
    <m/>
    <m/>
    <m/>
    <m/>
    <n v="0"/>
    <n v="1"/>
    <m/>
    <m/>
    <m/>
    <m/>
    <m/>
    <m/>
    <m/>
    <m/>
    <m/>
    <m/>
    <m/>
    <m/>
    <m/>
    <m/>
    <m/>
    <m/>
    <m/>
    <m/>
    <n v="5000"/>
    <n v="5000"/>
    <m/>
    <m/>
    <m/>
    <n v="5000"/>
    <s v="N"/>
    <m/>
    <m/>
    <m/>
    <m/>
    <n v="2799"/>
    <m/>
    <m/>
    <m/>
    <m/>
    <m/>
    <m/>
    <m/>
    <m/>
    <m/>
    <m/>
    <m/>
    <s v="Cholera Outbreak"/>
    <s v="J. Koepsell as FACT Health"/>
  </r>
  <r>
    <m/>
    <n v="145"/>
    <x v="5"/>
    <d v="2006-04-01T00:00:00"/>
    <x v="10"/>
    <n v="16"/>
    <m/>
    <n v="2006"/>
    <n v="7"/>
    <s v="Africa"/>
    <s v="Ethiopia"/>
    <s v="Hydrometerological"/>
    <s v="Drought"/>
    <s v="Drought"/>
    <s v="Drought"/>
    <m/>
    <s v="Y"/>
    <s v="IFRC"/>
    <n v="1129750"/>
    <s v="MDRET001"/>
    <n v="8.3612303606992691E-2"/>
    <m/>
    <m/>
    <m/>
    <n v="36341"/>
    <m/>
    <m/>
    <n v="1"/>
    <n v="94461"/>
    <m/>
    <m/>
    <m/>
    <n v="94461"/>
    <m/>
    <m/>
    <m/>
    <m/>
    <m/>
    <m/>
    <m/>
    <m/>
    <m/>
    <m/>
    <m/>
    <m/>
    <m/>
    <m/>
    <m/>
    <m/>
    <m/>
    <m/>
    <m/>
    <m/>
    <n v="94461"/>
    <m/>
    <m/>
    <m/>
    <n v="94461"/>
    <s v="N"/>
    <m/>
    <m/>
    <m/>
    <m/>
    <n v="2099"/>
    <m/>
    <m/>
    <m/>
    <m/>
    <m/>
    <m/>
    <m/>
    <m/>
    <m/>
    <m/>
    <m/>
    <m/>
    <s v="PMN contribution to support Ethiopa: Drought Appeal"/>
  </r>
  <r>
    <m/>
    <n v="146"/>
    <x v="155"/>
    <d v="2006-04-01T00:00:00"/>
    <x v="10"/>
    <n v="17"/>
    <m/>
    <n v="2006"/>
    <n v="8"/>
    <s v="Africa"/>
    <s v="Somalia"/>
    <s v="Hydrometerological"/>
    <s v="Drought"/>
    <s v="Drought"/>
    <s v="Drought"/>
    <m/>
    <s v="Y"/>
    <s v="ICRC"/>
    <m/>
    <m/>
    <m/>
    <m/>
    <m/>
    <m/>
    <m/>
    <m/>
    <m/>
    <n v="1"/>
    <m/>
    <n v="250000"/>
    <m/>
    <m/>
    <n v="250000"/>
    <m/>
    <m/>
    <m/>
    <m/>
    <m/>
    <m/>
    <m/>
    <m/>
    <m/>
    <m/>
    <m/>
    <m/>
    <m/>
    <m/>
    <m/>
    <m/>
    <m/>
    <m/>
    <m/>
    <m/>
    <n v="250000"/>
    <m/>
    <m/>
    <m/>
    <n v="250000"/>
    <s v="N"/>
    <m/>
    <m/>
    <m/>
    <m/>
    <n v="2099"/>
    <m/>
    <m/>
    <m/>
    <m/>
    <m/>
    <m/>
    <m/>
    <m/>
    <m/>
    <m/>
    <m/>
    <m/>
    <s v="Pledge Letter to ICRC for Somalia Emergency Appeal"/>
  </r>
  <r>
    <m/>
    <n v="147"/>
    <x v="156"/>
    <d v="2006-04-01T00:00:00"/>
    <x v="10"/>
    <n v="18"/>
    <m/>
    <n v="2006"/>
    <n v="9"/>
    <s v="Europe/Asia"/>
    <s v="Spain"/>
    <s v="Human Related"/>
    <s v="Terrorism"/>
    <s v="Terrorism"/>
    <s v="Terrorism"/>
    <m/>
    <m/>
    <m/>
    <m/>
    <m/>
    <m/>
    <m/>
    <m/>
    <m/>
    <m/>
    <m/>
    <m/>
    <m/>
    <m/>
    <m/>
    <n v="20000"/>
    <m/>
    <n v="20000"/>
    <m/>
    <m/>
    <m/>
    <m/>
    <m/>
    <m/>
    <m/>
    <m/>
    <m/>
    <m/>
    <m/>
    <m/>
    <m/>
    <m/>
    <m/>
    <m/>
    <m/>
    <m/>
    <m/>
    <m/>
    <n v="20000"/>
    <m/>
    <m/>
    <m/>
    <n v="20000"/>
    <s v="Y"/>
    <m/>
    <m/>
    <m/>
    <m/>
    <n v="2903"/>
    <m/>
    <m/>
    <m/>
    <m/>
    <m/>
    <m/>
    <m/>
    <m/>
    <m/>
    <m/>
    <m/>
    <s v="April 2004 MadridTrain Bombing"/>
    <s v="Suspense acct contribution following April 2004 bombing. Grant to Spain RC for DPP"/>
  </r>
  <r>
    <m/>
    <n v="148"/>
    <x v="157"/>
    <d v="2006-05-01T00:00:00"/>
    <x v="10"/>
    <n v="19"/>
    <m/>
    <n v="2006"/>
    <n v="10"/>
    <s v="LAC"/>
    <s v="Colombia"/>
    <s v="Hydrometerological"/>
    <s v="Floods"/>
    <s v="General Floods"/>
    <m/>
    <m/>
    <m/>
    <m/>
    <m/>
    <m/>
    <m/>
    <m/>
    <m/>
    <m/>
    <m/>
    <m/>
    <n v="2500"/>
    <m/>
    <m/>
    <m/>
    <n v="50000"/>
    <m/>
    <n v="50000"/>
    <m/>
    <m/>
    <m/>
    <m/>
    <m/>
    <m/>
    <m/>
    <m/>
    <m/>
    <m/>
    <m/>
    <m/>
    <m/>
    <m/>
    <m/>
    <m/>
    <m/>
    <m/>
    <m/>
    <m/>
    <n v="50000"/>
    <m/>
    <m/>
    <m/>
    <n v="50000"/>
    <s v="N"/>
    <m/>
    <m/>
    <m/>
    <m/>
    <n v="2799"/>
    <m/>
    <m/>
    <m/>
    <m/>
    <m/>
    <m/>
    <m/>
    <m/>
    <m/>
    <m/>
    <m/>
    <m/>
    <s v="OFDA award in support of ARC's proposal &quot;Colombia Floods 2006&quot; to support CRC emergency relief response."/>
  </r>
  <r>
    <s v="EQ-2006-000064-IDN"/>
    <n v="149"/>
    <x v="158"/>
    <d v="2006-05-01T00:00:00"/>
    <x v="10"/>
    <n v="20"/>
    <m/>
    <n v="2006"/>
    <n v="11"/>
    <s v="Europe/Asia"/>
    <s v="Indonesia"/>
    <s v="Geophysical"/>
    <s v="Earthquake"/>
    <s v="Earthquake"/>
    <s v="Earthquake"/>
    <m/>
    <s v="Y"/>
    <s v="IFRC"/>
    <n v="31000000"/>
    <s v="MDRID001"/>
    <m/>
    <m/>
    <m/>
    <m/>
    <n v="325000"/>
    <m/>
    <m/>
    <n v="1"/>
    <n v="1398250"/>
    <m/>
    <m/>
    <m/>
    <n v="1398250"/>
    <n v="7"/>
    <s v="Relief ERU"/>
    <m/>
    <m/>
    <m/>
    <m/>
    <m/>
    <m/>
    <m/>
    <m/>
    <m/>
    <m/>
    <m/>
    <m/>
    <m/>
    <m/>
    <m/>
    <m/>
    <m/>
    <n v="87500"/>
    <n v="1485750"/>
    <m/>
    <m/>
    <n v="13000"/>
    <n v="1485750"/>
    <s v="Y"/>
    <m/>
    <m/>
    <m/>
    <m/>
    <s v="2930 / 2799"/>
    <m/>
    <m/>
    <m/>
    <m/>
    <m/>
    <m/>
    <m/>
    <m/>
    <m/>
    <m/>
    <m/>
    <s v="Yogyakarta"/>
    <s v="CASH: 1. PMN to Fed 119,000 from AP2930  2. PMN to Fed 179,250 from AP2930 earmarked for 80K sleeping mats 3. PMN from AP2930 to Fed 1 million earmarked for tarps (600K), PSP (100K), DM (300K); PMN contribution to support Fed appeal relief operations - joint w/ 119,000 from AP 2930 4. PEOPLE: Relief ERU deployed with N. Cooper, C. Blake, S. Rahman, B. Riester, T. Betz, C. Chaperon. PA B. Gillespie, Health S. Shetty, PSP team"/>
  </r>
  <r>
    <m/>
    <n v="150"/>
    <x v="88"/>
    <d v="2006-07-01T00:00:00"/>
    <x v="11"/>
    <n v="1"/>
    <m/>
    <n v="2006"/>
    <n v="12"/>
    <s v="Europe/Asia"/>
    <s v="Romania"/>
    <s v="Hydrometerological"/>
    <s v="Floods"/>
    <s v="General Floods"/>
    <s v="General Floods"/>
    <m/>
    <s v="Y"/>
    <s v="IFRC"/>
    <n v="1900000"/>
    <s v="MDRRO001"/>
    <n v="2.631578947368421E-3"/>
    <m/>
    <m/>
    <m/>
    <n v="13000"/>
    <m/>
    <m/>
    <n v="0"/>
    <n v="5000"/>
    <m/>
    <m/>
    <m/>
    <n v="5000"/>
    <m/>
    <m/>
    <m/>
    <m/>
    <m/>
    <m/>
    <m/>
    <m/>
    <m/>
    <m/>
    <m/>
    <m/>
    <m/>
    <m/>
    <m/>
    <m/>
    <m/>
    <m/>
    <m/>
    <m/>
    <n v="5000"/>
    <m/>
    <m/>
    <m/>
    <n v="5000"/>
    <s v="Y"/>
    <m/>
    <m/>
    <m/>
    <m/>
    <n v="2685"/>
    <m/>
    <m/>
    <m/>
    <m/>
    <m/>
    <m/>
    <m/>
    <m/>
    <m/>
    <m/>
    <m/>
    <s v="Country-Wide"/>
    <s v="PMN contribution to support Federation's Emergency Appeal - AmEx contribution - from suspense acct"/>
  </r>
  <r>
    <m/>
    <n v="151"/>
    <x v="159"/>
    <d v="2006-07-01T00:00:00"/>
    <x v="11"/>
    <n v="2"/>
    <m/>
    <n v="2006"/>
    <n v="13"/>
    <s v="Europe/Asia"/>
    <s v="Lebanon"/>
    <s v="Human Related"/>
    <s v="Conflict"/>
    <s v="Conflict"/>
    <s v="Conflict"/>
    <m/>
    <s v="Y"/>
    <s v="IFRC/ICRC"/>
    <n v="83131000"/>
    <s v="MDR81001 /REX 06/575"/>
    <m/>
    <m/>
    <m/>
    <m/>
    <n v="2000000"/>
    <m/>
    <m/>
    <n v="1"/>
    <n v="475000"/>
    <n v="1058600"/>
    <n v="356000"/>
    <m/>
    <n v="1889600"/>
    <m/>
    <m/>
    <m/>
    <m/>
    <m/>
    <m/>
    <m/>
    <m/>
    <m/>
    <m/>
    <m/>
    <m/>
    <m/>
    <m/>
    <m/>
    <m/>
    <m/>
    <m/>
    <m/>
    <m/>
    <n v="1889600"/>
    <m/>
    <m/>
    <m/>
    <n v="1889600"/>
    <s v="Y"/>
    <m/>
    <m/>
    <m/>
    <m/>
    <s v="2099 /2649"/>
    <m/>
    <m/>
    <m/>
    <m/>
    <m/>
    <m/>
    <m/>
    <m/>
    <m/>
    <m/>
    <m/>
    <s v="Humanitarian Crisis"/>
    <s v="CASH: Contributions to ICRC - 1. $500,000 2. $150,000 3. $211,136 to MDA specifically from AP2099; Contributions to ICRC - 1. $150,000 2. 47,500 (Dow Chemical Com from AP2649 pany), Contribution to Fed $475,000 (Coca Cola) from AP2649; $200,000 grant to Palestinian Red Crescent for southern Lebanon; $156,000 grant to Lebanese Red Cross for ambulances"/>
  </r>
  <r>
    <m/>
    <n v="152"/>
    <x v="8"/>
    <d v="2006-08-01T00:00:00"/>
    <x v="11"/>
    <n v="3"/>
    <m/>
    <n v="2006"/>
    <n v="14"/>
    <s v="Europe/Asia"/>
    <s v="China"/>
    <s v="Hydrometerological"/>
    <s v="Floods"/>
    <s v="General Floods"/>
    <s v="General Floods"/>
    <m/>
    <s v="Y"/>
    <s v="IFRC"/>
    <n v="4825791"/>
    <s v="MDRCN001"/>
    <n v="1.036099574142353E-2"/>
    <m/>
    <m/>
    <m/>
    <n v="240000"/>
    <m/>
    <m/>
    <n v="1"/>
    <n v="50000"/>
    <m/>
    <m/>
    <m/>
    <n v="50000"/>
    <m/>
    <m/>
    <m/>
    <m/>
    <m/>
    <m/>
    <m/>
    <m/>
    <m/>
    <m/>
    <m/>
    <m/>
    <m/>
    <m/>
    <m/>
    <m/>
    <m/>
    <m/>
    <m/>
    <m/>
    <n v="50000"/>
    <m/>
    <m/>
    <m/>
    <n v="50000"/>
    <s v="N"/>
    <m/>
    <m/>
    <m/>
    <m/>
    <n v="2799"/>
    <m/>
    <m/>
    <m/>
    <m/>
    <m/>
    <m/>
    <m/>
    <m/>
    <m/>
    <m/>
    <m/>
    <m/>
    <s v="PMN contribution earmarked for procurement of rice to support Fed's China: Floods Appeal"/>
  </r>
  <r>
    <s v="VO-2006-"/>
    <n v="153"/>
    <x v="160"/>
    <d v="2006-08-01T00:00:00"/>
    <x v="11"/>
    <n v="4"/>
    <m/>
    <n v="2006"/>
    <n v="15"/>
    <s v="LAC"/>
    <s v="Ecuador"/>
    <s v="Geophysical"/>
    <s v="Volcano"/>
    <s v="Volcanic Eruption"/>
    <s v="Volcanic Eruption"/>
    <m/>
    <s v="Y"/>
    <s v="IFRC"/>
    <n v="514753"/>
    <s v="MDREC002"/>
    <n v="0"/>
    <n v="1"/>
    <m/>
    <m/>
    <n v="5475"/>
    <m/>
    <m/>
    <m/>
    <m/>
    <m/>
    <n v="50000"/>
    <m/>
    <n v="50000"/>
    <m/>
    <m/>
    <m/>
    <m/>
    <m/>
    <m/>
    <m/>
    <m/>
    <m/>
    <m/>
    <m/>
    <m/>
    <m/>
    <m/>
    <m/>
    <m/>
    <m/>
    <m/>
    <m/>
    <m/>
    <n v="50000"/>
    <m/>
    <m/>
    <m/>
    <n v="50000"/>
    <s v="N"/>
    <m/>
    <m/>
    <m/>
    <m/>
    <n v="2799"/>
    <m/>
    <m/>
    <m/>
    <m/>
    <m/>
    <m/>
    <m/>
    <m/>
    <m/>
    <m/>
    <m/>
    <s v="Tungurahua"/>
    <s v="OFDA award in support of ARC's proposal &quot;Tungurahua Volcano eruption&quot; to support the ERC emergency relief response."/>
  </r>
  <r>
    <s v="FL-2006-000122-ETH"/>
    <n v="154"/>
    <x v="161"/>
    <d v="2006-08-01T00:00:00"/>
    <x v="11"/>
    <n v="5"/>
    <m/>
    <n v="2006"/>
    <n v="16"/>
    <s v="Africa"/>
    <s v="Ethiopia"/>
    <s v="Hydrometerological"/>
    <s v="Floods"/>
    <s v="General Floods"/>
    <s v="General Floods"/>
    <m/>
    <s v="Y"/>
    <s v="IFRC"/>
    <n v="4225070"/>
    <s v="MDRET003"/>
    <n v="2.0118009879126264E-2"/>
    <m/>
    <m/>
    <m/>
    <n v="25000"/>
    <m/>
    <m/>
    <n v="1"/>
    <n v="85000"/>
    <m/>
    <m/>
    <m/>
    <n v="85000"/>
    <n v="2"/>
    <m/>
    <m/>
    <m/>
    <m/>
    <m/>
    <m/>
    <m/>
    <m/>
    <m/>
    <m/>
    <m/>
    <m/>
    <m/>
    <m/>
    <m/>
    <m/>
    <m/>
    <m/>
    <m/>
    <n v="85000"/>
    <m/>
    <m/>
    <m/>
    <n v="85000"/>
    <s v="Y"/>
    <m/>
    <m/>
    <m/>
    <m/>
    <s v="2099 / 2648"/>
    <m/>
    <m/>
    <m/>
    <m/>
    <m/>
    <m/>
    <m/>
    <m/>
    <m/>
    <m/>
    <m/>
    <s v="Amhara"/>
    <s v="CASH: PMN from 2099 contribution to Fed Appeal earmarked for tarps, blankets, sleeping mats PEOPLE: Deployed J. Manley, Prog Coordinator, 2 mo. AND K.White, Prog Delegate, 2 mo. From AP 2648."/>
  </r>
  <r>
    <s v="FL-2006-000123-SDN"/>
    <n v="155"/>
    <x v="162"/>
    <d v="2006-09-01T00:00:00"/>
    <x v="11"/>
    <n v="6"/>
    <m/>
    <n v="2006"/>
    <n v="17"/>
    <s v="Africa"/>
    <s v="Sudan"/>
    <s v="Hydrometerological"/>
    <s v="Floods"/>
    <s v="General Floods"/>
    <s v="General Floods"/>
    <m/>
    <s v="Y"/>
    <s v="IFRC"/>
    <n v="492625"/>
    <s v="MDRSD002"/>
    <n v="2.0299416391778735E-2"/>
    <m/>
    <m/>
    <m/>
    <n v="15000"/>
    <m/>
    <m/>
    <n v="0"/>
    <n v="10000"/>
    <m/>
    <m/>
    <m/>
    <n v="10000"/>
    <m/>
    <m/>
    <m/>
    <n v="10000"/>
    <m/>
    <m/>
    <m/>
    <m/>
    <m/>
    <m/>
    <m/>
    <m/>
    <n v="10000"/>
    <m/>
    <m/>
    <m/>
    <m/>
    <m/>
    <n v="36900"/>
    <m/>
    <n v="46900"/>
    <m/>
    <m/>
    <m/>
    <n v="46900"/>
    <s v="Y"/>
    <m/>
    <m/>
    <m/>
    <m/>
    <n v="2802"/>
    <m/>
    <m/>
    <m/>
    <m/>
    <m/>
    <m/>
    <m/>
    <s v="N"/>
    <m/>
    <m/>
    <m/>
    <m/>
    <s v="Nets @ $3.69 each + $10,000 (transport) = $46,900"/>
  </r>
  <r>
    <s v="TC-2006-000175-PHL"/>
    <n v="156"/>
    <x v="163"/>
    <d v="2006-10-01T00:00:00"/>
    <x v="11"/>
    <n v="7"/>
    <m/>
    <n v="2006"/>
    <n v="18"/>
    <s v="Europe/Asia"/>
    <s v="Philippines"/>
    <s v="Hydrometerological"/>
    <s v="Storm"/>
    <s v="Tropical Cyclone"/>
    <s v="Typhoon"/>
    <m/>
    <s v="Y"/>
    <s v="IFRC"/>
    <n v="8637057"/>
    <s v="MDRPH002"/>
    <n v="9.1119000372464828E-2"/>
    <m/>
    <m/>
    <m/>
    <n v="1030000"/>
    <m/>
    <m/>
    <n v="1"/>
    <n v="787000"/>
    <m/>
    <m/>
    <m/>
    <n v="787000"/>
    <n v="2"/>
    <m/>
    <m/>
    <m/>
    <m/>
    <m/>
    <m/>
    <m/>
    <m/>
    <m/>
    <m/>
    <m/>
    <m/>
    <m/>
    <m/>
    <m/>
    <m/>
    <m/>
    <m/>
    <n v="6500"/>
    <n v="793500"/>
    <m/>
    <m/>
    <m/>
    <n v="793500"/>
    <s v="Y"/>
    <m/>
    <m/>
    <m/>
    <m/>
    <n v="2032"/>
    <m/>
    <m/>
    <m/>
    <m/>
    <m/>
    <m/>
    <m/>
    <s v="N"/>
    <m/>
    <m/>
    <m/>
    <s v="Xangsane / Durian"/>
    <s v="PEOPLE: Deployed B. Gaillis, Ops Coordinator, 5 wks; Deployed C. Blake, FACT Relief, 3 wks. CASH: 2. PMN Fed Philippines: Typhoons $237,000 from AP2032; PMN Fed Philippines: Typhoon Xangsane Appeal $200,000 from AP2099;  3. PMN Fed Philippines: Typhoons $350K earmarked for CGI from AP2032;"/>
  </r>
  <r>
    <s v="TC-2006-000144-VNM; TC-2006-000175-VNM"/>
    <n v="157"/>
    <x v="164"/>
    <d v="2006-10-01T00:00:00"/>
    <x v="11"/>
    <n v="8"/>
    <m/>
    <n v="2006"/>
    <n v="19"/>
    <s v="Europe/Asia"/>
    <s v="Vietnam"/>
    <s v="Hydrometerological"/>
    <s v="Storm"/>
    <s v="Tropical Cyclone"/>
    <s v="Typhoon"/>
    <m/>
    <s v="Y"/>
    <s v="IFRC"/>
    <n v="1340000"/>
    <s v="MDRVN001"/>
    <n v="4.7014925373134328E-2"/>
    <m/>
    <m/>
    <m/>
    <n v="60400"/>
    <m/>
    <m/>
    <n v="1"/>
    <n v="63000"/>
    <m/>
    <m/>
    <m/>
    <n v="63000"/>
    <m/>
    <m/>
    <m/>
    <m/>
    <m/>
    <m/>
    <m/>
    <m/>
    <m/>
    <m/>
    <m/>
    <m/>
    <m/>
    <m/>
    <m/>
    <m/>
    <m/>
    <m/>
    <m/>
    <m/>
    <n v="63000"/>
    <m/>
    <m/>
    <m/>
    <n v="63000"/>
    <s v="N"/>
    <m/>
    <m/>
    <m/>
    <m/>
    <n v="2799"/>
    <m/>
    <m/>
    <m/>
    <m/>
    <m/>
    <m/>
    <m/>
    <s v="Y"/>
    <m/>
    <m/>
    <m/>
    <s v="Xangsane"/>
    <s v="PMN Fed Vietnam from AP2799: Typhoon Xangsane Appeal $25,000; PMN Fed Vietnam from AP2870: Typhoon Xangsane $38,000"/>
  </r>
  <r>
    <m/>
    <n v="158"/>
    <x v="165"/>
    <d v="2006-11-01T00:00:00"/>
    <x v="11"/>
    <n v="9"/>
    <m/>
    <n v="2006"/>
    <n v="20"/>
    <s v="Africa"/>
    <s v="Somalia"/>
    <s v="Human Related"/>
    <s v="Conflict"/>
    <s v="Conflict"/>
    <s v="Conflict"/>
    <m/>
    <m/>
    <m/>
    <m/>
    <m/>
    <m/>
    <m/>
    <m/>
    <m/>
    <m/>
    <m/>
    <m/>
    <m/>
    <m/>
    <n v="50000"/>
    <m/>
    <m/>
    <n v="50000"/>
    <m/>
    <m/>
    <m/>
    <m/>
    <m/>
    <m/>
    <m/>
    <m/>
    <m/>
    <m/>
    <m/>
    <m/>
    <m/>
    <m/>
    <m/>
    <m/>
    <m/>
    <m/>
    <m/>
    <m/>
    <n v="50000"/>
    <m/>
    <m/>
    <m/>
    <n v="50000"/>
    <s v="N"/>
    <m/>
    <m/>
    <m/>
    <m/>
    <n v="2799"/>
    <m/>
    <m/>
    <m/>
    <m/>
    <m/>
    <m/>
    <m/>
    <s v="Y"/>
    <m/>
    <m/>
    <m/>
    <s v="IDP"/>
    <s v="Contribution to ICRC 2006 Somalia Emergency Appeal - spec IDPs"/>
  </r>
  <r>
    <s v="FL-2006-000159-KEN"/>
    <n v="159"/>
    <x v="81"/>
    <d v="2006-11-01T00:00:00"/>
    <x v="11"/>
    <n v="10"/>
    <m/>
    <n v="2006"/>
    <n v="21"/>
    <s v="Africa"/>
    <s v="Kenya"/>
    <s v="Hydrometerological"/>
    <s v="Floods"/>
    <s v="General Floods"/>
    <s v="General Floods"/>
    <m/>
    <s v="Y"/>
    <s v="IFRC"/>
    <n v="21832647"/>
    <s v="MDRKE003"/>
    <n v="2.290148326952751E-3"/>
    <m/>
    <m/>
    <m/>
    <n v="563000"/>
    <m/>
    <m/>
    <n v="1"/>
    <n v="50000"/>
    <m/>
    <n v="30000"/>
    <m/>
    <n v="80000"/>
    <m/>
    <m/>
    <m/>
    <n v="20000"/>
    <m/>
    <m/>
    <m/>
    <m/>
    <m/>
    <m/>
    <m/>
    <m/>
    <n v="20000"/>
    <m/>
    <m/>
    <m/>
    <m/>
    <m/>
    <n v="120000"/>
    <m/>
    <n v="200000"/>
    <m/>
    <m/>
    <m/>
    <n v="200000"/>
    <s v="Y"/>
    <m/>
    <m/>
    <m/>
    <m/>
    <s v="2925 / 2099"/>
    <m/>
    <m/>
    <m/>
    <m/>
    <m/>
    <m/>
    <m/>
    <s v="N"/>
    <m/>
    <m/>
    <m/>
    <m/>
    <s v="CASH: From AP2925: 30K - IDR/IP grant directly to Kenya Red Cross; PMN to Fed - 50k from LDS; SUPPLIES: 20,000 (mosquito nets) @ $4.44 each + PSR, etc + $20,000 (transport) = $120,000 from AP2099"/>
  </r>
  <r>
    <m/>
    <n v="160"/>
    <x v="166"/>
    <d v="2006-11-01T00:00:00"/>
    <x v="11"/>
    <n v="11"/>
    <m/>
    <n v="2006"/>
    <n v="22"/>
    <s v="Africa"/>
    <s v="Somalia"/>
    <s v="Hydrometerological"/>
    <s v="Floods"/>
    <s v="General Floods"/>
    <s v="General Floods"/>
    <m/>
    <s v="Y"/>
    <s v="ICRC"/>
    <n v="33508000"/>
    <s v="REX 06/813"/>
    <m/>
    <m/>
    <m/>
    <m/>
    <n v="324000"/>
    <m/>
    <m/>
    <m/>
    <m/>
    <n v="100000"/>
    <m/>
    <m/>
    <n v="100000"/>
    <m/>
    <m/>
    <m/>
    <m/>
    <m/>
    <m/>
    <m/>
    <m/>
    <m/>
    <m/>
    <m/>
    <m/>
    <m/>
    <m/>
    <m/>
    <m/>
    <m/>
    <m/>
    <m/>
    <m/>
    <n v="100000"/>
    <m/>
    <m/>
    <m/>
    <n v="100000"/>
    <s v="N"/>
    <m/>
    <m/>
    <m/>
    <m/>
    <n v="2099"/>
    <m/>
    <m/>
    <m/>
    <m/>
    <m/>
    <m/>
    <m/>
    <s v="N"/>
    <m/>
    <m/>
    <m/>
    <m/>
    <s v="Contribution to ICRC 2006 Somalia Emergency Appeal - spec those affected by floods"/>
  </r>
  <r>
    <s v="FL-2006-000198-MOZ"/>
    <n v="161"/>
    <x v="46"/>
    <d v="2007-02-01T00:00:00"/>
    <x v="11"/>
    <n v="12"/>
    <m/>
    <n v="2007"/>
    <n v="1"/>
    <s v="Africa"/>
    <s v="Mozambique"/>
    <s v="Hydrometerological"/>
    <s v="Floods"/>
    <s v="General Floods"/>
    <s v="General Floods"/>
    <m/>
    <s v="Y"/>
    <s v="IFRC"/>
    <n v="5971938"/>
    <s v="MDRMZ002"/>
    <m/>
    <m/>
    <m/>
    <m/>
    <n v="100000"/>
    <m/>
    <m/>
    <m/>
    <m/>
    <m/>
    <m/>
    <m/>
    <n v="0"/>
    <n v="2"/>
    <s v="Relief ERU"/>
    <m/>
    <n v="26950"/>
    <m/>
    <m/>
    <n v="7050"/>
    <m/>
    <m/>
    <m/>
    <m/>
    <m/>
    <m/>
    <m/>
    <n v="3900"/>
    <m/>
    <m/>
    <m/>
    <n v="200000"/>
    <n v="45000"/>
    <n v="245000"/>
    <m/>
    <m/>
    <m/>
    <n v="245000"/>
    <s v="Y"/>
    <m/>
    <m/>
    <m/>
    <m/>
    <s v="2099 /2936"/>
    <m/>
    <m/>
    <m/>
    <m/>
    <m/>
    <m/>
    <m/>
    <s v="N"/>
    <m/>
    <m/>
    <m/>
    <s v="Caia"/>
    <s v="SUPPLIES: 7050 blankets @ $3.75, 3900 tarps @ $14.20, 16,000 sleeping mats @ $1.70; PEOPLE: Relief ERU deployment - T. Reines, G. Guinta, 1 month, 2nd team rotation from  AP2936"/>
  </r>
  <r>
    <s v="FL-2007-000012-BOL"/>
    <n v="162"/>
    <x v="48"/>
    <d v="2007-02-01T00:00:00"/>
    <x v="11"/>
    <n v="13"/>
    <m/>
    <n v="2007"/>
    <n v="2"/>
    <s v="LAC"/>
    <s v="Bolivia"/>
    <s v="Hydrometerological"/>
    <s v="Floods"/>
    <s v="General Floods"/>
    <s v="General Floods"/>
    <m/>
    <s v="Y"/>
    <s v="IFRC"/>
    <n v="484360"/>
    <s v="MDRBO002"/>
    <m/>
    <m/>
    <m/>
    <m/>
    <n v="35940"/>
    <m/>
    <m/>
    <n v="1"/>
    <n v="150000"/>
    <m/>
    <m/>
    <m/>
    <n v="150000"/>
    <m/>
    <m/>
    <m/>
    <m/>
    <m/>
    <m/>
    <m/>
    <m/>
    <m/>
    <m/>
    <m/>
    <m/>
    <m/>
    <m/>
    <m/>
    <m/>
    <m/>
    <m/>
    <m/>
    <m/>
    <n v="150000"/>
    <m/>
    <m/>
    <m/>
    <n v="150000"/>
    <s v="Y"/>
    <m/>
    <m/>
    <m/>
    <m/>
    <s v="2099 / 2666"/>
    <m/>
    <m/>
    <m/>
    <m/>
    <m/>
    <m/>
    <m/>
    <s v="N"/>
    <m/>
    <m/>
    <m/>
    <m/>
    <s v="$50,000 PMN to Fed - unearmarked from 2099; $100,000  from 2666 - OFDA grant to Fed via PMN. Earmarked for 1500 food parcels, 1500 tool kits and remaining goes to transport costs."/>
  </r>
  <r>
    <m/>
    <n v="163"/>
    <x v="167"/>
    <d v="2007-03-01T00:00:00"/>
    <x v="11"/>
    <n v="14"/>
    <m/>
    <n v="2007"/>
    <n v="3"/>
    <s v="Europe/Asia"/>
    <s v="Sri Lanka"/>
    <s v="Human Related"/>
    <s v="Conflict"/>
    <s v="Conflict"/>
    <s v="Conflict"/>
    <m/>
    <s v="Y"/>
    <s v="ICRC"/>
    <n v="32018000"/>
    <s v="REX 07/376"/>
    <m/>
    <m/>
    <m/>
    <m/>
    <n v="150000"/>
    <m/>
    <m/>
    <m/>
    <m/>
    <n v="2000000"/>
    <m/>
    <m/>
    <n v="2000000"/>
    <m/>
    <m/>
    <m/>
    <m/>
    <m/>
    <m/>
    <m/>
    <m/>
    <m/>
    <m/>
    <m/>
    <m/>
    <m/>
    <m/>
    <m/>
    <m/>
    <m/>
    <m/>
    <m/>
    <m/>
    <n v="2000000"/>
    <m/>
    <m/>
    <m/>
    <n v="2000000"/>
    <s v="Y"/>
    <m/>
    <m/>
    <m/>
    <m/>
    <s v="2695 /2692"/>
    <m/>
    <m/>
    <m/>
    <m/>
    <m/>
    <m/>
    <m/>
    <s v="N"/>
    <m/>
    <m/>
    <m/>
    <m/>
    <s v="Contribution to ICRC 2007 Sri Lanka Emergency Appeal - to build the capacity of the SLRCS in disaster relief, IHL and overall cooperation. $320K earmarked to support ICRC HQ ops"/>
  </r>
  <r>
    <m/>
    <n v="164"/>
    <x v="168"/>
    <d v="2007-03-01T00:00:00"/>
    <x v="11"/>
    <n v="15"/>
    <m/>
    <n v="2007"/>
    <n v="4"/>
    <s v="Africa"/>
    <s v="Madagascar"/>
    <s v="Hydrometerological"/>
    <s v="Storm"/>
    <s v="Tropical Cyclone"/>
    <s v="Cyclone"/>
    <m/>
    <s v="Y"/>
    <s v="IFRC"/>
    <n v="1649430"/>
    <s v="MDRMG002"/>
    <m/>
    <m/>
    <m/>
    <m/>
    <n v="60000"/>
    <m/>
    <m/>
    <m/>
    <m/>
    <m/>
    <m/>
    <m/>
    <n v="0"/>
    <n v="5"/>
    <s v="Relief ERU"/>
    <m/>
    <n v="10000"/>
    <m/>
    <m/>
    <m/>
    <m/>
    <m/>
    <m/>
    <m/>
    <m/>
    <n v="1000"/>
    <m/>
    <m/>
    <m/>
    <m/>
    <m/>
    <n v="74000"/>
    <n v="28000"/>
    <n v="102000"/>
    <m/>
    <m/>
    <m/>
    <n v="102000"/>
    <s v="Y"/>
    <m/>
    <m/>
    <m/>
    <m/>
    <s v="2936 / 2799"/>
    <m/>
    <m/>
    <m/>
    <m/>
    <m/>
    <m/>
    <m/>
    <s v="N"/>
    <m/>
    <m/>
    <m/>
    <s v="Indlala / Jaya"/>
    <s v="SUPPLIES: 1000 Mosquito Nets - $74,000 from 2799; PEOPLE: Deployed B. Gaillis, FACT, 3 wks; Deployed Relief ERU - C. Chaperon, G. Matthews 4 wks; Deployed 2nd rotation of Relief ERU - J. Manley, S. Hagerich, 4 wks - $18,000 cost from 2936"/>
  </r>
  <r>
    <s v="TS-2007-000042-SLB"/>
    <n v="165"/>
    <x v="169"/>
    <d v="2007-04-01T00:00:00"/>
    <x v="11"/>
    <n v="16"/>
    <m/>
    <n v="2007"/>
    <n v="5"/>
    <s v="Europe/Asia"/>
    <s v="Solomon Islands"/>
    <s v="Geophysical"/>
    <s v="Earthquake"/>
    <s v="Tsunami"/>
    <s v="Tsunami"/>
    <m/>
    <s v="Y"/>
    <s v="IFRC"/>
    <n v="1405645"/>
    <s v="MDRSB001"/>
    <m/>
    <m/>
    <m/>
    <m/>
    <n v="9000"/>
    <m/>
    <m/>
    <n v="1"/>
    <n v="50000"/>
    <m/>
    <m/>
    <m/>
    <n v="50000"/>
    <m/>
    <m/>
    <m/>
    <m/>
    <m/>
    <m/>
    <m/>
    <m/>
    <m/>
    <m/>
    <m/>
    <m/>
    <m/>
    <m/>
    <m/>
    <m/>
    <m/>
    <m/>
    <m/>
    <m/>
    <n v="50000"/>
    <m/>
    <m/>
    <m/>
    <n v="50000"/>
    <s v="Y"/>
    <m/>
    <m/>
    <m/>
    <m/>
    <n v="2881"/>
    <m/>
    <m/>
    <m/>
    <m/>
    <m/>
    <m/>
    <m/>
    <s v="N"/>
    <m/>
    <m/>
    <m/>
    <m/>
    <s v="PMN to Fed - unearmarked"/>
  </r>
  <r>
    <m/>
    <n v="166"/>
    <x v="170"/>
    <d v="2007-05-01T00:00:00"/>
    <x v="11"/>
    <n v="17"/>
    <m/>
    <n v="2007"/>
    <n v="6"/>
    <s v="LAC"/>
    <s v="Colombia"/>
    <s v="Hydrometerological"/>
    <s v="Floods"/>
    <s v="General Floods"/>
    <s v="General Floods"/>
    <m/>
    <m/>
    <m/>
    <m/>
    <m/>
    <m/>
    <m/>
    <m/>
    <m/>
    <m/>
    <m/>
    <n v="3600"/>
    <m/>
    <m/>
    <m/>
    <n v="5000"/>
    <m/>
    <n v="5000"/>
    <m/>
    <m/>
    <m/>
    <m/>
    <m/>
    <m/>
    <m/>
    <m/>
    <m/>
    <m/>
    <m/>
    <m/>
    <m/>
    <m/>
    <m/>
    <m/>
    <m/>
    <m/>
    <m/>
    <m/>
    <n v="5000"/>
    <m/>
    <m/>
    <m/>
    <n v="5000"/>
    <s v="N"/>
    <m/>
    <m/>
    <m/>
    <m/>
    <n v="2799"/>
    <m/>
    <m/>
    <m/>
    <m/>
    <m/>
    <m/>
    <m/>
    <s v="Y"/>
    <m/>
    <m/>
    <m/>
    <s v="Tolima"/>
    <s v="Grant to NS for NFIs, health team visits, general admin costs"/>
  </r>
  <r>
    <m/>
    <n v="167"/>
    <x v="171"/>
    <d v="2007-05-01T00:00:00"/>
    <x v="11"/>
    <n v="18"/>
    <m/>
    <n v="2007"/>
    <n v="7"/>
    <s v="LAC"/>
    <s v="Mexico"/>
    <s v="Hydrometerological"/>
    <s v="Storm"/>
    <s v="Local Storm"/>
    <s v="Tornado"/>
    <m/>
    <m/>
    <s v="NS"/>
    <m/>
    <m/>
    <m/>
    <m/>
    <m/>
    <m/>
    <m/>
    <m/>
    <n v="3000"/>
    <m/>
    <m/>
    <m/>
    <n v="20000"/>
    <m/>
    <n v="20000"/>
    <m/>
    <m/>
    <m/>
    <m/>
    <m/>
    <m/>
    <m/>
    <m/>
    <m/>
    <m/>
    <m/>
    <m/>
    <m/>
    <m/>
    <m/>
    <m/>
    <m/>
    <m/>
    <m/>
    <m/>
    <n v="20000"/>
    <m/>
    <m/>
    <m/>
    <n v="20000"/>
    <s v="Y"/>
    <m/>
    <m/>
    <m/>
    <m/>
    <n v="2690"/>
    <m/>
    <m/>
    <m/>
    <m/>
    <m/>
    <m/>
    <m/>
    <s v="N"/>
    <m/>
    <m/>
    <m/>
    <s v="Coahuila"/>
    <s v="Grant to NS for NFIs - kitchen, hygiene, baby kits; laterns w/ radios"/>
  </r>
  <r>
    <m/>
    <n v="168"/>
    <x v="165"/>
    <d v="2007-06-01T00:00:00"/>
    <x v="11"/>
    <n v="19"/>
    <m/>
    <n v="2007"/>
    <n v="8"/>
    <s v="Africa"/>
    <s v="Somalia"/>
    <s v="Human Related"/>
    <s v="Conflict"/>
    <s v="Conflict"/>
    <s v="Conflict"/>
    <m/>
    <s v="Y"/>
    <s v="ICRC"/>
    <n v="38292000"/>
    <s v="REX 07/347"/>
    <m/>
    <m/>
    <m/>
    <m/>
    <n v="612000"/>
    <m/>
    <m/>
    <n v="1"/>
    <m/>
    <n v="100000"/>
    <m/>
    <m/>
    <n v="100000"/>
    <m/>
    <m/>
    <m/>
    <m/>
    <m/>
    <m/>
    <m/>
    <m/>
    <m/>
    <m/>
    <m/>
    <m/>
    <m/>
    <m/>
    <m/>
    <m/>
    <m/>
    <m/>
    <m/>
    <m/>
    <n v="100000"/>
    <m/>
    <m/>
    <m/>
    <n v="100000"/>
    <s v="Y"/>
    <m/>
    <m/>
    <m/>
    <m/>
    <n v="2817"/>
    <m/>
    <m/>
    <m/>
    <m/>
    <m/>
    <m/>
    <m/>
    <s v="N"/>
    <m/>
    <m/>
    <m/>
    <m/>
    <s v="Contribution to ICRC 2007 Somalia Emergency Appeal: Budget Extension - support for capacity bldg."/>
  </r>
  <r>
    <m/>
    <n v="169"/>
    <x v="125"/>
    <d v="2007-06-01T00:00:00"/>
    <x v="11"/>
    <n v="20"/>
    <m/>
    <n v="2007"/>
    <n v="9"/>
    <s v="Africa"/>
    <s v="Sudan"/>
    <s v="Human Related"/>
    <s v="Conflict"/>
    <s v="Conflict"/>
    <s v="Conflict"/>
    <m/>
    <s v="Y"/>
    <s v="ICRC"/>
    <n v="86239000"/>
    <s v="REX 07/207"/>
    <m/>
    <m/>
    <m/>
    <m/>
    <n v="125000"/>
    <m/>
    <m/>
    <m/>
    <m/>
    <n v="200000"/>
    <m/>
    <m/>
    <n v="200000"/>
    <m/>
    <m/>
    <m/>
    <m/>
    <m/>
    <m/>
    <m/>
    <m/>
    <m/>
    <m/>
    <m/>
    <m/>
    <m/>
    <m/>
    <m/>
    <m/>
    <m/>
    <m/>
    <m/>
    <m/>
    <n v="200000"/>
    <m/>
    <m/>
    <m/>
    <n v="200000"/>
    <s v="Y"/>
    <m/>
    <m/>
    <m/>
    <m/>
    <n v="2661"/>
    <m/>
    <m/>
    <m/>
    <m/>
    <m/>
    <m/>
    <m/>
    <s v="N"/>
    <m/>
    <m/>
    <m/>
    <m/>
    <s v="Contribution to ICRC 2007 Sudan Emergency Appeal: Budget Extension - support for capacity bldg."/>
  </r>
  <r>
    <s v="FF-2007-000082-PAK; and TC-2007-000084-PAK"/>
    <n v="170"/>
    <x v="172"/>
    <d v="2007-07-01T00:00:00"/>
    <x v="12"/>
    <n v="1"/>
    <m/>
    <n v="2007"/>
    <n v="10"/>
    <s v="Europe/Asia"/>
    <s v="Pakistan"/>
    <s v="Hydrometerological"/>
    <s v="Storm"/>
    <s v="Tropical Cyclone"/>
    <s v="Cyclone"/>
    <n v="1500000"/>
    <s v="Y"/>
    <s v="IFRC"/>
    <n v="17000000"/>
    <s v="MDRPK001"/>
    <m/>
    <m/>
    <m/>
    <m/>
    <n v="257500"/>
    <m/>
    <m/>
    <n v="1"/>
    <n v="285000"/>
    <m/>
    <m/>
    <m/>
    <n v="285000"/>
    <n v="1"/>
    <m/>
    <m/>
    <m/>
    <m/>
    <m/>
    <m/>
    <m/>
    <m/>
    <m/>
    <m/>
    <m/>
    <m/>
    <m/>
    <m/>
    <m/>
    <m/>
    <m/>
    <m/>
    <n v="10000"/>
    <n v="295000"/>
    <m/>
    <m/>
    <m/>
    <n v="295000"/>
    <s v="Y"/>
    <m/>
    <m/>
    <m/>
    <m/>
    <s v="2099/2897"/>
    <m/>
    <m/>
    <m/>
    <m/>
    <m/>
    <m/>
    <m/>
    <s v="N"/>
    <m/>
    <m/>
    <m/>
    <s v="Yemyin"/>
    <s v="CASH: PMN to Fed - unearmarked; PEOPLE: T. Betz deployed on FACT as Relief/Logs Ap2897"/>
  </r>
  <r>
    <s v="FF-2007-000080-BGD"/>
    <n v="171"/>
    <x v="19"/>
    <d v="2007-07-01T00:00:00"/>
    <x v="12"/>
    <n v="2"/>
    <m/>
    <n v="2007"/>
    <n v="11"/>
    <s v="Europe/Asia"/>
    <s v="Bangladesh"/>
    <s v="Hydrometerological"/>
    <s v="Floods"/>
    <s v="General Floods"/>
    <s v="General Floods"/>
    <n v="2300000"/>
    <s v="Y"/>
    <s v="IFRC"/>
    <n v="4850000"/>
    <s v="MDRBD002"/>
    <n v="2.5670103092783506E-2"/>
    <n v="0.95"/>
    <m/>
    <m/>
    <n v="1200000"/>
    <m/>
    <m/>
    <n v="1"/>
    <n v="124500"/>
    <m/>
    <m/>
    <m/>
    <n v="124500"/>
    <m/>
    <m/>
    <m/>
    <m/>
    <m/>
    <m/>
    <m/>
    <m/>
    <m/>
    <m/>
    <m/>
    <m/>
    <m/>
    <m/>
    <m/>
    <m/>
    <m/>
    <m/>
    <m/>
    <m/>
    <n v="124500"/>
    <m/>
    <m/>
    <m/>
    <n v="124500"/>
    <s v="Y"/>
    <m/>
    <m/>
    <m/>
    <m/>
    <s v="2017 / 2099"/>
    <m/>
    <m/>
    <m/>
    <m/>
    <m/>
    <m/>
    <m/>
    <s v="N"/>
    <m/>
    <m/>
    <m/>
    <m/>
    <s v="CASH: $24,500 PMN to Fed - unearmarked from 2017; $100,000 PMN to Fed - unearmarked from 2099;"/>
  </r>
  <r>
    <m/>
    <n v="172"/>
    <x v="105"/>
    <d v="2007-07-01T00:00:00"/>
    <x v="12"/>
    <n v="3"/>
    <m/>
    <n v="2007"/>
    <n v="12"/>
    <s v="Europe/Asia"/>
    <s v="Iraq"/>
    <s v="Human Related"/>
    <s v="Conflict"/>
    <s v="Conflict"/>
    <s v="Conflict"/>
    <n v="2000000"/>
    <s v="Y"/>
    <s v="IFRC"/>
    <n v="15000000"/>
    <s v="MDR81002"/>
    <n v="1.6666666666666666E-2"/>
    <m/>
    <m/>
    <m/>
    <n v="250000"/>
    <m/>
    <m/>
    <n v="1"/>
    <n v="250000"/>
    <m/>
    <m/>
    <m/>
    <n v="250000"/>
    <m/>
    <m/>
    <m/>
    <m/>
    <m/>
    <m/>
    <m/>
    <m/>
    <m/>
    <m/>
    <m/>
    <m/>
    <m/>
    <m/>
    <m/>
    <m/>
    <m/>
    <m/>
    <m/>
    <m/>
    <n v="250000"/>
    <m/>
    <m/>
    <m/>
    <n v="250000"/>
    <s v="N"/>
    <m/>
    <m/>
    <m/>
    <m/>
    <n v="2099"/>
    <m/>
    <m/>
    <m/>
    <m/>
    <m/>
    <m/>
    <m/>
    <s v="N"/>
    <m/>
    <m/>
    <m/>
    <s v="Refugees from Iraq in Syria and Jordan"/>
    <s v="PMN to Fed - unearmarked"/>
  </r>
  <r>
    <s v="FL-2007-00093-SDN"/>
    <n v="173"/>
    <x v="162"/>
    <d v="2007-07-01T00:00:00"/>
    <x v="12"/>
    <n v="4"/>
    <m/>
    <n v="2007"/>
    <n v="13"/>
    <s v="Africa"/>
    <s v="Sudan"/>
    <s v="Hydrometerological"/>
    <s v="Floods"/>
    <s v="General Floods"/>
    <s v="General Floods"/>
    <n v="365000"/>
    <s v="Y"/>
    <s v="IFRC"/>
    <n v="6800000"/>
    <s v="MDRSD004"/>
    <m/>
    <m/>
    <m/>
    <m/>
    <n v="200000"/>
    <m/>
    <m/>
    <n v="1"/>
    <n v="100000"/>
    <m/>
    <m/>
    <m/>
    <n v="100000"/>
    <n v="1"/>
    <m/>
    <m/>
    <n v="10000"/>
    <m/>
    <m/>
    <m/>
    <m/>
    <m/>
    <m/>
    <m/>
    <m/>
    <n v="10000"/>
    <m/>
    <m/>
    <m/>
    <m/>
    <m/>
    <n v="44400"/>
    <n v="9000"/>
    <n v="153400"/>
    <m/>
    <m/>
    <m/>
    <n v="153400"/>
    <s v="Y"/>
    <m/>
    <m/>
    <m/>
    <m/>
    <s v="2802 /2099"/>
    <m/>
    <m/>
    <m/>
    <m/>
    <m/>
    <m/>
    <m/>
    <s v="N"/>
    <m/>
    <m/>
    <m/>
    <m/>
    <s v="CASH: $100,000 PMN to Fed earmarked for improved emergency shelters (Appeal obj 1) and tree saplings (obj 4) for 500 families from AP 2099; PEOPLE: N.Cooper deployed on FACT as Relief/Shelter"/>
  </r>
  <r>
    <s v="FL-2007-000111-GBR"/>
    <n v="174"/>
    <x v="173"/>
    <d v="2007-07-01T00:00:00"/>
    <x v="12"/>
    <n v="5"/>
    <m/>
    <n v="2007"/>
    <n v="15"/>
    <s v="Europe/Asia"/>
    <s v="United Kingdom"/>
    <s v="Hydrometerological"/>
    <s v="Floods"/>
    <s v="General Floods"/>
    <s v="General Floods"/>
    <n v="1000000"/>
    <m/>
    <m/>
    <m/>
    <m/>
    <m/>
    <m/>
    <m/>
    <m/>
    <m/>
    <m/>
    <m/>
    <m/>
    <m/>
    <m/>
    <n v="20188"/>
    <m/>
    <n v="20188"/>
    <m/>
    <m/>
    <m/>
    <m/>
    <m/>
    <m/>
    <m/>
    <m/>
    <m/>
    <m/>
    <m/>
    <m/>
    <m/>
    <m/>
    <m/>
    <m/>
    <m/>
    <m/>
    <m/>
    <m/>
    <n v="20188"/>
    <m/>
    <m/>
    <m/>
    <n v="20188"/>
    <s v="Y"/>
    <m/>
    <m/>
    <m/>
    <m/>
    <n v="2605"/>
    <m/>
    <m/>
    <m/>
    <m/>
    <m/>
    <m/>
    <m/>
    <s v="N"/>
    <m/>
    <m/>
    <m/>
    <m/>
    <s v="Grant letter to British Red Cross; 10,000 GBP donation from Cargill + individual donations"/>
  </r>
  <r>
    <s v="FF-2007-000117-NPL"/>
    <n v="175"/>
    <x v="174"/>
    <d v="2007-08-01T00:00:00"/>
    <x v="12"/>
    <n v="6"/>
    <m/>
    <n v="2007"/>
    <n v="16"/>
    <s v="Europe/Asia"/>
    <s v="Nepal"/>
    <s v="Hydrometerological"/>
    <s v="Floods"/>
    <s v="General Floods"/>
    <s v="General Floods"/>
    <n v="645000"/>
    <s v="Y"/>
    <s v="IFRC"/>
    <n v="2340000"/>
    <m/>
    <n v="2.1367521367521368E-2"/>
    <m/>
    <s v="Y"/>
    <m/>
    <n v="150000"/>
    <m/>
    <m/>
    <n v="1"/>
    <n v="50000"/>
    <m/>
    <m/>
    <m/>
    <n v="50000"/>
    <m/>
    <m/>
    <m/>
    <m/>
    <m/>
    <m/>
    <m/>
    <m/>
    <m/>
    <m/>
    <m/>
    <m/>
    <m/>
    <m/>
    <m/>
    <m/>
    <m/>
    <m/>
    <m/>
    <m/>
    <n v="50000"/>
    <m/>
    <m/>
    <m/>
    <n v="50000"/>
    <s v="N"/>
    <m/>
    <m/>
    <m/>
    <m/>
    <n v="2099"/>
    <m/>
    <m/>
    <m/>
    <m/>
    <m/>
    <m/>
    <m/>
    <s v="N"/>
    <m/>
    <m/>
    <m/>
    <m/>
    <s v="PMN to Fed - unearmarked"/>
  </r>
  <r>
    <s v="EQ-2007-000133-PER"/>
    <n v="176"/>
    <x v="54"/>
    <d v="2007-08-01T00:00:00"/>
    <x v="12"/>
    <n v="7"/>
    <m/>
    <n v="2007"/>
    <n v="17"/>
    <s v="LAC"/>
    <s v="Peru"/>
    <s v="Geophysical"/>
    <s v="Earthquake"/>
    <s v="Earthquake"/>
    <s v="Earthquake"/>
    <n v="655000"/>
    <s v="Y"/>
    <s v="IFRC"/>
    <n v="9600000"/>
    <s v="MDRPE003"/>
    <n v="3.125E-2"/>
    <n v="0.93"/>
    <m/>
    <m/>
    <n v="37500"/>
    <m/>
    <m/>
    <n v="1"/>
    <n v="300000"/>
    <m/>
    <m/>
    <m/>
    <n v="300000"/>
    <n v="6"/>
    <m/>
    <m/>
    <n v="16500"/>
    <m/>
    <n v="3500"/>
    <m/>
    <m/>
    <m/>
    <m/>
    <n v="2000"/>
    <m/>
    <m/>
    <m/>
    <n v="11000"/>
    <m/>
    <m/>
    <m/>
    <n v="214800"/>
    <n v="5000"/>
    <n v="519800"/>
    <m/>
    <m/>
    <m/>
    <n v="3400000"/>
    <s v="Y"/>
    <m/>
    <m/>
    <m/>
    <m/>
    <n v="2816"/>
    <m/>
    <m/>
    <m/>
    <m/>
    <m/>
    <m/>
    <m/>
    <s v="N"/>
    <m/>
    <m/>
    <s v="y"/>
    <m/>
    <s v="CASH: 100K PMN Unearmarked, 200K PMN earmarked for hygiene kits, jerry cans and shelter kits + ops costs; SUPPLIES: hygiene kits @ $13.55; tarps @ $11.30; kitchen sets @ $14.55 + PSR; PEOPLE: C Michaud deployed on Relief ERU (2 days) replaced by L Aceves for 1 month; C Chaperon sent to deliver equipment; Roberto Brito and Richard Urrutia (early recovery assmt); Shelley Cheatham (Admin/Ops), Lee Malany (shelter) and Jessica (PSP early recovery delegate)"/>
  </r>
  <r>
    <s v="TC-2007-000135"/>
    <n v="177"/>
    <x v="175"/>
    <d v="2007-08-01T00:00:00"/>
    <x v="12"/>
    <n v="8"/>
    <m/>
    <n v="2007"/>
    <n v="18"/>
    <s v="LAC"/>
    <s v="Jamaica"/>
    <s v="Hydrometerological"/>
    <s v="Storm"/>
    <s v="Tropical Cyclone"/>
    <s v="Hurricane"/>
    <n v="210000"/>
    <s v="Y"/>
    <s v="IFRC"/>
    <n v="2927000"/>
    <s v="MDR49001"/>
    <m/>
    <m/>
    <m/>
    <m/>
    <n v="108550"/>
    <m/>
    <n v="5000"/>
    <m/>
    <m/>
    <m/>
    <m/>
    <m/>
    <n v="0"/>
    <m/>
    <m/>
    <m/>
    <n v="2350"/>
    <m/>
    <n v="1000"/>
    <m/>
    <m/>
    <m/>
    <m/>
    <n v="1000"/>
    <m/>
    <m/>
    <m/>
    <n v="350"/>
    <m/>
    <m/>
    <m/>
    <n v="34565"/>
    <m/>
    <n v="34565"/>
    <m/>
    <m/>
    <m/>
    <n v="34565"/>
    <s v="Y"/>
    <m/>
    <m/>
    <m/>
    <m/>
    <n v="2837"/>
    <m/>
    <m/>
    <m/>
    <m/>
    <m/>
    <m/>
    <m/>
    <s v="N"/>
    <m/>
    <m/>
    <m/>
    <s v="Dean"/>
    <m/>
  </r>
  <r>
    <s v="TC-2007-000135"/>
    <n v="177"/>
    <x v="175"/>
    <d v="2007-08-01T00:00:00"/>
    <x v="12"/>
    <n v="8"/>
    <m/>
    <n v="2007"/>
    <n v="18"/>
    <s v="LAC"/>
    <s v="Mexico"/>
    <s v="Hydrometerological"/>
    <s v="Storm"/>
    <s v="Tropical Cyclone"/>
    <s v="Hurricane"/>
    <m/>
    <m/>
    <m/>
    <m/>
    <m/>
    <m/>
    <m/>
    <m/>
    <m/>
    <m/>
    <m/>
    <n v="24000"/>
    <m/>
    <m/>
    <m/>
    <n v="298680"/>
    <m/>
    <n v="298680"/>
    <n v="1"/>
    <m/>
    <m/>
    <m/>
    <m/>
    <m/>
    <m/>
    <m/>
    <m/>
    <m/>
    <m/>
    <m/>
    <m/>
    <m/>
    <m/>
    <m/>
    <m/>
    <m/>
    <m/>
    <m/>
    <n v="298680"/>
    <m/>
    <m/>
    <m/>
    <n v="298680"/>
    <s v="Y"/>
    <m/>
    <m/>
    <m/>
    <m/>
    <s v="2868 / 2099"/>
    <m/>
    <m/>
    <m/>
    <m/>
    <m/>
    <m/>
    <m/>
    <s v="N"/>
    <m/>
    <m/>
    <m/>
    <s v="Dean"/>
    <s v="CASH:  ARC grant ($76k) to MRC for hygiene kits, kitchen sets, and roofing materials for 670 families; ARC/OFDA subgrant to MRC ($222k) for 1,830 families; PEOPLE: Shelley Cheatham (Monitoring)"/>
  </r>
  <r>
    <s v="TC-2007-000135"/>
    <n v="177"/>
    <x v="175"/>
    <d v="2007-08-01T00:00:00"/>
    <x v="12"/>
    <n v="8"/>
    <m/>
    <n v="2007"/>
    <n v="18"/>
    <s v="LAC"/>
    <s v="Haiti"/>
    <s v="Hydrometerological"/>
    <s v="Storm"/>
    <s v="Tropical Cyclone"/>
    <s v="Hurricane"/>
    <m/>
    <m/>
    <m/>
    <m/>
    <m/>
    <m/>
    <m/>
    <m/>
    <m/>
    <m/>
    <m/>
    <m/>
    <m/>
    <m/>
    <m/>
    <n v="2500"/>
    <m/>
    <n v="2500"/>
    <n v="1"/>
    <m/>
    <m/>
    <m/>
    <m/>
    <m/>
    <m/>
    <m/>
    <m/>
    <m/>
    <m/>
    <m/>
    <m/>
    <m/>
    <m/>
    <m/>
    <m/>
    <m/>
    <m/>
    <m/>
    <n v="2500"/>
    <m/>
    <m/>
    <m/>
    <n v="2500"/>
    <s v="Y"/>
    <m/>
    <m/>
    <m/>
    <m/>
    <n v="2837"/>
    <m/>
    <m/>
    <m/>
    <m/>
    <m/>
    <m/>
    <m/>
    <s v="N"/>
    <m/>
    <m/>
    <m/>
    <s v="Dean"/>
    <s v="CASH: Grant to Haitian Red Cross - restock relief supplies; PEOPLE: Brigitte Gaillis (Contingency Planning)"/>
  </r>
  <r>
    <s v="WF-2007-000148-GRC"/>
    <n v="178"/>
    <x v="176"/>
    <d v="2007-09-01T00:00:00"/>
    <x v="12"/>
    <n v="9"/>
    <m/>
    <n v="2007"/>
    <n v="19"/>
    <s v="Europe/Asia"/>
    <s v="Greece"/>
    <s v="Hydrometerological"/>
    <s v="Wildfire"/>
    <s v="Forest Fire"/>
    <s v="Fire"/>
    <m/>
    <m/>
    <m/>
    <m/>
    <m/>
    <m/>
    <m/>
    <m/>
    <m/>
    <m/>
    <m/>
    <m/>
    <m/>
    <m/>
    <m/>
    <n v="40000"/>
    <m/>
    <n v="40000"/>
    <m/>
    <m/>
    <m/>
    <m/>
    <m/>
    <m/>
    <m/>
    <m/>
    <m/>
    <m/>
    <m/>
    <m/>
    <m/>
    <m/>
    <m/>
    <m/>
    <m/>
    <m/>
    <m/>
    <m/>
    <n v="40000"/>
    <m/>
    <m/>
    <m/>
    <n v="40000"/>
    <s v="N"/>
    <m/>
    <m/>
    <m/>
    <m/>
    <n v="2099"/>
    <m/>
    <m/>
    <m/>
    <m/>
    <m/>
    <m/>
    <m/>
    <s v="N"/>
    <m/>
    <m/>
    <m/>
    <m/>
    <s v="UPS 25k, Gen Mills 15k - Grant letter"/>
  </r>
  <r>
    <s v="TC-2007-000157"/>
    <n v="179"/>
    <x v="177"/>
    <d v="2007-09-01T00:00:00"/>
    <x v="12"/>
    <n v="10"/>
    <m/>
    <n v="2007"/>
    <n v="20"/>
    <s v="LAC"/>
    <s v="Nicaragua"/>
    <s v="Hydrometerological"/>
    <s v="Storm"/>
    <s v="Tropical Cyclone"/>
    <s v="Hurricane"/>
    <n v="175000"/>
    <s v="Y"/>
    <s v="IFRC"/>
    <n v="1300000"/>
    <s v="MDR43002"/>
    <n v="3.8461538461538464E-2"/>
    <m/>
    <m/>
    <m/>
    <n v="31658"/>
    <m/>
    <m/>
    <n v="1"/>
    <n v="50000"/>
    <m/>
    <m/>
    <m/>
    <n v="50000"/>
    <m/>
    <m/>
    <m/>
    <m/>
    <m/>
    <m/>
    <m/>
    <m/>
    <m/>
    <m/>
    <m/>
    <m/>
    <m/>
    <m/>
    <m/>
    <m/>
    <m/>
    <m/>
    <m/>
    <m/>
    <n v="50000"/>
    <m/>
    <m/>
    <m/>
    <n v="50000"/>
    <s v="N"/>
    <m/>
    <m/>
    <m/>
    <m/>
    <n v="2099"/>
    <m/>
    <m/>
    <m/>
    <m/>
    <m/>
    <m/>
    <m/>
    <s v="N"/>
    <m/>
    <m/>
    <m/>
    <s v="Felix"/>
    <s v="PMN to Fed - earmarked $50,000 for Nicaragua and $22,500 for Honduras (includes $25,000 from Exxon for Honduras); "/>
  </r>
  <r>
    <s v="TC-2007-000157"/>
    <n v="179"/>
    <x v="177"/>
    <d v="2007-09-01T00:00:00"/>
    <x v="12"/>
    <n v="10"/>
    <m/>
    <n v="2007"/>
    <n v="20"/>
    <s v="LAC"/>
    <s v="Honduras"/>
    <s v="Hydrometerological"/>
    <s v="Storm"/>
    <s v="Tropical Cyclone"/>
    <s v="Hurricane"/>
    <m/>
    <m/>
    <m/>
    <m/>
    <m/>
    <m/>
    <m/>
    <m/>
    <m/>
    <m/>
    <m/>
    <m/>
    <n v="0"/>
    <n v="22500"/>
    <m/>
    <m/>
    <m/>
    <n v="22500"/>
    <m/>
    <m/>
    <m/>
    <m/>
    <m/>
    <m/>
    <m/>
    <m/>
    <m/>
    <m/>
    <m/>
    <m/>
    <m/>
    <m/>
    <m/>
    <m/>
    <m/>
    <m/>
    <m/>
    <m/>
    <n v="22500"/>
    <m/>
    <m/>
    <m/>
    <n v="22500"/>
    <s v="N"/>
    <m/>
    <m/>
    <m/>
    <m/>
    <n v="2099"/>
    <m/>
    <m/>
    <m/>
    <m/>
    <m/>
    <m/>
    <m/>
    <s v="N"/>
    <m/>
    <m/>
    <m/>
    <s v="Felix"/>
    <m/>
  </r>
  <r>
    <s v="TC-2007-000157"/>
    <n v="179"/>
    <x v="177"/>
    <d v="2007-09-01T00:00:00"/>
    <x v="12"/>
    <n v="10"/>
    <m/>
    <n v="2007"/>
    <n v="20"/>
    <s v="LAC"/>
    <s v="Honduras"/>
    <s v="Hydrometerological"/>
    <s v="Storm"/>
    <s v="Tropical Cyclone"/>
    <s v="Hurricane"/>
    <m/>
    <m/>
    <m/>
    <m/>
    <m/>
    <m/>
    <m/>
    <m/>
    <m/>
    <m/>
    <m/>
    <m/>
    <n v="0"/>
    <n v="47500"/>
    <m/>
    <m/>
    <m/>
    <n v="47500"/>
    <m/>
    <m/>
    <m/>
    <m/>
    <m/>
    <m/>
    <m/>
    <m/>
    <m/>
    <m/>
    <m/>
    <m/>
    <m/>
    <m/>
    <m/>
    <m/>
    <m/>
    <m/>
    <m/>
    <m/>
    <n v="47500"/>
    <m/>
    <m/>
    <m/>
    <n v="47500"/>
    <s v="Y"/>
    <m/>
    <m/>
    <m/>
    <m/>
    <n v="2696"/>
    <m/>
    <m/>
    <m/>
    <m/>
    <m/>
    <m/>
    <m/>
    <s v="N"/>
    <m/>
    <m/>
    <m/>
    <s v="Felix"/>
    <s v="CASH: PMN to Fed - unearmarked"/>
  </r>
  <r>
    <s v="EQ-2007-000157-IDN"/>
    <n v="180"/>
    <x v="178"/>
    <d v="2007-09-01T00:00:00"/>
    <x v="12"/>
    <n v="11"/>
    <m/>
    <n v="2007"/>
    <n v="21"/>
    <s v="Europe/Asia"/>
    <s v="Indonesia"/>
    <s v="Geophysical"/>
    <s v="Earthquake"/>
    <s v="Earthquake"/>
    <s v="Earthquake"/>
    <m/>
    <m/>
    <m/>
    <m/>
    <m/>
    <m/>
    <m/>
    <m/>
    <m/>
    <m/>
    <m/>
    <m/>
    <m/>
    <m/>
    <m/>
    <n v="3000"/>
    <m/>
    <n v="3000"/>
    <m/>
    <m/>
    <m/>
    <m/>
    <m/>
    <m/>
    <m/>
    <m/>
    <m/>
    <m/>
    <m/>
    <m/>
    <m/>
    <m/>
    <m/>
    <m/>
    <m/>
    <m/>
    <m/>
    <m/>
    <n v="3000"/>
    <m/>
    <m/>
    <m/>
    <n v="3000"/>
    <s v="N"/>
    <m/>
    <m/>
    <m/>
    <m/>
    <n v="2799"/>
    <m/>
    <m/>
    <m/>
    <m/>
    <m/>
    <m/>
    <m/>
    <s v="Y"/>
    <m/>
    <m/>
    <m/>
    <s v="Bengkulu"/>
    <s v="Per diem for PMI response team"/>
  </r>
  <r>
    <s v="FL-2007-000138-UGA"/>
    <n v="181"/>
    <x v="179"/>
    <d v="2007-09-01T00:00:00"/>
    <x v="12"/>
    <n v="12"/>
    <m/>
    <n v="2007"/>
    <n v="22"/>
    <s v="Africa"/>
    <s v="Uganda"/>
    <s v="Hydrometerological"/>
    <s v="Floods"/>
    <s v="General Floods"/>
    <s v="General Floods"/>
    <n v="450000"/>
    <s v="Y"/>
    <s v="IFRC"/>
    <n v="9511366"/>
    <s v="MDRUG006"/>
    <m/>
    <n v="0.64"/>
    <m/>
    <m/>
    <n v="125000"/>
    <m/>
    <m/>
    <m/>
    <m/>
    <m/>
    <m/>
    <m/>
    <n v="0"/>
    <n v="3"/>
    <s v="IT/Telecoms"/>
    <m/>
    <m/>
    <m/>
    <m/>
    <m/>
    <m/>
    <m/>
    <m/>
    <m/>
    <m/>
    <m/>
    <m/>
    <m/>
    <m/>
    <m/>
    <m/>
    <m/>
    <n v="17400"/>
    <n v="17400"/>
    <m/>
    <m/>
    <m/>
    <n v="17400"/>
    <s v="N"/>
    <m/>
    <m/>
    <m/>
    <m/>
    <n v="2799"/>
    <m/>
    <m/>
    <m/>
    <m/>
    <m/>
    <m/>
    <m/>
    <s v="Y"/>
    <m/>
    <m/>
    <m/>
    <m/>
    <s v="C Chaperon (relief) and B Nandiga (wat/san) deployed on FACT.  M Million deployed on joint Danish-American IT/Telecom ERU."/>
  </r>
  <r>
    <s v="FL-2007-000158-TGO; FL-2007-000132-BFA;FL-2007-000153-GHA"/>
    <n v="182"/>
    <x v="180"/>
    <d v="2007-09-01T00:00:00"/>
    <x v="12"/>
    <n v="13"/>
    <m/>
    <n v="2007"/>
    <n v="23"/>
    <s v="Africa"/>
    <s v="Togo"/>
    <s v="Hydrometerological"/>
    <s v="Floods"/>
    <s v="General Floods"/>
    <s v="General Floods"/>
    <n v="185000"/>
    <s v="Y"/>
    <s v="IFRC"/>
    <n v="3200000"/>
    <s v="MDR61002"/>
    <n v="6.2406249999999996E-3"/>
    <n v="0.95"/>
    <m/>
    <m/>
    <n v="94825"/>
    <m/>
    <m/>
    <n v="0"/>
    <n v="19970"/>
    <m/>
    <m/>
    <m/>
    <n v="19970"/>
    <m/>
    <m/>
    <m/>
    <m/>
    <m/>
    <m/>
    <m/>
    <m/>
    <m/>
    <m/>
    <m/>
    <m/>
    <m/>
    <m/>
    <m/>
    <m/>
    <m/>
    <m/>
    <m/>
    <m/>
    <n v="19970"/>
    <m/>
    <m/>
    <m/>
    <n v="19970"/>
    <s v="N"/>
    <m/>
    <m/>
    <m/>
    <m/>
    <n v="2799"/>
    <m/>
    <m/>
    <m/>
    <m/>
    <m/>
    <m/>
    <m/>
    <s v="Y"/>
    <m/>
    <m/>
    <m/>
    <m/>
    <s v="PMN (CHF 10,300) to cover delegate costs for Youssouff Langui on FACT to Togo.  PMN (CHF 13,102) to cover costs for 3 RDRTs for one month."/>
  </r>
  <r>
    <s v="TC-000198-DOM/HTI;"/>
    <n v="183"/>
    <x v="181"/>
    <d v="2007-10-01T00:00:00"/>
    <x v="12"/>
    <n v="14"/>
    <m/>
    <n v="2007"/>
    <n v="24"/>
    <s v="LAC"/>
    <s v="Dominican Republic"/>
    <s v="Hydrometerological"/>
    <s v="Storm"/>
    <s v="Tropical Cyclone"/>
    <s v="Tropical Storm"/>
    <n v="200000"/>
    <s v="Y"/>
    <s v="IFRC"/>
    <n v="1544000"/>
    <s v="MDR49002"/>
    <n v="2.266839378238342E-2"/>
    <m/>
    <m/>
    <m/>
    <n v="52995"/>
    <m/>
    <m/>
    <n v="0"/>
    <n v="35000"/>
    <m/>
    <m/>
    <m/>
    <n v="35000"/>
    <m/>
    <m/>
    <m/>
    <n v="4000"/>
    <m/>
    <n v="1000"/>
    <m/>
    <m/>
    <m/>
    <m/>
    <n v="1000"/>
    <m/>
    <m/>
    <m/>
    <n v="2000"/>
    <m/>
    <m/>
    <m/>
    <n v="69055"/>
    <m/>
    <n v="104055"/>
    <m/>
    <m/>
    <m/>
    <n v="104055"/>
    <s v="Y"/>
    <m/>
    <m/>
    <m/>
    <m/>
    <n v="2694"/>
    <m/>
    <m/>
    <m/>
    <m/>
    <m/>
    <m/>
    <m/>
    <s v="N"/>
    <m/>
    <m/>
    <m/>
    <s v="Noel"/>
    <s v="PSR"/>
  </r>
  <r>
    <s v="TC-000198-DOM/HTI;"/>
    <n v="183"/>
    <x v="181"/>
    <d v="2007-11-01T00:00:00"/>
    <x v="12"/>
    <n v="14"/>
    <m/>
    <n v="2007"/>
    <n v="24"/>
    <s v="LAC"/>
    <s v="Haiti"/>
    <s v="Hydrometerological"/>
    <s v="Storm"/>
    <s v="Tropical Cyclone"/>
    <s v="Tropical Storm"/>
    <m/>
    <m/>
    <m/>
    <m/>
    <s v="MDR49002"/>
    <m/>
    <m/>
    <m/>
    <m/>
    <m/>
    <m/>
    <m/>
    <n v="1"/>
    <n v="50000"/>
    <m/>
    <m/>
    <m/>
    <n v="50000"/>
    <m/>
    <m/>
    <m/>
    <n v="2000"/>
    <m/>
    <m/>
    <n v="2000"/>
    <m/>
    <m/>
    <m/>
    <m/>
    <m/>
    <m/>
    <m/>
    <m/>
    <m/>
    <m/>
    <m/>
    <n v="8073"/>
    <m/>
    <n v="58073"/>
    <m/>
    <m/>
    <m/>
    <n v="58073"/>
    <s v="Y"/>
    <m/>
    <m/>
    <m/>
    <m/>
    <n v="2024"/>
    <m/>
    <m/>
    <m/>
    <m/>
    <m/>
    <m/>
    <m/>
    <s v="N"/>
    <m/>
    <m/>
    <m/>
    <s v="Noel"/>
    <s v="PSR"/>
  </r>
  <r>
    <s v="TC-000198-DOM/HTI;"/>
    <n v="183"/>
    <x v="181"/>
    <d v="2007-11-01T00:00:00"/>
    <x v="12"/>
    <n v="14"/>
    <m/>
    <n v="2007"/>
    <n v="24"/>
    <s v="LAC"/>
    <s v="Bahamas"/>
    <s v="Hydrometerological"/>
    <s v="Storm"/>
    <s v="Tropical Cyclone"/>
    <s v="Tropical Storm"/>
    <m/>
    <m/>
    <m/>
    <m/>
    <s v="MDR49002"/>
    <m/>
    <m/>
    <m/>
    <m/>
    <m/>
    <m/>
    <m/>
    <n v="0"/>
    <n v="30000"/>
    <m/>
    <m/>
    <m/>
    <n v="30000"/>
    <n v="2"/>
    <m/>
    <m/>
    <m/>
    <m/>
    <m/>
    <m/>
    <m/>
    <m/>
    <m/>
    <m/>
    <m/>
    <m/>
    <m/>
    <m/>
    <m/>
    <m/>
    <m/>
    <m/>
    <n v="7440"/>
    <n v="37440"/>
    <m/>
    <m/>
    <m/>
    <n v="37440"/>
    <s v="Y"/>
    <m/>
    <m/>
    <m/>
    <m/>
    <n v="2024"/>
    <m/>
    <m/>
    <m/>
    <m/>
    <m/>
    <m/>
    <m/>
    <s v="N"/>
    <m/>
    <m/>
    <m/>
    <s v="Noel"/>
    <s v="PEOPLE: O Abou-Samra, J Ferguson (cash/livelihoods); CASH: PMN to Fed ($10k for cash distribution project, $20k operational costs)"/>
  </r>
  <r>
    <s v="FL-2007-000200-MEX"/>
    <n v="184"/>
    <x v="6"/>
    <d v="2007-11-01T00:00:00"/>
    <x v="12"/>
    <n v="15"/>
    <m/>
    <n v="2007"/>
    <n v="25"/>
    <s v="LAC"/>
    <s v="Mexico"/>
    <s v="Hydrometerological"/>
    <s v="Floods"/>
    <s v="General Floods"/>
    <s v="General Floods"/>
    <n v="1000000"/>
    <s v="Y"/>
    <s v="IFRC"/>
    <n v="1800000"/>
    <s v="MDRMX002"/>
    <n v="9.2820555555555559E-2"/>
    <n v="1"/>
    <m/>
    <m/>
    <n v="44380"/>
    <m/>
    <n v="10000"/>
    <n v="1"/>
    <n v="167077"/>
    <m/>
    <n v="350000"/>
    <m/>
    <n v="517077"/>
    <n v="1"/>
    <m/>
    <m/>
    <n v="15500"/>
    <m/>
    <n v="3500"/>
    <m/>
    <m/>
    <m/>
    <m/>
    <n v="2000"/>
    <m/>
    <n v="10000"/>
    <m/>
    <m/>
    <m/>
    <m/>
    <m/>
    <n v="143415"/>
    <n v="357"/>
    <n v="660849"/>
    <m/>
    <m/>
    <m/>
    <n v="1900000"/>
    <s v="Y"/>
    <m/>
    <m/>
    <m/>
    <m/>
    <s v="2690/OFDA/2799 "/>
    <m/>
    <m/>
    <m/>
    <m/>
    <m/>
    <m/>
    <m/>
    <s v="N"/>
    <m/>
    <m/>
    <m/>
    <s v="Tabasco"/>
    <s v="CASH: Grants to MxRC ($50k from 2799 + $300k from 2690), PMN to Fed $167k (earmarked for 4,000 hygiene kits, 4,000 jerry cans, 4,000 buckets);  OFDA Grant; PEOPLE: W Romeril (info)"/>
  </r>
  <r>
    <s v="TC-2007-00178-VNM"/>
    <n v="185"/>
    <x v="182"/>
    <d v="2007-11-01T00:00:00"/>
    <x v="12"/>
    <n v="16"/>
    <m/>
    <n v="2007"/>
    <n v="26"/>
    <s v="Europe/Asia"/>
    <s v="Vietnam"/>
    <s v="Hydrometerological"/>
    <s v="Storm"/>
    <s v="Tropical Cyclone"/>
    <s v="Typhoon"/>
    <n v="600000"/>
    <s v="Y"/>
    <s v="IFRC"/>
    <n v="2700000"/>
    <s v="MDRVN002"/>
    <n v="4.2592592592592592E-2"/>
    <n v="0.77"/>
    <m/>
    <m/>
    <n v="180000"/>
    <m/>
    <m/>
    <n v="1"/>
    <n v="115000"/>
    <m/>
    <m/>
    <m/>
    <n v="115000"/>
    <m/>
    <m/>
    <m/>
    <m/>
    <m/>
    <m/>
    <m/>
    <m/>
    <m/>
    <m/>
    <m/>
    <m/>
    <m/>
    <m/>
    <m/>
    <m/>
    <m/>
    <m/>
    <m/>
    <m/>
    <n v="115000"/>
    <m/>
    <m/>
    <m/>
    <n v="115000"/>
    <s v="Y"/>
    <m/>
    <m/>
    <m/>
    <m/>
    <s v="2099/ 2869"/>
    <m/>
    <m/>
    <m/>
    <m/>
    <m/>
    <m/>
    <m/>
    <s v="N"/>
    <m/>
    <s v="ARCT"/>
    <m/>
    <s v="Lekima"/>
    <s v="CASH: PMN  from AP 2099 to Fed unearmarked; PMN from AP 2869 to Fed earmarked purchase/dist household kits;  $100,000 from ARCT for shelter to Federation"/>
  </r>
  <r>
    <s v="FF-2007-000080-BGD"/>
    <n v="186"/>
    <x v="183"/>
    <d v="2007-11-01T00:00:00"/>
    <x v="12"/>
    <n v="17"/>
    <m/>
    <n v="2007"/>
    <n v="27"/>
    <s v="Europe/Asia"/>
    <s v="Bangladesh"/>
    <s v="Hydrometerological"/>
    <s v="Storm"/>
    <s v="Tropical Cyclone"/>
    <s v="Cyclone"/>
    <n v="8500000"/>
    <s v="Y"/>
    <s v="IFRC"/>
    <n v="22000000"/>
    <s v="MDRBD002"/>
    <n v="4.926618181818182E-2"/>
    <n v="0.66"/>
    <m/>
    <m/>
    <n v="1215000"/>
    <m/>
    <m/>
    <n v="1"/>
    <n v="1083856"/>
    <m/>
    <m/>
    <m/>
    <n v="1083856"/>
    <n v="3"/>
    <m/>
    <m/>
    <n v="39000"/>
    <m/>
    <n v="4000"/>
    <n v="25000"/>
    <m/>
    <m/>
    <m/>
    <m/>
    <m/>
    <m/>
    <m/>
    <n v="10000"/>
    <m/>
    <m/>
    <m/>
    <n v="260798"/>
    <n v="12000"/>
    <n v="1356654"/>
    <m/>
    <m/>
    <m/>
    <n v="1356654"/>
    <s v="Y"/>
    <m/>
    <m/>
    <m/>
    <m/>
    <s v="2017/OFDA"/>
    <m/>
    <m/>
    <m/>
    <m/>
    <m/>
    <m/>
    <m/>
    <s v="N"/>
    <m/>
    <m/>
    <m/>
    <s v="Sidr"/>
    <s v="CASH:  1st PMN ($100k unearmarked from AP 2099), 2nd PMN ($100k earmarked to tsunami affected areas from AP 2546), 3rd PMN ($300k earmarked for shelter and wat/san from OFDA), 4th PMN ($583k earmarked for shelter and wat/san from OFDA); SUPPLIES: + PSR; PEOPLE: Nek Alam (wat/san); S Wiseman (wat/san), L Malany (shelter)"/>
  </r>
  <r>
    <s v="FL-2007-000209-PNG"/>
    <n v="187"/>
    <x v="184"/>
    <d v="2007-11-01T00:00:00"/>
    <x v="12"/>
    <n v="18"/>
    <m/>
    <n v="2007"/>
    <n v="28"/>
    <s v="Europe/Asia"/>
    <s v="Papua New Guinea"/>
    <s v="Hydrometerological"/>
    <s v="Storm"/>
    <s v="Tropical Cyclone"/>
    <s v="Cyclone"/>
    <n v="162000"/>
    <s v="Y"/>
    <s v="IFRC"/>
    <n v="672000"/>
    <s v="MDRPG002"/>
    <n v="3.5342261904761904E-2"/>
    <n v="0.76"/>
    <m/>
    <m/>
    <n v="13000"/>
    <m/>
    <m/>
    <n v="0"/>
    <n v="23750"/>
    <m/>
    <m/>
    <m/>
    <n v="23750"/>
    <m/>
    <m/>
    <m/>
    <m/>
    <m/>
    <m/>
    <m/>
    <m/>
    <m/>
    <m/>
    <m/>
    <m/>
    <m/>
    <m/>
    <m/>
    <m/>
    <m/>
    <m/>
    <m/>
    <m/>
    <n v="23750"/>
    <m/>
    <m/>
    <m/>
    <n v="23750"/>
    <s v="Y"/>
    <m/>
    <m/>
    <m/>
    <m/>
    <n v="2881"/>
    <m/>
    <m/>
    <m/>
    <m/>
    <m/>
    <m/>
    <m/>
    <s v="N"/>
    <m/>
    <m/>
    <m/>
    <s v="Guba"/>
    <s v="CASH: PMN to Fed unearmarked"/>
  </r>
  <r>
    <m/>
    <n v="188"/>
    <x v="185"/>
    <d v="2008-01-01T00:00:00"/>
    <x v="12"/>
    <n v="19"/>
    <m/>
    <n v="2008"/>
    <n v="1"/>
    <s v="Africa"/>
    <s v="Kenya"/>
    <s v="Human Related"/>
    <s v="Civil Unrest"/>
    <s v="Civil Unrest"/>
    <s v="Civil Unrest"/>
    <n v="500000"/>
    <s v="Y"/>
    <s v="ICRC"/>
    <n v="14200000"/>
    <m/>
    <n v="1.7605633802816902E-2"/>
    <m/>
    <m/>
    <m/>
    <n v="500000"/>
    <m/>
    <m/>
    <n v="1"/>
    <m/>
    <n v="250000"/>
    <n v="50000"/>
    <m/>
    <n v="300000"/>
    <m/>
    <m/>
    <m/>
    <m/>
    <m/>
    <m/>
    <m/>
    <m/>
    <m/>
    <m/>
    <m/>
    <m/>
    <m/>
    <m/>
    <m/>
    <m/>
    <m/>
    <m/>
    <m/>
    <m/>
    <n v="300000"/>
    <m/>
    <m/>
    <m/>
    <n v="300000"/>
    <s v="Y"/>
    <m/>
    <m/>
    <m/>
    <m/>
    <s v="2002 / 2099"/>
    <m/>
    <m/>
    <m/>
    <m/>
    <m/>
    <m/>
    <m/>
    <s v="N"/>
    <m/>
    <m/>
    <m/>
    <s v="Elections"/>
    <s v="CASH: 50k to KRCS  from 2799 and 50k to ICRC from 2002; CASH from 2099: 200k to ICRC"/>
  </r>
  <r>
    <s v="CW-2008-000013-CHN"/>
    <n v="189"/>
    <x v="186"/>
    <d v="2008-02-01T00:00:00"/>
    <x v="12"/>
    <n v="20"/>
    <m/>
    <n v="2008"/>
    <n v="2"/>
    <s v="Europe/Asia"/>
    <s v="China"/>
    <s v="Hydrometerological"/>
    <s v="Storm"/>
    <s v="Winter Storm"/>
    <s v="Snowstorm"/>
    <n v="7800000"/>
    <m/>
    <m/>
    <s v="n/a"/>
    <m/>
    <m/>
    <m/>
    <m/>
    <m/>
    <s v="n/a"/>
    <m/>
    <s v="n/a"/>
    <m/>
    <m/>
    <m/>
    <n v="867000"/>
    <m/>
    <n v="867000"/>
    <m/>
    <m/>
    <m/>
    <m/>
    <m/>
    <m/>
    <m/>
    <m/>
    <m/>
    <m/>
    <m/>
    <m/>
    <m/>
    <m/>
    <m/>
    <m/>
    <m/>
    <m/>
    <m/>
    <m/>
    <n v="867000"/>
    <m/>
    <m/>
    <m/>
    <n v="867000"/>
    <s v="Y"/>
    <m/>
    <m/>
    <m/>
    <m/>
    <n v="2060"/>
    <m/>
    <m/>
    <m/>
    <m/>
    <m/>
    <m/>
    <m/>
    <s v="N"/>
    <m/>
    <m/>
    <s v="y"/>
    <m/>
    <s v="CASH: Bilateral to RCSC"/>
  </r>
  <r>
    <m/>
    <n v="190"/>
    <x v="187"/>
    <d v="2008-02-01T00:00:00"/>
    <x v="12"/>
    <n v="21"/>
    <m/>
    <n v="2008"/>
    <n v="3"/>
    <s v="Africa"/>
    <s v="Guyana"/>
    <s v="Human Related"/>
    <s v="Civil Unrest"/>
    <s v="Civil Unrest"/>
    <s v="Civil Unrest"/>
    <m/>
    <m/>
    <m/>
    <s v="n/a"/>
    <m/>
    <m/>
    <m/>
    <m/>
    <m/>
    <n v="0"/>
    <m/>
    <n v="0"/>
    <m/>
    <m/>
    <m/>
    <n v="2400"/>
    <m/>
    <n v="2400"/>
    <n v="2"/>
    <m/>
    <m/>
    <m/>
    <m/>
    <m/>
    <m/>
    <m/>
    <m/>
    <m/>
    <m/>
    <m/>
    <m/>
    <m/>
    <m/>
    <m/>
    <m/>
    <m/>
    <m/>
    <n v="10000"/>
    <n v="12400"/>
    <m/>
    <m/>
    <m/>
    <n v="12400"/>
    <s v="N"/>
    <m/>
    <m/>
    <m/>
    <m/>
    <n v="2799"/>
    <m/>
    <m/>
    <m/>
    <m/>
    <m/>
    <m/>
    <m/>
    <s v="Y"/>
    <m/>
    <m/>
    <m/>
    <s v="Violence"/>
    <s v="PEOPLE: G. Dodge, V. Vibhakar to Guyana for PSP ($10k) CASH: cash to NS $2,400 - total both $12,400"/>
  </r>
  <r>
    <m/>
    <n v="191"/>
    <x v="125"/>
    <d v="2008-02-01T00:00:00"/>
    <x v="12"/>
    <n v="22"/>
    <m/>
    <n v="2008"/>
    <n v="4"/>
    <s v="Africa"/>
    <s v="Sudan"/>
    <s v="Human Related"/>
    <s v="Conflict"/>
    <s v="Conflict"/>
    <s v="Conflict"/>
    <n v="2000000"/>
    <s v="Y"/>
    <s v="ICRC"/>
    <n v="94000000"/>
    <m/>
    <n v="7.5957446808510637E-3"/>
    <m/>
    <m/>
    <m/>
    <n v="600000"/>
    <m/>
    <m/>
    <n v="1"/>
    <m/>
    <n v="714000"/>
    <m/>
    <m/>
    <n v="714000"/>
    <m/>
    <m/>
    <m/>
    <m/>
    <m/>
    <m/>
    <m/>
    <m/>
    <m/>
    <m/>
    <m/>
    <m/>
    <m/>
    <m/>
    <m/>
    <m/>
    <m/>
    <m/>
    <m/>
    <m/>
    <n v="714000"/>
    <m/>
    <m/>
    <m/>
    <n v="714000"/>
    <s v="Y"/>
    <m/>
    <m/>
    <m/>
    <m/>
    <n v="2661"/>
    <m/>
    <m/>
    <m/>
    <m/>
    <m/>
    <m/>
    <m/>
    <s v="N"/>
    <m/>
    <m/>
    <m/>
    <m/>
    <s v="CASH: 714k to ICRC from Coca Cola"/>
  </r>
  <r>
    <s v="FL-2008-000018-ECU"/>
    <n v="192"/>
    <x v="188"/>
    <d v="2008-02-01T00:00:00"/>
    <x v="12"/>
    <n v="23"/>
    <m/>
    <n v="2008"/>
    <n v="5"/>
    <s v="LAC"/>
    <s v="Ecuador"/>
    <s v="Hydrometerological"/>
    <s v="Floods"/>
    <s v="General Floods"/>
    <s v="General Floods"/>
    <n v="315000"/>
    <m/>
    <s v="?"/>
    <n v="700000"/>
    <m/>
    <n v="0"/>
    <m/>
    <m/>
    <m/>
    <n v="15220"/>
    <m/>
    <n v="6445"/>
    <m/>
    <m/>
    <m/>
    <n v="245000"/>
    <m/>
    <n v="245000"/>
    <m/>
    <m/>
    <m/>
    <m/>
    <m/>
    <m/>
    <m/>
    <m/>
    <m/>
    <m/>
    <m/>
    <m/>
    <m/>
    <m/>
    <m/>
    <m/>
    <m/>
    <m/>
    <m/>
    <m/>
    <n v="245000"/>
    <m/>
    <m/>
    <m/>
    <n v="245000"/>
    <s v="Y"/>
    <m/>
    <m/>
    <m/>
    <m/>
    <s v="2597 / 2099"/>
    <m/>
    <m/>
    <m/>
    <m/>
    <m/>
    <m/>
    <m/>
    <s v="N"/>
    <m/>
    <m/>
    <m/>
    <s v="Pacific Coast"/>
    <s v="CASH from 2597: OFDA grant for procurement of NFIs - nets, clean-up kits, kitchen sets;  CASH from 2099: To ERC for purchase of food parcels "/>
  </r>
  <r>
    <m/>
    <n v="193"/>
    <x v="105"/>
    <d v="2008-03-08T00:00:00"/>
    <x v="12"/>
    <n v="24"/>
    <m/>
    <n v="2008"/>
    <n v="6"/>
    <s v="Europe/Asia"/>
    <s v="Iraq"/>
    <s v="Human Related"/>
    <s v="Conflict"/>
    <s v="Conflict"/>
    <s v="Conflict"/>
    <n v="4000000"/>
    <s v="Y"/>
    <s v="IFRC"/>
    <n v="18900000"/>
    <m/>
    <n v="1.4232804232804232E-2"/>
    <m/>
    <m/>
    <m/>
    <n v="900000"/>
    <m/>
    <m/>
    <n v="1"/>
    <n v="269000"/>
    <m/>
    <m/>
    <m/>
    <n v="269000"/>
    <m/>
    <m/>
    <m/>
    <m/>
    <m/>
    <m/>
    <m/>
    <m/>
    <m/>
    <m/>
    <m/>
    <m/>
    <m/>
    <m/>
    <m/>
    <m/>
    <m/>
    <m/>
    <m/>
    <m/>
    <n v="269000"/>
    <m/>
    <m/>
    <m/>
    <n v="269000"/>
    <s v="Y"/>
    <m/>
    <m/>
    <m/>
    <m/>
    <s v="2099/2689"/>
    <m/>
    <m/>
    <m/>
    <m/>
    <m/>
    <m/>
    <m/>
    <s v="N"/>
    <m/>
    <m/>
    <m/>
    <s v="Country-wide"/>
    <s v="CASH from 2099: $250k Earmarked for OD and M&amp;E; CASH from 2689: $19k Earmarked for OD and M&amp;E;"/>
  </r>
  <r>
    <s v="TC-2008-000023-MDG"/>
    <n v="194"/>
    <x v="189"/>
    <d v="2008-03-08T00:00:00"/>
    <x v="12"/>
    <n v="25"/>
    <m/>
    <n v="2008"/>
    <n v="7"/>
    <s v="Africa"/>
    <s v="Madagascar"/>
    <s v="Hydrometerological"/>
    <s v="Storm"/>
    <s v="Tropical Cyclone"/>
    <s v="Cyclone"/>
    <n v="322000"/>
    <s v="Y"/>
    <s v="IFRC"/>
    <n v="1000000"/>
    <s v="MDRMG003"/>
    <n v="0"/>
    <m/>
    <m/>
    <m/>
    <n v="50000"/>
    <m/>
    <m/>
    <m/>
    <m/>
    <m/>
    <m/>
    <m/>
    <n v="0"/>
    <m/>
    <m/>
    <m/>
    <n v="10000"/>
    <m/>
    <m/>
    <m/>
    <m/>
    <m/>
    <m/>
    <m/>
    <m/>
    <n v="10000"/>
    <m/>
    <m/>
    <m/>
    <m/>
    <m/>
    <n v="50000"/>
    <m/>
    <n v="50000"/>
    <m/>
    <m/>
    <m/>
    <n v="50000"/>
    <s v="N"/>
    <m/>
    <m/>
    <m/>
    <m/>
    <n v="2799"/>
    <m/>
    <m/>
    <m/>
    <m/>
    <m/>
    <m/>
    <m/>
    <s v="Y"/>
    <m/>
    <m/>
    <m/>
    <s v="Ivan"/>
    <m/>
  </r>
  <r>
    <s v="TC-2008-000033-MOZ"/>
    <n v="195"/>
    <x v="190"/>
    <d v="2008-03-08T00:00:00"/>
    <x v="12"/>
    <n v="26"/>
    <m/>
    <n v="2008"/>
    <n v="8"/>
    <s v="Africa"/>
    <s v="Mozambique"/>
    <s v="Hydrometerological"/>
    <s v="Floods"/>
    <s v="General Floods"/>
    <s v="General Floods"/>
    <n v="400000"/>
    <s v="Y"/>
    <m/>
    <n v="8400000"/>
    <m/>
    <n v="3.5714285714285712E-2"/>
    <m/>
    <m/>
    <m/>
    <n v="97550"/>
    <m/>
    <n v="15000"/>
    <n v="1"/>
    <n v="300000"/>
    <m/>
    <m/>
    <m/>
    <n v="300000"/>
    <m/>
    <m/>
    <m/>
    <m/>
    <m/>
    <m/>
    <m/>
    <m/>
    <m/>
    <m/>
    <m/>
    <m/>
    <m/>
    <m/>
    <m/>
    <m/>
    <m/>
    <m/>
    <m/>
    <m/>
    <n v="300000"/>
    <m/>
    <m/>
    <m/>
    <n v="300000"/>
    <s v="Y"/>
    <m/>
    <m/>
    <m/>
    <m/>
    <s v="2099/($200k)/2869 ($100k)"/>
    <m/>
    <m/>
    <m/>
    <m/>
    <m/>
    <m/>
    <m/>
    <s v="N"/>
    <m/>
    <s v="ARCT"/>
    <m/>
    <s v="Southern Africa"/>
    <s v="CASH: 285k earmarked shelter/relief activities, 15k earmarked for RDRT costs x3; 2099 = $200k/ 2869 = $100k. Note ARCT funds used - $100,000 to Federation for shelter, see ARCT 2008 report."/>
  </r>
  <r>
    <s v="TC-2008-000033-MOZ"/>
    <n v="196"/>
    <x v="190"/>
    <d v="2008-03-08T00:00:00"/>
    <x v="12"/>
    <n v="27"/>
    <m/>
    <n v="2008"/>
    <n v="9"/>
    <s v="Africa"/>
    <s v="Tanzania"/>
    <s v="Hydrometerological"/>
    <s v="Floods"/>
    <s v="General Floods"/>
    <s v="General Floods"/>
    <n v="2700"/>
    <m/>
    <m/>
    <s v="n/a"/>
    <m/>
    <m/>
    <m/>
    <m/>
    <m/>
    <n v="2700"/>
    <m/>
    <m/>
    <m/>
    <m/>
    <m/>
    <n v="48500"/>
    <m/>
    <n v="48500"/>
    <m/>
    <m/>
    <m/>
    <m/>
    <m/>
    <m/>
    <m/>
    <m/>
    <m/>
    <m/>
    <m/>
    <m/>
    <m/>
    <m/>
    <m/>
    <m/>
    <m/>
    <m/>
    <m/>
    <m/>
    <n v="48500"/>
    <m/>
    <m/>
    <m/>
    <n v="48500"/>
    <s v="Y"/>
    <m/>
    <m/>
    <m/>
    <m/>
    <n v="2002"/>
    <m/>
    <m/>
    <m/>
    <m/>
    <m/>
    <m/>
    <m/>
    <s v="N"/>
    <m/>
    <m/>
    <m/>
    <s v="Flood/Mine"/>
    <s v="CASH: Grant letter to TRCS, relief/shelter"/>
  </r>
  <r>
    <s v="TC-2008-000057-MMR"/>
    <n v="197"/>
    <x v="191"/>
    <d v="2008-05-08T00:00:00"/>
    <x v="12"/>
    <n v="28"/>
    <m/>
    <n v="2008"/>
    <n v="10"/>
    <s v="Europe/Asia"/>
    <s v="Myanmar"/>
    <s v="Hydrometerological"/>
    <s v="Storm"/>
    <s v="Tropical Cyclone"/>
    <s v="Cyclone"/>
    <n v="2400000"/>
    <s v="Y"/>
    <s v="IFRC"/>
    <n v="72537164"/>
    <s v="MDRMM002"/>
    <n v="3.446509157705697E-3"/>
    <n v="0.9"/>
    <m/>
    <m/>
    <n v="500000"/>
    <m/>
    <m/>
    <n v="1"/>
    <n v="250000"/>
    <m/>
    <m/>
    <m/>
    <n v="250000"/>
    <n v="1"/>
    <m/>
    <n v="1"/>
    <n v="205000"/>
    <m/>
    <m/>
    <n v="25000"/>
    <m/>
    <m/>
    <m/>
    <n v="5000"/>
    <m/>
    <n v="20000"/>
    <m/>
    <n v="9995"/>
    <m/>
    <m/>
    <m/>
    <n v="900000"/>
    <m/>
    <n v="1150000"/>
    <m/>
    <m/>
    <m/>
    <n v="3400000"/>
    <s v="Y"/>
    <m/>
    <m/>
    <m/>
    <m/>
    <s v="2594 / 2875"/>
    <m/>
    <m/>
    <m/>
    <m/>
    <m/>
    <m/>
    <m/>
    <s v="N"/>
    <m/>
    <m/>
    <s v="y"/>
    <s v="Nargis"/>
    <s v="SUPPLIES from 2594: OFDA  jerry cans, plus roughly 60k transport and associated costs; SUPPLIES from 2875: $1,150,000 plus transport"/>
  </r>
  <r>
    <s v="EQ-2008-000062-CHN"/>
    <n v="198"/>
    <x v="192"/>
    <d v="2008-05-08T00:00:00"/>
    <x v="12"/>
    <n v="29"/>
    <m/>
    <n v="2008"/>
    <n v="11"/>
    <s v="Europe/Asia"/>
    <s v="China"/>
    <s v="Geophysical"/>
    <s v="Earthquake"/>
    <s v="Earthquake"/>
    <s v="Earthquake"/>
    <n v="10000000"/>
    <s v="Y"/>
    <s v="IFRC"/>
    <n v="92700000"/>
    <s v="MDRCN003"/>
    <n v="0.10787486515641856"/>
    <n v="0.65"/>
    <m/>
    <m/>
    <n v="500000"/>
    <m/>
    <m/>
    <n v="1"/>
    <n v="10000000"/>
    <m/>
    <m/>
    <m/>
    <n v="10000000"/>
    <n v="3"/>
    <m/>
    <m/>
    <m/>
    <m/>
    <m/>
    <m/>
    <m/>
    <m/>
    <m/>
    <m/>
    <m/>
    <m/>
    <m/>
    <m/>
    <m/>
    <m/>
    <m/>
    <m/>
    <m/>
    <n v="10000000"/>
    <m/>
    <m/>
    <m/>
    <n v="55000000"/>
    <s v="Y"/>
    <m/>
    <m/>
    <m/>
    <m/>
    <n v="2060"/>
    <m/>
    <m/>
    <m/>
    <m/>
    <m/>
    <m/>
    <m/>
    <s v="N"/>
    <m/>
    <m/>
    <s v="y"/>
    <s v="Sichuan"/>
    <s v="CASH: Unearmarked PMN; PEOPLE: R. Rayyis 1 wk info gathering, T. Betz 3 wk relief/logs/monitoring del; S. Thornton 6 mo relief del"/>
  </r>
  <r>
    <s v="DR-2008-000043-ETH"/>
    <n v="199"/>
    <x v="193"/>
    <d v="2008-06-08T00:00:00"/>
    <x v="12"/>
    <n v="32"/>
    <m/>
    <n v="2008"/>
    <n v="14"/>
    <s v="Africa"/>
    <s v="Ethiopia"/>
    <s v="Human Related"/>
    <s v="Food Insecurity"/>
    <s v="Food Insecurity"/>
    <s v="Food Insecurity"/>
    <n v="4500000"/>
    <s v="Y"/>
    <s v="IFRC"/>
    <n v="7920006"/>
    <s v="MDRET005"/>
    <n v="1.2626253060919398E-2"/>
    <m/>
    <m/>
    <m/>
    <n v="76075"/>
    <m/>
    <m/>
    <n v="1"/>
    <n v="100000"/>
    <m/>
    <m/>
    <m/>
    <n v="100000"/>
    <m/>
    <m/>
    <m/>
    <m/>
    <m/>
    <m/>
    <m/>
    <m/>
    <m/>
    <m/>
    <m/>
    <m/>
    <m/>
    <m/>
    <m/>
    <m/>
    <m/>
    <m/>
    <m/>
    <m/>
    <n v="100000"/>
    <m/>
    <m/>
    <m/>
    <n v="100000"/>
    <s v="Y"/>
    <m/>
    <m/>
    <m/>
    <m/>
    <n v="2949"/>
    <m/>
    <m/>
    <m/>
    <m/>
    <m/>
    <m/>
    <m/>
    <s v="N"/>
    <m/>
    <m/>
    <m/>
    <m/>
    <s v="CASH: PMN earmarked for procurement, transport, distribution of food"/>
  </r>
  <r>
    <m/>
    <n v="200"/>
    <x v="194"/>
    <d v="2008-06-08T00:00:00"/>
    <x v="12"/>
    <n v="30"/>
    <m/>
    <n v="2008"/>
    <n v="12"/>
    <s v="Africa"/>
    <s v="South Africa"/>
    <s v="Human Related"/>
    <s v="Civil Unrest"/>
    <s v="Civil Unrest"/>
    <s v="Civil Unrest"/>
    <n v="50000"/>
    <m/>
    <m/>
    <s v="n/a"/>
    <m/>
    <m/>
    <m/>
    <m/>
    <m/>
    <n v="30000"/>
    <m/>
    <n v="0"/>
    <m/>
    <m/>
    <m/>
    <m/>
    <m/>
    <n v="0"/>
    <n v="1"/>
    <m/>
    <m/>
    <m/>
    <m/>
    <m/>
    <m/>
    <m/>
    <m/>
    <m/>
    <m/>
    <m/>
    <m/>
    <m/>
    <m/>
    <m/>
    <m/>
    <m/>
    <m/>
    <n v="10000"/>
    <n v="10000"/>
    <m/>
    <m/>
    <m/>
    <n v="10000"/>
    <s v="N"/>
    <m/>
    <m/>
    <m/>
    <m/>
    <n v="2799"/>
    <m/>
    <m/>
    <m/>
    <m/>
    <m/>
    <m/>
    <m/>
    <s v="Y"/>
    <m/>
    <m/>
    <m/>
    <s v="Urban Violence"/>
    <s v="PEOPLE: C. Bell bilateral - dev systems/tracking"/>
  </r>
  <r>
    <s v="FL-2008-000069-CHL"/>
    <n v="201"/>
    <x v="195"/>
    <d v="2008-06-08T00:00:00"/>
    <x v="12"/>
    <n v="31"/>
    <m/>
    <n v="2008"/>
    <n v="13"/>
    <s v="LAC"/>
    <s v="Chile"/>
    <s v="Hydrometerological"/>
    <s v="Floods"/>
    <s v="General Floods"/>
    <s v="General Floods"/>
    <n v="50000"/>
    <m/>
    <m/>
    <s v="n/a"/>
    <m/>
    <m/>
    <m/>
    <m/>
    <m/>
    <n v="4000"/>
    <m/>
    <n v="1250"/>
    <n v="0"/>
    <n v="2000"/>
    <m/>
    <m/>
    <m/>
    <n v="2000"/>
    <n v="1"/>
    <m/>
    <m/>
    <m/>
    <m/>
    <m/>
    <m/>
    <m/>
    <m/>
    <m/>
    <m/>
    <m/>
    <m/>
    <m/>
    <m/>
    <m/>
    <m/>
    <m/>
    <m/>
    <m/>
    <n v="2000"/>
    <m/>
    <m/>
    <m/>
    <n v="2000"/>
    <s v="N"/>
    <m/>
    <m/>
    <m/>
    <m/>
    <n v="2799"/>
    <m/>
    <m/>
    <m/>
    <m/>
    <m/>
    <m/>
    <m/>
    <s v="Y"/>
    <m/>
    <m/>
    <m/>
    <m/>
    <s v="PEOPLE: S. DiPretoro, w/RIT, cash voucher/market assessment"/>
  </r>
  <r>
    <s v="TC-2008-000093-PHL"/>
    <n v="202"/>
    <x v="196"/>
    <d v="2008-06-08T00:00:00"/>
    <x v="12"/>
    <n v="33"/>
    <m/>
    <n v="2008"/>
    <n v="15"/>
    <s v="Europe/Asia"/>
    <s v="Philippines"/>
    <s v="Hydrometerological"/>
    <s v="Storm"/>
    <s v="Tropical Cyclone"/>
    <s v="Typhoon"/>
    <n v="4800000"/>
    <s v="Y"/>
    <s v="IFRC"/>
    <n v="8000000"/>
    <s v="MDRPH004"/>
    <n v="2.3125E-2"/>
    <n v="1"/>
    <m/>
    <m/>
    <n v="30000"/>
    <m/>
    <m/>
    <n v="1"/>
    <n v="185000"/>
    <m/>
    <m/>
    <m/>
    <n v="185000"/>
    <n v="1"/>
    <m/>
    <m/>
    <m/>
    <m/>
    <m/>
    <m/>
    <m/>
    <m/>
    <m/>
    <m/>
    <m/>
    <m/>
    <m/>
    <m/>
    <m/>
    <m/>
    <m/>
    <m/>
    <m/>
    <n v="185000"/>
    <m/>
    <m/>
    <m/>
    <n v="185000"/>
    <s v="Y"/>
    <m/>
    <m/>
    <m/>
    <m/>
    <s v="2032/2799/2869"/>
    <m/>
    <m/>
    <m/>
    <m/>
    <m/>
    <m/>
    <m/>
    <s v="N"/>
    <m/>
    <s v="ARCT"/>
    <m/>
    <s v="Fengshen"/>
    <s v="CASH: 1st PMN (135K)earmarked for typhoon-resistant shelter construction, and DP programs, 2nd (50k) earmarked for shelters after IFRC reported severe underfunding; 1st PMN: AP 2869 - $80,938.17, AP 2799 - $45,211.83. AP 2032 - $8,850.00 / 2nd PMN: AP 2799 - $50,000 PEOPLE: G. Bicego, wat/san assessment team, Fed will pay all expenses. Note: ARCT Funds $100,000 used for shelter to Federation as noted in ARCT report for 2008."/>
  </r>
  <r>
    <m/>
    <n v="203"/>
    <x v="197"/>
    <d v="2008-07-08T00:00:00"/>
    <x v="13"/>
    <n v="1"/>
    <m/>
    <n v="2008"/>
    <n v="16"/>
    <s v="Europe/Asia"/>
    <s v="Yemen"/>
    <s v="Human Related"/>
    <s v="Conflict"/>
    <s v="Conflict"/>
    <s v="Conflict"/>
    <n v="77000"/>
    <s v="Y"/>
    <s v="ICRC"/>
    <n v="13707000"/>
    <m/>
    <n v="3.6477712117895965E-3"/>
    <m/>
    <m/>
    <m/>
    <n v="80500"/>
    <m/>
    <m/>
    <n v="1"/>
    <m/>
    <n v="50000"/>
    <m/>
    <m/>
    <n v="50000"/>
    <m/>
    <m/>
    <m/>
    <s v="-"/>
    <m/>
    <m/>
    <m/>
    <m/>
    <m/>
    <m/>
    <m/>
    <m/>
    <m/>
    <m/>
    <m/>
    <m/>
    <m/>
    <m/>
    <m/>
    <m/>
    <n v="50000"/>
    <m/>
    <m/>
    <m/>
    <n v="50000"/>
    <s v="N"/>
    <m/>
    <m/>
    <m/>
    <m/>
    <n v="2799"/>
    <m/>
    <m/>
    <m/>
    <m/>
    <m/>
    <m/>
    <m/>
    <s v="Y"/>
    <m/>
    <m/>
    <m/>
    <s v="Believing Youth"/>
    <s v="CASH: $50,000 Pledge Letter to ICRC"/>
  </r>
  <r>
    <s v="FL-2008-000095-SUR"/>
    <n v="204"/>
    <x v="198"/>
    <d v="2008-07-01T00:00:00"/>
    <x v="13"/>
    <n v="2"/>
    <m/>
    <n v="2008"/>
    <n v="17"/>
    <s v="LAC"/>
    <s v="Suriname"/>
    <s v="Hydrometerological"/>
    <s v="Floods"/>
    <s v="General Floods"/>
    <s v="General Floods"/>
    <n v="49090"/>
    <s v="Y"/>
    <s v="IFRC"/>
    <n v="861000"/>
    <s v="MDRSR002"/>
    <m/>
    <m/>
    <m/>
    <m/>
    <n v="3000"/>
    <m/>
    <m/>
    <m/>
    <m/>
    <m/>
    <m/>
    <m/>
    <s v="-"/>
    <n v="2"/>
    <s v="IT/Telecoms"/>
    <n v="2"/>
    <s v="-"/>
    <m/>
    <m/>
    <m/>
    <m/>
    <m/>
    <m/>
    <m/>
    <m/>
    <m/>
    <m/>
    <m/>
    <m/>
    <m/>
    <m/>
    <s v="-"/>
    <s v="-"/>
    <n v="0"/>
    <m/>
    <m/>
    <m/>
    <n v="0"/>
    <s v="N"/>
    <m/>
    <m/>
    <m/>
    <m/>
    <n v="2799"/>
    <m/>
    <m/>
    <m/>
    <m/>
    <m/>
    <m/>
    <m/>
    <s v="Y"/>
    <m/>
    <m/>
    <m/>
    <m/>
    <s v="PEOPLE: M. Million, R. Palmer IT capacity bldg"/>
  </r>
  <r>
    <s v="FL-2008-000122-UKR/MDA"/>
    <n v="205"/>
    <x v="199"/>
    <d v="2008-08-01T00:00:00"/>
    <x v="13"/>
    <n v="3"/>
    <m/>
    <n v="2008"/>
    <n v="18"/>
    <s v="Europe/Asia"/>
    <s v="Ukraine"/>
    <s v="Hydrometerological"/>
    <s v="Floods"/>
    <s v="General Floods"/>
    <s v="General Floods"/>
    <n v="30000"/>
    <s v="Y"/>
    <s v="IFRC"/>
    <n v="1193000"/>
    <s v="MDR67003"/>
    <n v="3.7091366303436714E-2"/>
    <n v="0.54"/>
    <m/>
    <m/>
    <n v="60000"/>
    <m/>
    <m/>
    <n v="1"/>
    <n v="44250"/>
    <m/>
    <m/>
    <m/>
    <n v="44250"/>
    <m/>
    <m/>
    <m/>
    <s v="-"/>
    <m/>
    <m/>
    <m/>
    <m/>
    <m/>
    <m/>
    <m/>
    <m/>
    <m/>
    <m/>
    <m/>
    <m/>
    <m/>
    <m/>
    <m/>
    <m/>
    <n v="44250"/>
    <m/>
    <m/>
    <m/>
    <n v="44250"/>
    <s v="Y"/>
    <m/>
    <m/>
    <m/>
    <m/>
    <n v="2048"/>
    <m/>
    <m/>
    <m/>
    <m/>
    <m/>
    <m/>
    <m/>
    <s v="N"/>
    <m/>
    <m/>
    <m/>
    <m/>
    <s v="CASH: $44,280 PMN unearmarked, Boeing donation"/>
  </r>
  <r>
    <m/>
    <n v="206"/>
    <x v="200"/>
    <d v="2008-08-01T00:00:00"/>
    <x v="13"/>
    <n v="4"/>
    <m/>
    <n v="2008"/>
    <n v="19"/>
    <s v="Europe/Asia"/>
    <s v="Georgia"/>
    <s v="Human Related"/>
    <s v="Conflict"/>
    <s v="Conflict"/>
    <s v="Conflict"/>
    <n v="72000"/>
    <s v="Y"/>
    <s v="ICRC"/>
    <n v="7395000"/>
    <s v="REX08/555"/>
    <m/>
    <m/>
    <m/>
    <m/>
    <n v="50000"/>
    <m/>
    <m/>
    <n v="1"/>
    <m/>
    <n v="100000"/>
    <m/>
    <m/>
    <n v="100000"/>
    <m/>
    <m/>
    <m/>
    <s v="-"/>
    <m/>
    <m/>
    <m/>
    <m/>
    <m/>
    <m/>
    <m/>
    <m/>
    <m/>
    <m/>
    <m/>
    <m/>
    <m/>
    <m/>
    <m/>
    <m/>
    <n v="100000"/>
    <m/>
    <m/>
    <m/>
    <n v="100000"/>
    <s v="N"/>
    <m/>
    <m/>
    <m/>
    <m/>
    <n v="2799"/>
    <m/>
    <m/>
    <m/>
    <m/>
    <m/>
    <m/>
    <m/>
    <s v="Y"/>
    <m/>
    <m/>
    <m/>
    <s v="S. Ossetia"/>
    <s v="CASH: $100,000 Pledge Letter to ICRC"/>
  </r>
  <r>
    <s v="FL-2008-000104-NPL"/>
    <n v="207"/>
    <x v="174"/>
    <d v="2008-09-08T00:00:00"/>
    <x v="13"/>
    <n v="5"/>
    <m/>
    <n v="2008"/>
    <n v="20"/>
    <s v="Europe/Asia"/>
    <s v="Nepal"/>
    <s v="Hydrometerological"/>
    <s v="Floods"/>
    <s v="General Floods"/>
    <s v="General Floods"/>
    <n v="70000"/>
    <s v="Y"/>
    <s v="IFRC"/>
    <n v="2647699"/>
    <s v="MDRNP002"/>
    <n v="1.8884321820569483E-2"/>
    <n v="0.72"/>
    <m/>
    <m/>
    <n v="150000"/>
    <m/>
    <m/>
    <n v="1"/>
    <n v="50000"/>
    <m/>
    <m/>
    <m/>
    <n v="50000"/>
    <m/>
    <m/>
    <m/>
    <s v="-"/>
    <m/>
    <m/>
    <m/>
    <m/>
    <m/>
    <m/>
    <m/>
    <m/>
    <m/>
    <m/>
    <m/>
    <m/>
    <m/>
    <m/>
    <m/>
    <m/>
    <n v="50000"/>
    <m/>
    <m/>
    <m/>
    <n v="50000"/>
    <s v="N"/>
    <m/>
    <m/>
    <m/>
    <m/>
    <n v="2799"/>
    <m/>
    <m/>
    <m/>
    <m/>
    <m/>
    <m/>
    <m/>
    <s v="Y"/>
    <m/>
    <m/>
    <m/>
    <s v="Koshi River Embankment Breach"/>
    <s v="CASH: PMN $50,000 unearmarked to Fed"/>
  </r>
  <r>
    <s v="TC-2008-000147-HTI"/>
    <n v="208"/>
    <x v="201"/>
    <d v="2008-09-08T00:00:00"/>
    <x v="13"/>
    <n v="6"/>
    <m/>
    <n v="2008"/>
    <n v="21"/>
    <s v="LAC"/>
    <s v="Haiti"/>
    <s v="Hydrometerological"/>
    <s v="Storm"/>
    <s v="Tropical Cyclone"/>
    <s v="Hurricane"/>
    <n v="800000"/>
    <s v="Y"/>
    <s v="IFRC"/>
    <n v="7600000"/>
    <s v="MDRHT005"/>
    <n v="3.7326578947368419E-2"/>
    <n v="1.04"/>
    <m/>
    <m/>
    <n v="50000"/>
    <m/>
    <m/>
    <n v="1"/>
    <n v="283682"/>
    <m/>
    <m/>
    <m/>
    <n v="283682"/>
    <n v="5"/>
    <s v="Relief ERU"/>
    <n v="5"/>
    <n v="19100"/>
    <m/>
    <n v="4000"/>
    <m/>
    <m/>
    <n v="4800"/>
    <m/>
    <n v="3000"/>
    <m/>
    <n v="6000"/>
    <m/>
    <n v="1300"/>
    <m/>
    <m/>
    <m/>
    <n v="340000"/>
    <m/>
    <n v="1532876"/>
    <m/>
    <m/>
    <m/>
    <n v="1532876"/>
    <s v="Y"/>
    <m/>
    <m/>
    <m/>
    <m/>
    <s v="2869/2885/ 2591"/>
    <m/>
    <m/>
    <m/>
    <m/>
    <m/>
    <m/>
    <m/>
    <s v="N"/>
    <m/>
    <s v="OFDA grant for $500,000; ARCT funds used - $100,000"/>
    <s v="y"/>
    <s v="Gustav, Hanna, Ike"/>
    <s v="CASH: $100K PMN from AP 2885 earmarked for shelter kits from ARCT; PEOPLE: B. Gaillis (FACT TL), Relief ERU - C. Chaperon (TL), M. Marek, 2nd round - M. Marek (TL), J. Manley, G. Matthews, value at 50k to Fed;  OFDA grant for $500,000. SUPPLIES plus transport/PSR"/>
  </r>
  <r>
    <s v="TC-2008-000143"/>
    <n v="209"/>
    <x v="202"/>
    <d v="2008-09-08T00:00:00"/>
    <x v="13"/>
    <n v="7"/>
    <m/>
    <n v="2008"/>
    <n v="22"/>
    <s v="LAC"/>
    <s v="Bahamas"/>
    <s v="Hydrometerological"/>
    <s v="Storm"/>
    <s v="Tropical Cyclone"/>
    <s v="Hurricane"/>
    <n v="9750"/>
    <s v="Y"/>
    <s v="IFRC"/>
    <n v="1638300"/>
    <s v="MDR49003"/>
    <n v="7.3883904046877863E-2"/>
    <n v="0.77"/>
    <m/>
    <m/>
    <n v="20000"/>
    <m/>
    <m/>
    <n v="1"/>
    <n v="121044"/>
    <m/>
    <m/>
    <m/>
    <n v="121044"/>
    <n v="1"/>
    <m/>
    <n v="1"/>
    <s v="-"/>
    <m/>
    <m/>
    <m/>
    <m/>
    <m/>
    <m/>
    <m/>
    <m/>
    <m/>
    <m/>
    <m/>
    <m/>
    <m/>
    <m/>
    <m/>
    <m/>
    <n v="121044"/>
    <m/>
    <m/>
    <m/>
    <n v="121044"/>
    <s v="N"/>
    <m/>
    <m/>
    <m/>
    <m/>
    <n v="2799"/>
    <m/>
    <m/>
    <m/>
    <m/>
    <m/>
    <m/>
    <m/>
    <s v="Y"/>
    <m/>
    <m/>
    <s v="y"/>
    <s v="Bahamas, Jamaica"/>
    <s v="CASH: PMN $100,000 earmarked for Bahamas and Jamaica; PEOPLE: C. Hammond (RIT)"/>
  </r>
  <r>
    <s v="TC-2008-000143"/>
    <n v="209"/>
    <x v="203"/>
    <d v="2008-09-08T00:00:00"/>
    <x v="13"/>
    <n v="7"/>
    <m/>
    <n v="2008"/>
    <n v="22"/>
    <s v="LAC"/>
    <s v="Jamaica"/>
    <s v="Hydrometerological"/>
    <s v="Storm"/>
    <s v="Tropical Cyclone"/>
    <s v="Hurricane"/>
    <n v="4000"/>
    <m/>
    <m/>
    <s v="-"/>
    <s v="MDR49003"/>
    <m/>
    <m/>
    <m/>
    <m/>
    <s v="-"/>
    <m/>
    <s v="-"/>
    <m/>
    <m/>
    <m/>
    <m/>
    <m/>
    <m/>
    <m/>
    <m/>
    <m/>
    <s v="-"/>
    <m/>
    <m/>
    <m/>
    <m/>
    <m/>
    <m/>
    <m/>
    <m/>
    <m/>
    <m/>
    <m/>
    <m/>
    <m/>
    <m/>
    <m/>
    <m/>
    <s v="-"/>
    <m/>
    <m/>
    <m/>
    <s v="-"/>
    <s v="Y"/>
    <m/>
    <m/>
    <m/>
    <m/>
    <m/>
    <m/>
    <m/>
    <m/>
    <m/>
    <m/>
    <m/>
    <m/>
    <s v="N"/>
    <m/>
    <m/>
    <s v="y"/>
    <s v="Bahamas, Jamaica"/>
    <s v="CASH: PMN earmarked for Bahamas and Jamaica"/>
  </r>
  <r>
    <s v="TC-2008-000143"/>
    <n v="210"/>
    <x v="204"/>
    <d v="2008-09-08T00:00:00"/>
    <x v="13"/>
    <n v="8"/>
    <m/>
    <n v="2008"/>
    <n v="23"/>
    <s v="LAC"/>
    <s v="Cuba"/>
    <s v="Hydrometerological"/>
    <s v="Storm"/>
    <s v="Tropical Cyclone"/>
    <s v="Hurricane"/>
    <n v="2900000"/>
    <s v="Y"/>
    <s v="IFRC"/>
    <n v="8811345"/>
    <s v="MDRCU001"/>
    <n v="0.12823728953979216"/>
    <n v="0.66"/>
    <m/>
    <m/>
    <n v="60000"/>
    <m/>
    <n v="10380"/>
    <n v="1"/>
    <n v="1129943"/>
    <m/>
    <m/>
    <m/>
    <n v="1129943"/>
    <m/>
    <m/>
    <m/>
    <s v="-"/>
    <m/>
    <m/>
    <m/>
    <m/>
    <m/>
    <m/>
    <m/>
    <m/>
    <m/>
    <m/>
    <m/>
    <m/>
    <m/>
    <m/>
    <m/>
    <m/>
    <n v="1129943"/>
    <m/>
    <m/>
    <m/>
    <n v="1129943"/>
    <s v="N"/>
    <m/>
    <m/>
    <m/>
    <m/>
    <n v="2099"/>
    <m/>
    <m/>
    <m/>
    <m/>
    <m/>
    <m/>
    <m/>
    <s v="N"/>
    <m/>
    <m/>
    <s v="y"/>
    <s v="Gustav, Ike"/>
    <s v="CASH: PMN unearmarked - OFAC license received"/>
  </r>
  <r>
    <s v="FL-2008-000198"/>
    <n v="211"/>
    <x v="205"/>
    <d v="2008-10-01T00:00:00"/>
    <x v="13"/>
    <n v="9"/>
    <m/>
    <n v="2008"/>
    <n v="24"/>
    <s v="LAC"/>
    <s v="Nicaragua"/>
    <s v="Hydrometerological"/>
    <s v="Floods"/>
    <s v="Storm Surge"/>
    <s v="Storm Surge"/>
    <s v="-"/>
    <m/>
    <m/>
    <s v="-"/>
    <m/>
    <m/>
    <m/>
    <m/>
    <m/>
    <s v="-"/>
    <m/>
    <s v="-"/>
    <m/>
    <m/>
    <m/>
    <m/>
    <m/>
    <m/>
    <m/>
    <m/>
    <m/>
    <s v="-"/>
    <m/>
    <m/>
    <m/>
    <m/>
    <m/>
    <m/>
    <m/>
    <m/>
    <m/>
    <m/>
    <m/>
    <m/>
    <m/>
    <m/>
    <m/>
    <m/>
    <s v="-"/>
    <m/>
    <m/>
    <m/>
    <s v="-"/>
    <s v="Y"/>
    <m/>
    <m/>
    <m/>
    <m/>
    <m/>
    <m/>
    <m/>
    <m/>
    <m/>
    <m/>
    <m/>
    <m/>
    <s v="N"/>
    <m/>
    <m/>
    <s v="y"/>
    <m/>
    <m/>
  </r>
  <r>
    <s v="FL-2008-000198"/>
    <n v="211"/>
    <x v="205"/>
    <d v="2008-10-01T00:00:00"/>
    <x v="13"/>
    <n v="9"/>
    <m/>
    <n v="2008"/>
    <n v="24"/>
    <s v="LAC"/>
    <s v="Honduras"/>
    <s v="Hydrometerological"/>
    <s v="Floods"/>
    <s v="Storm Surge"/>
    <s v="Storm Surge"/>
    <s v="-"/>
    <m/>
    <m/>
    <s v="-"/>
    <m/>
    <m/>
    <m/>
    <m/>
    <m/>
    <s v="-"/>
    <m/>
    <s v="-"/>
    <n v="0"/>
    <n v="25000"/>
    <m/>
    <m/>
    <m/>
    <m/>
    <m/>
    <m/>
    <m/>
    <s v="-"/>
    <m/>
    <m/>
    <m/>
    <m/>
    <m/>
    <m/>
    <m/>
    <m/>
    <m/>
    <m/>
    <m/>
    <m/>
    <m/>
    <m/>
    <m/>
    <m/>
    <s v="-"/>
    <m/>
    <m/>
    <m/>
    <s v="-"/>
    <s v="Y"/>
    <m/>
    <m/>
    <m/>
    <m/>
    <n v="2882"/>
    <m/>
    <m/>
    <m/>
    <m/>
    <m/>
    <m/>
    <m/>
    <s v="N"/>
    <m/>
    <m/>
    <s v="y"/>
    <m/>
    <s v="CASH: PMN 25k earmarked to Honduras from 2882"/>
  </r>
  <r>
    <s v="FL-2008-000198"/>
    <n v="211"/>
    <x v="205"/>
    <d v="2008-10-01T00:00:00"/>
    <x v="13"/>
    <n v="9"/>
    <m/>
    <n v="2008"/>
    <n v="24"/>
    <s v="LAC"/>
    <s v="[rollup]"/>
    <s v="Hydrometerological"/>
    <s v="Floods"/>
    <s v="Storm Surge"/>
    <s v="Storm Surge"/>
    <n v="328000"/>
    <s v="Y"/>
    <s v="IFRC"/>
    <n v="1388924"/>
    <s v="MDR43004"/>
    <n v="0.17760727008821217"/>
    <n v="0.67"/>
    <m/>
    <m/>
    <n v="32000"/>
    <m/>
    <m/>
    <n v="1"/>
    <n v="246683"/>
    <m/>
    <m/>
    <m/>
    <n v="246683"/>
    <m/>
    <m/>
    <m/>
    <s v="-"/>
    <m/>
    <m/>
    <m/>
    <m/>
    <m/>
    <m/>
    <m/>
    <m/>
    <m/>
    <m/>
    <m/>
    <m/>
    <m/>
    <m/>
    <m/>
    <m/>
    <n v="246683"/>
    <m/>
    <m/>
    <m/>
    <n v="246683"/>
    <s v="Y"/>
    <m/>
    <m/>
    <m/>
    <m/>
    <s v="2799 /2882 /2869"/>
    <m/>
    <m/>
    <m/>
    <m/>
    <m/>
    <m/>
    <m/>
    <s v="N"/>
    <m/>
    <s v="ARCT funds used - $100,000"/>
    <s v="y"/>
    <m/>
    <s v="CASH: PMN 100k from 2799 unearmarked; PMN 91k - ( $88,500 from 2869 ARCT and $2,500 from 2799); $25,000 from 2882 earmarked for Honduras"/>
  </r>
  <r>
    <s v="FL-2008-000198"/>
    <n v="211"/>
    <x v="205"/>
    <d v="2008-10-01T00:00:00"/>
    <x v="13"/>
    <n v="9"/>
    <m/>
    <n v="2008"/>
    <n v="24"/>
    <s v="LAC"/>
    <s v="Guatemala"/>
    <s v="Hydrometerological"/>
    <s v="Floods"/>
    <s v="Storm Surge"/>
    <s v="Storm Surge"/>
    <m/>
    <m/>
    <m/>
    <m/>
    <m/>
    <m/>
    <m/>
    <m/>
    <m/>
    <m/>
    <m/>
    <m/>
    <m/>
    <m/>
    <m/>
    <m/>
    <m/>
    <m/>
    <m/>
    <m/>
    <m/>
    <s v="-"/>
    <m/>
    <m/>
    <m/>
    <m/>
    <m/>
    <m/>
    <m/>
    <m/>
    <m/>
    <m/>
    <m/>
    <m/>
    <m/>
    <m/>
    <m/>
    <m/>
    <m/>
    <m/>
    <m/>
    <m/>
    <n v="0"/>
    <s v="Y"/>
    <m/>
    <m/>
    <m/>
    <m/>
    <m/>
    <m/>
    <m/>
    <m/>
    <m/>
    <m/>
    <m/>
    <m/>
    <s v="N"/>
    <m/>
    <m/>
    <s v="y"/>
    <m/>
    <m/>
  </r>
  <r>
    <s v="EQ-2008-000206-PAK"/>
    <n v="212"/>
    <x v="206"/>
    <d v="2008-11-08T00:00:00"/>
    <x v="13"/>
    <n v="10"/>
    <m/>
    <n v="2008"/>
    <n v="25"/>
    <s v="Europe/Asia"/>
    <s v="Pakistan"/>
    <s v="Geophysical"/>
    <s v="Earthquake"/>
    <s v="Earthquake"/>
    <s v="Earthquake"/>
    <n v="366000"/>
    <s v="Y"/>
    <s v="ICRC &amp; IFRC"/>
    <n v="9880000"/>
    <s v="REX08/722 &amp; MDRPK002"/>
    <m/>
    <m/>
    <m/>
    <m/>
    <n v="37930"/>
    <m/>
    <m/>
    <m/>
    <m/>
    <m/>
    <n v="100000"/>
    <m/>
    <n v="100000"/>
    <m/>
    <m/>
    <m/>
    <s v="-"/>
    <m/>
    <m/>
    <m/>
    <m/>
    <m/>
    <m/>
    <m/>
    <m/>
    <m/>
    <m/>
    <m/>
    <m/>
    <m/>
    <m/>
    <m/>
    <m/>
    <n v="100000"/>
    <m/>
    <m/>
    <n v="37930"/>
    <n v="100000"/>
    <s v="N"/>
    <m/>
    <m/>
    <m/>
    <m/>
    <n v="2799"/>
    <m/>
    <m/>
    <m/>
    <m/>
    <m/>
    <m/>
    <m/>
    <s v="Y"/>
    <m/>
    <m/>
    <m/>
    <s v="Baluchistan"/>
    <s v="CASH: $100,000 to purchase relief supplies."/>
  </r>
  <r>
    <s v="FF-2008-000211-VNM"/>
    <n v="213"/>
    <x v="21"/>
    <d v="2008-11-08T00:00:00"/>
    <x v="13"/>
    <n v="11"/>
    <m/>
    <n v="2008"/>
    <n v="26"/>
    <s v="Europe/Asia"/>
    <s v="Vietnam"/>
    <s v="Hydrometerological"/>
    <s v="Floods"/>
    <s v="General Floods"/>
    <s v="General Floods"/>
    <n v="600000"/>
    <s v="Y"/>
    <s v="IFRC"/>
    <n v="4000000"/>
    <s v="MDRVN005"/>
    <n v="1.2500000000000001E-2"/>
    <n v="0.47"/>
    <m/>
    <m/>
    <n v="300000"/>
    <m/>
    <m/>
    <n v="1"/>
    <n v="50000"/>
    <m/>
    <m/>
    <m/>
    <n v="50000"/>
    <m/>
    <m/>
    <m/>
    <s v="-"/>
    <m/>
    <m/>
    <m/>
    <m/>
    <m/>
    <m/>
    <m/>
    <m/>
    <m/>
    <m/>
    <m/>
    <m/>
    <m/>
    <m/>
    <m/>
    <m/>
    <n v="50000"/>
    <m/>
    <m/>
    <m/>
    <n v="50000"/>
    <s v="N"/>
    <m/>
    <m/>
    <m/>
    <m/>
    <n v="2799"/>
    <m/>
    <m/>
    <m/>
    <m/>
    <m/>
    <m/>
    <m/>
    <s v="Y"/>
    <m/>
    <m/>
    <m/>
    <s v="North and Central Regions"/>
    <s v="CASH: PMN 50k unearmarked "/>
  </r>
  <r>
    <s v="FL-2008-000232-CRI"/>
    <n v="214"/>
    <x v="207"/>
    <d v="2008-12-09T00:00:00"/>
    <x v="13"/>
    <n v="12"/>
    <m/>
    <n v="2008"/>
    <n v="27"/>
    <s v="LAC"/>
    <s v="Costa Rica"/>
    <s v="Hydrometerological"/>
    <s v="Floods"/>
    <s v="General Floods"/>
    <m/>
    <s v="-"/>
    <m/>
    <m/>
    <s v="-"/>
    <m/>
    <m/>
    <m/>
    <m/>
    <m/>
    <s v="-"/>
    <m/>
    <s v="-"/>
    <m/>
    <m/>
    <m/>
    <m/>
    <m/>
    <m/>
    <m/>
    <m/>
    <m/>
    <s v="-"/>
    <m/>
    <m/>
    <m/>
    <m/>
    <m/>
    <m/>
    <m/>
    <m/>
    <m/>
    <m/>
    <m/>
    <m/>
    <m/>
    <m/>
    <m/>
    <m/>
    <s v="-"/>
    <m/>
    <m/>
    <m/>
    <s v="-"/>
    <s v="Y"/>
    <m/>
    <m/>
    <m/>
    <m/>
    <m/>
    <m/>
    <m/>
    <m/>
    <m/>
    <m/>
    <m/>
    <m/>
    <s v="N"/>
    <m/>
    <m/>
    <m/>
    <m/>
    <m/>
  </r>
  <r>
    <s v="FL-2008-000158-PAN"/>
    <n v="214"/>
    <x v="207"/>
    <d v="2008-12-08T00:00:00"/>
    <x v="13"/>
    <n v="12"/>
    <m/>
    <n v="2008"/>
    <n v="27"/>
    <s v="LAC"/>
    <s v="Panama"/>
    <s v="Hydrometerological"/>
    <s v="Floods"/>
    <s v="General Floods"/>
    <m/>
    <n v="40158"/>
    <s v="Y"/>
    <s v="IFRC"/>
    <n v="571953"/>
    <s v="MDR43005"/>
    <n v="0.17483954101123694"/>
    <n v="0.39"/>
    <m/>
    <m/>
    <n v="15000"/>
    <m/>
    <m/>
    <n v="1"/>
    <n v="100000"/>
    <m/>
    <m/>
    <m/>
    <n v="100000"/>
    <m/>
    <m/>
    <m/>
    <s v="-"/>
    <m/>
    <m/>
    <m/>
    <m/>
    <m/>
    <m/>
    <m/>
    <m/>
    <m/>
    <m/>
    <m/>
    <m/>
    <m/>
    <m/>
    <m/>
    <m/>
    <n v="100000"/>
    <m/>
    <m/>
    <m/>
    <n v="100000"/>
    <s v="N"/>
    <m/>
    <m/>
    <m/>
    <m/>
    <n v="2799"/>
    <m/>
    <m/>
    <m/>
    <m/>
    <m/>
    <m/>
    <m/>
    <s v="Y"/>
    <m/>
    <m/>
    <m/>
    <m/>
    <s v="CASH: PMN $100,000 for Fed Appeal"/>
  </r>
  <r>
    <m/>
    <n v="215"/>
    <x v="208"/>
    <d v="2008-12-11T00:00:00"/>
    <x v="13"/>
    <n v="13"/>
    <m/>
    <n v="2008"/>
    <n v="28"/>
    <s v="Africa"/>
    <s v="Ethiopia"/>
    <s v="Human Related"/>
    <s v="Food Insecurity"/>
    <s v="Food Insecurity"/>
    <m/>
    <s v="-"/>
    <m/>
    <m/>
    <s v="-"/>
    <m/>
    <m/>
    <m/>
    <m/>
    <m/>
    <s v="-"/>
    <m/>
    <s v="-"/>
    <m/>
    <m/>
    <m/>
    <m/>
    <m/>
    <m/>
    <m/>
    <m/>
    <m/>
    <s v="-"/>
    <m/>
    <m/>
    <m/>
    <m/>
    <m/>
    <m/>
    <m/>
    <m/>
    <m/>
    <m/>
    <m/>
    <m/>
    <m/>
    <m/>
    <m/>
    <m/>
    <s v="-"/>
    <m/>
    <m/>
    <m/>
    <s v="-"/>
    <s v="Y"/>
    <m/>
    <m/>
    <m/>
    <m/>
    <m/>
    <m/>
    <m/>
    <m/>
    <m/>
    <m/>
    <m/>
    <m/>
    <s v="N"/>
    <m/>
    <m/>
    <m/>
    <m/>
    <m/>
  </r>
  <r>
    <m/>
    <n v="215"/>
    <x v="208"/>
    <d v="2008-12-12T00:00:00"/>
    <x v="13"/>
    <n v="13"/>
    <m/>
    <n v="2008"/>
    <n v="28"/>
    <s v="Africa"/>
    <s v="Kenya"/>
    <s v="Human Related"/>
    <s v="Food Insecurity"/>
    <s v="Food Insecurity"/>
    <m/>
    <s v="-"/>
    <m/>
    <m/>
    <s v="-"/>
    <m/>
    <m/>
    <m/>
    <m/>
    <m/>
    <s v="-"/>
    <m/>
    <s v="-"/>
    <m/>
    <m/>
    <m/>
    <m/>
    <m/>
    <m/>
    <m/>
    <m/>
    <m/>
    <s v="-"/>
    <m/>
    <m/>
    <m/>
    <m/>
    <m/>
    <m/>
    <m/>
    <m/>
    <m/>
    <m/>
    <m/>
    <m/>
    <m/>
    <m/>
    <m/>
    <m/>
    <s v="-"/>
    <m/>
    <m/>
    <m/>
    <s v="-"/>
    <s v="Y"/>
    <m/>
    <m/>
    <m/>
    <m/>
    <m/>
    <m/>
    <m/>
    <m/>
    <m/>
    <m/>
    <m/>
    <m/>
    <s v="N"/>
    <m/>
    <m/>
    <m/>
    <m/>
    <m/>
  </r>
  <r>
    <m/>
    <n v="215"/>
    <x v="208"/>
    <d v="2008-12-13T00:00:00"/>
    <x v="13"/>
    <n v="13"/>
    <m/>
    <n v="2008"/>
    <n v="28"/>
    <s v="Africa"/>
    <s v="Somalia"/>
    <s v="Human Related"/>
    <s v="Food Insecurity"/>
    <s v="Food Insecurity"/>
    <m/>
    <s v="-"/>
    <m/>
    <m/>
    <s v="-"/>
    <m/>
    <m/>
    <m/>
    <m/>
    <m/>
    <s v="-"/>
    <m/>
    <s v="-"/>
    <m/>
    <m/>
    <m/>
    <m/>
    <m/>
    <m/>
    <m/>
    <m/>
    <m/>
    <s v="-"/>
    <m/>
    <m/>
    <m/>
    <m/>
    <m/>
    <m/>
    <m/>
    <m/>
    <m/>
    <m/>
    <m/>
    <m/>
    <m/>
    <m/>
    <m/>
    <m/>
    <s v="-"/>
    <m/>
    <m/>
    <m/>
    <s v="-"/>
    <s v="Y"/>
    <m/>
    <m/>
    <m/>
    <m/>
    <m/>
    <m/>
    <m/>
    <m/>
    <m/>
    <m/>
    <m/>
    <m/>
    <s v="N"/>
    <m/>
    <m/>
    <m/>
    <m/>
    <m/>
  </r>
  <r>
    <s v="OT-2008-000196-DJI/ERI/ETH/KEN/SOM"/>
    <n v="215"/>
    <x v="208"/>
    <d v="2008-12-10T00:00:00"/>
    <x v="13"/>
    <n v="13"/>
    <m/>
    <n v="2008"/>
    <n v="28"/>
    <s v="Africa"/>
    <s v="Djibouti"/>
    <s v="Human Related"/>
    <s v="Food Insecurity"/>
    <s v="Food Insecurity"/>
    <m/>
    <n v="16800000"/>
    <s v="Y"/>
    <s v="IFRC"/>
    <n v="66586679"/>
    <s v="MDR64003"/>
    <n v="0"/>
    <n v="0.09"/>
    <s v="Y"/>
    <n v="118830"/>
    <n v="2488500"/>
    <m/>
    <m/>
    <m/>
    <m/>
    <m/>
    <n v="500000"/>
    <m/>
    <m/>
    <n v="1"/>
    <m/>
    <n v="1"/>
    <s v="-"/>
    <m/>
    <m/>
    <m/>
    <m/>
    <m/>
    <m/>
    <m/>
    <m/>
    <m/>
    <m/>
    <m/>
    <m/>
    <m/>
    <m/>
    <m/>
    <m/>
    <n v="0"/>
    <m/>
    <m/>
    <m/>
    <n v="0"/>
    <s v="N"/>
    <m/>
    <m/>
    <m/>
    <m/>
    <n v="2799"/>
    <m/>
    <m/>
    <m/>
    <m/>
    <m/>
    <m/>
    <m/>
    <s v="Y"/>
    <m/>
    <m/>
    <m/>
    <m/>
    <s v="PEOPLE: T. Reines, relief del on Fed assessment team x3 wks (entire Horn of Africa); CASH: Intially $500,000 was approved but issues related to the programming and the appeal kept these funds from being disbursed to IFRC appeal. Eventually appeal was cancelled. Instead, ARC provided the resources to a British Red Cross led effort in Djibouti around livelihoods that was consistent with the appeal and recognized by the Federation as such."/>
  </r>
  <r>
    <m/>
    <n v="216"/>
    <x v="209"/>
    <d v="2008-12-14T00:00:00"/>
    <x v="13"/>
    <n v="14"/>
    <m/>
    <n v="2008"/>
    <n v="29"/>
    <s v="Africa"/>
    <s v="Uganda"/>
    <s v="Human Related"/>
    <s v="Conflict"/>
    <s v="Conflict"/>
    <s v="Conflict"/>
    <n v="280000"/>
    <s v="Y"/>
    <s v="IFRC"/>
    <n v="1437632"/>
    <s v="MDR64004"/>
    <n v="3.4779415038062589E-2"/>
    <n v="0.62"/>
    <s v="Y"/>
    <n v="201571"/>
    <n v="60000"/>
    <m/>
    <m/>
    <n v="1"/>
    <n v="50000"/>
    <m/>
    <m/>
    <m/>
    <n v="50000"/>
    <n v="1"/>
    <m/>
    <n v="1"/>
    <s v="-"/>
    <m/>
    <m/>
    <m/>
    <m/>
    <m/>
    <m/>
    <m/>
    <m/>
    <m/>
    <m/>
    <m/>
    <m/>
    <m/>
    <m/>
    <m/>
    <m/>
    <n v="50000"/>
    <m/>
    <m/>
    <m/>
    <n v="50000"/>
    <s v="N"/>
    <m/>
    <m/>
    <m/>
    <m/>
    <n v="2799"/>
    <m/>
    <m/>
    <m/>
    <m/>
    <m/>
    <m/>
    <m/>
    <s v="Y"/>
    <m/>
    <m/>
    <m/>
    <m/>
    <s v="CASH: $50,000 PMN to Appeal earmarked to Uganda. PEOPLE: B. Banks, seconded to NBO as backfill DM coordinator deployed to Uganda on Fed assessment"/>
  </r>
  <r>
    <s v="EP-2008-000218-ZWE"/>
    <n v="217"/>
    <x v="210"/>
    <d v="2008-12-17T00:00:00"/>
    <x v="13"/>
    <n v="15"/>
    <m/>
    <n v="2008"/>
    <n v="30"/>
    <s v="Africa"/>
    <s v="Zimbabwe"/>
    <s v="Biological"/>
    <s v="Epidemic"/>
    <s v="Disease"/>
    <s v="Cholera"/>
    <n v="50000"/>
    <s v="Y"/>
    <s v="IFRC"/>
    <n v="9200000"/>
    <s v="MDRZW004"/>
    <n v="1.0869565217391304E-2"/>
    <n v="0.64"/>
    <s v="Y"/>
    <n v="359374"/>
    <n v="1500000"/>
    <m/>
    <m/>
    <n v="1"/>
    <n v="100000"/>
    <m/>
    <m/>
    <m/>
    <n v="100000"/>
    <m/>
    <m/>
    <m/>
    <s v="-"/>
    <m/>
    <m/>
    <m/>
    <m/>
    <m/>
    <m/>
    <m/>
    <m/>
    <m/>
    <m/>
    <m/>
    <m/>
    <m/>
    <m/>
    <m/>
    <m/>
    <n v="100000"/>
    <m/>
    <m/>
    <m/>
    <n v="100000"/>
    <s v="N"/>
    <m/>
    <m/>
    <m/>
    <m/>
    <n v="2799"/>
    <m/>
    <m/>
    <m/>
    <m/>
    <m/>
    <m/>
    <m/>
    <s v="Y"/>
    <m/>
    <m/>
    <m/>
    <m/>
    <s v="CASH: PMN $100k to IFRC from 2799 - 75% operational needs, 25% support costs."/>
  </r>
  <r>
    <m/>
    <n v="218"/>
    <x v="211"/>
    <d v="2008-12-17T00:00:00"/>
    <x v="13"/>
    <n v="16"/>
    <m/>
    <n v="2008"/>
    <n v="31"/>
    <s v="Europe/Asia"/>
    <s v="Israel"/>
    <s v="Human Related"/>
    <s v="Conflict"/>
    <s v="Conflict"/>
    <s v="Conflict"/>
    <s v="-"/>
    <s v="Y"/>
    <s v="ICRC/Ntl Socs"/>
    <s v="-"/>
    <m/>
    <m/>
    <m/>
    <m/>
    <m/>
    <s v="-"/>
    <m/>
    <s v="-"/>
    <m/>
    <m/>
    <s v=" "/>
    <n v="200000"/>
    <m/>
    <m/>
    <m/>
    <m/>
    <m/>
    <s v="-"/>
    <m/>
    <m/>
    <m/>
    <m/>
    <m/>
    <m/>
    <m/>
    <m/>
    <m/>
    <m/>
    <m/>
    <m/>
    <m/>
    <m/>
    <m/>
    <m/>
    <s v="-"/>
    <m/>
    <m/>
    <m/>
    <s v="-"/>
    <s v="N"/>
    <m/>
    <m/>
    <m/>
    <m/>
    <n v="2099"/>
    <m/>
    <m/>
    <m/>
    <m/>
    <m/>
    <m/>
    <m/>
    <s v="N"/>
    <m/>
    <m/>
    <m/>
    <m/>
    <s v="CASH: 5 Jan 09 - $250,000 from 2799 RRF to ICRC;  9 Jan 09 $250,000 from 2799 RRF, to PRCS;  30 Jan 09 $200,000 from 2099 IRF to MDA;  5 Feb 09: $110,625 from 2010 Middle East, to PRCS appeal, and $110,625, 2010 Middle East to ICRC appeal."/>
  </r>
  <r>
    <m/>
    <n v="218"/>
    <x v="212"/>
    <d v="2008-12-17T00:00:00"/>
    <x v="13"/>
    <n v="16"/>
    <m/>
    <n v="2008"/>
    <n v="31"/>
    <s v="Europe/Asia"/>
    <s v="Palestine"/>
    <s v="Human Related"/>
    <s v="Conflict"/>
    <s v="Conflict"/>
    <s v="Conflict"/>
    <n v="90000"/>
    <s v="Y"/>
    <s v="ICRC/Ntl Socs"/>
    <m/>
    <m/>
    <m/>
    <m/>
    <s v="Y"/>
    <n v="310244"/>
    <n v="50000"/>
    <m/>
    <m/>
    <n v="1"/>
    <m/>
    <n v="360625"/>
    <n v="560625"/>
    <m/>
    <n v="921250"/>
    <m/>
    <m/>
    <m/>
    <s v="-"/>
    <m/>
    <m/>
    <m/>
    <m/>
    <m/>
    <m/>
    <m/>
    <m/>
    <m/>
    <m/>
    <m/>
    <m/>
    <m/>
    <m/>
    <m/>
    <m/>
    <n v="921250"/>
    <m/>
    <m/>
    <m/>
    <n v="921250"/>
    <s v="Y"/>
    <m/>
    <m/>
    <m/>
    <m/>
    <s v="2799/2099/2010"/>
    <m/>
    <m/>
    <m/>
    <m/>
    <m/>
    <m/>
    <m/>
    <s v="N"/>
    <m/>
    <m/>
    <m/>
    <m/>
    <s v="CASH: 5 Jan 09 - $250,000 from 2799 RRF to ICRC;  9 Jan 09 $250,000 from 2799 RRF, to PRCS;  30 Jan 09 $200,000 from 2099 IRF to MDA;  5 Feb 09: $110,625 from 2010 Middle East, to PRCS appeal, and $110,625, 2010 Middle East to ICRC appeal."/>
  </r>
  <r>
    <s v="EQ-2009-000009-CRI"/>
    <n v="219"/>
    <x v="213"/>
    <d v="2009-01-08T00:00:00"/>
    <x v="13"/>
    <n v="17"/>
    <s v="Q3"/>
    <n v="2009"/>
    <n v="2"/>
    <s v="LAC"/>
    <s v="Costa Rica"/>
    <s v="Geophysical"/>
    <s v="Earthquake"/>
    <s v="Earthquake"/>
    <s v="Earthquake"/>
    <n v="2943"/>
    <s v="N"/>
    <m/>
    <s v="-"/>
    <m/>
    <m/>
    <m/>
    <s v="Y"/>
    <n v="49273"/>
    <s v="-"/>
    <s v="Y"/>
    <n v="640"/>
    <m/>
    <m/>
    <m/>
    <n v="62250"/>
    <m/>
    <n v="62250"/>
    <n v="2"/>
    <m/>
    <n v="2"/>
    <m/>
    <m/>
    <m/>
    <m/>
    <m/>
    <m/>
    <m/>
    <m/>
    <m/>
    <m/>
    <m/>
    <m/>
    <m/>
    <m/>
    <m/>
    <m/>
    <n v="11950"/>
    <n v="74200"/>
    <m/>
    <m/>
    <m/>
    <n v="74200"/>
    <s v="Y"/>
    <m/>
    <m/>
    <m/>
    <m/>
    <n v="2882"/>
    <m/>
    <m/>
    <m/>
    <m/>
    <m/>
    <m/>
    <m/>
    <s v="N"/>
    <m/>
    <m/>
    <m/>
    <s v="Earthquake"/>
    <s v="CASH: Bilateral to CRRC; PEOPLE: S. DiPretoro, A. Vargas"/>
  </r>
  <r>
    <s v="WF-2009-000035-AUS"/>
    <n v="220"/>
    <x v="214"/>
    <d v="2009-02-07T00:00:00"/>
    <x v="13"/>
    <n v="18"/>
    <s v="Q3"/>
    <n v="2009"/>
    <n v="3"/>
    <s v="Europe/Asia"/>
    <s v="Australia"/>
    <s v="Hydrometerological"/>
    <s v="Wildfire"/>
    <m/>
    <m/>
    <n v="22000"/>
    <s v="N"/>
    <m/>
    <m/>
    <m/>
    <m/>
    <m/>
    <m/>
    <m/>
    <m/>
    <s v="Y"/>
    <m/>
    <m/>
    <m/>
    <m/>
    <n v="1520000"/>
    <m/>
    <n v="1520000"/>
    <m/>
    <m/>
    <m/>
    <m/>
    <m/>
    <m/>
    <m/>
    <m/>
    <m/>
    <m/>
    <m/>
    <m/>
    <m/>
    <m/>
    <m/>
    <m/>
    <m/>
    <m/>
    <m/>
    <m/>
    <n v="1520000"/>
    <m/>
    <m/>
    <m/>
    <n v="1520000"/>
    <s v="Y"/>
    <m/>
    <m/>
    <m/>
    <m/>
    <n v="2881"/>
    <m/>
    <m/>
    <m/>
    <m/>
    <m/>
    <m/>
    <m/>
    <s v="N"/>
    <m/>
    <m/>
    <m/>
    <m/>
    <s v="CASH: ARC coordinated US corporate donations to joint domestic AusRC &amp; Ntl Govt appeal -  totaled $1,250,000 - sent August 2009"/>
  </r>
  <r>
    <m/>
    <n v="221"/>
    <x v="167"/>
    <d v="2009-03-05T00:00:00"/>
    <x v="13"/>
    <n v="19"/>
    <s v="Q3"/>
    <n v="2009"/>
    <n v="4"/>
    <s v="Europe/Asia"/>
    <s v="Sri Lanka"/>
    <s v="Human Related"/>
    <s v="Conflict"/>
    <m/>
    <m/>
    <n v="250000"/>
    <s v="Y"/>
    <s v="ICRC"/>
    <m/>
    <m/>
    <m/>
    <m/>
    <m/>
    <m/>
    <m/>
    <m/>
    <n v="20000"/>
    <n v="1"/>
    <m/>
    <n v="500000"/>
    <m/>
    <m/>
    <n v="500000"/>
    <n v="1"/>
    <m/>
    <n v="1"/>
    <m/>
    <m/>
    <m/>
    <m/>
    <m/>
    <m/>
    <m/>
    <m/>
    <m/>
    <m/>
    <m/>
    <m/>
    <m/>
    <m/>
    <m/>
    <m/>
    <m/>
    <n v="500000"/>
    <m/>
    <m/>
    <m/>
    <n v="500000"/>
    <s v="Y"/>
    <m/>
    <m/>
    <m/>
    <m/>
    <s v="TRP"/>
    <m/>
    <m/>
    <m/>
    <m/>
    <m/>
    <m/>
    <m/>
    <s v="N"/>
    <m/>
    <m/>
    <m/>
    <s v="Sri Lanka Conflict"/>
    <s v="CASH: $500,000 to ICRC for baby kits to IDPs in camps. PEOPLE: Gina Guinta ICRC volunteer to work in IDP camps doing relief distribution, 30 days."/>
  </r>
  <r>
    <s v="FL-2009-000052-COL"/>
    <n v="222"/>
    <x v="157"/>
    <d v="2009-03-19T00:00:00"/>
    <x v="13"/>
    <n v="20"/>
    <s v="Q3"/>
    <n v="2009"/>
    <n v="5"/>
    <s v="LAC"/>
    <s v="Colombia"/>
    <s v="Hydrometerological"/>
    <s v="Floods"/>
    <m/>
    <m/>
    <n v="31250"/>
    <s v="Y"/>
    <s v="IFRC"/>
    <n v="957924"/>
    <s v="MDRCO006"/>
    <m/>
    <n v="0.99"/>
    <s v="Y"/>
    <n v="152369"/>
    <n v="25000"/>
    <m/>
    <m/>
    <m/>
    <m/>
    <m/>
    <m/>
    <m/>
    <m/>
    <m/>
    <m/>
    <m/>
    <n v="8000"/>
    <m/>
    <m/>
    <m/>
    <n v="8000"/>
    <m/>
    <m/>
    <m/>
    <m/>
    <m/>
    <m/>
    <m/>
    <m/>
    <m/>
    <m/>
    <n v="30000"/>
    <m/>
    <n v="30000"/>
    <m/>
    <m/>
    <m/>
    <n v="30000"/>
    <s v="N"/>
    <m/>
    <m/>
    <m/>
    <m/>
    <n v="2799"/>
    <m/>
    <m/>
    <m/>
    <m/>
    <m/>
    <m/>
    <m/>
    <s v="Y"/>
    <m/>
    <m/>
    <m/>
    <s v="Colombia Floods"/>
    <s v="SUPPLIES: 8,000 ARC Jerry Cans from stock at PADRU shipped to IFRC in Colombia."/>
  </r>
  <r>
    <s v="EQ-2009-000072-ITA"/>
    <n v="223"/>
    <x v="96"/>
    <d v="2009-04-07T00:00:00"/>
    <x v="13"/>
    <n v="21"/>
    <s v="Q4"/>
    <n v="2009"/>
    <n v="6"/>
    <s v="Europe/Asia"/>
    <s v="Italy"/>
    <s v="Geophysical"/>
    <s v="Earthquake"/>
    <m/>
    <m/>
    <n v="48000"/>
    <s v="N"/>
    <m/>
    <m/>
    <m/>
    <m/>
    <m/>
    <s v="Y"/>
    <n v="613944"/>
    <m/>
    <s v="Y"/>
    <m/>
    <m/>
    <m/>
    <m/>
    <n v="981315"/>
    <m/>
    <n v="981315"/>
    <m/>
    <m/>
    <m/>
    <m/>
    <m/>
    <m/>
    <m/>
    <m/>
    <m/>
    <m/>
    <m/>
    <m/>
    <m/>
    <m/>
    <m/>
    <m/>
    <m/>
    <m/>
    <m/>
    <m/>
    <n v="981315"/>
    <m/>
    <m/>
    <m/>
    <n v="981315"/>
    <s v="Y"/>
    <m/>
    <m/>
    <m/>
    <m/>
    <s v="2799/2697"/>
    <m/>
    <m/>
    <m/>
    <m/>
    <m/>
    <m/>
    <m/>
    <s v="N"/>
    <m/>
    <m/>
    <m/>
    <s v="L'Aquila Earthquake"/>
    <s v="CASH: $50,000 to Italian Red Cross from RRF 2799 - later repaid by 2697 when raised; Receiving donor funds to AP 2697 from public and chapters. Additional $522,180 from donor funds sent 5/29/09. Final amount in Aug. 2009"/>
  </r>
  <r>
    <s v="Fl-2009-000062-NAM"/>
    <n v="224"/>
    <x v="215"/>
    <d v="2009-05-15T00:00:00"/>
    <x v="13"/>
    <n v="22"/>
    <s v="Q4"/>
    <n v="2009"/>
    <n v="7"/>
    <s v="Africa"/>
    <s v="Namibia"/>
    <s v="Hydrometerological"/>
    <s v="Floods"/>
    <m/>
    <m/>
    <n v="700000"/>
    <s v="Y"/>
    <s v="IFRC"/>
    <n v="1878181"/>
    <s v="MDRNA004"/>
    <n v="2.6621502400460871E-2"/>
    <n v="0.91"/>
    <s v="Y"/>
    <n v="128552"/>
    <n v="20000"/>
    <m/>
    <m/>
    <n v="1"/>
    <n v="50000"/>
    <m/>
    <m/>
    <m/>
    <n v="50000"/>
    <m/>
    <m/>
    <m/>
    <m/>
    <m/>
    <m/>
    <m/>
    <m/>
    <m/>
    <m/>
    <m/>
    <m/>
    <m/>
    <m/>
    <m/>
    <m/>
    <m/>
    <m/>
    <m/>
    <m/>
    <n v="50000"/>
    <m/>
    <m/>
    <m/>
    <n v="50000"/>
    <s v="N"/>
    <m/>
    <m/>
    <m/>
    <m/>
    <n v="2799"/>
    <m/>
    <m/>
    <m/>
    <m/>
    <m/>
    <m/>
    <m/>
    <s v="Y"/>
    <m/>
    <m/>
    <m/>
    <m/>
    <s v="CASH: $50k to IFRC from 2799 earmarked for relief supplies"/>
  </r>
  <r>
    <m/>
    <n v="225"/>
    <x v="216"/>
    <d v="2009-05-15T00:00:00"/>
    <x v="13"/>
    <n v="23"/>
    <s v="Q4"/>
    <n v="2009"/>
    <n v="8"/>
    <s v="Africa"/>
    <s v="Sudan"/>
    <s v="Biological"/>
    <s v="Epidemic"/>
    <m/>
    <m/>
    <n v="25000000"/>
    <s v="Y"/>
    <s v="IFRC"/>
    <n v="2200000"/>
    <s v="MDR61004; MDR64004; MDR63002"/>
    <n v="9.0909090909090912E-2"/>
    <s v="various"/>
    <s v="Y"/>
    <n v="315628"/>
    <n v="25000000"/>
    <m/>
    <m/>
    <n v="1"/>
    <n v="200000"/>
    <m/>
    <m/>
    <m/>
    <n v="200000"/>
    <m/>
    <m/>
    <m/>
    <m/>
    <m/>
    <m/>
    <m/>
    <m/>
    <m/>
    <m/>
    <m/>
    <m/>
    <m/>
    <m/>
    <m/>
    <m/>
    <m/>
    <m/>
    <m/>
    <m/>
    <n v="200000"/>
    <m/>
    <m/>
    <m/>
    <n v="200000"/>
    <s v="Y"/>
    <m/>
    <m/>
    <m/>
    <m/>
    <n v="2869"/>
    <m/>
    <m/>
    <m/>
    <m/>
    <m/>
    <s v="Y"/>
    <m/>
    <s v="N"/>
    <m/>
    <s v="ARCT Funds used - $200,000"/>
    <m/>
    <s v="Polio - Sudan"/>
    <s v="CASH: $200k to IFRC earmarked for Sudan vaccination campaign from ARCT - funds went out as of August 2009."/>
  </r>
  <r>
    <m/>
    <n v="226"/>
    <x v="217"/>
    <d v="2009-05-15T00:00:00"/>
    <x v="13"/>
    <n v="24"/>
    <s v="Q4"/>
    <n v="2009"/>
    <n v="9"/>
    <s v="Europe/Asia"/>
    <s v="Pakistan"/>
    <s v="Human Related"/>
    <s v="Conflict"/>
    <m/>
    <m/>
    <n v="2000000"/>
    <s v="Y"/>
    <s v="IFRC"/>
    <n v="7300000"/>
    <s v="MDRPK003"/>
    <n v="3.4246575342465752E-2"/>
    <n v="0.45"/>
    <m/>
    <m/>
    <n v="91000"/>
    <m/>
    <m/>
    <n v="1"/>
    <n v="250000"/>
    <m/>
    <m/>
    <m/>
    <n v="250000"/>
    <m/>
    <m/>
    <m/>
    <n v="5150"/>
    <m/>
    <m/>
    <m/>
    <m/>
    <m/>
    <m/>
    <m/>
    <m/>
    <m/>
    <m/>
    <m/>
    <m/>
    <m/>
    <m/>
    <n v="80000"/>
    <m/>
    <n v="330000"/>
    <m/>
    <m/>
    <m/>
    <n v="330000"/>
    <s v="N"/>
    <m/>
    <m/>
    <m/>
    <m/>
    <n v="2799"/>
    <m/>
    <m/>
    <m/>
    <m/>
    <m/>
    <m/>
    <m/>
    <s v="Y"/>
    <m/>
    <m/>
    <m/>
    <s v="Pakistan Complex Emergency"/>
    <s v="SUPPLIES: $80,000 bilateral for beds and mattresses to be transported to PRCS for IDP camps. CASH: $250,000 earmarked for NFIs. on June 26 to support Federation Appeal. "/>
  </r>
  <r>
    <s v="TC-2009-000105-BGD"/>
    <n v="227"/>
    <x v="218"/>
    <d v="2009-06-26T00:00:00"/>
    <x v="13"/>
    <n v="25"/>
    <s v="Q4"/>
    <n v="2009"/>
    <n v="10"/>
    <s v="Europe/Asia"/>
    <s v="Bangladesh"/>
    <s v="Hydrometerological"/>
    <s v="Storm"/>
    <m/>
    <m/>
    <n v="3928238"/>
    <s v="Y"/>
    <s v="IFRC"/>
    <n v="2200000"/>
    <s v="MDRBD004"/>
    <n v="0"/>
    <m/>
    <s v="Y"/>
    <n v="230677"/>
    <n v="184000"/>
    <m/>
    <m/>
    <m/>
    <m/>
    <m/>
    <m/>
    <m/>
    <m/>
    <n v="1"/>
    <m/>
    <n v="1"/>
    <m/>
    <m/>
    <m/>
    <m/>
    <m/>
    <m/>
    <m/>
    <m/>
    <m/>
    <m/>
    <m/>
    <m/>
    <m/>
    <m/>
    <m/>
    <m/>
    <m/>
    <n v="0"/>
    <m/>
    <m/>
    <m/>
    <n v="0"/>
    <s v="Y"/>
    <m/>
    <m/>
    <m/>
    <m/>
    <n v="2017"/>
    <m/>
    <m/>
    <m/>
    <m/>
    <m/>
    <m/>
    <m/>
    <s v="N"/>
    <m/>
    <m/>
    <m/>
    <s v="Bangladesh Cyclone Aila"/>
    <s v="PEOPLE: Relief Operations Support Delegate: Travis Betz deployed 4 weeks as a Relief Operations Support Delegate to provide support to the Bangladesh Delegation and affected National Society in response to Cyclone Aila. "/>
  </r>
  <r>
    <s v="FL-2009-000095-TJK"/>
    <n v="228"/>
    <x v="219"/>
    <d v="2009-08-12T00:00:00"/>
    <x v="14"/>
    <n v="1"/>
    <s v="Q1"/>
    <n v="2009"/>
    <n v="11"/>
    <s v="Europe/Asia"/>
    <s v="Tajikistan"/>
    <s v="Hydrometerological"/>
    <s v="Floods"/>
    <m/>
    <m/>
    <n v="12000"/>
    <s v="Y"/>
    <s v="IFRC"/>
    <n v="806936"/>
    <s v="MDRTJ005"/>
    <n v="1.4251440015069349E-2"/>
    <n v="0.61"/>
    <s v="Y"/>
    <n v="118472"/>
    <n v="4320"/>
    <m/>
    <n v="165"/>
    <m/>
    <n v="11500"/>
    <m/>
    <m/>
    <m/>
    <n v="11500"/>
    <m/>
    <m/>
    <m/>
    <m/>
    <m/>
    <m/>
    <m/>
    <m/>
    <m/>
    <m/>
    <m/>
    <m/>
    <m/>
    <m/>
    <m/>
    <m/>
    <m/>
    <m/>
    <m/>
    <m/>
    <n v="11500"/>
    <m/>
    <m/>
    <m/>
    <n v="11500"/>
    <s v="N"/>
    <m/>
    <m/>
    <m/>
    <m/>
    <n v="2799"/>
    <m/>
    <m/>
    <m/>
    <m/>
    <m/>
    <m/>
    <m/>
    <s v="Y"/>
    <m/>
    <m/>
    <m/>
    <m/>
    <s v="CASH: $11,500 (plus cost recovery) to IFRC Appeal from 2799"/>
  </r>
  <r>
    <s v="DR-2009-00149-SYR"/>
    <n v="229"/>
    <x v="220"/>
    <d v="2009-09-01T00:00:00"/>
    <x v="14"/>
    <n v="2"/>
    <s v="Q1"/>
    <n v="2009"/>
    <n v="12"/>
    <s v="Europe/Asia"/>
    <s v="Syria"/>
    <s v="Hydrometerological"/>
    <s v="Drought"/>
    <m/>
    <m/>
    <n v="1300000"/>
    <s v="Y"/>
    <s v="IFRC"/>
    <n v="3076415"/>
    <s v="MDRSY001"/>
    <n v="1.6252683724399992E-2"/>
    <n v="0.34"/>
    <s v="Y"/>
    <n v="303195"/>
    <n v="260000"/>
    <m/>
    <m/>
    <n v="1"/>
    <n v="50000"/>
    <m/>
    <m/>
    <m/>
    <n v="50000"/>
    <m/>
    <m/>
    <m/>
    <m/>
    <m/>
    <m/>
    <m/>
    <m/>
    <m/>
    <m/>
    <m/>
    <m/>
    <m/>
    <m/>
    <m/>
    <m/>
    <m/>
    <m/>
    <m/>
    <m/>
    <n v="50000"/>
    <m/>
    <m/>
    <m/>
    <n v="50000"/>
    <s v="Y"/>
    <m/>
    <m/>
    <m/>
    <m/>
    <n v="2869"/>
    <m/>
    <m/>
    <m/>
    <m/>
    <m/>
    <s v="Y"/>
    <m/>
    <s v="N"/>
    <m/>
    <s v="ARCT Funds used"/>
    <m/>
    <m/>
    <s v="CASH: $50,000 from ARCT for Overlooked Disasters Fund (plus cost recovery to be covered from RRF 2799)"/>
  </r>
  <r>
    <s v="FL-2009-000172-BFA "/>
    <n v="230"/>
    <x v="221"/>
    <d v="2009-09-10T00:00:00"/>
    <x v="14"/>
    <n v="3"/>
    <s v="Q1"/>
    <n v="2009"/>
    <n v="13"/>
    <s v="Africa"/>
    <s v="Burkina Faso"/>
    <s v="Hydrometerological"/>
    <s v="Floods"/>
    <m/>
    <m/>
    <n v="600000"/>
    <s v="Y"/>
    <s v="IFRC"/>
    <n v="2600000"/>
    <s v="MDRBF008 &amp; MDRSN002"/>
    <n v="0"/>
    <n v="0.32"/>
    <s v="Y"/>
    <n v="419190"/>
    <n v="40000"/>
    <m/>
    <m/>
    <m/>
    <m/>
    <m/>
    <m/>
    <m/>
    <n v="0"/>
    <n v="1"/>
    <m/>
    <n v="1"/>
    <m/>
    <m/>
    <n v="7500"/>
    <n v="37500"/>
    <n v="7500"/>
    <n v="7500"/>
    <n v="500"/>
    <n v="7500"/>
    <m/>
    <m/>
    <m/>
    <m/>
    <m/>
    <m/>
    <m/>
    <m/>
    <m/>
    <n v="0"/>
    <m/>
    <m/>
    <m/>
    <n v="0"/>
    <s v="N"/>
    <m/>
    <m/>
    <m/>
    <m/>
    <n v="2799"/>
    <m/>
    <m/>
    <m/>
    <m/>
    <m/>
    <m/>
    <m/>
    <s v="Y"/>
    <m/>
    <m/>
    <m/>
    <m/>
    <s v="PEOPLE: John Manley deployed to Burkina Faso as FACT team member for 1 month. "/>
  </r>
  <r>
    <s v="FL-2009-000164-SEN"/>
    <n v="230"/>
    <x v="222"/>
    <d v="2009-09-10T00:00:00"/>
    <x v="14"/>
    <n v="3"/>
    <s v="Q1"/>
    <n v="2009"/>
    <n v="13"/>
    <s v="Africa"/>
    <s v="Senegal"/>
    <s v="Hydrometerological"/>
    <s v="Floods"/>
    <m/>
    <m/>
    <n v="156000"/>
    <s v="Y"/>
    <s v="IFRC"/>
    <n v="2000000"/>
    <s v="MDRBF008 &amp; MDRSN002"/>
    <n v="0"/>
    <n v="0.47"/>
    <s v="Y"/>
    <n v="419190"/>
    <n v="25000"/>
    <m/>
    <m/>
    <m/>
    <m/>
    <m/>
    <m/>
    <m/>
    <n v="0"/>
    <n v="3"/>
    <s v="Relief ERU"/>
    <n v="3"/>
    <m/>
    <m/>
    <m/>
    <m/>
    <m/>
    <m/>
    <m/>
    <m/>
    <m/>
    <m/>
    <m/>
    <m/>
    <m/>
    <m/>
    <m/>
    <m/>
    <m/>
    <n v="0"/>
    <m/>
    <m/>
    <m/>
    <n v="0"/>
    <s v="N"/>
    <m/>
    <m/>
    <m/>
    <m/>
    <n v="2799"/>
    <m/>
    <m/>
    <m/>
    <m/>
    <m/>
    <m/>
    <m/>
    <s v="Y"/>
    <m/>
    <m/>
    <m/>
    <m/>
    <s v="PEOPLE: 3 ERU team members deployed jointly with DanishRC for 1 month: Steve McAndrew – ERU Team leader, Shinko Mondori- ERU team member, Luis Matnog- ERU team member . ERUs are part of Appeal Mob table so we can claim multilateral beneficiaries."/>
  </r>
  <r>
    <s v="TC-2009-000167-MEX"/>
    <n v="231"/>
    <x v="223"/>
    <d v="2009-09-03T00:00:00"/>
    <x v="14"/>
    <n v="4"/>
    <s v="Q1"/>
    <n v="2009"/>
    <n v="14"/>
    <s v="LAC"/>
    <s v="Mexico"/>
    <s v="Hydrometerological"/>
    <s v="Cyclone"/>
    <m/>
    <m/>
    <n v="100000"/>
    <s v="N"/>
    <m/>
    <m/>
    <m/>
    <m/>
    <m/>
    <s v="Y"/>
    <n v="319632"/>
    <m/>
    <s v="Y"/>
    <n v="15000"/>
    <m/>
    <m/>
    <m/>
    <m/>
    <m/>
    <n v="0"/>
    <n v="1"/>
    <m/>
    <n v="1"/>
    <n v="13840"/>
    <s v="mixed"/>
    <n v="1840"/>
    <m/>
    <m/>
    <m/>
    <m/>
    <n v="3000"/>
    <m/>
    <n v="6000"/>
    <m/>
    <m/>
    <m/>
    <n v="3000"/>
    <m/>
    <n v="259500"/>
    <m/>
    <n v="259500"/>
    <m/>
    <m/>
    <m/>
    <n v="259500"/>
    <s v="Y"/>
    <m/>
    <m/>
    <m/>
    <m/>
    <s v="2799  + OFDA"/>
    <m/>
    <m/>
    <m/>
    <m/>
    <m/>
    <m/>
    <s v="Y"/>
    <s v="N"/>
    <m/>
    <m/>
    <m/>
    <m/>
    <s v="SUPPLIES: Bilateral to Mexican RC: 1,840 hygiene kits from stock at PADRU, 3,000 kitchen sets from stock at PADRU, 3,000 reconstruction kits to be procured locally. Funding: For 1,840  hygiene kits ($60,000) from 2799; 3,000 kitchen sets ($75,000) from OFDA; 3,000 reconstruction kits ($124,500) from OFDA.  PEOPLE: Jono Anzalone deployed to do M &amp; E for relief distribution."/>
  </r>
  <r>
    <s v="EQ-2009-000173-IDN"/>
    <n v="232"/>
    <x v="224"/>
    <d v="2009-09-02T00:00:00"/>
    <x v="14"/>
    <n v="5"/>
    <s v="Q1"/>
    <n v="2009"/>
    <n v="15"/>
    <s v="Europe/Asia"/>
    <s v="Indonesia"/>
    <s v="Geophysical"/>
    <s v="Earthquake"/>
    <m/>
    <m/>
    <n v="90000"/>
    <s v="N"/>
    <m/>
    <m/>
    <m/>
    <m/>
    <m/>
    <s v="N"/>
    <m/>
    <m/>
    <s v="Y"/>
    <m/>
    <m/>
    <m/>
    <m/>
    <m/>
    <m/>
    <n v="0"/>
    <n v="1"/>
    <m/>
    <n v="1"/>
    <m/>
    <m/>
    <m/>
    <m/>
    <m/>
    <m/>
    <m/>
    <m/>
    <m/>
    <m/>
    <m/>
    <m/>
    <m/>
    <m/>
    <m/>
    <m/>
    <m/>
    <n v="0"/>
    <m/>
    <m/>
    <m/>
    <n v="0"/>
    <s v="N"/>
    <m/>
    <m/>
    <m/>
    <m/>
    <n v="2799"/>
    <m/>
    <m/>
    <m/>
    <m/>
    <m/>
    <m/>
    <m/>
    <s v="Y"/>
    <m/>
    <m/>
    <m/>
    <m/>
    <s v="PEOPLE: Cristina Hammond deployed to fill the role of IFRC Shelter Cluster Information Manager for Java Earthquake response - 4 weeks."/>
  </r>
  <r>
    <s v="TC-2009-000205-PHL"/>
    <n v="233"/>
    <x v="225"/>
    <d v="2009-09-02T00:00:00"/>
    <x v="14"/>
    <n v="6"/>
    <s v="Q1"/>
    <n v="2009"/>
    <n v="16"/>
    <s v="Europe/Asia"/>
    <s v="Philippines"/>
    <s v="Hydrometerological"/>
    <s v="Cyclone"/>
    <m/>
    <m/>
    <n v="1000000"/>
    <s v="Y"/>
    <s v="IFRC"/>
    <n v="6650000"/>
    <s v="MDRPH005"/>
    <n v="8.2706766917293228E-2"/>
    <n v="0.53"/>
    <s v="Y"/>
    <n v="242000"/>
    <n v="200000"/>
    <m/>
    <n v="50000"/>
    <n v="1"/>
    <n v="550000"/>
    <m/>
    <n v="500000"/>
    <m/>
    <n v="1050000"/>
    <n v="2"/>
    <m/>
    <n v="2"/>
    <n v="22300"/>
    <s v="Y"/>
    <m/>
    <n v="4000"/>
    <n v="10000"/>
    <m/>
    <m/>
    <n v="1500"/>
    <m/>
    <n v="6800"/>
    <m/>
    <m/>
    <m/>
    <m/>
    <m/>
    <n v="118000"/>
    <m/>
    <n v="1168000"/>
    <m/>
    <m/>
    <m/>
    <n v="1168000"/>
    <s v="Y"/>
    <m/>
    <m/>
    <m/>
    <m/>
    <n v="2698"/>
    <m/>
    <m/>
    <m/>
    <m/>
    <m/>
    <m/>
    <s v="Y"/>
    <s v="N"/>
    <m/>
    <s v="OFDA grant for $500,000 for NFIs"/>
    <m/>
    <m/>
    <s v="Philippines: SUPPLIES: approx $118,000 in relief supplies from KL warehouse. CASH: $550,000 = $250,000 PMN to Philippines Appeal for early recovery (plus cost recovery) +$300,000 PMN to Philippines appeal for shelter, relief and watsan (plus cost recovery); plus OFDA grant for $500,000 for locally procured NFIs l w/ARC mgmt through Philippines RC (counted as cash to Ntl Soc). PEOPLE: 1) Mariza Rogers deployed as shelter coordinator delegate for one month - started Oct. 5.  2) Cristina Hammond deployed to implement OFDA NFI distribution Oct. 16 for one month"/>
  </r>
  <r>
    <s v="FL-2009-000207-VNM"/>
    <n v="233"/>
    <x v="226"/>
    <d v="2009-09-02T00:00:00"/>
    <x v="14"/>
    <n v="6"/>
    <s v="Q1"/>
    <n v="2009"/>
    <n v="16"/>
    <s v="Europe/Asia"/>
    <s v="Vietnam"/>
    <s v="Hydrometerological"/>
    <s v="Cyclone"/>
    <m/>
    <m/>
    <n v="3000000"/>
    <s v="Y"/>
    <s v="IFRC"/>
    <n v="5470000"/>
    <s v="MDRRVN006"/>
    <n v="8.226691042047532E-2"/>
    <n v="0.77"/>
    <s v="Y"/>
    <n v="324167"/>
    <n v="270000"/>
    <m/>
    <m/>
    <n v="1"/>
    <n v="450000"/>
    <m/>
    <n v="500000"/>
    <m/>
    <n v="950000"/>
    <n v="1"/>
    <m/>
    <n v="1"/>
    <m/>
    <m/>
    <m/>
    <m/>
    <m/>
    <m/>
    <m/>
    <m/>
    <m/>
    <m/>
    <m/>
    <m/>
    <m/>
    <m/>
    <m/>
    <m/>
    <m/>
    <n v="950000"/>
    <n v="1200000"/>
    <m/>
    <m/>
    <n v="2150000"/>
    <s v="Y"/>
    <m/>
    <m/>
    <m/>
    <m/>
    <n v="2698"/>
    <m/>
    <m/>
    <m/>
    <m/>
    <m/>
    <m/>
    <s v="Y"/>
    <s v="N"/>
    <m/>
    <s v="OFDA grant for $500,000 for cash transfer programming"/>
    <m/>
    <m/>
    <s v="Vietnam: CASH: Cash: $450,000 total:  $50,000 PMN Oct. 2 + $300,000 PMN Oct. 5 to Federation Vietnam Appeal - earmarked for shelter, NFIs and Wat/San + $100,000 PMN to Vietnam Appeal for DRR (plus cost recovery). OFDA grant for $500,000 for cash programming; PEOPLE: Michael Zeleke delegate to Vietnam to work on cash programming."/>
  </r>
  <r>
    <s v="TS-2009-000211-IDN"/>
    <n v="234"/>
    <x v="227"/>
    <d v="2009-09-02T00:00:00"/>
    <x v="14"/>
    <n v="7"/>
    <s v="Q1"/>
    <n v="2009"/>
    <n v="17"/>
    <s v="Europe/Asia"/>
    <s v="Indonesia"/>
    <s v="Geophysical"/>
    <s v="Earthquake"/>
    <m/>
    <m/>
    <n v="1000000"/>
    <s v="Y"/>
    <s v="IFRC"/>
    <n v="18600000"/>
    <s v="MDRID004"/>
    <n v="4.8387096774193547E-2"/>
    <n v="0.93"/>
    <s v="Y"/>
    <n v="227106"/>
    <n v="100000"/>
    <m/>
    <n v="25000"/>
    <n v="1"/>
    <m/>
    <m/>
    <n v="500000"/>
    <m/>
    <n v="500000"/>
    <n v="1"/>
    <m/>
    <n v="1"/>
    <n v="44181"/>
    <s v="Y"/>
    <m/>
    <n v="20981"/>
    <m/>
    <m/>
    <m/>
    <m/>
    <m/>
    <n v="13200"/>
    <m/>
    <n v="10000"/>
    <m/>
    <m/>
    <m/>
    <n v="400000"/>
    <m/>
    <n v="900000"/>
    <n v="764192.86"/>
    <m/>
    <m/>
    <n v="1664192.8599999999"/>
    <s v="Y"/>
    <m/>
    <m/>
    <m/>
    <m/>
    <n v="2930"/>
    <m/>
    <m/>
    <m/>
    <m/>
    <m/>
    <m/>
    <s v="Y"/>
    <s v="N"/>
    <m/>
    <s v="OFDA grant for $500,000 for NFIs"/>
    <m/>
    <m/>
    <s v="CASH: OFDA grant for $500,000 to fund NFIs; SUPPLIES: 44,180 supplies (cost: $400,000) from KL warehouse; PEOPLE: Alex Mahoney onsite 3 weeks to coordinate OFDA NFIs distribution."/>
  </r>
  <r>
    <s v="2009-000209 - ASM; 2009-000210-WSM"/>
    <n v="235"/>
    <x v="228"/>
    <d v="2009-10-01T00:00:00"/>
    <x v="14"/>
    <n v="8"/>
    <s v="Q2"/>
    <n v="2009"/>
    <n v="18"/>
    <s v="Europe/Asia"/>
    <s v="Samoa"/>
    <s v="Hydrometerological"/>
    <s v="Tsunami"/>
    <m/>
    <m/>
    <n v="10000"/>
    <s v="Y"/>
    <s v="IFRC"/>
    <n v="2450000"/>
    <s v="MDRWS001"/>
    <n v="4.0816326530612242E-2"/>
    <n v="0.25"/>
    <s v="Y"/>
    <n v="313729"/>
    <n v="5000"/>
    <m/>
    <n v="2500"/>
    <n v="1"/>
    <n v="100000"/>
    <m/>
    <m/>
    <m/>
    <n v="100000"/>
    <m/>
    <m/>
    <m/>
    <m/>
    <m/>
    <m/>
    <m/>
    <m/>
    <m/>
    <m/>
    <m/>
    <m/>
    <m/>
    <m/>
    <m/>
    <m/>
    <m/>
    <m/>
    <m/>
    <m/>
    <n v="100000"/>
    <m/>
    <m/>
    <m/>
    <n v="100000"/>
    <s v="N"/>
    <m/>
    <m/>
    <m/>
    <m/>
    <n v="2799"/>
    <m/>
    <m/>
    <m/>
    <m/>
    <m/>
    <m/>
    <m/>
    <s v="Y"/>
    <m/>
    <m/>
    <m/>
    <m/>
    <s v="CASH: $100,000 PMN to Federation Appeal from Rapid Response Fund"/>
  </r>
  <r>
    <s v="FL-2009-000217-IND"/>
    <n v="236"/>
    <x v="33"/>
    <d v="2009-10-27T00:00:00"/>
    <x v="14"/>
    <n v="9"/>
    <s v="Q2"/>
    <n v="2009"/>
    <n v="19"/>
    <s v="Europe/Asia"/>
    <s v="India"/>
    <s v="Hydrometerological"/>
    <s v="Floods"/>
    <m/>
    <m/>
    <n v="4100000"/>
    <s v="Y"/>
    <s v="NS"/>
    <n v="3100000"/>
    <s v="MDRIN004"/>
    <n v="0"/>
    <m/>
    <s v="Y"/>
    <n v="51364"/>
    <n v="125000"/>
    <m/>
    <m/>
    <m/>
    <m/>
    <m/>
    <m/>
    <m/>
    <n v="0"/>
    <m/>
    <m/>
    <m/>
    <n v="7500"/>
    <s v="N"/>
    <m/>
    <m/>
    <m/>
    <m/>
    <m/>
    <n v="7500"/>
    <m/>
    <m/>
    <m/>
    <m/>
    <m/>
    <m/>
    <m/>
    <n v="190000"/>
    <m/>
    <n v="190000"/>
    <m/>
    <m/>
    <m/>
    <n v="190000"/>
    <s v="Y"/>
    <m/>
    <m/>
    <m/>
    <m/>
    <s v="2003/2695"/>
    <m/>
    <m/>
    <m/>
    <m/>
    <m/>
    <m/>
    <m/>
    <s v="N"/>
    <m/>
    <m/>
    <m/>
    <m/>
    <s v="SUPPLIES: In response to Indian RC national appeal, ARC locally procured approx 2,700 kitchen sets to deliver to Indian RC, using APs 2003 (India R &amp; D) and 2695 (TRP funds for Andra Pradesh DM) - this effectively closes out these APs ($190,000 spent total)"/>
  </r>
  <r>
    <s v="DR-2009-000197-KEN"/>
    <n v="237"/>
    <x v="229"/>
    <d v="2009-11-05T00:00:00"/>
    <x v="14"/>
    <n v="10"/>
    <s v="Q2"/>
    <n v="2009"/>
    <n v="20"/>
    <s v="Africa"/>
    <s v="Kenya"/>
    <s v="Hydrometerological"/>
    <s v="Drought"/>
    <m/>
    <m/>
    <n v="3800000"/>
    <s v="Y"/>
    <s v="IFRC"/>
    <n v="8427856"/>
    <s v="MDRKE009"/>
    <n v="1.1865413932084269E-2"/>
    <n v="0.06"/>
    <s v="Y"/>
    <n v="500000"/>
    <n v="1692428"/>
    <m/>
    <n v="21668"/>
    <n v="1"/>
    <n v="100000"/>
    <m/>
    <m/>
    <m/>
    <n v="100000"/>
    <m/>
    <m/>
    <m/>
    <m/>
    <m/>
    <m/>
    <m/>
    <m/>
    <m/>
    <m/>
    <m/>
    <m/>
    <m/>
    <m/>
    <m/>
    <m/>
    <m/>
    <m/>
    <m/>
    <m/>
    <n v="100000"/>
    <m/>
    <m/>
    <m/>
    <n v="100000"/>
    <s v="N"/>
    <m/>
    <m/>
    <m/>
    <m/>
    <n v="2799"/>
    <m/>
    <m/>
    <m/>
    <m/>
    <m/>
    <m/>
    <m/>
    <s v="Y"/>
    <m/>
    <m/>
    <m/>
    <m/>
    <s v="CASH: $100,000 PMN to Federation Appeal from Rapid Response Fund earmarked for seeds."/>
  </r>
  <r>
    <s v="FL-2009-000206-HTI"/>
    <n v="238"/>
    <x v="120"/>
    <d v="2009-11-12T00:00:00"/>
    <x v="14"/>
    <n v="11"/>
    <s v="Q2"/>
    <n v="2009"/>
    <n v="21"/>
    <s v="LAC"/>
    <s v="Haiti"/>
    <s v="Hydrometerological"/>
    <s v="Floods"/>
    <m/>
    <m/>
    <n v="2500"/>
    <s v="N"/>
    <m/>
    <m/>
    <m/>
    <m/>
    <m/>
    <s v="Y"/>
    <n v="103918"/>
    <n v="2500"/>
    <s v="Y"/>
    <m/>
    <m/>
    <m/>
    <m/>
    <m/>
    <m/>
    <n v="0"/>
    <n v="1"/>
    <m/>
    <n v="1"/>
    <m/>
    <m/>
    <m/>
    <m/>
    <m/>
    <m/>
    <m/>
    <m/>
    <m/>
    <m/>
    <m/>
    <m/>
    <m/>
    <m/>
    <m/>
    <m/>
    <m/>
    <n v="0"/>
    <m/>
    <m/>
    <m/>
    <n v="0"/>
    <s v="Y"/>
    <m/>
    <m/>
    <m/>
    <m/>
    <n v="2885"/>
    <m/>
    <m/>
    <m/>
    <m/>
    <m/>
    <m/>
    <m/>
    <s v="N"/>
    <m/>
    <m/>
    <m/>
    <m/>
    <s v="PEOPLE: John Manley deployed to Haiti NRC as a RIT for DREF operation."/>
  </r>
  <r>
    <s v="FL-2009-000238-SLV"/>
    <n v="239"/>
    <x v="230"/>
    <d v="2009-11-16T00:00:00"/>
    <x v="14"/>
    <n v="12"/>
    <s v="Q2"/>
    <n v="2009"/>
    <n v="22"/>
    <s v="LAC"/>
    <s v="El Salvador"/>
    <s v="Hydrometerological"/>
    <s v="Floods"/>
    <m/>
    <m/>
    <n v="75000"/>
    <s v="Y"/>
    <s v="IFRC"/>
    <n v="1681039"/>
    <s v="MDRSV002"/>
    <n v="0.14491335418155082"/>
    <n v="0.92"/>
    <s v="Y"/>
    <n v="180614"/>
    <n v="10000"/>
    <m/>
    <m/>
    <n v="1"/>
    <n v="243605"/>
    <m/>
    <m/>
    <m/>
    <n v="243605"/>
    <m/>
    <m/>
    <m/>
    <n v="1000"/>
    <s v="Y"/>
    <n v="500"/>
    <m/>
    <m/>
    <m/>
    <m/>
    <n v="500"/>
    <m/>
    <m/>
    <m/>
    <m/>
    <m/>
    <m/>
    <m/>
    <n v="31240"/>
    <m/>
    <n v="274845"/>
    <m/>
    <m/>
    <m/>
    <n v="274845"/>
    <s v="Y"/>
    <m/>
    <m/>
    <m/>
    <m/>
    <n v="2882"/>
    <m/>
    <m/>
    <m/>
    <m/>
    <m/>
    <s v="Y"/>
    <m/>
    <s v="N"/>
    <m/>
    <s v="UPS donated $50,000; ARCT Funds applied for as of 11/18/09"/>
    <s v="ARCT"/>
    <m/>
    <s v="CASH: $193,603 to Federation Appeal earmarked for transitional shelter; SUPPLIES: $24,500 in kitchen sets and hygiene kits. "/>
  </r>
  <r>
    <s v="EQ-2010-000009-HTI"/>
    <n v="240"/>
    <x v="231"/>
    <d v="2010-01-12T00:00:00"/>
    <x v="14"/>
    <n v="13"/>
    <s v="Q3"/>
    <n v="2010"/>
    <n v="1"/>
    <s v="LAC"/>
    <s v="Haiti"/>
    <s v="Geophysical"/>
    <s v="Earthquake"/>
    <m/>
    <m/>
    <n v="2000000"/>
    <s v="Y"/>
    <s v="IFRC"/>
    <n v="200000000"/>
    <s v="MDRHT008"/>
    <m/>
    <n v="0.94"/>
    <s v="Y"/>
    <n v="491265"/>
    <n v="400000"/>
    <m/>
    <m/>
    <n v="1"/>
    <n v="30000000"/>
    <n v="4377346.43"/>
    <m/>
    <m/>
    <m/>
    <n v="82"/>
    <s v=" IT/Telecoms; Relief ERU"/>
    <n v="85"/>
    <n v="5143307"/>
    <s v="Y"/>
    <m/>
    <m/>
    <m/>
    <m/>
    <m/>
    <m/>
    <m/>
    <m/>
    <m/>
    <m/>
    <m/>
    <m/>
    <m/>
    <n v="15266353"/>
    <m/>
    <n v="139611532"/>
    <n v="337000000"/>
    <m/>
    <m/>
    <n v="139611532"/>
    <s v="Y"/>
    <m/>
    <m/>
    <m/>
    <m/>
    <n v="2888"/>
    <m/>
    <m/>
    <m/>
    <m/>
    <m/>
    <m/>
    <m/>
    <s v="N"/>
    <m/>
    <s v="various - notably online and text donations from individuals; telethons. "/>
    <s v="definitely!"/>
    <n v="476611532"/>
    <s v="As of June 30 2010: CASH &amp; SUPPLIES: See detailed donor report, mob table, etc. for specific amounts to Federation, amount spent, etc. Raised: $468 million. PEOPLE: 65+ deployed to Haiti, DR and PADRU: Relief and IT/Telecoms ERU deployed, and various delegates to Fed and ARC delegation in Haiti, to Fed at PADRU, to Fed logistics in Santo Domingo, DR, plus NHQ to backfill. See the Deployments History tab in this spreadsheet or the RAPs for list of all personnel deploying and roles. "/>
  </r>
  <r>
    <s v="FL-2009-000264-TZA"/>
    <n v="241"/>
    <x v="232"/>
    <d v="2010-01-25T00:00:00"/>
    <x v="14"/>
    <n v="14"/>
    <s v="Q3"/>
    <n v="2010"/>
    <n v="2"/>
    <s v="Africa"/>
    <s v="Tanzania"/>
    <m/>
    <s v="Floods"/>
    <m/>
    <m/>
    <n v="50000"/>
    <s v="Y"/>
    <s v="IFRC"/>
    <n v="1625152"/>
    <s v="MDRTZ010"/>
    <n v="0.44"/>
    <n v="0.89"/>
    <s v="Y"/>
    <n v="313536"/>
    <n v="23000"/>
    <m/>
    <m/>
    <n v="1"/>
    <n v="200000"/>
    <m/>
    <m/>
    <m/>
    <n v="200000"/>
    <m/>
    <m/>
    <m/>
    <m/>
    <m/>
    <m/>
    <m/>
    <m/>
    <m/>
    <m/>
    <m/>
    <m/>
    <m/>
    <m/>
    <m/>
    <m/>
    <m/>
    <m/>
    <m/>
    <m/>
    <n v="200000"/>
    <m/>
    <m/>
    <m/>
    <n v="200000"/>
    <s v="Y"/>
    <m/>
    <m/>
    <m/>
    <m/>
    <n v="2869"/>
    <m/>
    <m/>
    <m/>
    <m/>
    <m/>
    <s v="Y"/>
    <m/>
    <s v="N"/>
    <m/>
    <s v="ARCT funds - $200,000"/>
    <s v="ARCT"/>
    <m/>
    <s v="CASH: Anne Ray Charitable Trust funds applied $200,000 towards water and sanitation equipment."/>
  </r>
  <r>
    <s v="EQ-2010-000034-CHL "/>
    <n v="242"/>
    <x v="233"/>
    <d v="2010-02-27T00:00:00"/>
    <x v="14"/>
    <n v="15"/>
    <s v="Q3"/>
    <n v="2010"/>
    <n v="3"/>
    <s v="LAC"/>
    <s v="Chile"/>
    <m/>
    <s v="Earthquake"/>
    <m/>
    <m/>
    <n v="2000000"/>
    <s v="Y"/>
    <s v="IFRC"/>
    <n v="6400000"/>
    <s v="MDRCL006"/>
    <n v="8.5000000000000006E-2"/>
    <n v="0.79"/>
    <s v="Y"/>
    <n v="279350"/>
    <n v="100000"/>
    <m/>
    <m/>
    <n v="1"/>
    <n v="500000"/>
    <m/>
    <n v="500000"/>
    <m/>
    <n v="1000000"/>
    <n v="2"/>
    <m/>
    <n v="2"/>
    <n v="6160"/>
    <s v="Y"/>
    <n v="1160"/>
    <m/>
    <n v="5000"/>
    <m/>
    <m/>
    <m/>
    <m/>
    <m/>
    <m/>
    <m/>
    <m/>
    <m/>
    <m/>
    <n v="96000"/>
    <m/>
    <n v="1096000"/>
    <n v="5304000"/>
    <m/>
    <m/>
    <n v="6400000"/>
    <s v="Y"/>
    <m/>
    <m/>
    <m/>
    <m/>
    <n v="2896"/>
    <m/>
    <m/>
    <m/>
    <m/>
    <m/>
    <m/>
    <m/>
    <s v="N"/>
    <m/>
    <m/>
    <m/>
    <m/>
    <s v="CASH: $50,000 made available from IRF as initial response. $450,000 made available in subsequent week. SUPPLIES: 5,000 jerry cans; 1,160 hygiene kits. PEOPLE: Alvaro Garita  - Relief delegate, Gonzalo Aquino - Water and Sanitation  delegate."/>
  </r>
  <r>
    <s v="EQ-2010-000073-CHN"/>
    <n v="243"/>
    <x v="104"/>
    <d v="2010-04-10T00:00:00"/>
    <x v="14"/>
    <n v="16"/>
    <s v="Q4"/>
    <n v="2010"/>
    <n v="4"/>
    <s v="Europe/Asia"/>
    <s v="China"/>
    <m/>
    <s v="Earthquake"/>
    <m/>
    <m/>
    <n v="100000"/>
    <s v="Y"/>
    <s v="NS"/>
    <m/>
    <m/>
    <m/>
    <m/>
    <m/>
    <m/>
    <s v="tbd"/>
    <m/>
    <m/>
    <m/>
    <n v="0"/>
    <m/>
    <n v="500000"/>
    <m/>
    <n v="500000"/>
    <m/>
    <m/>
    <m/>
    <m/>
    <m/>
    <m/>
    <n v="198970"/>
    <m/>
    <m/>
    <m/>
    <m/>
    <m/>
    <m/>
    <m/>
    <m/>
    <m/>
    <m/>
    <m/>
    <m/>
    <m/>
    <n v="500000"/>
    <m/>
    <n v="500000"/>
    <m/>
    <n v="1000000"/>
    <s v="Y"/>
    <m/>
    <m/>
    <m/>
    <m/>
    <n v="2571"/>
    <m/>
    <m/>
    <m/>
    <m/>
    <m/>
    <m/>
    <m/>
    <s v="N"/>
    <m/>
    <m/>
    <m/>
    <m/>
    <s v="National Society has issued it own appeal. ARC decided to contribute $500,000 after June 30 2010.  An additional $500,000 will go to future community disaster preparedness."/>
  </r>
  <r>
    <s v="CW-2010-000010-MNG"/>
    <n v="244"/>
    <x v="234"/>
    <d v="2010-05-10T00:00:00"/>
    <x v="14"/>
    <n v="17"/>
    <s v="Q4"/>
    <n v="2010"/>
    <n v="5"/>
    <s v="Europe/Asia"/>
    <s v="Mongolia"/>
    <m/>
    <s v="Winter storm"/>
    <m/>
    <m/>
    <n v="507000"/>
    <s v="Y"/>
    <s v="IFRC"/>
    <n v="991697"/>
    <s v="    MDRMN004"/>
    <n v="0.32"/>
    <n v="0.35"/>
    <s v="Y"/>
    <n v="93924"/>
    <n v="13600"/>
    <m/>
    <m/>
    <n v="1"/>
    <n v="145000"/>
    <m/>
    <m/>
    <m/>
    <n v="145000"/>
    <m/>
    <m/>
    <m/>
    <m/>
    <m/>
    <m/>
    <m/>
    <m/>
    <m/>
    <m/>
    <m/>
    <m/>
    <m/>
    <m/>
    <m/>
    <m/>
    <m/>
    <m/>
    <m/>
    <m/>
    <n v="145000"/>
    <m/>
    <m/>
    <m/>
    <n v="145000"/>
    <s v="Y"/>
    <m/>
    <m/>
    <m/>
    <m/>
    <n v="2869"/>
    <m/>
    <m/>
    <m/>
    <m/>
    <m/>
    <s v="Y"/>
    <m/>
    <s v="N"/>
    <m/>
    <s v="ARCT"/>
    <s v="ARCT"/>
    <m/>
    <s v="CASH: $145,000 contribution made to Federation appeal from Anne Ray Charitable Trust (ARCT) funds"/>
  </r>
  <r>
    <m/>
    <n v="245"/>
    <x v="235"/>
    <d v="2010-05-20T00:00:00"/>
    <x v="14"/>
    <n v="18"/>
    <s v="Q4"/>
    <n v="2010"/>
    <n v="6"/>
    <s v="Europe/Asia"/>
    <s v="Nepal"/>
    <m/>
    <s v="Epidemic"/>
    <m/>
    <m/>
    <n v="67000"/>
    <s v="Y"/>
    <s v="IFRC"/>
    <n v="664175"/>
    <m/>
    <m/>
    <m/>
    <s v="Y"/>
    <n v="179855"/>
    <n v="189000"/>
    <m/>
    <m/>
    <n v="1"/>
    <n v="50000"/>
    <m/>
    <m/>
    <m/>
    <n v="50000"/>
    <m/>
    <m/>
    <m/>
    <m/>
    <m/>
    <m/>
    <m/>
    <m/>
    <m/>
    <m/>
    <m/>
    <m/>
    <m/>
    <m/>
    <m/>
    <m/>
    <m/>
    <m/>
    <m/>
    <m/>
    <n v="50000"/>
    <m/>
    <m/>
    <m/>
    <n v="50000"/>
    <s v="N"/>
    <m/>
    <m/>
    <m/>
    <m/>
    <n v="2799"/>
    <m/>
    <m/>
    <m/>
    <m/>
    <m/>
    <m/>
    <m/>
    <s v="Y"/>
    <m/>
    <m/>
    <m/>
    <m/>
    <s v="CASH: $50,000 towards Federation appeal."/>
  </r>
  <r>
    <s v="TC-2010-000105-GTM"/>
    <n v="246"/>
    <x v="236"/>
    <d v="2010-06-01T00:00:00"/>
    <x v="14"/>
    <n v="19"/>
    <s v="Q4"/>
    <n v="2010"/>
    <n v="7"/>
    <s v="LAC"/>
    <s v="Guatemala"/>
    <m/>
    <s v="Tropical Storm"/>
    <m/>
    <m/>
    <n v="173518"/>
    <s v="Y"/>
    <s v="IFRC"/>
    <n v="1112170"/>
    <s v="MDRGT002"/>
    <n v="8.9914311660987081E-2"/>
    <m/>
    <s v="Y"/>
    <n v="307254"/>
    <n v="7500"/>
    <m/>
    <n v="1250"/>
    <n v="1"/>
    <n v="100000"/>
    <m/>
    <m/>
    <m/>
    <n v="100000"/>
    <m/>
    <m/>
    <m/>
    <n v="9900"/>
    <s v="Y"/>
    <n v="1000"/>
    <n v="7500"/>
    <n v="900"/>
    <m/>
    <m/>
    <n v="500"/>
    <m/>
    <m/>
    <m/>
    <m/>
    <m/>
    <m/>
    <m/>
    <n v="80000"/>
    <m/>
    <n v="180000"/>
    <m/>
    <m/>
    <m/>
    <n v="180000"/>
    <s v="N"/>
    <m/>
    <m/>
    <m/>
    <m/>
    <n v="2799"/>
    <m/>
    <m/>
    <m/>
    <m/>
    <m/>
    <m/>
    <m/>
    <s v="Y"/>
    <m/>
    <m/>
    <m/>
    <m/>
    <s v="CASH: $100,000 to Federation appeal. SUPPLIES: $80,000 in relief supplies from PADRU."/>
  </r>
  <r>
    <s v="OT-2010-000113-KGZ"/>
    <n v="247"/>
    <x v="237"/>
    <d v="2010-06-01T00:00:00"/>
    <x v="14"/>
    <n v="20"/>
    <s v="Q4"/>
    <n v="2010"/>
    <n v="8"/>
    <s v="Europe/Asia"/>
    <s v="Kyrgyzstan"/>
    <m/>
    <s v="Conflict"/>
    <m/>
    <m/>
    <n v="375000"/>
    <s v="Y"/>
    <s v="ICRC /IFRC"/>
    <s v="8800000 +1166159"/>
    <s v="MDRUZ002"/>
    <m/>
    <m/>
    <s v="Y"/>
    <n v="269348"/>
    <n v="124000"/>
    <m/>
    <m/>
    <n v="1"/>
    <n v="50000"/>
    <n v="50000"/>
    <m/>
    <m/>
    <n v="100000"/>
    <m/>
    <m/>
    <m/>
    <m/>
    <m/>
    <m/>
    <m/>
    <m/>
    <m/>
    <m/>
    <m/>
    <m/>
    <m/>
    <m/>
    <m/>
    <m/>
    <m/>
    <m/>
    <m/>
    <m/>
    <n v="100000"/>
    <m/>
    <m/>
    <m/>
    <n v="100000"/>
    <s v="Y"/>
    <m/>
    <m/>
    <m/>
    <m/>
    <s v="2955/2799"/>
    <m/>
    <m/>
    <m/>
    <m/>
    <m/>
    <m/>
    <m/>
    <s v="Y"/>
    <m/>
    <m/>
    <m/>
    <m/>
    <s v="CASH: $50,000 to ICRC Kyrgyzstan appeal; $50,000 to IFRC Kyrgyzstan appeal; $100,000 to IFRC Uzbekistan appeal (this amount from GM donation). "/>
  </r>
  <r>
    <s v="OT-2010-000113-KGZ"/>
    <n v="247"/>
    <x v="237"/>
    <d v="2010-06-01T00:00:00"/>
    <x v="14"/>
    <n v="20"/>
    <s v="Q4"/>
    <n v="2010"/>
    <n v="8"/>
    <s v="Europe/Asia"/>
    <s v="Uzbekistan"/>
    <m/>
    <s v="Conflict"/>
    <m/>
    <m/>
    <m/>
    <s v="Y"/>
    <s v="IFRC"/>
    <n v="911836"/>
    <s v="MDRKG007"/>
    <n v="0.10966884395878206"/>
    <m/>
    <m/>
    <m/>
    <n v="5265"/>
    <m/>
    <m/>
    <n v="1"/>
    <n v="100000"/>
    <m/>
    <m/>
    <m/>
    <n v="100000"/>
    <m/>
    <m/>
    <m/>
    <m/>
    <m/>
    <m/>
    <m/>
    <m/>
    <m/>
    <m/>
    <m/>
    <m/>
    <m/>
    <m/>
    <m/>
    <m/>
    <m/>
    <m/>
    <m/>
    <m/>
    <n v="100000"/>
    <m/>
    <m/>
    <m/>
    <n v="100000"/>
    <s v="Y"/>
    <m/>
    <m/>
    <m/>
    <m/>
    <s v="2955/2799"/>
    <m/>
    <m/>
    <m/>
    <m/>
    <m/>
    <m/>
    <m/>
    <s v="Y"/>
    <m/>
    <m/>
    <m/>
    <m/>
    <s v="see above"/>
  </r>
  <r>
    <s v="FL-2010-00141-PAK"/>
    <n v="248"/>
    <x v="238"/>
    <d v="2010-08-02T00:00:00"/>
    <x v="15"/>
    <n v="1"/>
    <s v="Q1"/>
    <n v="2010"/>
    <n v="9"/>
    <s v="Europe/Asia"/>
    <s v="Pakistan"/>
    <m/>
    <s v="Floods"/>
    <m/>
    <m/>
    <n v="20000000"/>
    <s v="Y"/>
    <s v="IFRC &amp; ICRC"/>
    <n v="148500000"/>
    <s v="MDRPK006"/>
    <n v="2.7609427609427608E-2"/>
    <m/>
    <s v="Y"/>
    <n v="239406"/>
    <n v="2600000"/>
    <m/>
    <m/>
    <n v="1"/>
    <n v="4100000"/>
    <m/>
    <m/>
    <m/>
    <n v="4850000"/>
    <n v="2"/>
    <m/>
    <n v="2"/>
    <n v="99900"/>
    <s v="Y"/>
    <m/>
    <n v="35000"/>
    <n v="15000"/>
    <n v="3650"/>
    <m/>
    <n v="10000"/>
    <m/>
    <n v="20000"/>
    <m/>
    <n v="10000"/>
    <m/>
    <n v="6250"/>
    <m/>
    <n v="824977"/>
    <m/>
    <n v="5674977"/>
    <n v="2525023"/>
    <m/>
    <m/>
    <n v="8200000"/>
    <s v="Y"/>
    <m/>
    <m/>
    <m/>
    <m/>
    <s v="2799/ 2699"/>
    <m/>
    <m/>
    <m/>
    <m/>
    <m/>
    <m/>
    <m/>
    <s v="Y"/>
    <m/>
    <m/>
    <m/>
    <m/>
    <s v="CASH: $100,000 PMN to Federation Appeal from AP2799/RRF - not to be replenished; $3,000,000 ($3M) PMN to Federation Appeal from AP2699 earmarked for relief &amp; emergency shelter;  $300,000 PMN to Federation Appeal from AP 2699 earmarked for relief &amp; emergency shelter; $700,000 PMN to Federation Appeal from AP2699 earmarked for relief; $1,000,000 allocated to contribution to the Measles Initiative, recipient organization TBD._x000a_SUPPLIES: Relief supplies from both KL and Dubai warehouses - emptied both - approx $1M total including transport; PEOPLE: Robin Younger and Christophe Lobry-Boulanger deployed fro Relief coordination cell to PRCS support. Raj Zafar was used from Federation Delegation for surge support for  Federation in Islamabad._x000a_$8.2M raised - remainder put into 'early recovery' column"/>
  </r>
  <r>
    <m/>
    <n v="249"/>
    <x v="6"/>
    <d v="2010-10-01T00:00:00"/>
    <x v="15"/>
    <n v="2"/>
    <s v="Q2"/>
    <n v="2010"/>
    <n v="10"/>
    <s v="LAC"/>
    <s v="Mexico"/>
    <m/>
    <s v="Floods"/>
    <m/>
    <m/>
    <n v="500000"/>
    <s v="N"/>
    <m/>
    <m/>
    <m/>
    <m/>
    <m/>
    <s v="N"/>
    <m/>
    <m/>
    <s v="Y"/>
    <n v="50000"/>
    <m/>
    <m/>
    <m/>
    <n v="200000"/>
    <m/>
    <n v="200000"/>
    <m/>
    <m/>
    <m/>
    <m/>
    <m/>
    <m/>
    <m/>
    <m/>
    <m/>
    <m/>
    <m/>
    <m/>
    <m/>
    <m/>
    <m/>
    <m/>
    <m/>
    <m/>
    <m/>
    <m/>
    <n v="200000"/>
    <m/>
    <m/>
    <m/>
    <n v="200000"/>
    <s v="Y"/>
    <m/>
    <m/>
    <m/>
    <m/>
    <n v="2869"/>
    <m/>
    <m/>
    <m/>
    <m/>
    <m/>
    <s v="Y"/>
    <m/>
    <s v="N"/>
    <m/>
    <s v="ARCT funds - $200,000"/>
    <s v="ARCT"/>
    <m/>
    <s v="CASH: $200,000 bilateral contribution/grant letter to Mexican Red Cross for relief - paid by ARCT funds."/>
  </r>
  <r>
    <s v="FL-2010-00194-VNM"/>
    <n v="250"/>
    <x v="21"/>
    <d v="2010-10-18T00:00:00"/>
    <x v="15"/>
    <n v="3"/>
    <s v="Q2"/>
    <n v="2010"/>
    <n v="11"/>
    <s v="Europe/Asia"/>
    <s v="Vietnam"/>
    <m/>
    <s v="Floods"/>
    <m/>
    <m/>
    <n v="660000"/>
    <s v="Y"/>
    <s v="IFRC"/>
    <n v="1080000"/>
    <s v="MDRVN007"/>
    <n v="2.7777777777777776E-2"/>
    <m/>
    <s v="Y"/>
    <n v="160853"/>
    <n v="120000"/>
    <m/>
    <m/>
    <m/>
    <n v="30000"/>
    <m/>
    <m/>
    <m/>
    <n v="30000"/>
    <m/>
    <m/>
    <m/>
    <m/>
    <m/>
    <m/>
    <m/>
    <m/>
    <m/>
    <m/>
    <m/>
    <m/>
    <m/>
    <m/>
    <m/>
    <m/>
    <m/>
    <m/>
    <m/>
    <m/>
    <n v="30000"/>
    <m/>
    <m/>
    <m/>
    <n v="30000"/>
    <s v="N"/>
    <m/>
    <m/>
    <m/>
    <m/>
    <n v="2799"/>
    <m/>
    <m/>
    <m/>
    <m/>
    <m/>
    <m/>
    <m/>
    <s v="Y"/>
    <m/>
    <m/>
    <m/>
    <m/>
    <s v="CASH: $30,000 PMN to Federation Appeal from 2799 (RRF) earmarked for relief."/>
  </r>
  <r>
    <s v="EP-2010-000210-HTI"/>
    <n v="251"/>
    <x v="239"/>
    <d v="2010-10-24T00:00:00"/>
    <x v="15"/>
    <n v="4"/>
    <s v="Q2"/>
    <n v="2010"/>
    <n v="12"/>
    <s v="LAC"/>
    <s v="Haiti/ Dominican  Republic"/>
    <m/>
    <s v="Epidemic"/>
    <m/>
    <m/>
    <m/>
    <s v="Y"/>
    <s v="IFRC"/>
    <n v="6000000"/>
    <s v="MDR49007"/>
    <n v="0.36102216666666664"/>
    <m/>
    <s v="Y"/>
    <n v="80618"/>
    <n v="1500000"/>
    <m/>
    <m/>
    <n v="1"/>
    <n v="2166133"/>
    <m/>
    <m/>
    <m/>
    <n v="2320081"/>
    <m/>
    <m/>
    <m/>
    <m/>
    <m/>
    <m/>
    <m/>
    <m/>
    <m/>
    <m/>
    <m/>
    <m/>
    <m/>
    <m/>
    <m/>
    <m/>
    <m/>
    <m/>
    <n v="694910"/>
    <m/>
    <n v="16068357"/>
    <m/>
    <m/>
    <m/>
    <n v="16068357"/>
    <s v="Y"/>
    <m/>
    <m/>
    <m/>
    <m/>
    <n v="2888"/>
    <m/>
    <m/>
    <m/>
    <m/>
    <m/>
    <m/>
    <m/>
    <s v="N"/>
    <m/>
    <m/>
    <m/>
    <m/>
    <s v="Spent figure directly from HAP as of May 2011. ARC committed to spend $14 million on Cholera. See HAP for additional details._x000a_CASH: $566,133 PMN to Federation Appeal: $537,500 earmarked for Haiti AP2888; $28,634 earmarked for Dominican Republic from AP2884; $1.6 million PMN for relief supplies; Funding transportation/flights of supplies for Partners in Health etc. Funding supplies, etc._x000a_SUPPLIES:Hygiene promotion, soap, oral rehydration salts, water tablets and chlorine for water purification, 5,000 Cots for medical facilities, Transport of medical supplies, vehicle for Haitian Red Cross. _x000a_PEOPLE: 6 ARC Haiti staff deployed for Red Cross Emergency Response Teams for Cholera outbreak in northern Haiti. _x000a_See latest response report and RAP for full details of items provided. "/>
  </r>
  <r>
    <s v="TC-2010-000205-PHL"/>
    <n v="252"/>
    <x v="240"/>
    <d v="2010-10-26T00:00:00"/>
    <x v="15"/>
    <n v="5"/>
    <s v="Q2"/>
    <n v="2010"/>
    <n v="13"/>
    <s v="Europe/Asia"/>
    <s v="Philippines"/>
    <m/>
    <s v="Tropical Storm"/>
    <m/>
    <m/>
    <n v="2000000"/>
    <s v="Y"/>
    <s v="IFRC"/>
    <n v="4310000"/>
    <s v="MDRPH006"/>
    <n v="6.9605568445475635E-3"/>
    <m/>
    <s v="Y"/>
    <n v="214855"/>
    <n v="60000"/>
    <m/>
    <m/>
    <m/>
    <n v="30000"/>
    <m/>
    <m/>
    <m/>
    <n v="30000"/>
    <m/>
    <m/>
    <m/>
    <m/>
    <m/>
    <m/>
    <m/>
    <m/>
    <m/>
    <m/>
    <m/>
    <m/>
    <m/>
    <m/>
    <m/>
    <m/>
    <m/>
    <m/>
    <m/>
    <m/>
    <n v="30000"/>
    <m/>
    <m/>
    <m/>
    <n v="30000"/>
    <s v="Y"/>
    <m/>
    <m/>
    <m/>
    <m/>
    <n v="2032"/>
    <m/>
    <m/>
    <m/>
    <m/>
    <m/>
    <m/>
    <m/>
    <s v="N"/>
    <m/>
    <m/>
    <m/>
    <m/>
    <s v="CASH: $30,000 PMN to Federation Appeal from 2032 earmarked for relief distribution."/>
  </r>
  <r>
    <s v="EQ-2010-000213-IDN &amp; VO-2010-000214-IDN"/>
    <n v="253"/>
    <x v="241"/>
    <d v="2010-11-08T00:00:00"/>
    <x v="15"/>
    <n v="6"/>
    <s v="Q2"/>
    <n v="2010"/>
    <n v="14"/>
    <s v="Europe/Asia"/>
    <s v="Indonesia"/>
    <m/>
    <s v="Tsunami &amp; Volcanic Eruption"/>
    <m/>
    <m/>
    <n v="215000"/>
    <s v="Y"/>
    <s v="IFRC"/>
    <n v="2865860"/>
    <s v="MDRID006"/>
    <n v="1.7446769905019786E-2"/>
    <m/>
    <s v="Y"/>
    <m/>
    <n v="25000"/>
    <m/>
    <m/>
    <n v="1"/>
    <n v="50000"/>
    <m/>
    <m/>
    <m/>
    <n v="50000"/>
    <m/>
    <m/>
    <m/>
    <m/>
    <m/>
    <m/>
    <m/>
    <m/>
    <m/>
    <m/>
    <m/>
    <m/>
    <m/>
    <m/>
    <m/>
    <m/>
    <m/>
    <m/>
    <m/>
    <m/>
    <n v="50000"/>
    <m/>
    <m/>
    <m/>
    <n v="50000"/>
    <s v="N"/>
    <m/>
    <m/>
    <m/>
    <m/>
    <n v="2799"/>
    <m/>
    <m/>
    <m/>
    <m/>
    <m/>
    <m/>
    <m/>
    <s v="Y"/>
    <m/>
    <m/>
    <m/>
    <m/>
    <s v="CASH: $50,000 PMN to Federation Appeal from 2799 earmarked for relief."/>
  </r>
  <r>
    <s v="TC-2010-000216-BRB/LCA/VCT"/>
    <n v="254"/>
    <x v="242"/>
    <d v="2010-11-03T00:00:00"/>
    <x v="15"/>
    <n v="7"/>
    <s v="Q2"/>
    <n v="2010"/>
    <n v="15"/>
    <s v="LAC"/>
    <s v="Saint Lucia/ Saint Vincent and the Grenadines/ Barbados "/>
    <m/>
    <s v="Tropical Storm"/>
    <m/>
    <m/>
    <n v="9500"/>
    <s v="Y"/>
    <s v="IFRC"/>
    <n v="622109"/>
    <s v="MDR49006"/>
    <n v="0.23307812618046034"/>
    <m/>
    <m/>
    <m/>
    <n v="7500"/>
    <m/>
    <m/>
    <n v="1"/>
    <n v="145000"/>
    <m/>
    <m/>
    <m/>
    <n v="145000"/>
    <n v="6"/>
    <m/>
    <n v="6"/>
    <m/>
    <m/>
    <m/>
    <m/>
    <m/>
    <m/>
    <m/>
    <m/>
    <m/>
    <m/>
    <m/>
    <m/>
    <m/>
    <m/>
    <m/>
    <m/>
    <m/>
    <n v="145000"/>
    <m/>
    <m/>
    <m/>
    <n v="145000"/>
    <s v="N"/>
    <m/>
    <m/>
    <m/>
    <m/>
    <n v="2799"/>
    <m/>
    <m/>
    <m/>
    <m/>
    <m/>
    <m/>
    <m/>
    <s v="Y"/>
    <m/>
    <m/>
    <m/>
    <m/>
    <s v="CASH: $75,000 PMN to Federation Appeal from 2799 earmarked for relief. $70,000 PMN to Federation appeal earmarked for relief supplies for St. Lucia (see RAP). PEOPLE: Six bilateral staff from ARC Haiti office deployed on Federation Emergency Response Teams."/>
  </r>
  <r>
    <m/>
    <n v="255"/>
    <x v="243"/>
    <d v="2010-11-09T00:00:00"/>
    <x v="15"/>
    <n v="8"/>
    <s v="Q2"/>
    <n v="2010"/>
    <n v="16"/>
    <s v="LAC"/>
    <s v="Belize"/>
    <m/>
    <s v="Tropical Storm"/>
    <m/>
    <m/>
    <m/>
    <s v="N"/>
    <m/>
    <m/>
    <s v="MDRBZ002"/>
    <m/>
    <m/>
    <s v="Y"/>
    <n v="56303"/>
    <m/>
    <m/>
    <n v="4639"/>
    <m/>
    <m/>
    <m/>
    <n v="80000"/>
    <m/>
    <n v="80000"/>
    <n v="1"/>
    <m/>
    <n v="1"/>
    <m/>
    <m/>
    <m/>
    <m/>
    <m/>
    <m/>
    <m/>
    <m/>
    <m/>
    <m/>
    <m/>
    <m/>
    <m/>
    <m/>
    <m/>
    <m/>
    <m/>
    <n v="80000"/>
    <m/>
    <m/>
    <m/>
    <n v="80000"/>
    <s v="N"/>
    <m/>
    <m/>
    <m/>
    <m/>
    <n v="2799"/>
    <m/>
    <m/>
    <m/>
    <m/>
    <m/>
    <m/>
    <m/>
    <s v="Y"/>
    <m/>
    <m/>
    <m/>
    <m/>
    <s v="CASH: $80,000 bilateral contribution by grant letter to Belize Red Cross earmarked for emergency shelter. _x000a_PEOPLE: Laura Havesi deployed for emergency shelter support and cash voucher program."/>
  </r>
  <r>
    <s v="EQ-2010-000251-CRI"/>
    <n v="256"/>
    <x v="7"/>
    <d v="2010-11-10T00:00:00"/>
    <x v="15"/>
    <n v="9"/>
    <s v="Q2"/>
    <n v="2010"/>
    <n v="17"/>
    <s v="LAC"/>
    <s v="Costa Rica"/>
    <m/>
    <s v="Floods"/>
    <m/>
    <m/>
    <n v="13500"/>
    <s v="N"/>
    <m/>
    <m/>
    <m/>
    <m/>
    <m/>
    <s v="Y"/>
    <n v="123611"/>
    <n v="1000"/>
    <s v="Y"/>
    <m/>
    <m/>
    <m/>
    <m/>
    <n v="322330"/>
    <m/>
    <n v="322330"/>
    <m/>
    <m/>
    <m/>
    <m/>
    <m/>
    <m/>
    <m/>
    <m/>
    <m/>
    <m/>
    <m/>
    <m/>
    <m/>
    <m/>
    <m/>
    <m/>
    <m/>
    <m/>
    <m/>
    <m/>
    <n v="322330"/>
    <m/>
    <m/>
    <m/>
    <n v="322330"/>
    <s v="Y"/>
    <m/>
    <m/>
    <m/>
    <m/>
    <s v="2760 OFDA "/>
    <m/>
    <m/>
    <m/>
    <m/>
    <m/>
    <m/>
    <s v="Y"/>
    <s v="N"/>
    <m/>
    <s v="OFDA"/>
    <m/>
    <m/>
    <s v="CASH: OFDA grant for $322,330 for distribution of relief supplies; small cash transfer program; disaster risk reduction workshops  "/>
  </r>
  <r>
    <s v="FL-2010-000076-COL"/>
    <n v="257"/>
    <x v="244"/>
    <d v="2010-12-16T00:00:00"/>
    <x v="15"/>
    <n v="10"/>
    <s v="Q2"/>
    <n v="2010"/>
    <n v="18"/>
    <s v="LAC"/>
    <s v="Colombia"/>
    <m/>
    <s v="Floods"/>
    <m/>
    <m/>
    <n v="1500000"/>
    <s v="Y"/>
    <s v="IFRC"/>
    <n v="1109939"/>
    <s v="MDRCO008"/>
    <n v="7.207603300721932E-2"/>
    <m/>
    <s v="Y"/>
    <n v="64807"/>
    <n v="71500"/>
    <m/>
    <n v="1500"/>
    <n v="1"/>
    <n v="80000"/>
    <m/>
    <n v="120000"/>
    <m/>
    <n v="200000"/>
    <m/>
    <m/>
    <m/>
    <n v="6000"/>
    <s v="Y"/>
    <m/>
    <m/>
    <m/>
    <m/>
    <m/>
    <m/>
    <m/>
    <n v="6000"/>
    <m/>
    <m/>
    <m/>
    <m/>
    <m/>
    <n v="40000"/>
    <m/>
    <n v="240000"/>
    <m/>
    <m/>
    <m/>
    <n v="240000"/>
    <s v="Y"/>
    <m/>
    <m/>
    <m/>
    <m/>
    <s v="2799 /2025"/>
    <m/>
    <m/>
    <m/>
    <m/>
    <m/>
    <m/>
    <m/>
    <s v="N"/>
    <m/>
    <m/>
    <m/>
    <m/>
    <s v="SUPPLIES: IFRC mob table contribution: 6,000 mosquito nets @ $40,000; CASH: $80,000 cash pledge to Federation appeal - MDRCO008 earmarked for NFIs for relief distribution; Bilateral $120,000 bilateral contribution for health and DRR programming. "/>
  </r>
  <r>
    <s v="FL-2010-000225-PAN"/>
    <n v="258"/>
    <x v="80"/>
    <d v="2010-11-30T00:00:00"/>
    <x v="15"/>
    <n v="11"/>
    <s v="Q2"/>
    <n v="2010"/>
    <n v="19"/>
    <s v="LAC"/>
    <s v="Panama"/>
    <m/>
    <s v="Floods"/>
    <m/>
    <m/>
    <n v="6200"/>
    <s v="Y"/>
    <s v="IFRC"/>
    <n v="364732"/>
    <s v="MDRPA007"/>
    <m/>
    <m/>
    <s v="Y"/>
    <n v="82608"/>
    <n v="10225"/>
    <m/>
    <n v="300"/>
    <m/>
    <m/>
    <m/>
    <m/>
    <m/>
    <m/>
    <m/>
    <m/>
    <m/>
    <n v="1714"/>
    <s v="Y"/>
    <n v="214"/>
    <n v="1500"/>
    <m/>
    <m/>
    <m/>
    <m/>
    <m/>
    <m/>
    <m/>
    <m/>
    <m/>
    <m/>
    <m/>
    <n v="9812"/>
    <m/>
    <n v="9812"/>
    <m/>
    <m/>
    <m/>
    <n v="9812"/>
    <s v="N"/>
    <m/>
    <m/>
    <m/>
    <m/>
    <n v="2799"/>
    <m/>
    <m/>
    <m/>
    <m/>
    <m/>
    <m/>
    <m/>
    <s v="Y"/>
    <m/>
    <m/>
    <m/>
    <m/>
    <s v="SUPPPLIES: 1,500 blankets and 214 hygiene kits at $9,812 from PADRU."/>
  </r>
  <r>
    <s v="OT-2011-000025-TUN/LBY/EGY"/>
    <n v="259"/>
    <x v="245"/>
    <d v="2011-02-28T00:00:00"/>
    <x v="15"/>
    <n v="12"/>
    <s v="Q3"/>
    <n v="2011"/>
    <n v="1"/>
    <s v="Europe/Asia"/>
    <s v="Tunisia"/>
    <m/>
    <s v="Civil Unrest"/>
    <m/>
    <m/>
    <m/>
    <s v="Y"/>
    <s v="IFRC &amp; ICRC"/>
    <n v="45216000"/>
    <s v="MDR82001 &amp; REX2011/114"/>
    <m/>
    <m/>
    <s v="Y"/>
    <n v="431000"/>
    <n v="306000"/>
    <m/>
    <m/>
    <n v="1"/>
    <n v="297270"/>
    <n v="100000"/>
    <m/>
    <m/>
    <n v="397270"/>
    <n v="5"/>
    <m/>
    <m/>
    <n v="1500"/>
    <s v="Y"/>
    <m/>
    <m/>
    <m/>
    <m/>
    <m/>
    <m/>
    <m/>
    <m/>
    <m/>
    <n v="1500"/>
    <m/>
    <m/>
    <m/>
    <n v="43000"/>
    <m/>
    <n v="440270"/>
    <m/>
    <m/>
    <m/>
    <n v="440270"/>
    <s v="Y"/>
    <m/>
    <m/>
    <m/>
    <m/>
    <s v="2869/ARCT"/>
    <m/>
    <n v="2010"/>
    <m/>
    <m/>
    <m/>
    <s v="Y"/>
    <m/>
    <s v="N"/>
    <m/>
    <s v="ARCT/ 2869; AP 2010, Middle East R&amp;D – revenue;  2099, IRF – 100k to ICRC (replenished by 2010); 2799, RRF – FACT deployment expenses + PMN for Syria"/>
    <m/>
    <m/>
    <s v="CASH: 1) $100,000 to ICRC earmarked for Tunisia from AP2010; PMN for $162,270 earmarked for locally procured supplies by AP2869/ARCT; 2) $135,000 PMN from AP 2799 for $44,000 and AP 2831/ ARCT for $91,000 earmarked for Syria for local procurement of food parcels. SUPPLIES:1500 tarps from Dubai warehouse as of March 2011; PEOPLE: Deployed for FACT team members: Langdon Greenhalgh, FACT team leader; Marian Spivey-Estrada, FACT Info &amp; Reporting; Colin Chaperon, FACT relief coordinator; Gina Guinta, FACT Info &amp; Reporting - 2nd round; Laura Hevesi FACT relief coordinator."/>
  </r>
  <r>
    <s v="EQ-2011-000024-NZL"/>
    <n v="260"/>
    <x v="246"/>
    <d v="2011-02-23T00:00:00"/>
    <x v="15"/>
    <n v="13"/>
    <s v="Q3"/>
    <n v="2011"/>
    <n v="2"/>
    <s v="Europe/Asia"/>
    <s v="New Zealand"/>
    <m/>
    <s v="Earthquake"/>
    <m/>
    <m/>
    <m/>
    <s v="N"/>
    <m/>
    <m/>
    <m/>
    <m/>
    <m/>
    <m/>
    <m/>
    <n v="47800"/>
    <s v="Y"/>
    <m/>
    <m/>
    <m/>
    <m/>
    <n v="826450"/>
    <m/>
    <n v="826450"/>
    <m/>
    <m/>
    <m/>
    <m/>
    <m/>
    <m/>
    <m/>
    <m/>
    <m/>
    <m/>
    <m/>
    <m/>
    <m/>
    <m/>
    <m/>
    <m/>
    <m/>
    <m/>
    <m/>
    <m/>
    <n v="826450"/>
    <m/>
    <m/>
    <m/>
    <n v="826450"/>
    <s v="Y"/>
    <m/>
    <m/>
    <m/>
    <m/>
    <n v="2881"/>
    <m/>
    <m/>
    <m/>
    <m/>
    <m/>
    <m/>
    <m/>
    <s v="N"/>
    <m/>
    <m/>
    <m/>
    <m/>
    <s v="CASH: Two grant letters to be made - $772,000 on April 12, 2011; second one for $54,450 June 23, 2011"/>
  </r>
  <r>
    <m/>
    <n v="261"/>
    <x v="247"/>
    <d v="2011-03-01T00:00:00"/>
    <x v="15"/>
    <n v="14"/>
    <s v="Q3"/>
    <n v="2011"/>
    <n v="3"/>
    <s v="LAC"/>
    <s v="Paraguay"/>
    <m/>
    <s v="Epidemic"/>
    <m/>
    <m/>
    <m/>
    <s v="N"/>
    <m/>
    <m/>
    <m/>
    <m/>
    <m/>
    <s v="N"/>
    <m/>
    <m/>
    <s v="Y"/>
    <n v="2000"/>
    <m/>
    <m/>
    <m/>
    <n v="56000"/>
    <m/>
    <n v="56000"/>
    <m/>
    <m/>
    <m/>
    <m/>
    <m/>
    <m/>
    <m/>
    <m/>
    <m/>
    <m/>
    <m/>
    <m/>
    <m/>
    <m/>
    <m/>
    <m/>
    <m/>
    <m/>
    <m/>
    <m/>
    <n v="56000"/>
    <m/>
    <m/>
    <m/>
    <n v="56000"/>
    <s v="Y"/>
    <m/>
    <m/>
    <m/>
    <m/>
    <n v="2025"/>
    <m/>
    <m/>
    <m/>
    <m/>
    <m/>
    <m/>
    <m/>
    <s v="N"/>
    <m/>
    <m/>
    <m/>
    <m/>
    <s v="CASH: $50,000 Bilateral contribution via grant letter to Paraguay Red Cross for Dengue outbreak activities."/>
  </r>
  <r>
    <s v="EQ-2011-000028-JPN"/>
    <n v="262"/>
    <x v="248"/>
    <d v="2011-03-11T00:00:00"/>
    <x v="15"/>
    <n v="15"/>
    <s v="Q3"/>
    <n v="2011"/>
    <n v="4"/>
    <s v="Europe/Asia"/>
    <s v="Japan"/>
    <m/>
    <s v="Earthquake/ Tsunami"/>
    <m/>
    <m/>
    <n v="300000"/>
    <s v="N"/>
    <m/>
    <m/>
    <m/>
    <m/>
    <m/>
    <m/>
    <m/>
    <n v="225000"/>
    <s v="Y"/>
    <m/>
    <m/>
    <m/>
    <m/>
    <n v="256000000"/>
    <n v="1500000"/>
    <n v="259800000"/>
    <n v="3"/>
    <m/>
    <m/>
    <m/>
    <m/>
    <m/>
    <m/>
    <m/>
    <m/>
    <m/>
    <m/>
    <m/>
    <m/>
    <m/>
    <m/>
    <m/>
    <m/>
    <m/>
    <m/>
    <m/>
    <n v="259800000"/>
    <m/>
    <m/>
    <m/>
    <n v="259800000"/>
    <s v="Y"/>
    <s v="P"/>
    <n v="307256521"/>
    <d v="2011-12-01T00:00:00"/>
    <s v="ongoing"/>
    <n v="2687"/>
    <m/>
    <n v="2841"/>
    <m/>
    <m/>
    <m/>
    <m/>
    <m/>
    <s v="N"/>
    <m/>
    <m/>
    <m/>
    <m/>
    <s v="CASH: Bilateral contribution via grant letter to Japanese Red Cross  for response activities: 1) $10M March 14, 2) $50M - April 1; 3) $40M - April 11; 4) $30M - April 29; 5) $30M - May 12; 6) $46 M - June 10; 7) $35M - July 11;  8) $15M - Aug. 28_x000a_Additional cash grants to JRCS will occur. _x000a_To other agencies: 1) $500,000 - March 21 -World Food Programme; 2) $1M total -  $3M - April 11 - IOM; Note refund from IOM due to programming - $2M October 2011. _x000a_ARC internal: $300,000 - March 21 - Service to Armed Forces; _x000a_PEOPLE: Nan Buzard on high level Fed Liaison trip; Tom Alcedo to Fed Liaison team; John Manley to Fed Liaison team."/>
  </r>
  <r>
    <s v="FL-2011-000020-BOL"/>
    <n v="263"/>
    <x v="48"/>
    <d v="2011-03-23T00:00:00"/>
    <x v="15"/>
    <n v="16"/>
    <s v="Q3"/>
    <n v="2011"/>
    <n v="5"/>
    <s v="LAC"/>
    <s v="Bolivia"/>
    <m/>
    <s v="Floods"/>
    <m/>
    <m/>
    <n v="70000"/>
    <s v="Y"/>
    <s v="IFRC"/>
    <n v="571602"/>
    <s v="MDRBO006"/>
    <n v="0.31840336457885032"/>
    <m/>
    <m/>
    <m/>
    <n v="2500"/>
    <m/>
    <m/>
    <n v="1"/>
    <n v="182000"/>
    <m/>
    <m/>
    <m/>
    <n v="182000"/>
    <m/>
    <m/>
    <m/>
    <m/>
    <m/>
    <m/>
    <m/>
    <m/>
    <m/>
    <m/>
    <m/>
    <m/>
    <m/>
    <m/>
    <m/>
    <m/>
    <m/>
    <m/>
    <m/>
    <m/>
    <n v="182000"/>
    <m/>
    <m/>
    <m/>
    <n v="182000"/>
    <s v="Y"/>
    <s v="C"/>
    <n v="200000"/>
    <d v="2011-05-10T00:00:00"/>
    <d v="2011-05-10T00:00:00"/>
    <s v="2869/ARCT"/>
    <n v="100000"/>
    <n v="2025"/>
    <n v="100000"/>
    <m/>
    <m/>
    <s v="Y"/>
    <m/>
    <s v="N"/>
    <m/>
    <s v="ARCT funding - $100,000. GE corporate contribution - $100,000."/>
    <m/>
    <m/>
    <s v="CASH: 1) PMN for $91,000 from ARCT IERRF funds for appeal. 2) Second PMN for $91,000 from 2025 - South America R &amp; D"/>
  </r>
  <r>
    <s v="OT-2010-000255-CIV"/>
    <n v="264"/>
    <x v="249"/>
    <d v="2011-04-01T00:00:00"/>
    <x v="15"/>
    <n v="17"/>
    <s v="Q4"/>
    <n v="2011"/>
    <n v="6"/>
    <s v="Africa"/>
    <s v="Liberia"/>
    <m/>
    <s v="Population Movement"/>
    <m/>
    <m/>
    <m/>
    <s v="Y"/>
    <s v="IFRC"/>
    <n v="4340568"/>
    <s v="MDR61007"/>
    <n v="3.4557689224083116E-2"/>
    <m/>
    <m/>
    <m/>
    <n v="67500"/>
    <m/>
    <m/>
    <n v="1"/>
    <n v="150000"/>
    <m/>
    <m/>
    <m/>
    <n v="150000"/>
    <m/>
    <m/>
    <m/>
    <m/>
    <m/>
    <m/>
    <m/>
    <m/>
    <m/>
    <m/>
    <m/>
    <m/>
    <m/>
    <m/>
    <m/>
    <m/>
    <m/>
    <m/>
    <m/>
    <m/>
    <n v="150000"/>
    <m/>
    <m/>
    <m/>
    <n v="150000"/>
    <s v="N"/>
    <m/>
    <m/>
    <m/>
    <m/>
    <n v="2799"/>
    <m/>
    <m/>
    <m/>
    <m/>
    <m/>
    <m/>
    <m/>
    <s v="Y"/>
    <m/>
    <m/>
    <m/>
    <m/>
    <s v="CASH: Contribution to Federation appeal MDR61007 for $150,000 for Liberia earmarked for relief and operations. "/>
  </r>
  <r>
    <s v="FL-2011-000007-NAM"/>
    <n v="265"/>
    <x v="215"/>
    <d v="2011-03-25T00:00:00"/>
    <x v="15"/>
    <n v="18"/>
    <s v="Q4"/>
    <n v="2011"/>
    <n v="7"/>
    <s v="Africa"/>
    <s v="Namibia"/>
    <m/>
    <s v="Floods"/>
    <m/>
    <m/>
    <n v="228500"/>
    <s v="Y"/>
    <s v="IFRC"/>
    <n v="2032221"/>
    <s v="MDRNA006"/>
    <n v="2.4603623326400034E-2"/>
    <m/>
    <m/>
    <m/>
    <n v="37457"/>
    <m/>
    <m/>
    <n v="1"/>
    <n v="50000"/>
    <m/>
    <m/>
    <m/>
    <n v="50000"/>
    <m/>
    <m/>
    <m/>
    <m/>
    <m/>
    <m/>
    <m/>
    <m/>
    <m/>
    <m/>
    <m/>
    <m/>
    <m/>
    <m/>
    <m/>
    <m/>
    <m/>
    <m/>
    <m/>
    <m/>
    <n v="50000"/>
    <m/>
    <m/>
    <m/>
    <n v="50000"/>
    <s v="N"/>
    <m/>
    <m/>
    <m/>
    <m/>
    <n v="2799"/>
    <m/>
    <m/>
    <m/>
    <m/>
    <m/>
    <m/>
    <m/>
    <s v="Y"/>
    <m/>
    <m/>
    <m/>
    <m/>
    <s v="CASH: Contribution to Namibia floods Federation appeal MDRNA006 for $50,000 earmarked for emergency shelter and watsan. "/>
  </r>
  <r>
    <s v="DR-2011-000029-KEN"/>
    <n v="266"/>
    <x v="250"/>
    <d v="2011-07-28T00:00:00"/>
    <x v="16"/>
    <n v="1"/>
    <s v="Q1"/>
    <n v="2011"/>
    <n v="8"/>
    <s v="Africa"/>
    <s v="Somalia/ Kenya/ Ethiopia/ Tanzania"/>
    <m/>
    <s v="Drought"/>
    <m/>
    <m/>
    <n v="13300000"/>
    <s v="Y"/>
    <s v="IFRC &amp; ICRC"/>
    <n v="254000000"/>
    <s v="Various - see RAP"/>
    <m/>
    <m/>
    <m/>
    <m/>
    <n v="2840000"/>
    <m/>
    <m/>
    <n v="4"/>
    <n v="1700000"/>
    <n v="1113000"/>
    <m/>
    <m/>
    <n v="2813000"/>
    <m/>
    <m/>
    <m/>
    <m/>
    <s v="Y"/>
    <m/>
    <m/>
    <m/>
    <n v="4900"/>
    <m/>
    <m/>
    <m/>
    <n v="20000"/>
    <m/>
    <m/>
    <m/>
    <m/>
    <m/>
    <n v="122000"/>
    <m/>
    <n v="2935000"/>
    <m/>
    <m/>
    <m/>
    <n v="2935000"/>
    <s v="Y"/>
    <s v="P"/>
    <n v="4185949"/>
    <d v="2011-12-01T00:00:00"/>
    <s v="ongoing"/>
    <s v="2831/ARCT"/>
    <n v="200000"/>
    <n v="2836"/>
    <n v="2553000"/>
    <n v="2099"/>
    <n v="200000"/>
    <s v="Y"/>
    <m/>
    <s v="N"/>
    <s v="Y"/>
    <s v="ARCT -2831 FY12 fund - $200,000"/>
    <m/>
    <m/>
    <s v="CASH: 1) $582,000 +$531,000 contribution to ICRC emergency appeal EA2011 for Somalia - sources:  $182,000 from ARCT/2831, $200,000 + $531,000 from 2836, and $200,000 from IRF/2099 per Sr VP; 2). PMN $1,000,000 contribution to Kenya Drought appeal MDRKE016 from 2836; 3) PMN for$600,000 contribution to Ethiopia appeal MDRE010 from 2836; 4) PMN for $100,000 for Tanzania Drought appeal MDRTZ012 from 2836."/>
  </r>
  <r>
    <s v="FL-2011-000096-PRK"/>
    <n v="267"/>
    <x v="251"/>
    <d v="2011-08-24T00:00:00"/>
    <x v="16"/>
    <n v="2"/>
    <s v="Q1"/>
    <n v="2011"/>
    <n v="9"/>
    <s v="Europe/Asia"/>
    <s v="DPRK/North Korea"/>
    <m/>
    <s v="Floods"/>
    <m/>
    <m/>
    <n v="45000"/>
    <s v="Y"/>
    <s v="IFRC"/>
    <n v="4400000"/>
    <s v="MDRKP003"/>
    <n v="0.01"/>
    <m/>
    <s v="Y"/>
    <n v="575551"/>
    <n v="30000"/>
    <m/>
    <m/>
    <n v="1"/>
    <n v="50000"/>
    <m/>
    <m/>
    <m/>
    <n v="50000"/>
    <m/>
    <m/>
    <m/>
    <m/>
    <m/>
    <m/>
    <m/>
    <m/>
    <m/>
    <m/>
    <m/>
    <m/>
    <m/>
    <m/>
    <m/>
    <m/>
    <m/>
    <m/>
    <m/>
    <m/>
    <n v="50000"/>
    <m/>
    <m/>
    <m/>
    <n v="50000"/>
    <s v="N"/>
    <m/>
    <m/>
    <m/>
    <m/>
    <n v="2799"/>
    <m/>
    <m/>
    <m/>
    <m/>
    <m/>
    <m/>
    <m/>
    <s v="Y"/>
    <m/>
    <m/>
    <m/>
    <m/>
    <s v="CASH: $50,000 contribution to appeal earmarked for food procurement, from 2799/RRF."/>
  </r>
</pivotCacheRecords>
</file>

<file path=xl/pivotCache/pivotCacheRecords9.xml><?xml version="1.0" encoding="utf-8"?>
<pivotCacheRecords xmlns="http://schemas.openxmlformats.org/spreadsheetml/2006/main" xmlns:r="http://schemas.openxmlformats.org/officeDocument/2006/relationships" count="332">
  <r>
    <m/>
    <s v="a"/>
    <x v="0"/>
    <x v="0"/>
    <x v="0"/>
    <x v="0"/>
    <m/>
    <n v="1985"/>
    <m/>
    <x v="0"/>
    <x v="0"/>
    <m/>
    <m/>
    <m/>
    <m/>
    <m/>
    <m/>
    <m/>
    <m/>
    <m/>
    <m/>
    <m/>
    <m/>
    <m/>
    <m/>
    <m/>
    <m/>
    <m/>
    <m/>
    <m/>
    <m/>
    <m/>
    <m/>
    <m/>
    <m/>
    <m/>
    <m/>
    <m/>
    <m/>
    <m/>
    <m/>
    <m/>
    <m/>
    <m/>
    <m/>
    <m/>
    <m/>
    <m/>
    <m/>
    <m/>
    <m/>
    <m/>
    <m/>
    <m/>
    <m/>
    <m/>
    <m/>
    <x v="0"/>
    <m/>
    <m/>
    <m/>
    <m/>
    <m/>
    <m/>
    <m/>
    <m/>
    <m/>
    <m/>
    <m/>
    <m/>
    <m/>
    <m/>
    <m/>
    <m/>
    <m/>
    <m/>
    <m/>
  </r>
  <r>
    <m/>
    <s v="b"/>
    <x v="1"/>
    <x v="1"/>
    <x v="1"/>
    <x v="0"/>
    <m/>
    <n v="1988"/>
    <m/>
    <x v="0"/>
    <x v="0"/>
    <m/>
    <m/>
    <m/>
    <m/>
    <m/>
    <m/>
    <m/>
    <m/>
    <m/>
    <m/>
    <m/>
    <m/>
    <m/>
    <m/>
    <m/>
    <m/>
    <m/>
    <m/>
    <m/>
    <m/>
    <m/>
    <m/>
    <m/>
    <m/>
    <m/>
    <m/>
    <m/>
    <m/>
    <m/>
    <m/>
    <m/>
    <m/>
    <m/>
    <m/>
    <m/>
    <m/>
    <m/>
    <m/>
    <m/>
    <m/>
    <m/>
    <m/>
    <m/>
    <m/>
    <m/>
    <m/>
    <x v="1"/>
    <m/>
    <m/>
    <m/>
    <m/>
    <m/>
    <m/>
    <m/>
    <m/>
    <m/>
    <m/>
    <m/>
    <m/>
    <m/>
    <m/>
    <m/>
    <m/>
    <m/>
    <m/>
    <m/>
  </r>
  <r>
    <m/>
    <s v="c"/>
    <x v="2"/>
    <x v="2"/>
    <x v="2"/>
    <x v="0"/>
    <m/>
    <n v="1994"/>
    <m/>
    <x v="0"/>
    <x v="0"/>
    <m/>
    <m/>
    <m/>
    <m/>
    <m/>
    <m/>
    <m/>
    <m/>
    <m/>
    <m/>
    <m/>
    <m/>
    <m/>
    <m/>
    <m/>
    <m/>
    <m/>
    <m/>
    <m/>
    <m/>
    <m/>
    <m/>
    <m/>
    <m/>
    <m/>
    <m/>
    <m/>
    <m/>
    <m/>
    <m/>
    <m/>
    <m/>
    <m/>
    <m/>
    <m/>
    <m/>
    <m/>
    <m/>
    <m/>
    <m/>
    <m/>
    <m/>
    <m/>
    <m/>
    <m/>
    <m/>
    <x v="2"/>
    <m/>
    <m/>
    <m/>
    <m/>
    <m/>
    <m/>
    <m/>
    <m/>
    <m/>
    <m/>
    <m/>
    <m/>
    <m/>
    <m/>
    <m/>
    <m/>
    <m/>
    <m/>
    <m/>
  </r>
  <r>
    <m/>
    <s v="d"/>
    <x v="3"/>
    <x v="3"/>
    <x v="3"/>
    <x v="0"/>
    <m/>
    <n v="1998"/>
    <m/>
    <x v="0"/>
    <x v="0"/>
    <m/>
    <m/>
    <m/>
    <m/>
    <n v="2998214"/>
    <m/>
    <m/>
    <m/>
    <m/>
    <m/>
    <m/>
    <m/>
    <m/>
    <m/>
    <m/>
    <m/>
    <m/>
    <m/>
    <m/>
    <m/>
    <m/>
    <m/>
    <m/>
    <m/>
    <m/>
    <m/>
    <m/>
    <m/>
    <m/>
    <m/>
    <m/>
    <m/>
    <m/>
    <m/>
    <m/>
    <m/>
    <m/>
    <m/>
    <m/>
    <m/>
    <m/>
    <m/>
    <m/>
    <m/>
    <m/>
    <m/>
    <x v="3"/>
    <m/>
    <m/>
    <m/>
    <m/>
    <m/>
    <m/>
    <m/>
    <m/>
    <m/>
    <m/>
    <m/>
    <m/>
    <m/>
    <m/>
    <m/>
    <m/>
    <m/>
    <m/>
    <m/>
  </r>
  <r>
    <m/>
    <s v="e"/>
    <x v="4"/>
    <x v="4"/>
    <x v="3"/>
    <x v="0"/>
    <m/>
    <n v="1999"/>
    <m/>
    <x v="0"/>
    <x v="0"/>
    <m/>
    <m/>
    <m/>
    <m/>
    <m/>
    <m/>
    <m/>
    <m/>
    <m/>
    <m/>
    <m/>
    <m/>
    <m/>
    <m/>
    <m/>
    <m/>
    <m/>
    <m/>
    <m/>
    <m/>
    <m/>
    <m/>
    <m/>
    <m/>
    <m/>
    <m/>
    <m/>
    <m/>
    <m/>
    <m/>
    <m/>
    <m/>
    <m/>
    <m/>
    <m/>
    <m/>
    <m/>
    <m/>
    <m/>
    <m/>
    <m/>
    <m/>
    <m/>
    <m/>
    <m/>
    <m/>
    <x v="4"/>
    <m/>
    <m/>
    <m/>
    <m/>
    <m/>
    <m/>
    <m/>
    <m/>
    <m/>
    <m/>
    <m/>
    <m/>
    <m/>
    <m/>
    <m/>
    <m/>
    <m/>
    <m/>
    <m/>
  </r>
  <r>
    <m/>
    <n v="1"/>
    <x v="5"/>
    <x v="5"/>
    <x v="3"/>
    <x v="1"/>
    <m/>
    <n v="1999"/>
    <n v="1"/>
    <x v="1"/>
    <x v="1"/>
    <m/>
    <s v="Drought"/>
    <s v="Drought"/>
    <s v="Drought"/>
    <m/>
    <m/>
    <m/>
    <m/>
    <m/>
    <m/>
    <m/>
    <m/>
    <m/>
    <m/>
    <m/>
    <m/>
    <n v="1"/>
    <n v="100000"/>
    <m/>
    <m/>
    <m/>
    <n v="100000"/>
    <n v="0"/>
    <m/>
    <m/>
    <m/>
    <m/>
    <m/>
    <m/>
    <m/>
    <m/>
    <m/>
    <m/>
    <m/>
    <m/>
    <m/>
    <m/>
    <m/>
    <m/>
    <m/>
    <m/>
    <m/>
    <n v="100000"/>
    <m/>
    <m/>
    <n v="7159.297959242117"/>
    <x v="5"/>
    <s v="Y"/>
    <m/>
    <m/>
    <m/>
    <m/>
    <n v="2898"/>
    <m/>
    <m/>
    <m/>
    <m/>
    <m/>
    <m/>
    <m/>
    <m/>
    <m/>
    <m/>
    <m/>
    <m/>
    <s v="Region response"/>
  </r>
  <r>
    <m/>
    <n v="2"/>
    <x v="6"/>
    <x v="5"/>
    <x v="3"/>
    <x v="2"/>
    <m/>
    <n v="1999"/>
    <n v="2"/>
    <x v="2"/>
    <x v="2"/>
    <m/>
    <s v="Floods"/>
    <s v="General Floods"/>
    <s v="General Floods"/>
    <m/>
    <m/>
    <m/>
    <m/>
    <m/>
    <m/>
    <m/>
    <m/>
    <m/>
    <m/>
    <m/>
    <m/>
    <m/>
    <m/>
    <m/>
    <n v="100000"/>
    <m/>
    <n v="100000"/>
    <n v="1"/>
    <m/>
    <m/>
    <m/>
    <m/>
    <m/>
    <m/>
    <m/>
    <m/>
    <m/>
    <m/>
    <m/>
    <m/>
    <m/>
    <m/>
    <m/>
    <m/>
    <m/>
    <m/>
    <m/>
    <n v="100000"/>
    <m/>
    <m/>
    <n v="34050"/>
    <x v="5"/>
    <s v="Y"/>
    <m/>
    <m/>
    <m/>
    <m/>
    <n v="2898"/>
    <m/>
    <m/>
    <m/>
    <m/>
    <m/>
    <m/>
    <m/>
    <m/>
    <m/>
    <m/>
    <m/>
    <m/>
    <m/>
  </r>
  <r>
    <m/>
    <n v="3"/>
    <x v="7"/>
    <x v="5"/>
    <x v="3"/>
    <x v="3"/>
    <m/>
    <n v="1999"/>
    <n v="3"/>
    <x v="2"/>
    <x v="3"/>
    <m/>
    <s v="Floods"/>
    <s v="General Floods"/>
    <s v="General Floods"/>
    <m/>
    <m/>
    <m/>
    <m/>
    <m/>
    <m/>
    <m/>
    <m/>
    <m/>
    <m/>
    <m/>
    <m/>
    <n v="0"/>
    <n v="10000"/>
    <m/>
    <m/>
    <m/>
    <n v="10000"/>
    <n v="0"/>
    <m/>
    <m/>
    <m/>
    <m/>
    <m/>
    <m/>
    <m/>
    <m/>
    <m/>
    <m/>
    <m/>
    <m/>
    <m/>
    <m/>
    <m/>
    <m/>
    <m/>
    <m/>
    <m/>
    <n v="10000"/>
    <m/>
    <m/>
    <n v="1000"/>
    <x v="6"/>
    <s v="Y"/>
    <m/>
    <m/>
    <m/>
    <m/>
    <n v="2898"/>
    <m/>
    <m/>
    <m/>
    <m/>
    <m/>
    <m/>
    <m/>
    <m/>
    <m/>
    <m/>
    <m/>
    <m/>
    <s v="Region response"/>
  </r>
  <r>
    <m/>
    <n v="4"/>
    <x v="8"/>
    <x v="6"/>
    <x v="4"/>
    <x v="1"/>
    <m/>
    <n v="1999"/>
    <n v="4"/>
    <x v="3"/>
    <x v="4"/>
    <m/>
    <s v="Floods"/>
    <s v="General Floods"/>
    <s v="General Floods"/>
    <m/>
    <m/>
    <m/>
    <m/>
    <m/>
    <m/>
    <m/>
    <m/>
    <m/>
    <m/>
    <m/>
    <m/>
    <n v="1"/>
    <n v="100000"/>
    <m/>
    <m/>
    <m/>
    <n v="100000"/>
    <n v="0"/>
    <m/>
    <m/>
    <m/>
    <m/>
    <m/>
    <m/>
    <m/>
    <m/>
    <m/>
    <m/>
    <m/>
    <m/>
    <m/>
    <m/>
    <m/>
    <m/>
    <m/>
    <m/>
    <m/>
    <n v="100000"/>
    <m/>
    <m/>
    <n v="15080.681646810435"/>
    <x v="5"/>
    <s v="Y"/>
    <m/>
    <m/>
    <m/>
    <m/>
    <n v="2060"/>
    <m/>
    <m/>
    <m/>
    <m/>
    <m/>
    <m/>
    <m/>
    <m/>
    <m/>
    <m/>
    <m/>
    <m/>
    <s v="Region response"/>
  </r>
  <r>
    <m/>
    <n v="5"/>
    <x v="9"/>
    <x v="6"/>
    <x v="4"/>
    <x v="2"/>
    <m/>
    <n v="1999"/>
    <n v="5"/>
    <x v="3"/>
    <x v="5"/>
    <m/>
    <s v="Earthquake"/>
    <s v="Earthquake"/>
    <s v="Earthquake"/>
    <m/>
    <m/>
    <m/>
    <m/>
    <m/>
    <m/>
    <m/>
    <m/>
    <m/>
    <m/>
    <m/>
    <m/>
    <m/>
    <m/>
    <m/>
    <m/>
    <m/>
    <n v="0"/>
    <n v="20"/>
    <m/>
    <m/>
    <m/>
    <m/>
    <m/>
    <m/>
    <m/>
    <m/>
    <m/>
    <m/>
    <m/>
    <m/>
    <m/>
    <m/>
    <m/>
    <m/>
    <m/>
    <n v="0"/>
    <n v="0"/>
    <n v="0"/>
    <m/>
    <m/>
    <m/>
    <x v="7"/>
    <s v="Y"/>
    <m/>
    <m/>
    <m/>
    <m/>
    <n v="2814"/>
    <m/>
    <m/>
    <m/>
    <m/>
    <m/>
    <m/>
    <m/>
    <m/>
    <m/>
    <m/>
    <m/>
    <m/>
    <s v="Total expenses combined with (#19, below)"/>
  </r>
  <r>
    <m/>
    <n v="6"/>
    <x v="10"/>
    <x v="6"/>
    <x v="4"/>
    <x v="3"/>
    <m/>
    <n v="1999"/>
    <n v="6"/>
    <x v="2"/>
    <x v="6"/>
    <m/>
    <s v="Volcano"/>
    <s v="Volcanic Eruption"/>
    <s v="Volcanic Eruption"/>
    <m/>
    <m/>
    <m/>
    <m/>
    <m/>
    <m/>
    <m/>
    <m/>
    <m/>
    <m/>
    <m/>
    <m/>
    <m/>
    <m/>
    <m/>
    <n v="10000"/>
    <m/>
    <n v="10000"/>
    <n v="2"/>
    <m/>
    <m/>
    <m/>
    <m/>
    <m/>
    <m/>
    <m/>
    <m/>
    <m/>
    <m/>
    <m/>
    <m/>
    <m/>
    <m/>
    <m/>
    <m/>
    <m/>
    <m/>
    <m/>
    <n v="10000"/>
    <m/>
    <m/>
    <n v="1000"/>
    <x v="6"/>
    <s v="Y"/>
    <m/>
    <m/>
    <m/>
    <m/>
    <n v="2898"/>
    <m/>
    <m/>
    <m/>
    <m/>
    <m/>
    <m/>
    <m/>
    <m/>
    <m/>
    <m/>
    <m/>
    <m/>
    <s v="Gisla Dewey and Carol Schimke sent to assist and observe"/>
  </r>
  <r>
    <m/>
    <n v="7"/>
    <x v="11"/>
    <x v="6"/>
    <x v="4"/>
    <x v="4"/>
    <m/>
    <n v="1999"/>
    <n v="7"/>
    <x v="3"/>
    <x v="7"/>
    <m/>
    <s v="Floods"/>
    <s v="General Floods"/>
    <s v="General Floods"/>
    <m/>
    <m/>
    <m/>
    <m/>
    <m/>
    <m/>
    <m/>
    <m/>
    <m/>
    <m/>
    <m/>
    <m/>
    <n v="0"/>
    <n v="25000"/>
    <m/>
    <m/>
    <m/>
    <n v="25000"/>
    <n v="0"/>
    <m/>
    <m/>
    <m/>
    <m/>
    <m/>
    <m/>
    <m/>
    <m/>
    <m/>
    <m/>
    <m/>
    <m/>
    <m/>
    <m/>
    <m/>
    <m/>
    <m/>
    <m/>
    <m/>
    <n v="25000"/>
    <m/>
    <m/>
    <n v="1321.7075933422946"/>
    <x v="8"/>
    <s v="Y"/>
    <m/>
    <m/>
    <m/>
    <m/>
    <n v="2898"/>
    <m/>
    <m/>
    <m/>
    <m/>
    <m/>
    <m/>
    <m/>
    <m/>
    <m/>
    <m/>
    <m/>
    <m/>
    <s v="Region response"/>
  </r>
  <r>
    <m/>
    <n v="8"/>
    <x v="12"/>
    <x v="7"/>
    <x v="4"/>
    <x v="5"/>
    <m/>
    <n v="1999"/>
    <n v="8"/>
    <x v="3"/>
    <x v="8"/>
    <m/>
    <s v="Earthquake"/>
    <s v="Earthquake"/>
    <s v="Earthquake"/>
    <m/>
    <m/>
    <m/>
    <m/>
    <m/>
    <m/>
    <m/>
    <m/>
    <m/>
    <m/>
    <m/>
    <m/>
    <n v="1"/>
    <n v="80000"/>
    <m/>
    <m/>
    <m/>
    <n v="80000"/>
    <n v="0"/>
    <m/>
    <m/>
    <m/>
    <m/>
    <m/>
    <m/>
    <m/>
    <m/>
    <m/>
    <m/>
    <m/>
    <m/>
    <m/>
    <m/>
    <m/>
    <m/>
    <m/>
    <m/>
    <m/>
    <n v="80000"/>
    <m/>
    <m/>
    <n v="2580.0991790124413"/>
    <x v="9"/>
    <s v="Y"/>
    <m/>
    <m/>
    <m/>
    <m/>
    <n v="2898"/>
    <m/>
    <m/>
    <m/>
    <m/>
    <m/>
    <m/>
    <m/>
    <m/>
    <m/>
    <m/>
    <m/>
    <m/>
    <m/>
  </r>
  <r>
    <m/>
    <n v="9"/>
    <x v="13"/>
    <x v="7"/>
    <x v="4"/>
    <x v="6"/>
    <m/>
    <n v="1999"/>
    <n v="9"/>
    <x v="2"/>
    <x v="9"/>
    <m/>
    <s v="Storm"/>
    <s v="Tropical Cyclone"/>
    <s v="Hurricane"/>
    <m/>
    <m/>
    <m/>
    <m/>
    <m/>
    <m/>
    <m/>
    <m/>
    <m/>
    <m/>
    <m/>
    <m/>
    <m/>
    <m/>
    <m/>
    <n v="25000"/>
    <m/>
    <n v="25000"/>
    <n v="3"/>
    <m/>
    <m/>
    <m/>
    <m/>
    <m/>
    <m/>
    <m/>
    <m/>
    <m/>
    <m/>
    <m/>
    <m/>
    <m/>
    <m/>
    <m/>
    <m/>
    <m/>
    <n v="97443"/>
    <n v="9750"/>
    <n v="132193"/>
    <m/>
    <m/>
    <n v="12383.247348462506"/>
    <x v="10"/>
    <s v="Y"/>
    <m/>
    <m/>
    <m/>
    <m/>
    <n v="2898"/>
    <m/>
    <m/>
    <m/>
    <m/>
    <m/>
    <m/>
    <m/>
    <m/>
    <m/>
    <m/>
    <m/>
    <s v="Floyd"/>
    <s v="Hygiene kits, plastic sheeting, flashlights,batteries, bedsheets, and tents"/>
  </r>
  <r>
    <m/>
    <n v="10"/>
    <x v="14"/>
    <x v="7"/>
    <x v="4"/>
    <x v="7"/>
    <m/>
    <n v="1999"/>
    <n v="10"/>
    <x v="3"/>
    <x v="10"/>
    <m/>
    <s v="Earthquake"/>
    <s v="Earthquake"/>
    <s v="Earthquake"/>
    <m/>
    <m/>
    <m/>
    <m/>
    <m/>
    <m/>
    <m/>
    <m/>
    <m/>
    <m/>
    <m/>
    <m/>
    <n v="1"/>
    <n v="1200000"/>
    <m/>
    <m/>
    <m/>
    <n v="1200000"/>
    <n v="0"/>
    <m/>
    <m/>
    <m/>
    <m/>
    <m/>
    <m/>
    <m/>
    <m/>
    <m/>
    <m/>
    <m/>
    <m/>
    <m/>
    <m/>
    <m/>
    <m/>
    <m/>
    <m/>
    <m/>
    <n v="1200000"/>
    <m/>
    <m/>
    <n v="54838.842352037951"/>
    <x v="11"/>
    <s v="Y"/>
    <m/>
    <m/>
    <m/>
    <m/>
    <n v="2824"/>
    <m/>
    <m/>
    <m/>
    <m/>
    <m/>
    <m/>
    <m/>
    <m/>
    <m/>
    <m/>
    <m/>
    <m/>
    <s v="Money sent to Federation"/>
  </r>
  <r>
    <m/>
    <n v="11"/>
    <x v="15"/>
    <x v="7"/>
    <x v="4"/>
    <x v="8"/>
    <m/>
    <n v="1999"/>
    <n v="11"/>
    <x v="3"/>
    <x v="11"/>
    <m/>
    <s v="Industrial"/>
    <s v="Radiation"/>
    <s v="Radiation"/>
    <m/>
    <m/>
    <m/>
    <m/>
    <m/>
    <m/>
    <m/>
    <m/>
    <m/>
    <m/>
    <m/>
    <m/>
    <m/>
    <m/>
    <m/>
    <m/>
    <m/>
    <n v="0"/>
    <n v="0"/>
    <m/>
    <m/>
    <m/>
    <m/>
    <m/>
    <m/>
    <m/>
    <m/>
    <m/>
    <m/>
    <m/>
    <m/>
    <m/>
    <m/>
    <m/>
    <m/>
    <m/>
    <n v="200"/>
    <m/>
    <n v="200"/>
    <m/>
    <m/>
    <m/>
    <x v="12"/>
    <s v="Y"/>
    <m/>
    <m/>
    <m/>
    <m/>
    <n v="2898"/>
    <m/>
    <m/>
    <m/>
    <m/>
    <m/>
    <m/>
    <m/>
    <m/>
    <m/>
    <m/>
    <m/>
    <s v="Nuclear Power Plant"/>
    <s v="Manuals related to Nuclear disasters sent to JRCS"/>
  </r>
  <r>
    <m/>
    <n v="12"/>
    <x v="0"/>
    <x v="7"/>
    <x v="4"/>
    <x v="9"/>
    <m/>
    <n v="1999"/>
    <n v="12"/>
    <x v="2"/>
    <x v="2"/>
    <m/>
    <s v="Earthquake"/>
    <s v="Earthquake"/>
    <s v="Earthquake"/>
    <m/>
    <m/>
    <m/>
    <m/>
    <m/>
    <m/>
    <m/>
    <m/>
    <m/>
    <m/>
    <m/>
    <m/>
    <m/>
    <m/>
    <m/>
    <n v="150000"/>
    <m/>
    <n v="150000"/>
    <n v="3"/>
    <m/>
    <m/>
    <m/>
    <m/>
    <m/>
    <m/>
    <m/>
    <m/>
    <m/>
    <m/>
    <m/>
    <m/>
    <m/>
    <m/>
    <m/>
    <m/>
    <m/>
    <m/>
    <m/>
    <n v="150000"/>
    <m/>
    <m/>
    <m/>
    <x v="13"/>
    <s v="Y"/>
    <m/>
    <m/>
    <m/>
    <m/>
    <n v="2020"/>
    <m/>
    <m/>
    <m/>
    <m/>
    <m/>
    <m/>
    <m/>
    <m/>
    <m/>
    <m/>
    <m/>
    <m/>
    <m/>
  </r>
  <r>
    <m/>
    <n v="13"/>
    <x v="16"/>
    <x v="8"/>
    <x v="4"/>
    <x v="10"/>
    <m/>
    <n v="1999"/>
    <n v="13"/>
    <x v="2"/>
    <x v="2"/>
    <m/>
    <s v="Floods "/>
    <s v="General Floods"/>
    <s v="General Floods"/>
    <m/>
    <m/>
    <m/>
    <m/>
    <m/>
    <m/>
    <m/>
    <m/>
    <m/>
    <m/>
    <m/>
    <m/>
    <m/>
    <m/>
    <m/>
    <n v="200000"/>
    <m/>
    <n v="200000"/>
    <n v="4"/>
    <m/>
    <m/>
    <m/>
    <m/>
    <m/>
    <m/>
    <m/>
    <m/>
    <m/>
    <m/>
    <m/>
    <m/>
    <m/>
    <m/>
    <m/>
    <m/>
    <m/>
    <m/>
    <n v="5000"/>
    <n v="205000"/>
    <m/>
    <m/>
    <n v="12000"/>
    <x v="14"/>
    <s v="Y"/>
    <m/>
    <m/>
    <m/>
    <m/>
    <n v="2020"/>
    <m/>
    <m/>
    <m/>
    <m/>
    <m/>
    <m/>
    <m/>
    <m/>
    <m/>
    <m/>
    <m/>
    <m/>
    <m/>
  </r>
  <r>
    <m/>
    <n v="14"/>
    <x v="17"/>
    <x v="8"/>
    <x v="4"/>
    <x v="11"/>
    <m/>
    <n v="1999"/>
    <n v="14"/>
    <x v="3"/>
    <x v="12"/>
    <m/>
    <s v="Conflict"/>
    <s v="Conflict"/>
    <s v="Conflict"/>
    <m/>
    <m/>
    <m/>
    <m/>
    <m/>
    <m/>
    <m/>
    <m/>
    <m/>
    <m/>
    <m/>
    <m/>
    <m/>
    <m/>
    <m/>
    <n v="75000"/>
    <m/>
    <n v="75000"/>
    <n v="0"/>
    <m/>
    <m/>
    <n v="76700"/>
    <m/>
    <n v="11200"/>
    <n v="55000"/>
    <n v="10500"/>
    <m/>
    <m/>
    <m/>
    <m/>
    <m/>
    <m/>
    <m/>
    <m/>
    <m/>
    <m/>
    <n v="535134"/>
    <m/>
    <n v="610134"/>
    <m/>
    <m/>
    <n v="55000"/>
    <x v="15"/>
    <s v="Y"/>
    <m/>
    <m/>
    <m/>
    <m/>
    <n v="2045"/>
    <m/>
    <m/>
    <m/>
    <m/>
    <m/>
    <m/>
    <m/>
    <m/>
    <m/>
    <m/>
    <m/>
    <s v="Chechnya"/>
    <s v="Chechnya:  Response handled by Regional desk, winter clothing for 3,000 people, 55,000 blankets, 10,500 Jerry cans, 11,200 hygiene parcels."/>
  </r>
  <r>
    <m/>
    <n v="15"/>
    <x v="18"/>
    <x v="8"/>
    <x v="4"/>
    <x v="12"/>
    <m/>
    <n v="1999"/>
    <n v="15"/>
    <x v="3"/>
    <x v="13"/>
    <m/>
    <s v="Conflict"/>
    <s v="Conflict"/>
    <s v="Conflict"/>
    <m/>
    <m/>
    <m/>
    <m/>
    <m/>
    <m/>
    <m/>
    <m/>
    <m/>
    <m/>
    <m/>
    <m/>
    <m/>
    <m/>
    <m/>
    <n v="10000"/>
    <m/>
    <n v="10000"/>
    <n v="1"/>
    <m/>
    <m/>
    <m/>
    <m/>
    <m/>
    <m/>
    <m/>
    <m/>
    <m/>
    <m/>
    <m/>
    <m/>
    <m/>
    <m/>
    <m/>
    <m/>
    <m/>
    <m/>
    <m/>
    <n v="10000"/>
    <m/>
    <m/>
    <m/>
    <x v="6"/>
    <s v="Y"/>
    <m/>
    <m/>
    <m/>
    <m/>
    <n v="2898"/>
    <m/>
    <m/>
    <m/>
    <m/>
    <m/>
    <m/>
    <m/>
    <m/>
    <m/>
    <m/>
    <m/>
    <s v="Referendum"/>
    <s v="Kevin Kelley sent."/>
  </r>
  <r>
    <m/>
    <n v="16"/>
    <x v="19"/>
    <x v="8"/>
    <x v="4"/>
    <x v="13"/>
    <m/>
    <n v="1999"/>
    <n v="16"/>
    <x v="3"/>
    <x v="14"/>
    <m/>
    <s v="Floods"/>
    <s v="General Floods"/>
    <s v="General Floods"/>
    <m/>
    <m/>
    <m/>
    <m/>
    <m/>
    <m/>
    <m/>
    <m/>
    <m/>
    <m/>
    <m/>
    <m/>
    <n v="0"/>
    <n v="25000"/>
    <m/>
    <m/>
    <m/>
    <n v="25000"/>
    <n v="0"/>
    <m/>
    <m/>
    <m/>
    <m/>
    <m/>
    <m/>
    <m/>
    <m/>
    <m/>
    <m/>
    <m/>
    <m/>
    <m/>
    <m/>
    <m/>
    <m/>
    <m/>
    <m/>
    <m/>
    <n v="25000"/>
    <m/>
    <m/>
    <n v="2500"/>
    <x v="8"/>
    <s v="Y"/>
    <m/>
    <m/>
    <m/>
    <m/>
    <n v="2898"/>
    <m/>
    <m/>
    <m/>
    <m/>
    <m/>
    <m/>
    <m/>
    <m/>
    <m/>
    <m/>
    <m/>
    <m/>
    <m/>
  </r>
  <r>
    <m/>
    <n v="17"/>
    <x v="20"/>
    <x v="9"/>
    <x v="4"/>
    <x v="14"/>
    <m/>
    <n v="1999"/>
    <n v="17"/>
    <x v="3"/>
    <x v="15"/>
    <m/>
    <s v="Storm"/>
    <s v="Tropical Cyclone"/>
    <s v="Cyclone"/>
    <m/>
    <m/>
    <m/>
    <m/>
    <m/>
    <m/>
    <m/>
    <m/>
    <m/>
    <m/>
    <m/>
    <m/>
    <n v="1"/>
    <n v="50000"/>
    <m/>
    <m/>
    <m/>
    <n v="50000"/>
    <n v="0"/>
    <m/>
    <m/>
    <m/>
    <m/>
    <m/>
    <m/>
    <m/>
    <m/>
    <m/>
    <m/>
    <m/>
    <m/>
    <m/>
    <m/>
    <m/>
    <m/>
    <m/>
    <m/>
    <m/>
    <n v="50000"/>
    <m/>
    <m/>
    <n v="5000"/>
    <x v="16"/>
    <s v="Y"/>
    <m/>
    <m/>
    <m/>
    <m/>
    <n v="2898"/>
    <m/>
    <m/>
    <m/>
    <m/>
    <m/>
    <m/>
    <m/>
    <m/>
    <m/>
    <m/>
    <m/>
    <m/>
    <s v="Federation handled funds"/>
  </r>
  <r>
    <m/>
    <n v="18"/>
    <x v="21"/>
    <x v="9"/>
    <x v="4"/>
    <x v="15"/>
    <m/>
    <n v="1999"/>
    <n v="18"/>
    <x v="3"/>
    <x v="16"/>
    <m/>
    <s v="Floods"/>
    <s v="General Floods"/>
    <s v="General Floods"/>
    <m/>
    <m/>
    <m/>
    <m/>
    <m/>
    <m/>
    <m/>
    <m/>
    <m/>
    <m/>
    <m/>
    <m/>
    <m/>
    <m/>
    <m/>
    <n v="50000"/>
    <m/>
    <n v="50000"/>
    <n v="0"/>
    <m/>
    <m/>
    <m/>
    <m/>
    <m/>
    <m/>
    <m/>
    <m/>
    <m/>
    <m/>
    <m/>
    <m/>
    <m/>
    <m/>
    <m/>
    <m/>
    <m/>
    <m/>
    <m/>
    <n v="50000"/>
    <m/>
    <m/>
    <m/>
    <x v="16"/>
    <s v="Y"/>
    <m/>
    <m/>
    <m/>
    <m/>
    <n v="2870"/>
    <m/>
    <m/>
    <m/>
    <m/>
    <m/>
    <m/>
    <m/>
    <m/>
    <m/>
    <m/>
    <m/>
    <m/>
    <s v="Reference Regional Desk information."/>
  </r>
  <r>
    <m/>
    <n v="19"/>
    <x v="9"/>
    <x v="9"/>
    <x v="4"/>
    <x v="16"/>
    <m/>
    <n v="1999"/>
    <n v="19"/>
    <x v="3"/>
    <x v="5"/>
    <m/>
    <s v="Earthquake"/>
    <s v="Earthquake"/>
    <s v="Earthquake"/>
    <m/>
    <m/>
    <m/>
    <m/>
    <m/>
    <m/>
    <m/>
    <m/>
    <m/>
    <m/>
    <m/>
    <m/>
    <n v="1"/>
    <n v="2504221.9900000002"/>
    <m/>
    <n v="1360000"/>
    <m/>
    <n v="3864221.99"/>
    <n v="10"/>
    <m/>
    <m/>
    <m/>
    <m/>
    <m/>
    <m/>
    <m/>
    <m/>
    <m/>
    <m/>
    <m/>
    <m/>
    <m/>
    <m/>
    <m/>
    <m/>
    <m/>
    <n v="816758.16"/>
    <n v="472203.99"/>
    <n v="5153184.1400000006"/>
    <m/>
    <m/>
    <n v="52000"/>
    <x v="17"/>
    <s v="Y"/>
    <m/>
    <m/>
    <m/>
    <m/>
    <n v="2814"/>
    <m/>
    <m/>
    <m/>
    <m/>
    <m/>
    <m/>
    <m/>
    <m/>
    <m/>
    <m/>
    <m/>
    <m/>
    <s v="Total expenditures based off expenses from August-Jan for both earthquakes affecting Turkey."/>
  </r>
  <r>
    <m/>
    <n v="20"/>
    <x v="22"/>
    <x v="9"/>
    <x v="4"/>
    <x v="17"/>
    <m/>
    <n v="1999"/>
    <n v="20"/>
    <x v="2"/>
    <x v="17"/>
    <m/>
    <s v="Storm"/>
    <s v="Tropical Cyclone"/>
    <s v="Hurricane"/>
    <m/>
    <m/>
    <m/>
    <m/>
    <m/>
    <m/>
    <m/>
    <m/>
    <m/>
    <m/>
    <m/>
    <m/>
    <m/>
    <m/>
    <m/>
    <n v="15000"/>
    <m/>
    <n v="15000"/>
    <n v="1"/>
    <m/>
    <m/>
    <m/>
    <m/>
    <m/>
    <m/>
    <m/>
    <m/>
    <m/>
    <m/>
    <m/>
    <m/>
    <m/>
    <m/>
    <m/>
    <m/>
    <m/>
    <m/>
    <m/>
    <n v="15000"/>
    <m/>
    <m/>
    <n v="1500"/>
    <x v="18"/>
    <s v="Y"/>
    <m/>
    <m/>
    <m/>
    <m/>
    <n v="2898"/>
    <m/>
    <m/>
    <m/>
    <m/>
    <m/>
    <m/>
    <m/>
    <m/>
    <m/>
    <m/>
    <m/>
    <s v="Lenny"/>
    <s v="Transferred directly to DRCS for household items, supplementary food to 100 families, tents &amp; hygiene kits. "/>
  </r>
  <r>
    <m/>
    <n v="20"/>
    <x v="23"/>
    <x v="9"/>
    <x v="4"/>
    <x v="17"/>
    <m/>
    <n v="1999"/>
    <n v="20"/>
    <x v="2"/>
    <x v="18"/>
    <m/>
    <s v="Storm"/>
    <s v="Tropical Cyclone"/>
    <s v="Hurricane"/>
    <m/>
    <m/>
    <m/>
    <m/>
    <m/>
    <m/>
    <m/>
    <m/>
    <m/>
    <m/>
    <m/>
    <m/>
    <m/>
    <m/>
    <m/>
    <n v="15000"/>
    <m/>
    <n v="15000"/>
    <n v="2"/>
    <m/>
    <m/>
    <m/>
    <m/>
    <m/>
    <m/>
    <m/>
    <m/>
    <m/>
    <m/>
    <m/>
    <m/>
    <m/>
    <m/>
    <m/>
    <m/>
    <m/>
    <m/>
    <m/>
    <n v="15000"/>
    <m/>
    <m/>
    <n v="1500"/>
    <x v="18"/>
    <s v="Y"/>
    <m/>
    <m/>
    <m/>
    <m/>
    <n v="2898"/>
    <m/>
    <m/>
    <m/>
    <m/>
    <m/>
    <m/>
    <m/>
    <m/>
    <m/>
    <m/>
    <m/>
    <s v="Lenny"/>
    <s v="Transferred directly to SKNRC for hygiene kits, food packages and bedding "/>
  </r>
  <r>
    <m/>
    <n v="20"/>
    <x v="24"/>
    <x v="9"/>
    <x v="4"/>
    <x v="17"/>
    <m/>
    <n v="1999"/>
    <n v="20"/>
    <x v="2"/>
    <x v="19"/>
    <m/>
    <s v="Storm"/>
    <s v="Tropical Cyclone"/>
    <s v="Hurricane"/>
    <m/>
    <m/>
    <m/>
    <m/>
    <m/>
    <m/>
    <m/>
    <m/>
    <m/>
    <m/>
    <m/>
    <m/>
    <m/>
    <m/>
    <m/>
    <n v="15000"/>
    <m/>
    <n v="15000"/>
    <n v="1"/>
    <m/>
    <m/>
    <m/>
    <m/>
    <m/>
    <m/>
    <m/>
    <m/>
    <m/>
    <m/>
    <m/>
    <m/>
    <m/>
    <m/>
    <m/>
    <m/>
    <m/>
    <m/>
    <m/>
    <n v="15000"/>
    <m/>
    <m/>
    <n v="1500"/>
    <x v="18"/>
    <s v="Y"/>
    <m/>
    <m/>
    <m/>
    <m/>
    <n v="2898"/>
    <m/>
    <m/>
    <m/>
    <m/>
    <m/>
    <m/>
    <m/>
    <m/>
    <m/>
    <m/>
    <m/>
    <s v="Lenny"/>
    <s v="$15,000 for mattresses, first aid supplies, and roofing .     "/>
  </r>
  <r>
    <m/>
    <n v="20"/>
    <x v="25"/>
    <x v="9"/>
    <x v="4"/>
    <x v="17"/>
    <m/>
    <n v="1999"/>
    <n v="20"/>
    <x v="2"/>
    <x v="20"/>
    <m/>
    <s v="Storm"/>
    <s v="Tropical Cyclone"/>
    <s v="Hurricane"/>
    <m/>
    <m/>
    <m/>
    <m/>
    <m/>
    <m/>
    <m/>
    <m/>
    <m/>
    <m/>
    <m/>
    <m/>
    <m/>
    <m/>
    <m/>
    <n v="9000"/>
    <m/>
    <n v="9000"/>
    <n v="1"/>
    <m/>
    <m/>
    <m/>
    <m/>
    <m/>
    <m/>
    <m/>
    <m/>
    <m/>
    <m/>
    <m/>
    <m/>
    <m/>
    <m/>
    <m/>
    <m/>
    <m/>
    <m/>
    <m/>
    <n v="9000"/>
    <m/>
    <m/>
    <n v="900"/>
    <x v="19"/>
    <s v="Y"/>
    <m/>
    <m/>
    <m/>
    <m/>
    <n v="2898"/>
    <m/>
    <m/>
    <m/>
    <m/>
    <m/>
    <m/>
    <m/>
    <m/>
    <m/>
    <m/>
    <m/>
    <s v="Lenny"/>
    <m/>
  </r>
  <r>
    <m/>
    <n v="20"/>
    <x v="26"/>
    <x v="9"/>
    <x v="4"/>
    <x v="17"/>
    <m/>
    <n v="1999"/>
    <n v="20"/>
    <x v="2"/>
    <x v="21"/>
    <m/>
    <s v="Storm"/>
    <s v="Tropical Cyclone"/>
    <s v="Hurricane"/>
    <m/>
    <m/>
    <m/>
    <m/>
    <m/>
    <m/>
    <m/>
    <m/>
    <m/>
    <m/>
    <m/>
    <m/>
    <m/>
    <m/>
    <m/>
    <n v="9000"/>
    <m/>
    <n v="9000"/>
    <m/>
    <m/>
    <m/>
    <m/>
    <m/>
    <m/>
    <m/>
    <m/>
    <m/>
    <m/>
    <m/>
    <m/>
    <m/>
    <m/>
    <m/>
    <m/>
    <m/>
    <m/>
    <m/>
    <m/>
    <n v="9000"/>
    <m/>
    <m/>
    <n v="900"/>
    <x v="19"/>
    <s v="Y"/>
    <m/>
    <m/>
    <m/>
    <m/>
    <n v="2898"/>
    <m/>
    <m/>
    <m/>
    <m/>
    <m/>
    <m/>
    <m/>
    <m/>
    <m/>
    <m/>
    <m/>
    <s v="Lenny"/>
    <m/>
  </r>
  <r>
    <m/>
    <n v="21"/>
    <x v="27"/>
    <x v="10"/>
    <x v="4"/>
    <x v="18"/>
    <m/>
    <n v="1999"/>
    <n v="21"/>
    <x v="2"/>
    <x v="22"/>
    <m/>
    <s v="Floods"/>
    <s v="General Floods"/>
    <s v="General Floods"/>
    <m/>
    <m/>
    <m/>
    <m/>
    <m/>
    <m/>
    <m/>
    <m/>
    <m/>
    <m/>
    <m/>
    <m/>
    <m/>
    <m/>
    <m/>
    <n v="50000"/>
    <m/>
    <n v="50000"/>
    <n v="23"/>
    <m/>
    <m/>
    <n v="55532"/>
    <m/>
    <n v="2200"/>
    <n v="4625"/>
    <n v="2550"/>
    <m/>
    <n v="36"/>
    <m/>
    <n v="6120"/>
    <m/>
    <n v="40000"/>
    <m/>
    <n v="7"/>
    <m/>
    <m/>
    <n v="506000"/>
    <n v="500000"/>
    <n v="1056000"/>
    <m/>
    <m/>
    <n v="120000"/>
    <x v="20"/>
    <s v="Y"/>
    <m/>
    <m/>
    <m/>
    <m/>
    <n v="2912"/>
    <m/>
    <m/>
    <m/>
    <m/>
    <m/>
    <m/>
    <m/>
    <m/>
    <m/>
    <m/>
    <m/>
    <m/>
    <s v="2,550 collapsible water containers. Purchased and shipped 7 Ford trucks, ($182,000),  13 MT calcium hypochloride ($30,000)"/>
  </r>
  <r>
    <m/>
    <n v="22"/>
    <x v="28"/>
    <x v="11"/>
    <x v="4"/>
    <x v="19"/>
    <m/>
    <n v="2000"/>
    <n v="1"/>
    <x v="1"/>
    <x v="23"/>
    <m/>
    <s v="Floods"/>
    <s v="General Floods"/>
    <s v="General Floods"/>
    <m/>
    <m/>
    <m/>
    <m/>
    <m/>
    <m/>
    <m/>
    <m/>
    <m/>
    <m/>
    <m/>
    <m/>
    <n v="0"/>
    <n v="23333.333333333332"/>
    <m/>
    <m/>
    <m/>
    <n v="23333.333333333332"/>
    <n v="0"/>
    <m/>
    <m/>
    <m/>
    <m/>
    <m/>
    <m/>
    <m/>
    <m/>
    <m/>
    <m/>
    <m/>
    <m/>
    <m/>
    <m/>
    <m/>
    <m/>
    <m/>
    <m/>
    <m/>
    <n v="23333.333333333332"/>
    <m/>
    <m/>
    <n v="2300"/>
    <x v="21"/>
    <s v="Y"/>
    <m/>
    <m/>
    <m/>
    <m/>
    <n v="2898"/>
    <m/>
    <m/>
    <m/>
    <m/>
    <m/>
    <m/>
    <m/>
    <m/>
    <m/>
    <m/>
    <m/>
    <m/>
    <s v="Federation handled funds ($70,000 total)"/>
  </r>
  <r>
    <m/>
    <n v="22"/>
    <x v="29"/>
    <x v="11"/>
    <x v="4"/>
    <x v="19"/>
    <m/>
    <n v="2000"/>
    <n v="1"/>
    <x v="1"/>
    <x v="24"/>
    <m/>
    <s v="Floods"/>
    <s v="General Floods"/>
    <s v="General Floods"/>
    <m/>
    <m/>
    <m/>
    <m/>
    <m/>
    <m/>
    <m/>
    <m/>
    <m/>
    <m/>
    <m/>
    <m/>
    <n v="0"/>
    <n v="23333.333333333332"/>
    <m/>
    <m/>
    <m/>
    <n v="23333.333333333332"/>
    <m/>
    <m/>
    <m/>
    <m/>
    <m/>
    <m/>
    <m/>
    <m/>
    <m/>
    <m/>
    <m/>
    <m/>
    <m/>
    <m/>
    <m/>
    <m/>
    <m/>
    <m/>
    <m/>
    <m/>
    <n v="23333.333333333332"/>
    <m/>
    <m/>
    <n v="2300"/>
    <x v="21"/>
    <s v="Y"/>
    <m/>
    <m/>
    <m/>
    <m/>
    <n v="2898"/>
    <m/>
    <m/>
    <m/>
    <m/>
    <m/>
    <m/>
    <m/>
    <m/>
    <m/>
    <m/>
    <m/>
    <m/>
    <s v="Federation handled funds ($70,000 total)"/>
  </r>
  <r>
    <m/>
    <n v="22"/>
    <x v="30"/>
    <x v="11"/>
    <x v="4"/>
    <x v="19"/>
    <m/>
    <n v="2000"/>
    <n v="1"/>
    <x v="1"/>
    <x v="25"/>
    <m/>
    <s v="Floods"/>
    <s v="General Floods"/>
    <s v="General Floods"/>
    <m/>
    <m/>
    <m/>
    <m/>
    <m/>
    <m/>
    <m/>
    <m/>
    <m/>
    <m/>
    <m/>
    <m/>
    <n v="0"/>
    <n v="23333.343333333331"/>
    <m/>
    <m/>
    <m/>
    <n v="23333.343333333331"/>
    <m/>
    <m/>
    <m/>
    <m/>
    <m/>
    <m/>
    <m/>
    <m/>
    <m/>
    <m/>
    <m/>
    <m/>
    <m/>
    <m/>
    <m/>
    <m/>
    <m/>
    <m/>
    <m/>
    <m/>
    <n v="23333.343333333331"/>
    <m/>
    <m/>
    <n v="2300"/>
    <x v="22"/>
    <s v="Y"/>
    <m/>
    <m/>
    <m/>
    <m/>
    <n v="2898"/>
    <m/>
    <m/>
    <m/>
    <m/>
    <m/>
    <m/>
    <m/>
    <m/>
    <m/>
    <m/>
    <m/>
    <m/>
    <s v="Federation handled funds ($70,000 total)"/>
  </r>
  <r>
    <m/>
    <n v="23"/>
    <x v="31"/>
    <x v="12"/>
    <x v="4"/>
    <x v="20"/>
    <m/>
    <n v="2000"/>
    <n v="3"/>
    <x v="1"/>
    <x v="26"/>
    <m/>
    <s v="Floods"/>
    <s v="General Floods"/>
    <s v="General Floods"/>
    <m/>
    <m/>
    <m/>
    <m/>
    <m/>
    <m/>
    <m/>
    <m/>
    <m/>
    <m/>
    <m/>
    <m/>
    <n v="0"/>
    <n v="25000"/>
    <m/>
    <m/>
    <m/>
    <n v="25000"/>
    <n v="0"/>
    <m/>
    <m/>
    <m/>
    <m/>
    <m/>
    <m/>
    <m/>
    <m/>
    <m/>
    <m/>
    <m/>
    <m/>
    <m/>
    <m/>
    <m/>
    <m/>
    <m/>
    <m/>
    <m/>
    <n v="25000"/>
    <m/>
    <m/>
    <n v="2500"/>
    <x v="8"/>
    <s v="Y"/>
    <m/>
    <m/>
    <m/>
    <m/>
    <n v="2898"/>
    <m/>
    <m/>
    <m/>
    <m/>
    <m/>
    <m/>
    <m/>
    <m/>
    <m/>
    <m/>
    <m/>
    <m/>
    <s v="Federation handled funds"/>
  </r>
  <r>
    <m/>
    <n v="24"/>
    <x v="5"/>
    <x v="13"/>
    <x v="4"/>
    <x v="21"/>
    <m/>
    <n v="2000"/>
    <n v="4"/>
    <x v="1"/>
    <x v="1"/>
    <m/>
    <s v="Drought"/>
    <s v="Drought"/>
    <s v="Drought"/>
    <m/>
    <m/>
    <m/>
    <m/>
    <m/>
    <m/>
    <m/>
    <m/>
    <m/>
    <m/>
    <m/>
    <m/>
    <n v="1"/>
    <n v="100000"/>
    <m/>
    <m/>
    <m/>
    <n v="100000"/>
    <n v="0"/>
    <m/>
    <m/>
    <m/>
    <m/>
    <m/>
    <m/>
    <m/>
    <m/>
    <m/>
    <m/>
    <m/>
    <m/>
    <m/>
    <m/>
    <m/>
    <m/>
    <m/>
    <m/>
    <m/>
    <n v="100000"/>
    <m/>
    <m/>
    <n v="2376.7346201502733"/>
    <x v="5"/>
    <s v="Y"/>
    <m/>
    <m/>
    <m/>
    <m/>
    <n v="2898"/>
    <m/>
    <m/>
    <m/>
    <m/>
    <m/>
    <m/>
    <m/>
    <m/>
    <m/>
    <m/>
    <m/>
    <m/>
    <m/>
  </r>
  <r>
    <m/>
    <n v="25"/>
    <x v="32"/>
    <x v="14"/>
    <x v="4"/>
    <x v="22"/>
    <m/>
    <n v="2000"/>
    <n v="5"/>
    <x v="3"/>
    <x v="27"/>
    <m/>
    <s v="Earthquake"/>
    <s v="Earthquake"/>
    <s v="Earthquake"/>
    <m/>
    <m/>
    <m/>
    <m/>
    <m/>
    <m/>
    <m/>
    <m/>
    <m/>
    <m/>
    <m/>
    <m/>
    <n v="1"/>
    <n v="50000"/>
    <m/>
    <m/>
    <m/>
    <n v="50000"/>
    <n v="2"/>
    <m/>
    <m/>
    <m/>
    <m/>
    <m/>
    <m/>
    <m/>
    <m/>
    <m/>
    <m/>
    <m/>
    <m/>
    <m/>
    <m/>
    <m/>
    <m/>
    <m/>
    <m/>
    <m/>
    <n v="50000"/>
    <m/>
    <m/>
    <n v="3300"/>
    <x v="16"/>
    <s v="Y"/>
    <m/>
    <m/>
    <m/>
    <m/>
    <n v="2898"/>
    <m/>
    <m/>
    <m/>
    <m/>
    <m/>
    <m/>
    <m/>
    <m/>
    <m/>
    <m/>
    <m/>
    <m/>
    <s v="625 family kits"/>
  </r>
  <r>
    <m/>
    <n v="26"/>
    <x v="33"/>
    <x v="15"/>
    <x v="5"/>
    <x v="1"/>
    <m/>
    <n v="2000"/>
    <n v="6"/>
    <x v="3"/>
    <x v="15"/>
    <m/>
    <s v="Floods"/>
    <s v="General Floods"/>
    <s v="General Floods"/>
    <m/>
    <m/>
    <m/>
    <m/>
    <m/>
    <m/>
    <m/>
    <m/>
    <m/>
    <m/>
    <m/>
    <m/>
    <m/>
    <m/>
    <m/>
    <m/>
    <m/>
    <n v="0"/>
    <n v="9"/>
    <m/>
    <m/>
    <n v="5000"/>
    <m/>
    <m/>
    <m/>
    <m/>
    <m/>
    <m/>
    <m/>
    <m/>
    <m/>
    <n v="5000"/>
    <m/>
    <n v="5"/>
    <m/>
    <m/>
    <n v="199200"/>
    <n v="190065"/>
    <n v="389265"/>
    <m/>
    <m/>
    <n v="25000"/>
    <x v="23"/>
    <s v="Y"/>
    <m/>
    <m/>
    <m/>
    <m/>
    <n v="4901"/>
    <m/>
    <m/>
    <m/>
    <m/>
    <m/>
    <m/>
    <m/>
    <m/>
    <m/>
    <m/>
    <m/>
    <m/>
    <s v="5,000 relief/food parcels and 5 trucks"/>
  </r>
  <r>
    <m/>
    <n v="27"/>
    <x v="19"/>
    <x v="15"/>
    <x v="5"/>
    <x v="2"/>
    <m/>
    <n v="2000"/>
    <n v="7"/>
    <x v="3"/>
    <x v="14"/>
    <m/>
    <s v="Floods"/>
    <s v="General Floods"/>
    <s v="General Floods"/>
    <m/>
    <m/>
    <m/>
    <m/>
    <m/>
    <m/>
    <m/>
    <m/>
    <m/>
    <m/>
    <m/>
    <m/>
    <m/>
    <m/>
    <m/>
    <n v="25000"/>
    <m/>
    <n v="25000"/>
    <n v="0"/>
    <m/>
    <m/>
    <m/>
    <m/>
    <m/>
    <m/>
    <m/>
    <m/>
    <m/>
    <m/>
    <m/>
    <m/>
    <m/>
    <m/>
    <m/>
    <m/>
    <m/>
    <m/>
    <m/>
    <n v="25000"/>
    <m/>
    <m/>
    <n v="2500"/>
    <x v="8"/>
    <s v="Y"/>
    <m/>
    <m/>
    <m/>
    <m/>
    <n v="2898"/>
    <m/>
    <m/>
    <m/>
    <m/>
    <m/>
    <m/>
    <m/>
    <m/>
    <m/>
    <m/>
    <m/>
    <m/>
    <s v="via Japanese Red Cross for relief supplies"/>
  </r>
  <r>
    <m/>
    <n v="28"/>
    <x v="11"/>
    <x v="16"/>
    <x v="5"/>
    <x v="3"/>
    <m/>
    <n v="2000"/>
    <n v="8"/>
    <x v="3"/>
    <x v="7"/>
    <m/>
    <s v="Floods"/>
    <s v="Storm Surge"/>
    <s v="Storm Surge"/>
    <m/>
    <m/>
    <m/>
    <m/>
    <m/>
    <m/>
    <m/>
    <m/>
    <m/>
    <m/>
    <m/>
    <m/>
    <m/>
    <m/>
    <m/>
    <n v="352704"/>
    <m/>
    <n v="352704"/>
    <n v="0"/>
    <m/>
    <m/>
    <m/>
    <m/>
    <m/>
    <m/>
    <m/>
    <m/>
    <m/>
    <m/>
    <m/>
    <m/>
    <m/>
    <m/>
    <m/>
    <m/>
    <m/>
    <m/>
    <m/>
    <n v="352704"/>
    <m/>
    <m/>
    <n v="32645"/>
    <x v="24"/>
    <s v="Y"/>
    <m/>
    <m/>
    <m/>
    <m/>
    <s v="OFDA"/>
    <m/>
    <m/>
    <m/>
    <m/>
    <m/>
    <m/>
    <m/>
    <m/>
    <m/>
    <m/>
    <m/>
    <s v="TS Wukong"/>
    <s v="Three grants from OFDA (two @ $25,000 each and 1 @ $302,704) for emergency household kits"/>
  </r>
  <r>
    <m/>
    <n v="29"/>
    <x v="21"/>
    <x v="16"/>
    <x v="5"/>
    <x v="4"/>
    <m/>
    <n v="2000"/>
    <n v="9"/>
    <x v="3"/>
    <x v="16"/>
    <m/>
    <s v="Floods"/>
    <s v="Storm Surge"/>
    <s v="Storm Surge"/>
    <m/>
    <m/>
    <m/>
    <m/>
    <m/>
    <m/>
    <m/>
    <m/>
    <m/>
    <m/>
    <m/>
    <m/>
    <m/>
    <m/>
    <m/>
    <m/>
    <m/>
    <n v="0"/>
    <n v="0"/>
    <m/>
    <m/>
    <n v="1000"/>
    <m/>
    <m/>
    <m/>
    <m/>
    <m/>
    <m/>
    <m/>
    <m/>
    <m/>
    <m/>
    <m/>
    <m/>
    <m/>
    <m/>
    <n v="20000"/>
    <m/>
    <n v="20000"/>
    <m/>
    <m/>
    <n v="3500"/>
    <x v="25"/>
    <s v="Y"/>
    <m/>
    <m/>
    <m/>
    <m/>
    <n v="2898"/>
    <m/>
    <m/>
    <m/>
    <m/>
    <m/>
    <m/>
    <m/>
    <m/>
    <m/>
    <m/>
    <m/>
    <s v="TS Wukong"/>
    <s v="1,000 Relief kits. (blankets, mosquito nets and cooking sets)"/>
  </r>
  <r>
    <m/>
    <n v="30"/>
    <x v="34"/>
    <x v="17"/>
    <x v="5"/>
    <x v="5"/>
    <m/>
    <n v="2000"/>
    <n v="10"/>
    <x v="2"/>
    <x v="28"/>
    <m/>
    <s v="Storm"/>
    <s v="Tropical Cyclone"/>
    <s v="Hurricane"/>
    <m/>
    <m/>
    <m/>
    <m/>
    <m/>
    <m/>
    <m/>
    <m/>
    <m/>
    <m/>
    <m/>
    <m/>
    <m/>
    <m/>
    <m/>
    <n v="28500"/>
    <m/>
    <n v="28500"/>
    <n v="5"/>
    <m/>
    <m/>
    <m/>
    <m/>
    <m/>
    <m/>
    <m/>
    <m/>
    <m/>
    <m/>
    <m/>
    <m/>
    <n v="2600"/>
    <m/>
    <m/>
    <m/>
    <m/>
    <n v="90000"/>
    <m/>
    <n v="118500"/>
    <m/>
    <m/>
    <n v="13000"/>
    <x v="26"/>
    <s v="Y"/>
    <m/>
    <m/>
    <m/>
    <m/>
    <n v="4903"/>
    <m/>
    <m/>
    <m/>
    <m/>
    <m/>
    <m/>
    <m/>
    <m/>
    <m/>
    <m/>
    <m/>
    <s v="Keith"/>
    <s v="2,600 LDS food parcels + $30,000 for local procurement"/>
  </r>
  <r>
    <m/>
    <n v="32"/>
    <x v="35"/>
    <x v="17"/>
    <x v="5"/>
    <x v="6"/>
    <m/>
    <n v="2000"/>
    <n v="11"/>
    <x v="3"/>
    <x v="29"/>
    <m/>
    <s v="Conflict"/>
    <s v="Conflict"/>
    <s v="Conflict"/>
    <m/>
    <m/>
    <m/>
    <m/>
    <m/>
    <m/>
    <m/>
    <m/>
    <m/>
    <m/>
    <m/>
    <m/>
    <m/>
    <m/>
    <m/>
    <n v="40000"/>
    <m/>
    <n v="40000"/>
    <m/>
    <m/>
    <m/>
    <m/>
    <m/>
    <m/>
    <m/>
    <m/>
    <m/>
    <m/>
    <m/>
    <m/>
    <m/>
    <m/>
    <m/>
    <m/>
    <m/>
    <m/>
    <n v="0"/>
    <m/>
    <n v="40000"/>
    <m/>
    <m/>
    <m/>
    <x v="27"/>
    <s v="Y"/>
    <m/>
    <m/>
    <m/>
    <m/>
    <n v="2898"/>
    <m/>
    <m/>
    <m/>
    <m/>
    <m/>
    <m/>
    <m/>
    <m/>
    <m/>
    <m/>
    <m/>
    <m/>
    <s v="CASH"/>
  </r>
  <r>
    <m/>
    <n v="32"/>
    <x v="36"/>
    <x v="17"/>
    <x v="5"/>
    <x v="6"/>
    <m/>
    <n v="2000"/>
    <n v="11"/>
    <x v="3"/>
    <x v="30"/>
    <m/>
    <s v="Conflict"/>
    <s v="Conflict"/>
    <s v="Conflict"/>
    <m/>
    <m/>
    <m/>
    <m/>
    <m/>
    <m/>
    <m/>
    <m/>
    <m/>
    <m/>
    <m/>
    <m/>
    <m/>
    <m/>
    <m/>
    <m/>
    <m/>
    <n v="0"/>
    <m/>
    <m/>
    <m/>
    <m/>
    <m/>
    <m/>
    <m/>
    <m/>
    <m/>
    <m/>
    <m/>
    <m/>
    <m/>
    <m/>
    <m/>
    <n v="1"/>
    <m/>
    <m/>
    <n v="172000"/>
    <m/>
    <n v="172000"/>
    <m/>
    <m/>
    <m/>
    <x v="28"/>
    <s v="Y"/>
    <m/>
    <m/>
    <m/>
    <m/>
    <n v="2898"/>
    <m/>
    <m/>
    <m/>
    <m/>
    <m/>
    <m/>
    <m/>
    <m/>
    <m/>
    <m/>
    <m/>
    <m/>
    <s v="1 ambulance, 1 generator, various med supp/equip"/>
  </r>
  <r>
    <m/>
    <n v="32"/>
    <x v="37"/>
    <x v="17"/>
    <x v="5"/>
    <x v="6"/>
    <m/>
    <n v="2000"/>
    <n v="11"/>
    <x v="3"/>
    <x v="31"/>
    <m/>
    <s v="Conflict"/>
    <s v="Conflict"/>
    <s v="Conflict"/>
    <m/>
    <m/>
    <m/>
    <m/>
    <m/>
    <m/>
    <m/>
    <m/>
    <m/>
    <m/>
    <m/>
    <m/>
    <m/>
    <m/>
    <m/>
    <m/>
    <m/>
    <n v="0"/>
    <n v="0"/>
    <m/>
    <m/>
    <m/>
    <m/>
    <m/>
    <m/>
    <m/>
    <m/>
    <m/>
    <m/>
    <m/>
    <m/>
    <m/>
    <m/>
    <n v="2"/>
    <m/>
    <m/>
    <n v="90000"/>
    <m/>
    <n v="90000"/>
    <m/>
    <m/>
    <n v="10000"/>
    <x v="29"/>
    <s v="Y"/>
    <m/>
    <m/>
    <m/>
    <m/>
    <n v="2898"/>
    <m/>
    <m/>
    <m/>
    <m/>
    <m/>
    <m/>
    <m/>
    <m/>
    <m/>
    <m/>
    <m/>
    <m/>
    <s v="2 ambulances, 1 New Emergency Health Kit"/>
  </r>
  <r>
    <m/>
    <n v="33"/>
    <x v="38"/>
    <x v="18"/>
    <x v="5"/>
    <x v="7"/>
    <m/>
    <n v="2000"/>
    <n v="12"/>
    <x v="3"/>
    <x v="10"/>
    <m/>
    <s v="Transport"/>
    <s v="Air"/>
    <s v="Air"/>
    <m/>
    <m/>
    <m/>
    <m/>
    <m/>
    <m/>
    <m/>
    <m/>
    <m/>
    <m/>
    <m/>
    <m/>
    <m/>
    <m/>
    <m/>
    <m/>
    <m/>
    <n v="0"/>
    <n v="1"/>
    <m/>
    <m/>
    <m/>
    <m/>
    <m/>
    <m/>
    <m/>
    <m/>
    <m/>
    <m/>
    <m/>
    <m/>
    <m/>
    <m/>
    <m/>
    <m/>
    <m/>
    <m/>
    <n v="7500"/>
    <n v="7500"/>
    <m/>
    <m/>
    <n v="300"/>
    <x v="30"/>
    <s v="Y"/>
    <m/>
    <m/>
    <m/>
    <m/>
    <n v="2898"/>
    <m/>
    <m/>
    <m/>
    <m/>
    <m/>
    <m/>
    <m/>
    <m/>
    <m/>
    <m/>
    <m/>
    <s v="Singapore Airlines 006"/>
    <s v="liaison on AIR Team"/>
  </r>
  <r>
    <m/>
    <n v="34"/>
    <x v="39"/>
    <x v="18"/>
    <x v="5"/>
    <x v="8"/>
    <m/>
    <n v="2000"/>
    <n v="13"/>
    <x v="3"/>
    <x v="32"/>
    <m/>
    <s v="Miscellaneous"/>
    <s v="Fire"/>
    <s v="Fire"/>
    <m/>
    <m/>
    <m/>
    <m/>
    <m/>
    <m/>
    <m/>
    <m/>
    <m/>
    <m/>
    <m/>
    <m/>
    <m/>
    <m/>
    <m/>
    <m/>
    <m/>
    <n v="0"/>
    <n v="0"/>
    <m/>
    <m/>
    <m/>
    <m/>
    <m/>
    <m/>
    <m/>
    <m/>
    <m/>
    <m/>
    <m/>
    <m/>
    <m/>
    <m/>
    <m/>
    <m/>
    <m/>
    <m/>
    <n v="2577.8000000000002"/>
    <n v="2577.8000000000002"/>
    <m/>
    <m/>
    <n v="3"/>
    <x v="31"/>
    <s v="Y"/>
    <m/>
    <m/>
    <m/>
    <m/>
    <n v="2898"/>
    <m/>
    <m/>
    <m/>
    <m/>
    <m/>
    <m/>
    <m/>
    <m/>
    <m/>
    <m/>
    <m/>
    <s v="Cable Car Fire"/>
    <s v="plane tickets for family members via AFES"/>
  </r>
  <r>
    <m/>
    <n v="35"/>
    <x v="40"/>
    <x v="18"/>
    <x v="5"/>
    <x v="9"/>
    <m/>
    <n v="2000"/>
    <n v="14"/>
    <x v="3"/>
    <x v="33"/>
    <m/>
    <s v="Earthquake"/>
    <s v="Earthquake"/>
    <s v="Earthquake"/>
    <m/>
    <m/>
    <m/>
    <m/>
    <m/>
    <m/>
    <m/>
    <m/>
    <m/>
    <m/>
    <m/>
    <m/>
    <m/>
    <m/>
    <m/>
    <m/>
    <m/>
    <n v="0"/>
    <n v="1"/>
    <m/>
    <m/>
    <m/>
    <m/>
    <m/>
    <m/>
    <m/>
    <m/>
    <m/>
    <m/>
    <m/>
    <m/>
    <m/>
    <m/>
    <m/>
    <m/>
    <m/>
    <n v="25000"/>
    <n v="5500"/>
    <n v="30500"/>
    <m/>
    <m/>
    <n v="3050"/>
    <x v="32"/>
    <s v="Y"/>
    <m/>
    <m/>
    <m/>
    <m/>
    <n v="2898"/>
    <m/>
    <m/>
    <m/>
    <m/>
    <m/>
    <m/>
    <m/>
    <m/>
    <m/>
    <m/>
    <m/>
    <m/>
    <s v="10 generators, tents &amp; cooking sets. Delegate from Armenia deployed"/>
  </r>
  <r>
    <m/>
    <n v="36"/>
    <x v="41"/>
    <x v="19"/>
    <x v="5"/>
    <x v="10"/>
    <m/>
    <n v="2000"/>
    <n v="15"/>
    <x v="3"/>
    <x v="34"/>
    <m/>
    <s v="Storm"/>
    <s v="Tropical Cyclone"/>
    <s v="Cyclone"/>
    <m/>
    <m/>
    <m/>
    <m/>
    <m/>
    <m/>
    <m/>
    <m/>
    <m/>
    <m/>
    <m/>
    <m/>
    <m/>
    <m/>
    <m/>
    <m/>
    <m/>
    <n v="0"/>
    <n v="0"/>
    <m/>
    <m/>
    <m/>
    <m/>
    <m/>
    <m/>
    <m/>
    <m/>
    <m/>
    <m/>
    <m/>
    <m/>
    <m/>
    <m/>
    <m/>
    <m/>
    <m/>
    <n v="20000"/>
    <m/>
    <n v="20000"/>
    <m/>
    <m/>
    <n v="3000"/>
    <x v="25"/>
    <s v="Y"/>
    <m/>
    <m/>
    <m/>
    <m/>
    <n v="2898"/>
    <m/>
    <m/>
    <m/>
    <m/>
    <m/>
    <m/>
    <m/>
    <m/>
    <m/>
    <m/>
    <m/>
    <s v="Cyclone 04B"/>
    <s v="Bedsheets and kitchen sets"/>
  </r>
  <r>
    <m/>
    <n v="37"/>
    <x v="42"/>
    <x v="20"/>
    <x v="5"/>
    <x v="11"/>
    <m/>
    <n v="2001"/>
    <n v="1"/>
    <x v="1"/>
    <x v="23"/>
    <m/>
    <s v="Epidemic"/>
    <s v="Bacterial"/>
    <s v="Bacterial"/>
    <m/>
    <m/>
    <m/>
    <m/>
    <m/>
    <m/>
    <m/>
    <m/>
    <m/>
    <m/>
    <m/>
    <m/>
    <n v="0"/>
    <n v="25000"/>
    <m/>
    <m/>
    <m/>
    <n v="25000"/>
    <n v="0"/>
    <m/>
    <m/>
    <m/>
    <m/>
    <m/>
    <m/>
    <m/>
    <m/>
    <m/>
    <m/>
    <m/>
    <m/>
    <m/>
    <m/>
    <m/>
    <m/>
    <m/>
    <m/>
    <m/>
    <n v="25000"/>
    <m/>
    <m/>
    <n v="5000"/>
    <x v="8"/>
    <s v="Y"/>
    <m/>
    <m/>
    <m/>
    <m/>
    <n v="2898"/>
    <m/>
    <m/>
    <m/>
    <m/>
    <m/>
    <m/>
    <m/>
    <m/>
    <m/>
    <m/>
    <m/>
    <s v="Cholera Outbreak"/>
    <s v="Federation Appeal 32/00"/>
  </r>
  <r>
    <m/>
    <n v="38"/>
    <x v="43"/>
    <x v="20"/>
    <x v="5"/>
    <x v="12"/>
    <m/>
    <n v="2001"/>
    <n v="2"/>
    <x v="2"/>
    <x v="35"/>
    <m/>
    <s v="Earthquake"/>
    <s v="Earthquake"/>
    <s v="Earthquake"/>
    <m/>
    <m/>
    <m/>
    <m/>
    <m/>
    <m/>
    <m/>
    <m/>
    <m/>
    <m/>
    <m/>
    <m/>
    <m/>
    <m/>
    <m/>
    <n v="77500"/>
    <m/>
    <n v="77500"/>
    <n v="12"/>
    <m/>
    <m/>
    <m/>
    <m/>
    <m/>
    <m/>
    <m/>
    <m/>
    <m/>
    <m/>
    <m/>
    <m/>
    <m/>
    <m/>
    <m/>
    <m/>
    <m/>
    <n v="150000"/>
    <m/>
    <n v="227500"/>
    <m/>
    <m/>
    <m/>
    <x v="33"/>
    <s v="Y"/>
    <m/>
    <m/>
    <m/>
    <m/>
    <n v="2953"/>
    <m/>
    <m/>
    <m/>
    <m/>
    <m/>
    <m/>
    <m/>
    <m/>
    <m/>
    <m/>
    <m/>
    <m/>
    <s v="Cash sent to ARC Delegation in region. Supplies from Regional Warehouses.   Total expenditures as of February 2001, post 2.01 expenditures were rolled into the second El Salvador earthquake."/>
  </r>
  <r>
    <m/>
    <n v="39"/>
    <x v="44"/>
    <x v="20"/>
    <x v="5"/>
    <x v="13"/>
    <m/>
    <n v="2001"/>
    <n v="3"/>
    <x v="3"/>
    <x v="4"/>
    <m/>
    <s v="Storm"/>
    <s v="Winter Storm"/>
    <s v="Snowstorm"/>
    <m/>
    <m/>
    <m/>
    <m/>
    <m/>
    <m/>
    <m/>
    <m/>
    <m/>
    <m/>
    <m/>
    <m/>
    <m/>
    <m/>
    <m/>
    <n v="50000"/>
    <m/>
    <n v="50000"/>
    <n v="0"/>
    <m/>
    <m/>
    <m/>
    <m/>
    <m/>
    <m/>
    <m/>
    <m/>
    <m/>
    <m/>
    <m/>
    <m/>
    <m/>
    <m/>
    <m/>
    <m/>
    <m/>
    <m/>
    <m/>
    <n v="50000"/>
    <m/>
    <m/>
    <n v="5000"/>
    <x v="16"/>
    <s v="Y"/>
    <m/>
    <m/>
    <m/>
    <m/>
    <n v="2060"/>
    <m/>
    <m/>
    <m/>
    <m/>
    <m/>
    <m/>
    <m/>
    <m/>
    <m/>
    <m/>
    <m/>
    <s v="Inner Mongolia"/>
    <s v="fund to purchase food (wheat), winter clothes and cotton quilts"/>
  </r>
  <r>
    <m/>
    <n v="40"/>
    <x v="45"/>
    <x v="20"/>
    <x v="5"/>
    <x v="14"/>
    <m/>
    <n v="2001"/>
    <n v="4"/>
    <x v="3"/>
    <x v="15"/>
    <m/>
    <s v="Earthquake"/>
    <s v="Earthquake"/>
    <s v="Earthquake"/>
    <n v="15850000"/>
    <m/>
    <m/>
    <m/>
    <m/>
    <m/>
    <m/>
    <m/>
    <m/>
    <m/>
    <m/>
    <m/>
    <n v="1"/>
    <n v="100000"/>
    <m/>
    <n v="25000"/>
    <m/>
    <n v="125000"/>
    <n v="19"/>
    <m/>
    <m/>
    <m/>
    <m/>
    <m/>
    <m/>
    <m/>
    <m/>
    <m/>
    <m/>
    <m/>
    <m/>
    <m/>
    <m/>
    <m/>
    <m/>
    <m/>
    <n v="1371479"/>
    <n v="366481.13"/>
    <n v="1862960.13"/>
    <m/>
    <m/>
    <n v="324495"/>
    <x v="1"/>
    <s v="Y"/>
    <m/>
    <m/>
    <m/>
    <m/>
    <n v="2954"/>
    <m/>
    <m/>
    <m/>
    <m/>
    <m/>
    <m/>
    <m/>
    <m/>
    <m/>
    <m/>
    <m/>
    <m/>
    <s v="ARC also served an additional 190,185 beneficiaries by  distributing inputs from other NS.  Total expenditures as of May 2001."/>
  </r>
  <r>
    <m/>
    <n v="41"/>
    <x v="43"/>
    <x v="21"/>
    <x v="5"/>
    <x v="15"/>
    <m/>
    <n v="2001"/>
    <n v="5"/>
    <x v="2"/>
    <x v="35"/>
    <m/>
    <s v="Earthquake"/>
    <s v="Earthquake"/>
    <s v="Earthquake"/>
    <m/>
    <m/>
    <m/>
    <m/>
    <m/>
    <m/>
    <m/>
    <m/>
    <m/>
    <m/>
    <m/>
    <m/>
    <m/>
    <m/>
    <m/>
    <n v="70000"/>
    <m/>
    <n v="70000"/>
    <n v="8"/>
    <m/>
    <m/>
    <m/>
    <m/>
    <m/>
    <m/>
    <m/>
    <m/>
    <m/>
    <m/>
    <m/>
    <m/>
    <m/>
    <m/>
    <m/>
    <m/>
    <m/>
    <n v="620000"/>
    <m/>
    <n v="690000"/>
    <m/>
    <m/>
    <n v="41628.709446663277"/>
    <x v="34"/>
    <s v="Y"/>
    <m/>
    <m/>
    <m/>
    <m/>
    <n v="2953"/>
    <m/>
    <m/>
    <m/>
    <m/>
    <m/>
    <m/>
    <m/>
    <m/>
    <m/>
    <m/>
    <m/>
    <m/>
    <s v="To Purchase Warm cloths, footwear, blankets sheets and left over for food. Total expenditures for both earthquakes in El Salvador through May 2001."/>
  </r>
  <r>
    <m/>
    <n v="42"/>
    <x v="46"/>
    <x v="21"/>
    <x v="5"/>
    <x v="16"/>
    <m/>
    <n v="2001"/>
    <n v="6"/>
    <x v="1"/>
    <x v="36"/>
    <m/>
    <s v="Floods"/>
    <s v="General Floods"/>
    <s v="General Floods"/>
    <m/>
    <m/>
    <m/>
    <m/>
    <m/>
    <m/>
    <m/>
    <m/>
    <m/>
    <m/>
    <m/>
    <m/>
    <m/>
    <m/>
    <m/>
    <m/>
    <m/>
    <n v="0"/>
    <n v="1"/>
    <m/>
    <m/>
    <m/>
    <m/>
    <m/>
    <m/>
    <m/>
    <m/>
    <m/>
    <m/>
    <m/>
    <m/>
    <m/>
    <m/>
    <m/>
    <m/>
    <m/>
    <m/>
    <n v="250000"/>
    <n v="250000"/>
    <m/>
    <m/>
    <n v="75000"/>
    <x v="35"/>
    <s v="Y"/>
    <m/>
    <m/>
    <m/>
    <m/>
    <n v="2675"/>
    <m/>
    <m/>
    <m/>
    <m/>
    <m/>
    <m/>
    <m/>
    <m/>
    <m/>
    <m/>
    <m/>
    <m/>
    <s v="Fed Appeal 10/2001;  Includes regional supply purchase; one delegate.  Total expenditure also includes Malawi expense."/>
  </r>
  <r>
    <m/>
    <n v="43"/>
    <x v="47"/>
    <x v="21"/>
    <x v="5"/>
    <x v="17"/>
    <m/>
    <n v="2001"/>
    <n v="7"/>
    <x v="1"/>
    <x v="37"/>
    <m/>
    <s v="Floods"/>
    <s v="General Floods"/>
    <s v="General Floods"/>
    <m/>
    <m/>
    <m/>
    <m/>
    <m/>
    <m/>
    <m/>
    <m/>
    <m/>
    <m/>
    <m/>
    <m/>
    <m/>
    <m/>
    <m/>
    <n v="25000"/>
    <m/>
    <n v="25000"/>
    <n v="2"/>
    <m/>
    <m/>
    <m/>
    <m/>
    <m/>
    <m/>
    <m/>
    <m/>
    <m/>
    <m/>
    <m/>
    <m/>
    <m/>
    <m/>
    <m/>
    <m/>
    <m/>
    <n v="149000"/>
    <m/>
    <n v="174000"/>
    <m/>
    <m/>
    <n v="22452"/>
    <x v="36"/>
    <s v="Y"/>
    <m/>
    <m/>
    <m/>
    <m/>
    <n v="2675"/>
    <m/>
    <m/>
    <m/>
    <m/>
    <m/>
    <m/>
    <m/>
    <m/>
    <m/>
    <m/>
    <m/>
    <m/>
    <s v="Fed Appeal 9/2001;  49,000 from CCC seeds, tools and water supply.  See Mozambique Total Expenditure (they are combined.)"/>
  </r>
  <r>
    <m/>
    <n v="44"/>
    <x v="48"/>
    <x v="22"/>
    <x v="5"/>
    <x v="18"/>
    <m/>
    <n v="2001"/>
    <n v="8"/>
    <x v="2"/>
    <x v="38"/>
    <m/>
    <s v="Floods"/>
    <s v="General Floods"/>
    <s v="General Floods"/>
    <m/>
    <m/>
    <m/>
    <m/>
    <m/>
    <m/>
    <m/>
    <m/>
    <m/>
    <m/>
    <m/>
    <m/>
    <m/>
    <m/>
    <m/>
    <n v="15000"/>
    <m/>
    <n v="15000"/>
    <n v="0"/>
    <m/>
    <m/>
    <m/>
    <m/>
    <m/>
    <m/>
    <m/>
    <m/>
    <m/>
    <m/>
    <m/>
    <m/>
    <m/>
    <m/>
    <m/>
    <m/>
    <m/>
    <m/>
    <m/>
    <n v="15000"/>
    <m/>
    <m/>
    <n v="1500"/>
    <x v="18"/>
    <s v="Y"/>
    <m/>
    <m/>
    <m/>
    <m/>
    <n v="2898"/>
    <m/>
    <m/>
    <m/>
    <m/>
    <m/>
    <m/>
    <m/>
    <m/>
    <m/>
    <m/>
    <m/>
    <m/>
    <s v="Fed Appeal 5/2001"/>
  </r>
  <r>
    <m/>
    <n v="45"/>
    <x v="49"/>
    <x v="22"/>
    <x v="5"/>
    <x v="19"/>
    <m/>
    <n v="2001"/>
    <n v="9"/>
    <x v="2"/>
    <x v="39"/>
    <m/>
    <s v="Floods"/>
    <s v="General Floods"/>
    <s v="General Floods"/>
    <m/>
    <m/>
    <m/>
    <m/>
    <m/>
    <m/>
    <m/>
    <m/>
    <m/>
    <m/>
    <m/>
    <m/>
    <m/>
    <m/>
    <m/>
    <n v="15000"/>
    <m/>
    <n v="15000"/>
    <n v="0"/>
    <m/>
    <m/>
    <n v="6111"/>
    <m/>
    <m/>
    <n v="5100"/>
    <m/>
    <m/>
    <n v="761"/>
    <m/>
    <m/>
    <m/>
    <m/>
    <n v="250"/>
    <m/>
    <m/>
    <m/>
    <n v="0"/>
    <n v="0"/>
    <n v="15000"/>
    <m/>
    <m/>
    <n v="24805"/>
    <x v="18"/>
    <s v="Y"/>
    <m/>
    <m/>
    <m/>
    <m/>
    <n v="2898"/>
    <m/>
    <m/>
    <m/>
    <m/>
    <m/>
    <m/>
    <m/>
    <m/>
    <m/>
    <m/>
    <m/>
    <m/>
    <m/>
  </r>
  <r>
    <m/>
    <n v="46"/>
    <x v="50"/>
    <x v="23"/>
    <x v="5"/>
    <x v="23"/>
    <m/>
    <n v="2001"/>
    <n v="10"/>
    <x v="4"/>
    <x v="40"/>
    <m/>
    <s v="Transport"/>
    <s v="Road"/>
    <s v="Road"/>
    <m/>
    <m/>
    <m/>
    <m/>
    <m/>
    <m/>
    <m/>
    <m/>
    <m/>
    <m/>
    <m/>
    <m/>
    <m/>
    <m/>
    <m/>
    <m/>
    <m/>
    <n v="0"/>
    <n v="2"/>
    <m/>
    <m/>
    <m/>
    <m/>
    <m/>
    <m/>
    <m/>
    <m/>
    <m/>
    <m/>
    <m/>
    <m/>
    <m/>
    <m/>
    <m/>
    <m/>
    <m/>
    <m/>
    <n v="1000"/>
    <n v="1000"/>
    <m/>
    <m/>
    <m/>
    <x v="37"/>
    <s v="Y"/>
    <m/>
    <m/>
    <m/>
    <m/>
    <n v="2898"/>
    <m/>
    <m/>
    <m/>
    <m/>
    <m/>
    <m/>
    <m/>
    <m/>
    <m/>
    <m/>
    <m/>
    <s v="Bus Crash"/>
    <s v="American children survivors"/>
  </r>
  <r>
    <m/>
    <n v="47"/>
    <x v="51"/>
    <x v="24"/>
    <x v="5"/>
    <x v="20"/>
    <m/>
    <n v="2001"/>
    <n v="11"/>
    <x v="3"/>
    <x v="12"/>
    <m/>
    <s v="Floods"/>
    <s v="General Floods"/>
    <s v="General Floods"/>
    <m/>
    <m/>
    <m/>
    <m/>
    <m/>
    <m/>
    <m/>
    <m/>
    <m/>
    <m/>
    <m/>
    <m/>
    <m/>
    <m/>
    <m/>
    <n v="25000"/>
    <m/>
    <n v="25000"/>
    <n v="0"/>
    <m/>
    <m/>
    <m/>
    <m/>
    <m/>
    <m/>
    <m/>
    <m/>
    <m/>
    <m/>
    <m/>
    <m/>
    <m/>
    <m/>
    <m/>
    <m/>
    <m/>
    <m/>
    <m/>
    <n v="25000"/>
    <m/>
    <m/>
    <n v="3000"/>
    <x v="8"/>
    <s v="Y"/>
    <m/>
    <m/>
    <m/>
    <m/>
    <n v="2898"/>
    <m/>
    <m/>
    <m/>
    <m/>
    <m/>
    <m/>
    <m/>
    <m/>
    <m/>
    <m/>
    <m/>
    <m/>
    <s v="Siberia: Procurement of warm cloths, footwear, blankets sheets &amp; food. "/>
  </r>
  <r>
    <m/>
    <n v="48"/>
    <x v="52"/>
    <x v="25"/>
    <x v="5"/>
    <x v="21"/>
    <m/>
    <n v="2001"/>
    <n v="12"/>
    <x v="3"/>
    <x v="41"/>
    <m/>
    <s v="Conflict"/>
    <s v="Conflict"/>
    <s v="Conflict"/>
    <m/>
    <m/>
    <m/>
    <m/>
    <m/>
    <m/>
    <m/>
    <m/>
    <m/>
    <m/>
    <m/>
    <m/>
    <m/>
    <m/>
    <m/>
    <m/>
    <m/>
    <n v="0"/>
    <n v="0"/>
    <m/>
    <m/>
    <n v="10000"/>
    <m/>
    <m/>
    <m/>
    <m/>
    <m/>
    <m/>
    <m/>
    <m/>
    <m/>
    <m/>
    <m/>
    <m/>
    <m/>
    <m/>
    <n v="20700"/>
    <m/>
    <n v="20700"/>
    <m/>
    <m/>
    <n v="40000"/>
    <x v="38"/>
    <s v="Y"/>
    <m/>
    <m/>
    <m/>
    <m/>
    <n v="2898"/>
    <m/>
    <m/>
    <m/>
    <m/>
    <m/>
    <m/>
    <m/>
    <m/>
    <m/>
    <m/>
    <m/>
    <m/>
    <s v="10,000 family  packets (Currently only 2,300) a family is 4 persons"/>
  </r>
  <r>
    <m/>
    <n v="49"/>
    <x v="53"/>
    <x v="25"/>
    <x v="5"/>
    <x v="22"/>
    <m/>
    <n v="2001"/>
    <n v="13"/>
    <x v="3"/>
    <x v="42"/>
    <m/>
    <s v="Floods"/>
    <s v="General Floods"/>
    <s v="General Floods"/>
    <m/>
    <m/>
    <m/>
    <m/>
    <m/>
    <m/>
    <m/>
    <m/>
    <m/>
    <m/>
    <m/>
    <m/>
    <m/>
    <m/>
    <m/>
    <m/>
    <m/>
    <n v="0"/>
    <n v="0"/>
    <m/>
    <m/>
    <n v="6000"/>
    <m/>
    <m/>
    <n v="6000"/>
    <m/>
    <m/>
    <m/>
    <m/>
    <m/>
    <m/>
    <m/>
    <m/>
    <m/>
    <m/>
    <m/>
    <n v="18000"/>
    <m/>
    <n v="18000"/>
    <m/>
    <m/>
    <n v="6000"/>
    <x v="39"/>
    <s v="Y"/>
    <m/>
    <m/>
    <m/>
    <m/>
    <n v="2898"/>
    <m/>
    <m/>
    <m/>
    <m/>
    <m/>
    <m/>
    <m/>
    <m/>
    <m/>
    <m/>
    <m/>
    <m/>
    <s v="Bulgaria stocks"/>
  </r>
  <r>
    <m/>
    <n v="50"/>
    <x v="54"/>
    <x v="25"/>
    <x v="5"/>
    <x v="24"/>
    <m/>
    <n v="2001"/>
    <n v="14"/>
    <x v="2"/>
    <x v="39"/>
    <m/>
    <s v="Earthquake"/>
    <s v="Earthquake"/>
    <s v="Earthquake"/>
    <m/>
    <m/>
    <m/>
    <m/>
    <m/>
    <m/>
    <m/>
    <m/>
    <m/>
    <m/>
    <m/>
    <m/>
    <m/>
    <m/>
    <m/>
    <n v="24420"/>
    <m/>
    <n v="24420"/>
    <n v="3"/>
    <m/>
    <m/>
    <n v="6107"/>
    <m/>
    <m/>
    <n v="5100"/>
    <m/>
    <m/>
    <n v="757"/>
    <m/>
    <m/>
    <m/>
    <m/>
    <n v="250"/>
    <m/>
    <m/>
    <m/>
    <n v="361260"/>
    <n v="313450"/>
    <n v="699130"/>
    <m/>
    <m/>
    <n v="15000"/>
    <x v="40"/>
    <s v="Y"/>
    <m/>
    <m/>
    <m/>
    <m/>
    <n v="2676"/>
    <m/>
    <m/>
    <m/>
    <m/>
    <m/>
    <m/>
    <m/>
    <m/>
    <m/>
    <m/>
    <m/>
    <m/>
    <s v="plastic sheeting ($81,250), blankets ($12,240), tents ($78,637). Total $271,627 (incl. transport).    tents ($147,706): Total $150,706 (incl. transport).  Replenishment of supplies $50,000"/>
  </r>
  <r>
    <m/>
    <n v="51"/>
    <x v="33"/>
    <x v="26"/>
    <x v="6"/>
    <x v="1"/>
    <m/>
    <n v="2001"/>
    <n v="15"/>
    <x v="3"/>
    <x v="15"/>
    <m/>
    <s v="Floods"/>
    <s v="General Floods"/>
    <s v="General Floods"/>
    <n v="6000000"/>
    <m/>
    <m/>
    <m/>
    <m/>
    <m/>
    <m/>
    <m/>
    <m/>
    <m/>
    <m/>
    <m/>
    <m/>
    <m/>
    <m/>
    <m/>
    <m/>
    <n v="0"/>
    <n v="0"/>
    <m/>
    <m/>
    <m/>
    <m/>
    <m/>
    <m/>
    <m/>
    <m/>
    <m/>
    <m/>
    <m/>
    <m/>
    <m/>
    <m/>
    <m/>
    <m/>
    <m/>
    <n v="100000"/>
    <m/>
    <n v="100000"/>
    <m/>
    <m/>
    <n v="10000"/>
    <x v="5"/>
    <s v="Y"/>
    <m/>
    <m/>
    <m/>
    <m/>
    <n v="2954"/>
    <m/>
    <m/>
    <m/>
    <m/>
    <m/>
    <m/>
    <m/>
    <m/>
    <m/>
    <m/>
    <m/>
    <m/>
    <m/>
  </r>
  <r>
    <m/>
    <n v="52"/>
    <x v="55"/>
    <x v="27"/>
    <x v="6"/>
    <x v="2"/>
    <m/>
    <n v="2001"/>
    <n v="16"/>
    <x v="2"/>
    <x v="35"/>
    <m/>
    <s v="Drought"/>
    <s v="Drought"/>
    <s v="Drought"/>
    <m/>
    <m/>
    <m/>
    <m/>
    <m/>
    <m/>
    <m/>
    <m/>
    <m/>
    <m/>
    <m/>
    <m/>
    <m/>
    <m/>
    <m/>
    <n v="25000"/>
    <m/>
    <n v="25000"/>
    <n v="5"/>
    <m/>
    <m/>
    <m/>
    <m/>
    <m/>
    <m/>
    <m/>
    <m/>
    <m/>
    <m/>
    <m/>
    <m/>
    <m/>
    <m/>
    <m/>
    <m/>
    <m/>
    <m/>
    <m/>
    <n v="25000"/>
    <m/>
    <m/>
    <n v="5000"/>
    <x v="8"/>
    <s v="Y"/>
    <m/>
    <m/>
    <m/>
    <m/>
    <n v="2837"/>
    <m/>
    <m/>
    <m/>
    <m/>
    <m/>
    <m/>
    <m/>
    <m/>
    <m/>
    <m/>
    <m/>
    <m/>
    <s v="$25,000 allocated to each national society to be implemented thr ARC delegations through $12,500 donation to the field delegation and $12,500 matched by the field.  Total expenditures through December 2001."/>
  </r>
  <r>
    <m/>
    <n v="52"/>
    <x v="56"/>
    <x v="27"/>
    <x v="6"/>
    <x v="2"/>
    <m/>
    <n v="2001"/>
    <n v="16"/>
    <x v="2"/>
    <x v="43"/>
    <m/>
    <s v="Drought"/>
    <s v="Drought"/>
    <s v="Drought"/>
    <m/>
    <m/>
    <m/>
    <m/>
    <m/>
    <m/>
    <m/>
    <m/>
    <m/>
    <m/>
    <m/>
    <m/>
    <m/>
    <m/>
    <m/>
    <m/>
    <m/>
    <n v="0"/>
    <m/>
    <m/>
    <m/>
    <m/>
    <m/>
    <m/>
    <m/>
    <m/>
    <m/>
    <m/>
    <m/>
    <m/>
    <m/>
    <m/>
    <m/>
    <m/>
    <m/>
    <m/>
    <m/>
    <m/>
    <n v="0"/>
    <m/>
    <m/>
    <m/>
    <x v="7"/>
    <s v="Y"/>
    <m/>
    <m/>
    <m/>
    <m/>
    <n v="2837"/>
    <m/>
    <m/>
    <m/>
    <m/>
    <m/>
    <m/>
    <m/>
    <m/>
    <m/>
    <m/>
    <m/>
    <m/>
    <m/>
  </r>
  <r>
    <m/>
    <n v="52"/>
    <x v="57"/>
    <x v="27"/>
    <x v="6"/>
    <x v="2"/>
    <m/>
    <n v="2001"/>
    <n v="16"/>
    <x v="2"/>
    <x v="6"/>
    <m/>
    <s v="Drought"/>
    <s v="Drought"/>
    <s v="Drought"/>
    <m/>
    <m/>
    <m/>
    <m/>
    <m/>
    <m/>
    <m/>
    <m/>
    <m/>
    <m/>
    <m/>
    <m/>
    <m/>
    <m/>
    <m/>
    <m/>
    <m/>
    <n v="0"/>
    <m/>
    <m/>
    <m/>
    <m/>
    <m/>
    <m/>
    <m/>
    <m/>
    <m/>
    <m/>
    <m/>
    <m/>
    <m/>
    <m/>
    <m/>
    <m/>
    <m/>
    <m/>
    <m/>
    <m/>
    <n v="0"/>
    <m/>
    <m/>
    <m/>
    <x v="7"/>
    <s v="Y"/>
    <m/>
    <m/>
    <m/>
    <m/>
    <n v="2837"/>
    <m/>
    <m/>
    <m/>
    <m/>
    <m/>
    <m/>
    <m/>
    <m/>
    <m/>
    <m/>
    <m/>
    <m/>
    <m/>
  </r>
  <r>
    <m/>
    <n v="52"/>
    <x v="58"/>
    <x v="27"/>
    <x v="6"/>
    <x v="2"/>
    <m/>
    <n v="2001"/>
    <n v="16"/>
    <x v="2"/>
    <x v="44"/>
    <m/>
    <s v="Drought"/>
    <s v="Drought"/>
    <s v="Drought"/>
    <m/>
    <m/>
    <m/>
    <m/>
    <m/>
    <m/>
    <m/>
    <m/>
    <m/>
    <m/>
    <m/>
    <m/>
    <m/>
    <m/>
    <m/>
    <m/>
    <m/>
    <n v="0"/>
    <m/>
    <m/>
    <m/>
    <m/>
    <m/>
    <m/>
    <m/>
    <m/>
    <m/>
    <m/>
    <m/>
    <m/>
    <m/>
    <m/>
    <m/>
    <m/>
    <m/>
    <m/>
    <m/>
    <m/>
    <n v="0"/>
    <m/>
    <m/>
    <m/>
    <x v="7"/>
    <s v="Y"/>
    <m/>
    <m/>
    <m/>
    <m/>
    <n v="2837"/>
    <m/>
    <m/>
    <m/>
    <m/>
    <m/>
    <m/>
    <m/>
    <m/>
    <m/>
    <m/>
    <m/>
    <m/>
    <m/>
  </r>
  <r>
    <m/>
    <n v="53"/>
    <x v="59"/>
    <x v="28"/>
    <x v="6"/>
    <x v="3"/>
    <m/>
    <n v="2001"/>
    <n v="17"/>
    <x v="2"/>
    <x v="45"/>
    <m/>
    <s v="Volcano"/>
    <s v="Volcanic Eruption"/>
    <s v="Volcanic Eruption"/>
    <m/>
    <m/>
    <m/>
    <m/>
    <m/>
    <m/>
    <m/>
    <m/>
    <m/>
    <m/>
    <m/>
    <m/>
    <m/>
    <m/>
    <m/>
    <n v="10000"/>
    <m/>
    <n v="10000"/>
    <m/>
    <m/>
    <m/>
    <m/>
    <m/>
    <m/>
    <m/>
    <m/>
    <m/>
    <m/>
    <m/>
    <m/>
    <m/>
    <m/>
    <m/>
    <m/>
    <m/>
    <m/>
    <m/>
    <m/>
    <n v="10000"/>
    <m/>
    <m/>
    <n v="1000"/>
    <x v="6"/>
    <s v="Y"/>
    <m/>
    <m/>
    <m/>
    <m/>
    <n v="2898"/>
    <m/>
    <m/>
    <m/>
    <m/>
    <m/>
    <m/>
    <m/>
    <m/>
    <m/>
    <m/>
    <m/>
    <m/>
    <s v="$10,000 from IDRU in addition to $10,000 from the Americas Region to the Ecuador Red Cross for the Tungurahua Volcano Ash Fall "/>
  </r>
  <r>
    <m/>
    <n v="54"/>
    <x v="60"/>
    <x v="28"/>
    <x v="6"/>
    <x v="4"/>
    <m/>
    <n v="2001"/>
    <n v="18"/>
    <x v="3"/>
    <x v="46"/>
    <m/>
    <s v="Conflict"/>
    <s v="Conflict"/>
    <s v="Conflict"/>
    <m/>
    <m/>
    <m/>
    <m/>
    <m/>
    <m/>
    <m/>
    <m/>
    <m/>
    <m/>
    <m/>
    <m/>
    <m/>
    <m/>
    <m/>
    <m/>
    <m/>
    <n v="0"/>
    <n v="12"/>
    <m/>
    <m/>
    <m/>
    <m/>
    <m/>
    <m/>
    <m/>
    <m/>
    <m/>
    <m/>
    <m/>
    <m/>
    <m/>
    <m/>
    <m/>
    <m/>
    <m/>
    <n v="2032231"/>
    <n v="200000"/>
    <n v="2232231"/>
    <n v="9767769"/>
    <m/>
    <n v="380000"/>
    <x v="41"/>
    <s v="Y"/>
    <m/>
    <m/>
    <m/>
    <m/>
    <n v="2677"/>
    <m/>
    <m/>
    <m/>
    <m/>
    <m/>
    <m/>
    <m/>
    <m/>
    <m/>
    <m/>
    <m/>
    <m/>
    <s v="AFAC is a partnership with the White House.  Final report issued in August 2006."/>
  </r>
  <r>
    <m/>
    <n v="54"/>
    <x v="61"/>
    <x v="28"/>
    <x v="6"/>
    <x v="4"/>
    <m/>
    <n v="2001"/>
    <n v="18"/>
    <x v="3"/>
    <x v="47"/>
    <m/>
    <s v="Conflict"/>
    <s v="Conflict"/>
    <s v="Conflict"/>
    <m/>
    <m/>
    <m/>
    <m/>
    <m/>
    <m/>
    <m/>
    <m/>
    <m/>
    <m/>
    <m/>
    <m/>
    <m/>
    <m/>
    <m/>
    <m/>
    <m/>
    <n v="0"/>
    <m/>
    <m/>
    <m/>
    <m/>
    <m/>
    <m/>
    <m/>
    <m/>
    <m/>
    <m/>
    <m/>
    <m/>
    <m/>
    <m/>
    <m/>
    <m/>
    <m/>
    <m/>
    <m/>
    <m/>
    <n v="0"/>
    <m/>
    <m/>
    <m/>
    <x v="7"/>
    <s v="Y"/>
    <m/>
    <m/>
    <m/>
    <m/>
    <n v="2677"/>
    <m/>
    <m/>
    <m/>
    <m/>
    <m/>
    <m/>
    <m/>
    <m/>
    <m/>
    <m/>
    <m/>
    <m/>
    <m/>
  </r>
  <r>
    <m/>
    <n v="54"/>
    <x v="62"/>
    <x v="28"/>
    <x v="6"/>
    <x v="4"/>
    <m/>
    <n v="2001"/>
    <n v="18"/>
    <x v="3"/>
    <x v="48"/>
    <m/>
    <s v="Conflict"/>
    <s v="Conflict"/>
    <s v="Conflict"/>
    <m/>
    <m/>
    <m/>
    <m/>
    <m/>
    <m/>
    <m/>
    <m/>
    <m/>
    <m/>
    <m/>
    <m/>
    <m/>
    <m/>
    <m/>
    <m/>
    <m/>
    <n v="0"/>
    <m/>
    <m/>
    <m/>
    <m/>
    <m/>
    <m/>
    <m/>
    <m/>
    <m/>
    <m/>
    <m/>
    <m/>
    <m/>
    <m/>
    <m/>
    <m/>
    <m/>
    <m/>
    <m/>
    <m/>
    <n v="0"/>
    <m/>
    <m/>
    <m/>
    <x v="7"/>
    <s v="Y"/>
    <m/>
    <m/>
    <m/>
    <m/>
    <n v="2677"/>
    <m/>
    <m/>
    <m/>
    <m/>
    <m/>
    <m/>
    <m/>
    <m/>
    <m/>
    <m/>
    <m/>
    <m/>
    <m/>
  </r>
  <r>
    <m/>
    <n v="54"/>
    <x v="63"/>
    <x v="28"/>
    <x v="6"/>
    <x v="4"/>
    <m/>
    <n v="2001"/>
    <n v="18"/>
    <x v="3"/>
    <x v="49"/>
    <m/>
    <s v="Conflict"/>
    <s v="Conflict"/>
    <s v="Conflict"/>
    <m/>
    <m/>
    <m/>
    <m/>
    <m/>
    <m/>
    <m/>
    <m/>
    <m/>
    <m/>
    <m/>
    <m/>
    <m/>
    <m/>
    <m/>
    <m/>
    <m/>
    <n v="0"/>
    <m/>
    <m/>
    <m/>
    <m/>
    <m/>
    <m/>
    <m/>
    <m/>
    <m/>
    <m/>
    <m/>
    <m/>
    <m/>
    <m/>
    <m/>
    <m/>
    <m/>
    <m/>
    <m/>
    <m/>
    <n v="0"/>
    <m/>
    <m/>
    <m/>
    <x v="7"/>
    <s v="Y"/>
    <m/>
    <m/>
    <m/>
    <m/>
    <n v="2677"/>
    <m/>
    <m/>
    <m/>
    <m/>
    <m/>
    <m/>
    <m/>
    <m/>
    <m/>
    <m/>
    <m/>
    <m/>
    <m/>
  </r>
  <r>
    <m/>
    <n v="54"/>
    <x v="64"/>
    <x v="28"/>
    <x v="6"/>
    <x v="4"/>
    <m/>
    <n v="2001"/>
    <n v="18"/>
    <x v="3"/>
    <x v="50"/>
    <m/>
    <s v="Conflict"/>
    <s v="Conflict"/>
    <s v="Conflict"/>
    <m/>
    <m/>
    <m/>
    <m/>
    <m/>
    <m/>
    <m/>
    <m/>
    <m/>
    <m/>
    <m/>
    <m/>
    <m/>
    <m/>
    <m/>
    <m/>
    <m/>
    <n v="0"/>
    <m/>
    <m/>
    <m/>
    <m/>
    <m/>
    <m/>
    <m/>
    <m/>
    <m/>
    <m/>
    <m/>
    <m/>
    <m/>
    <m/>
    <m/>
    <m/>
    <m/>
    <m/>
    <m/>
    <m/>
    <n v="0"/>
    <m/>
    <m/>
    <m/>
    <x v="7"/>
    <s v="Y"/>
    <m/>
    <m/>
    <m/>
    <m/>
    <n v="2677"/>
    <m/>
    <m/>
    <m/>
    <m/>
    <m/>
    <m/>
    <m/>
    <m/>
    <m/>
    <m/>
    <m/>
    <m/>
    <m/>
  </r>
  <r>
    <m/>
    <n v="55"/>
    <x v="65"/>
    <x v="28"/>
    <x v="6"/>
    <x v="5"/>
    <m/>
    <n v="2001"/>
    <n v="19"/>
    <x v="4"/>
    <x v="51"/>
    <m/>
    <s v="Terrorism"/>
    <s v="Terrorism"/>
    <s v="Terrorism"/>
    <m/>
    <m/>
    <m/>
    <m/>
    <m/>
    <m/>
    <m/>
    <m/>
    <m/>
    <m/>
    <m/>
    <m/>
    <m/>
    <m/>
    <m/>
    <n v="3257775.37"/>
    <m/>
    <n v="3257775.37"/>
    <n v="30"/>
    <m/>
    <m/>
    <m/>
    <m/>
    <m/>
    <m/>
    <m/>
    <m/>
    <m/>
    <m/>
    <m/>
    <m/>
    <m/>
    <m/>
    <m/>
    <m/>
    <m/>
    <n v="0"/>
    <n v="257704"/>
    <n v="3515479.37"/>
    <m/>
    <m/>
    <n v="2622"/>
    <x v="42"/>
    <s v="Y"/>
    <m/>
    <m/>
    <m/>
    <m/>
    <n v="4949"/>
    <m/>
    <m/>
    <m/>
    <m/>
    <m/>
    <m/>
    <m/>
    <m/>
    <m/>
    <m/>
    <m/>
    <d v="2008-09-11T00:00:00"/>
    <s v="The $3,084,914.31 distributed was to international families of victims of the terrorist attacks.   Beneficiaries: 6 members per each family assisted."/>
  </r>
  <r>
    <m/>
    <n v="56"/>
    <x v="66"/>
    <x v="28"/>
    <x v="6"/>
    <x v="6"/>
    <m/>
    <n v="2001"/>
    <n v="20"/>
    <x v="2"/>
    <x v="2"/>
    <m/>
    <s v="Transport"/>
    <s v="Air"/>
    <s v="Air"/>
    <m/>
    <m/>
    <m/>
    <m/>
    <m/>
    <m/>
    <m/>
    <m/>
    <m/>
    <m/>
    <m/>
    <m/>
    <m/>
    <m/>
    <m/>
    <m/>
    <m/>
    <n v="0"/>
    <n v="4"/>
    <m/>
    <m/>
    <m/>
    <m/>
    <m/>
    <m/>
    <m/>
    <m/>
    <m/>
    <m/>
    <m/>
    <m/>
    <m/>
    <m/>
    <m/>
    <m/>
    <m/>
    <n v="0"/>
    <n v="15000"/>
    <n v="15000"/>
    <m/>
    <m/>
    <n v="95"/>
    <x v="18"/>
    <s v="Y"/>
    <m/>
    <m/>
    <m/>
    <m/>
    <n v="2679"/>
    <m/>
    <m/>
    <m/>
    <m/>
    <m/>
    <m/>
    <m/>
    <m/>
    <m/>
    <m/>
    <m/>
    <s v="Plane Crash"/>
    <s v="Financial contribution made to memorial; beneficiaries: 5 members per each family assisted."/>
  </r>
  <r>
    <m/>
    <n v="57"/>
    <x v="67"/>
    <x v="29"/>
    <x v="6"/>
    <x v="7"/>
    <m/>
    <n v="2001"/>
    <n v="21"/>
    <x v="2"/>
    <x v="2"/>
    <m/>
    <s v="Storm"/>
    <s v="Tropical Cyclone"/>
    <s v="Hurricane"/>
    <m/>
    <m/>
    <m/>
    <m/>
    <m/>
    <m/>
    <m/>
    <m/>
    <m/>
    <m/>
    <m/>
    <m/>
    <m/>
    <m/>
    <m/>
    <n v="25000"/>
    <m/>
    <n v="25000"/>
    <n v="1"/>
    <m/>
    <m/>
    <m/>
    <m/>
    <m/>
    <m/>
    <m/>
    <m/>
    <m/>
    <m/>
    <m/>
    <m/>
    <m/>
    <m/>
    <m/>
    <m/>
    <m/>
    <m/>
    <m/>
    <n v="25000"/>
    <m/>
    <m/>
    <n v="5000"/>
    <x v="8"/>
    <s v="Y"/>
    <m/>
    <m/>
    <m/>
    <m/>
    <n v="2898"/>
    <m/>
    <m/>
    <m/>
    <m/>
    <m/>
    <m/>
    <m/>
    <m/>
    <m/>
    <m/>
    <m/>
    <s v="Juliette"/>
    <s v="Financial contribution designated for relief supplies.  Beneficiaries: 5 members per each family assisted."/>
  </r>
  <r>
    <m/>
    <n v="58"/>
    <x v="68"/>
    <x v="29"/>
    <x v="6"/>
    <x v="8"/>
    <m/>
    <n v="2001"/>
    <n v="22"/>
    <x v="2"/>
    <x v="28"/>
    <m/>
    <s v="Meteorological"/>
    <s v="Tropical Cyclone"/>
    <s v="Hurricane"/>
    <m/>
    <m/>
    <m/>
    <m/>
    <m/>
    <m/>
    <m/>
    <m/>
    <m/>
    <m/>
    <m/>
    <m/>
    <m/>
    <m/>
    <m/>
    <n v="25000"/>
    <m/>
    <n v="25000"/>
    <n v="3"/>
    <m/>
    <m/>
    <m/>
    <m/>
    <m/>
    <m/>
    <m/>
    <m/>
    <m/>
    <m/>
    <m/>
    <m/>
    <m/>
    <m/>
    <m/>
    <m/>
    <m/>
    <n v="69000"/>
    <n v="3982"/>
    <n v="97982"/>
    <m/>
    <m/>
    <n v="5000"/>
    <x v="43"/>
    <s v="Y"/>
    <m/>
    <m/>
    <m/>
    <m/>
    <n v="2678"/>
    <m/>
    <m/>
    <m/>
    <m/>
    <m/>
    <m/>
    <m/>
    <m/>
    <m/>
    <m/>
    <m/>
    <s v="Iris"/>
    <s v="$20,000 for hygiene kits; $19,000 given to Guatemala ARC delegation for hygiene kits and $50,000 in relief supplies to BRC."/>
  </r>
  <r>
    <m/>
    <n v="59"/>
    <x v="69"/>
    <x v="29"/>
    <x v="6"/>
    <x v="9"/>
    <m/>
    <n v="2001"/>
    <n v="23"/>
    <x v="2"/>
    <x v="28"/>
    <m/>
    <s v="Transport"/>
    <s v="Water"/>
    <s v="Water"/>
    <m/>
    <m/>
    <m/>
    <m/>
    <m/>
    <m/>
    <m/>
    <m/>
    <m/>
    <m/>
    <m/>
    <m/>
    <m/>
    <m/>
    <m/>
    <m/>
    <m/>
    <n v="0"/>
    <n v="2"/>
    <m/>
    <m/>
    <m/>
    <m/>
    <m/>
    <m/>
    <m/>
    <m/>
    <m/>
    <m/>
    <m/>
    <m/>
    <m/>
    <m/>
    <m/>
    <m/>
    <m/>
    <n v="0"/>
    <n v="4400"/>
    <n v="4400"/>
    <m/>
    <m/>
    <n v="135"/>
    <x v="44"/>
    <s v="Y"/>
    <m/>
    <m/>
    <m/>
    <m/>
    <n v="2898"/>
    <m/>
    <m/>
    <m/>
    <m/>
    <m/>
    <m/>
    <m/>
    <m/>
    <m/>
    <m/>
    <m/>
    <s v="Boat Crash"/>
    <s v="Beneficiaries calculated at 5 family members per each 27 families assisted."/>
  </r>
  <r>
    <m/>
    <n v="60"/>
    <x v="70"/>
    <x v="29"/>
    <x v="6"/>
    <x v="10"/>
    <m/>
    <n v="2001"/>
    <n v="24"/>
    <x v="2"/>
    <x v="43"/>
    <m/>
    <s v="Storm"/>
    <s v="Tropical Cyclone"/>
    <s v="Tropical Storm"/>
    <m/>
    <m/>
    <m/>
    <m/>
    <m/>
    <m/>
    <m/>
    <m/>
    <m/>
    <m/>
    <m/>
    <m/>
    <m/>
    <m/>
    <m/>
    <m/>
    <m/>
    <n v="0"/>
    <m/>
    <m/>
    <m/>
    <m/>
    <m/>
    <m/>
    <m/>
    <m/>
    <m/>
    <m/>
    <m/>
    <m/>
    <m/>
    <m/>
    <m/>
    <m/>
    <m/>
    <m/>
    <m/>
    <m/>
    <n v="0"/>
    <m/>
    <m/>
    <m/>
    <x v="7"/>
    <s v="Y"/>
    <m/>
    <m/>
    <m/>
    <m/>
    <n v="2898"/>
    <m/>
    <m/>
    <m/>
    <m/>
    <m/>
    <m/>
    <m/>
    <m/>
    <m/>
    <m/>
    <m/>
    <s v="Michelle"/>
    <m/>
  </r>
  <r>
    <m/>
    <n v="60"/>
    <x v="71"/>
    <x v="30"/>
    <x v="6"/>
    <x v="10"/>
    <m/>
    <n v="2001"/>
    <n v="24"/>
    <x v="2"/>
    <x v="6"/>
    <m/>
    <s v="Storm"/>
    <s v="Tropical Cyclone"/>
    <s v="Tropical Storm"/>
    <m/>
    <m/>
    <m/>
    <m/>
    <m/>
    <m/>
    <m/>
    <m/>
    <m/>
    <m/>
    <m/>
    <m/>
    <m/>
    <m/>
    <m/>
    <m/>
    <m/>
    <n v="0"/>
    <m/>
    <m/>
    <m/>
    <m/>
    <m/>
    <m/>
    <m/>
    <m/>
    <m/>
    <m/>
    <m/>
    <m/>
    <m/>
    <m/>
    <m/>
    <m/>
    <m/>
    <m/>
    <m/>
    <n v="60000"/>
    <n v="60000"/>
    <m/>
    <m/>
    <n v="5000"/>
    <x v="45"/>
    <s v="Y"/>
    <m/>
    <m/>
    <m/>
    <m/>
    <n v="2898"/>
    <m/>
    <m/>
    <m/>
    <m/>
    <m/>
    <m/>
    <m/>
    <m/>
    <m/>
    <m/>
    <m/>
    <s v="Michelle"/>
    <s v="$10,000 from Nicaragua delegation for procurement of relief supplies.  $50,000 from OFDA for Honduras. (The 1,000 families assisted were in Honduras through the Emergency Food Rations) "/>
  </r>
  <r>
    <m/>
    <n v="60"/>
    <x v="72"/>
    <x v="30"/>
    <x v="6"/>
    <x v="10"/>
    <m/>
    <n v="2001"/>
    <n v="24"/>
    <x v="2"/>
    <x v="52"/>
    <m/>
    <s v="Storm"/>
    <s v="Tropical Cyclone"/>
    <s v="Tropical Storm"/>
    <m/>
    <m/>
    <m/>
    <m/>
    <m/>
    <m/>
    <m/>
    <m/>
    <m/>
    <m/>
    <m/>
    <m/>
    <m/>
    <m/>
    <m/>
    <m/>
    <m/>
    <n v="0"/>
    <m/>
    <m/>
    <m/>
    <m/>
    <m/>
    <m/>
    <m/>
    <m/>
    <m/>
    <m/>
    <m/>
    <m/>
    <m/>
    <m/>
    <m/>
    <m/>
    <m/>
    <m/>
    <m/>
    <m/>
    <n v="0"/>
    <m/>
    <m/>
    <m/>
    <x v="7"/>
    <s v="Y"/>
    <m/>
    <m/>
    <m/>
    <m/>
    <n v="2898"/>
    <m/>
    <m/>
    <m/>
    <m/>
    <m/>
    <m/>
    <m/>
    <m/>
    <m/>
    <m/>
    <m/>
    <s v="Michelle"/>
    <m/>
  </r>
  <r>
    <m/>
    <n v="60"/>
    <x v="73"/>
    <x v="30"/>
    <x v="6"/>
    <x v="10"/>
    <m/>
    <n v="2001"/>
    <n v="24"/>
    <x v="2"/>
    <x v="53"/>
    <m/>
    <s v="Storm"/>
    <s v="Tropical Cyclone"/>
    <s v="Tropical Storm"/>
    <m/>
    <m/>
    <m/>
    <m/>
    <m/>
    <m/>
    <m/>
    <m/>
    <m/>
    <m/>
    <m/>
    <m/>
    <m/>
    <m/>
    <m/>
    <n v="5000"/>
    <m/>
    <n v="5000"/>
    <m/>
    <m/>
    <m/>
    <m/>
    <m/>
    <m/>
    <m/>
    <m/>
    <m/>
    <m/>
    <m/>
    <m/>
    <m/>
    <m/>
    <m/>
    <m/>
    <m/>
    <m/>
    <m/>
    <m/>
    <n v="5000"/>
    <m/>
    <m/>
    <m/>
    <x v="46"/>
    <s v="Y"/>
    <m/>
    <m/>
    <m/>
    <m/>
    <n v="2898"/>
    <m/>
    <m/>
    <m/>
    <m/>
    <m/>
    <m/>
    <m/>
    <m/>
    <m/>
    <m/>
    <m/>
    <s v="Michelle"/>
    <m/>
  </r>
  <r>
    <m/>
    <n v="61"/>
    <x v="13"/>
    <x v="30"/>
    <x v="6"/>
    <x v="11"/>
    <m/>
    <n v="2001"/>
    <n v="25"/>
    <x v="2"/>
    <x v="9"/>
    <m/>
    <s v="Storm"/>
    <s v="Tropical Cyclone"/>
    <s v="Tropical Storm"/>
    <m/>
    <m/>
    <m/>
    <m/>
    <m/>
    <m/>
    <m/>
    <m/>
    <m/>
    <m/>
    <m/>
    <m/>
    <m/>
    <m/>
    <m/>
    <n v="5000"/>
    <m/>
    <n v="5000"/>
    <n v="0"/>
    <m/>
    <m/>
    <m/>
    <m/>
    <m/>
    <m/>
    <m/>
    <m/>
    <m/>
    <m/>
    <m/>
    <m/>
    <m/>
    <m/>
    <m/>
    <m/>
    <m/>
    <m/>
    <m/>
    <n v="5000"/>
    <m/>
    <m/>
    <m/>
    <x v="46"/>
    <s v="Y"/>
    <m/>
    <m/>
    <m/>
    <m/>
    <n v="2898"/>
    <m/>
    <m/>
    <m/>
    <m/>
    <m/>
    <m/>
    <m/>
    <m/>
    <m/>
    <m/>
    <m/>
    <s v="Michelle"/>
    <m/>
  </r>
  <r>
    <m/>
    <n v="62"/>
    <x v="74"/>
    <x v="30"/>
    <x v="6"/>
    <x v="12"/>
    <m/>
    <n v="2001"/>
    <n v="26"/>
    <x v="4"/>
    <x v="51"/>
    <m/>
    <s v="Transport"/>
    <s v="Air"/>
    <s v="Air"/>
    <m/>
    <m/>
    <m/>
    <m/>
    <m/>
    <m/>
    <m/>
    <m/>
    <m/>
    <m/>
    <m/>
    <m/>
    <m/>
    <m/>
    <m/>
    <m/>
    <m/>
    <n v="0"/>
    <n v="5"/>
    <m/>
    <m/>
    <m/>
    <m/>
    <m/>
    <m/>
    <m/>
    <m/>
    <m/>
    <m/>
    <m/>
    <m/>
    <m/>
    <m/>
    <m/>
    <m/>
    <m/>
    <n v="0"/>
    <n v="500"/>
    <n v="500"/>
    <m/>
    <m/>
    <m/>
    <x v="47"/>
    <s v="Y"/>
    <m/>
    <m/>
    <m/>
    <m/>
    <n v="2680"/>
    <m/>
    <m/>
    <m/>
    <m/>
    <m/>
    <m/>
    <m/>
    <m/>
    <m/>
    <m/>
    <m/>
    <s v="AA #587"/>
    <s v="Crash of AA 587 to D.R.  Beneficiaries calculated at 5 family members per each 260 families assisted."/>
  </r>
  <r>
    <m/>
    <n v="63"/>
    <x v="75"/>
    <x v="31"/>
    <x v="6"/>
    <x v="13"/>
    <m/>
    <n v="2002"/>
    <n v="1"/>
    <x v="3"/>
    <x v="7"/>
    <m/>
    <s v="Miscellaneous"/>
    <s v="Fire"/>
    <s v="Urban Fire"/>
    <m/>
    <m/>
    <m/>
    <m/>
    <m/>
    <m/>
    <m/>
    <m/>
    <m/>
    <m/>
    <m/>
    <m/>
    <m/>
    <m/>
    <m/>
    <m/>
    <m/>
    <n v="0"/>
    <m/>
    <m/>
    <m/>
    <m/>
    <m/>
    <m/>
    <m/>
    <m/>
    <m/>
    <m/>
    <m/>
    <m/>
    <m/>
    <m/>
    <m/>
    <m/>
    <m/>
    <m/>
    <n v="10000"/>
    <m/>
    <n v="10000"/>
    <m/>
    <m/>
    <n v="2079"/>
    <x v="6"/>
    <s v="Y"/>
    <m/>
    <m/>
    <m/>
    <m/>
    <n v="2898"/>
    <m/>
    <m/>
    <m/>
    <m/>
    <m/>
    <m/>
    <m/>
    <m/>
    <m/>
    <m/>
    <m/>
    <s v="Phnom Penh"/>
    <m/>
  </r>
  <r>
    <m/>
    <n v="64"/>
    <x v="76"/>
    <x v="31"/>
    <x v="6"/>
    <x v="14"/>
    <m/>
    <n v="2002"/>
    <n v="2"/>
    <x v="3"/>
    <x v="54"/>
    <m/>
    <s v="Storm"/>
    <s v="Winter Emergency"/>
    <m/>
    <m/>
    <m/>
    <m/>
    <m/>
    <m/>
    <m/>
    <m/>
    <m/>
    <m/>
    <m/>
    <m/>
    <m/>
    <m/>
    <m/>
    <m/>
    <m/>
    <m/>
    <n v="0"/>
    <n v="1"/>
    <m/>
    <m/>
    <m/>
    <m/>
    <m/>
    <m/>
    <m/>
    <m/>
    <m/>
    <m/>
    <m/>
    <m/>
    <m/>
    <m/>
    <m/>
    <m/>
    <m/>
    <n v="71832"/>
    <m/>
    <n v="71832"/>
    <m/>
    <m/>
    <n v="20000"/>
    <x v="48"/>
    <s v="Y"/>
    <m/>
    <m/>
    <m/>
    <m/>
    <n v="2898"/>
    <m/>
    <m/>
    <m/>
    <m/>
    <m/>
    <m/>
    <m/>
    <m/>
    <m/>
    <m/>
    <m/>
    <m/>
    <s v="Beneficiaries calculated at 5 family members per the 4,000 families assisted."/>
  </r>
  <r>
    <m/>
    <n v="65"/>
    <x v="77"/>
    <x v="31"/>
    <x v="6"/>
    <x v="15"/>
    <m/>
    <n v="2002"/>
    <n v="3"/>
    <x v="1"/>
    <x v="55"/>
    <m/>
    <s v="Volcano"/>
    <s v="Volcanic Eruption"/>
    <s v="Volcanic Eruption"/>
    <m/>
    <m/>
    <m/>
    <m/>
    <m/>
    <m/>
    <m/>
    <m/>
    <m/>
    <m/>
    <m/>
    <m/>
    <n v="0"/>
    <n v="25000"/>
    <m/>
    <m/>
    <m/>
    <n v="25000"/>
    <m/>
    <m/>
    <m/>
    <m/>
    <m/>
    <m/>
    <m/>
    <m/>
    <m/>
    <m/>
    <m/>
    <m/>
    <m/>
    <m/>
    <m/>
    <m/>
    <m/>
    <m/>
    <n v="20000"/>
    <m/>
    <n v="45000"/>
    <m/>
    <m/>
    <n v="30000"/>
    <x v="49"/>
    <s v="Y"/>
    <m/>
    <m/>
    <m/>
    <m/>
    <n v="2681"/>
    <m/>
    <m/>
    <m/>
    <m/>
    <m/>
    <m/>
    <m/>
    <m/>
    <m/>
    <m/>
    <m/>
    <s v="North Kivu"/>
    <s v="3 NEHK (approx. value $20,000 incl. transport) = 30,000 people for 3 months."/>
  </r>
  <r>
    <m/>
    <n v="66"/>
    <x v="78"/>
    <x v="31"/>
    <x v="6"/>
    <x v="17"/>
    <m/>
    <n v="2002"/>
    <n v="5"/>
    <x v="1"/>
    <x v="56"/>
    <m/>
    <s v="Industrial"/>
    <s v="Explosion"/>
    <s v="Explosion"/>
    <m/>
    <m/>
    <m/>
    <m/>
    <m/>
    <m/>
    <m/>
    <m/>
    <m/>
    <m/>
    <m/>
    <m/>
    <n v="0"/>
    <n v="21612.23"/>
    <m/>
    <m/>
    <m/>
    <n v="21612.23"/>
    <m/>
    <m/>
    <m/>
    <m/>
    <m/>
    <m/>
    <m/>
    <m/>
    <m/>
    <m/>
    <m/>
    <m/>
    <m/>
    <m/>
    <m/>
    <m/>
    <m/>
    <m/>
    <m/>
    <m/>
    <n v="21612.23"/>
    <m/>
    <m/>
    <n v="677.77942515832501"/>
    <x v="50"/>
    <s v="Y"/>
    <m/>
    <m/>
    <m/>
    <m/>
    <n v="2682"/>
    <m/>
    <m/>
    <m/>
    <m/>
    <m/>
    <m/>
    <m/>
    <m/>
    <m/>
    <m/>
    <m/>
    <s v="Munitions Explosion"/>
    <s v="$20,000 Citicorp donation; $1,612.23 PMN sent to Federation 22 August 03"/>
  </r>
  <r>
    <m/>
    <n v="67"/>
    <x v="9"/>
    <x v="32"/>
    <x v="6"/>
    <x v="16"/>
    <m/>
    <n v="2002"/>
    <n v="4"/>
    <x v="3"/>
    <x v="5"/>
    <m/>
    <s v="Earthquake"/>
    <s v="Earthquake"/>
    <s v="Earthquake"/>
    <m/>
    <m/>
    <m/>
    <m/>
    <m/>
    <m/>
    <m/>
    <m/>
    <m/>
    <m/>
    <m/>
    <m/>
    <m/>
    <m/>
    <m/>
    <m/>
    <m/>
    <n v="0"/>
    <n v="1"/>
    <m/>
    <m/>
    <m/>
    <m/>
    <m/>
    <m/>
    <m/>
    <m/>
    <m/>
    <m/>
    <m/>
    <m/>
    <m/>
    <m/>
    <m/>
    <m/>
    <m/>
    <n v="350424.24"/>
    <m/>
    <n v="350424.24"/>
    <m/>
    <m/>
    <n v="49315"/>
    <x v="51"/>
    <s v="Y"/>
    <m/>
    <m/>
    <m/>
    <m/>
    <n v="2814"/>
    <m/>
    <m/>
    <m/>
    <m/>
    <m/>
    <m/>
    <m/>
    <m/>
    <m/>
    <m/>
    <m/>
    <m/>
    <m/>
  </r>
  <r>
    <m/>
    <n v="68"/>
    <x v="48"/>
    <x v="33"/>
    <x v="6"/>
    <x v="18"/>
    <m/>
    <n v="2002"/>
    <n v="6"/>
    <x v="2"/>
    <x v="38"/>
    <m/>
    <s v="Floods"/>
    <s v="General Floods"/>
    <s v="General Floods"/>
    <m/>
    <m/>
    <m/>
    <m/>
    <m/>
    <m/>
    <m/>
    <m/>
    <m/>
    <m/>
    <m/>
    <m/>
    <m/>
    <m/>
    <m/>
    <n v="11700"/>
    <m/>
    <n v="11700"/>
    <m/>
    <m/>
    <m/>
    <m/>
    <m/>
    <m/>
    <m/>
    <m/>
    <m/>
    <m/>
    <m/>
    <m/>
    <m/>
    <m/>
    <m/>
    <m/>
    <m/>
    <m/>
    <m/>
    <m/>
    <n v="11700"/>
    <m/>
    <m/>
    <n v="300"/>
    <x v="52"/>
    <s v="Y"/>
    <m/>
    <m/>
    <m/>
    <m/>
    <n v="2898"/>
    <m/>
    <m/>
    <m/>
    <m/>
    <m/>
    <m/>
    <m/>
    <m/>
    <m/>
    <m/>
    <m/>
    <m/>
    <m/>
  </r>
  <r>
    <m/>
    <n v="69"/>
    <x v="79"/>
    <x v="33"/>
    <x v="6"/>
    <x v="19"/>
    <m/>
    <n v="2002"/>
    <n v="7"/>
    <x v="3"/>
    <x v="46"/>
    <m/>
    <s v="Earthquake"/>
    <s v="Earthquake"/>
    <s v="Earthquake"/>
    <m/>
    <m/>
    <m/>
    <m/>
    <m/>
    <m/>
    <m/>
    <m/>
    <m/>
    <m/>
    <m/>
    <m/>
    <m/>
    <m/>
    <n v="104805"/>
    <m/>
    <m/>
    <n v="104805"/>
    <n v="2"/>
    <m/>
    <m/>
    <m/>
    <m/>
    <m/>
    <m/>
    <m/>
    <m/>
    <m/>
    <m/>
    <m/>
    <m/>
    <m/>
    <m/>
    <m/>
    <m/>
    <m/>
    <m/>
    <m/>
    <n v="104805"/>
    <m/>
    <m/>
    <n v="19678.7"/>
    <x v="53"/>
    <s v="Y"/>
    <m/>
    <m/>
    <m/>
    <m/>
    <n v="2876"/>
    <m/>
    <m/>
    <m/>
    <m/>
    <m/>
    <m/>
    <m/>
    <m/>
    <m/>
    <m/>
    <m/>
    <m/>
    <s v="NEHK for Mazar e Sharif "/>
  </r>
  <r>
    <m/>
    <n v="70"/>
    <x v="36"/>
    <x v="34"/>
    <x v="6"/>
    <x v="23"/>
    <m/>
    <n v="2002"/>
    <n v="8"/>
    <x v="3"/>
    <x v="30"/>
    <m/>
    <s v="Conflict"/>
    <s v="Conflict"/>
    <s v="Conflict"/>
    <m/>
    <m/>
    <m/>
    <m/>
    <m/>
    <m/>
    <m/>
    <m/>
    <m/>
    <m/>
    <m/>
    <m/>
    <n v="0"/>
    <n v="25000"/>
    <m/>
    <n v="200000"/>
    <m/>
    <n v="225000"/>
    <n v="1"/>
    <m/>
    <m/>
    <m/>
    <m/>
    <m/>
    <m/>
    <m/>
    <m/>
    <m/>
    <m/>
    <m/>
    <m/>
    <m/>
    <m/>
    <m/>
    <m/>
    <m/>
    <m/>
    <m/>
    <n v="225000"/>
    <m/>
    <m/>
    <m/>
    <x v="54"/>
    <s v="Y"/>
    <m/>
    <m/>
    <m/>
    <m/>
    <n v="2898"/>
    <m/>
    <m/>
    <m/>
    <m/>
    <m/>
    <m/>
    <m/>
    <m/>
    <m/>
    <m/>
    <m/>
    <m/>
    <s v="Second Installment for ICU sent in Nov 2002"/>
  </r>
  <r>
    <m/>
    <n v="71"/>
    <x v="80"/>
    <x v="35"/>
    <x v="6"/>
    <x v="20"/>
    <m/>
    <n v="2002"/>
    <n v="9"/>
    <x v="2"/>
    <x v="57"/>
    <m/>
    <s v="Floods"/>
    <s v="General Floods"/>
    <s v="General Floods"/>
    <m/>
    <m/>
    <m/>
    <m/>
    <m/>
    <m/>
    <m/>
    <m/>
    <m/>
    <m/>
    <m/>
    <m/>
    <m/>
    <m/>
    <m/>
    <n v="2000"/>
    <m/>
    <n v="2000"/>
    <m/>
    <m/>
    <m/>
    <m/>
    <m/>
    <m/>
    <m/>
    <m/>
    <m/>
    <m/>
    <m/>
    <m/>
    <m/>
    <m/>
    <m/>
    <m/>
    <m/>
    <m/>
    <m/>
    <m/>
    <n v="2000"/>
    <m/>
    <m/>
    <m/>
    <x v="55"/>
    <s v="Y"/>
    <m/>
    <m/>
    <m/>
    <m/>
    <n v="2898"/>
    <m/>
    <m/>
    <m/>
    <m/>
    <m/>
    <m/>
    <m/>
    <m/>
    <m/>
    <m/>
    <m/>
    <m/>
    <m/>
  </r>
  <r>
    <m/>
    <n v="71"/>
    <x v="7"/>
    <x v="35"/>
    <x v="6"/>
    <x v="20"/>
    <m/>
    <n v="2002"/>
    <n v="9"/>
    <x v="2"/>
    <x v="3"/>
    <m/>
    <s v="Floods"/>
    <s v="General Floods"/>
    <s v="General Floods"/>
    <m/>
    <m/>
    <m/>
    <m/>
    <m/>
    <m/>
    <m/>
    <m/>
    <m/>
    <m/>
    <m/>
    <m/>
    <m/>
    <m/>
    <m/>
    <n v="2000"/>
    <m/>
    <n v="2000"/>
    <m/>
    <m/>
    <m/>
    <m/>
    <m/>
    <m/>
    <m/>
    <m/>
    <m/>
    <m/>
    <m/>
    <m/>
    <m/>
    <m/>
    <m/>
    <m/>
    <m/>
    <m/>
    <m/>
    <m/>
    <n v="2000"/>
    <m/>
    <m/>
    <n v="0"/>
    <x v="55"/>
    <s v="Y"/>
    <m/>
    <m/>
    <m/>
    <m/>
    <n v="2898"/>
    <m/>
    <m/>
    <m/>
    <m/>
    <m/>
    <m/>
    <m/>
    <m/>
    <m/>
    <m/>
    <m/>
    <m/>
    <m/>
  </r>
  <r>
    <m/>
    <n v="72"/>
    <x v="81"/>
    <x v="35"/>
    <x v="6"/>
    <x v="21"/>
    <m/>
    <n v="2002"/>
    <n v="10"/>
    <x v="1"/>
    <x v="58"/>
    <m/>
    <s v="Floods"/>
    <s v="General Floods"/>
    <s v="General Floods"/>
    <m/>
    <m/>
    <m/>
    <m/>
    <m/>
    <m/>
    <m/>
    <m/>
    <m/>
    <m/>
    <m/>
    <m/>
    <n v="0"/>
    <n v="10000"/>
    <m/>
    <m/>
    <m/>
    <n v="10000"/>
    <m/>
    <m/>
    <m/>
    <m/>
    <m/>
    <m/>
    <m/>
    <m/>
    <m/>
    <m/>
    <m/>
    <m/>
    <m/>
    <m/>
    <m/>
    <m/>
    <m/>
    <m/>
    <m/>
    <m/>
    <n v="10000"/>
    <m/>
    <m/>
    <n v="1160.6960462049883"/>
    <x v="6"/>
    <s v="Y"/>
    <m/>
    <m/>
    <m/>
    <m/>
    <n v="2898"/>
    <m/>
    <m/>
    <m/>
    <m/>
    <m/>
    <m/>
    <m/>
    <m/>
    <m/>
    <m/>
    <m/>
    <m/>
    <m/>
  </r>
  <r>
    <m/>
    <n v="73"/>
    <x v="82"/>
    <x v="35"/>
    <x v="6"/>
    <x v="22"/>
    <m/>
    <n v="2002"/>
    <n v="11"/>
    <x v="1"/>
    <x v="37"/>
    <m/>
    <s v="Food Insecurity"/>
    <s v="Food Insecurity"/>
    <s v="Food Insecurity"/>
    <m/>
    <m/>
    <m/>
    <m/>
    <m/>
    <m/>
    <m/>
    <m/>
    <m/>
    <m/>
    <m/>
    <m/>
    <m/>
    <m/>
    <m/>
    <m/>
    <m/>
    <n v="0"/>
    <n v="3"/>
    <m/>
    <m/>
    <m/>
    <m/>
    <m/>
    <m/>
    <m/>
    <m/>
    <m/>
    <m/>
    <m/>
    <m/>
    <m/>
    <m/>
    <m/>
    <m/>
    <m/>
    <m/>
    <n v="100000"/>
    <n v="100000"/>
    <m/>
    <m/>
    <n v="96000"/>
    <x v="5"/>
    <s v="Y"/>
    <m/>
    <m/>
    <m/>
    <m/>
    <n v="2683"/>
    <m/>
    <m/>
    <m/>
    <m/>
    <m/>
    <m/>
    <m/>
    <m/>
    <m/>
    <m/>
    <m/>
    <m/>
    <m/>
  </r>
  <r>
    <m/>
    <n v="74"/>
    <x v="83"/>
    <x v="36"/>
    <x v="6"/>
    <x v="24"/>
    <m/>
    <n v="2002"/>
    <n v="12"/>
    <x v="2"/>
    <x v="6"/>
    <m/>
    <s v="Floods"/>
    <s v="General Floods"/>
    <s v="General Floods"/>
    <m/>
    <m/>
    <m/>
    <m/>
    <m/>
    <m/>
    <m/>
    <m/>
    <m/>
    <m/>
    <m/>
    <m/>
    <m/>
    <m/>
    <m/>
    <m/>
    <m/>
    <n v="0"/>
    <n v="1"/>
    <m/>
    <m/>
    <m/>
    <m/>
    <m/>
    <m/>
    <m/>
    <m/>
    <m/>
    <m/>
    <m/>
    <m/>
    <m/>
    <m/>
    <m/>
    <m/>
    <m/>
    <m/>
    <m/>
    <n v="0"/>
    <m/>
    <m/>
    <n v="0"/>
    <x v="7"/>
    <s v="Y"/>
    <m/>
    <m/>
    <m/>
    <m/>
    <n v="2821"/>
    <m/>
    <m/>
    <m/>
    <m/>
    <m/>
    <m/>
    <m/>
    <m/>
    <m/>
    <m/>
    <m/>
    <m/>
    <s v="supervised dist. of $50,000 of supplies given to NRC by USAID"/>
  </r>
  <r>
    <m/>
    <n v="75"/>
    <x v="84"/>
    <x v="36"/>
    <x v="6"/>
    <x v="25"/>
    <m/>
    <n v="2002"/>
    <n v="13"/>
    <x v="3"/>
    <x v="59"/>
    <m/>
    <s v="Miscellaneous"/>
    <s v="Collapse"/>
    <s v="Collapse"/>
    <m/>
    <m/>
    <m/>
    <m/>
    <m/>
    <m/>
    <m/>
    <m/>
    <m/>
    <m/>
    <m/>
    <m/>
    <n v="0"/>
    <n v="10000"/>
    <m/>
    <m/>
    <m/>
    <n v="10000"/>
    <m/>
    <m/>
    <m/>
    <m/>
    <m/>
    <m/>
    <m/>
    <m/>
    <m/>
    <m/>
    <m/>
    <m/>
    <m/>
    <m/>
    <m/>
    <m/>
    <m/>
    <m/>
    <m/>
    <m/>
    <n v="10000"/>
    <m/>
    <m/>
    <n v="216.21621621621622"/>
    <x v="6"/>
    <s v="Y"/>
    <m/>
    <m/>
    <m/>
    <m/>
    <n v="2898"/>
    <m/>
    <m/>
    <m/>
    <m/>
    <m/>
    <m/>
    <m/>
    <m/>
    <m/>
    <m/>
    <m/>
    <s v="Dam Burst"/>
    <s v="Federation appeal15/2002 - Zeyzoun Dam Collapse"/>
  </r>
  <r>
    <m/>
    <n v="76"/>
    <x v="8"/>
    <x v="36"/>
    <x v="6"/>
    <x v="26"/>
    <m/>
    <n v="2002"/>
    <n v="14"/>
    <x v="3"/>
    <x v="4"/>
    <m/>
    <s v="Floods"/>
    <s v="General Floods"/>
    <s v="General Floods"/>
    <m/>
    <m/>
    <m/>
    <m/>
    <m/>
    <m/>
    <m/>
    <m/>
    <m/>
    <m/>
    <m/>
    <m/>
    <m/>
    <m/>
    <m/>
    <n v="75000"/>
    <m/>
    <n v="75000"/>
    <m/>
    <m/>
    <m/>
    <m/>
    <m/>
    <m/>
    <m/>
    <m/>
    <m/>
    <m/>
    <m/>
    <m/>
    <m/>
    <m/>
    <m/>
    <m/>
    <m/>
    <m/>
    <m/>
    <m/>
    <n v="75000"/>
    <m/>
    <m/>
    <n v="2243.493867783428"/>
    <x v="56"/>
    <s v="Y"/>
    <m/>
    <m/>
    <m/>
    <m/>
    <n v="2060"/>
    <m/>
    <m/>
    <m/>
    <m/>
    <m/>
    <m/>
    <m/>
    <m/>
    <m/>
    <m/>
    <m/>
    <m/>
    <s v="Federation appeal 16/2002; $75,000 from Region"/>
  </r>
  <r>
    <m/>
    <n v="76"/>
    <x v="8"/>
    <x v="36"/>
    <x v="6"/>
    <x v="26"/>
    <m/>
    <n v="2002"/>
    <n v="14"/>
    <x v="3"/>
    <x v="4"/>
    <m/>
    <s v="Floods"/>
    <s v="General Floods"/>
    <s v="General Floods"/>
    <m/>
    <m/>
    <m/>
    <m/>
    <m/>
    <m/>
    <m/>
    <m/>
    <m/>
    <m/>
    <m/>
    <m/>
    <m/>
    <m/>
    <m/>
    <n v="25000"/>
    <m/>
    <n v="25000"/>
    <m/>
    <m/>
    <m/>
    <m/>
    <m/>
    <m/>
    <m/>
    <m/>
    <m/>
    <m/>
    <m/>
    <m/>
    <m/>
    <m/>
    <m/>
    <m/>
    <m/>
    <m/>
    <m/>
    <m/>
    <n v="25000"/>
    <m/>
    <m/>
    <m/>
    <x v="8"/>
    <s v="Y"/>
    <m/>
    <m/>
    <m/>
    <m/>
    <n v="2898"/>
    <m/>
    <m/>
    <m/>
    <m/>
    <m/>
    <m/>
    <m/>
    <m/>
    <m/>
    <m/>
    <m/>
    <m/>
    <m/>
  </r>
  <r>
    <m/>
    <n v="76"/>
    <x v="8"/>
    <x v="36"/>
    <x v="6"/>
    <x v="26"/>
    <m/>
    <n v="2002"/>
    <n v="14"/>
    <x v="3"/>
    <x v="4"/>
    <m/>
    <s v="Floods"/>
    <s v="General Floods"/>
    <s v="General Floods"/>
    <m/>
    <m/>
    <m/>
    <m/>
    <m/>
    <m/>
    <m/>
    <m/>
    <m/>
    <m/>
    <m/>
    <m/>
    <m/>
    <m/>
    <m/>
    <n v="100000"/>
    <m/>
    <n v="100000"/>
    <m/>
    <m/>
    <m/>
    <m/>
    <m/>
    <m/>
    <m/>
    <m/>
    <m/>
    <m/>
    <m/>
    <m/>
    <m/>
    <m/>
    <m/>
    <m/>
    <m/>
    <m/>
    <m/>
    <m/>
    <n v="100000"/>
    <m/>
    <m/>
    <m/>
    <x v="5"/>
    <s v="N"/>
    <m/>
    <m/>
    <m/>
    <m/>
    <n v="2099"/>
    <m/>
    <m/>
    <m/>
    <m/>
    <m/>
    <m/>
    <m/>
    <m/>
    <m/>
    <m/>
    <m/>
    <m/>
    <s v="$100,000 from Phillip Morris (AP 2099) in October 2002"/>
  </r>
  <r>
    <m/>
    <n v="77"/>
    <x v="51"/>
    <x v="37"/>
    <x v="7"/>
    <x v="1"/>
    <m/>
    <n v="2002"/>
    <n v="15"/>
    <x v="3"/>
    <x v="12"/>
    <m/>
    <s v="Floods"/>
    <s v="General Floods"/>
    <s v="General Floods"/>
    <m/>
    <m/>
    <m/>
    <m/>
    <m/>
    <m/>
    <m/>
    <m/>
    <m/>
    <m/>
    <m/>
    <m/>
    <m/>
    <m/>
    <m/>
    <n v="50000"/>
    <m/>
    <n v="50000"/>
    <n v="1"/>
    <m/>
    <m/>
    <m/>
    <m/>
    <m/>
    <m/>
    <m/>
    <m/>
    <m/>
    <m/>
    <m/>
    <m/>
    <m/>
    <m/>
    <m/>
    <m/>
    <m/>
    <m/>
    <m/>
    <n v="50000"/>
    <m/>
    <m/>
    <n v="5000"/>
    <x v="16"/>
    <s v="Y"/>
    <m/>
    <m/>
    <m/>
    <m/>
    <n v="2664"/>
    <m/>
    <m/>
    <m/>
    <m/>
    <m/>
    <m/>
    <m/>
    <m/>
    <m/>
    <m/>
    <m/>
    <m/>
    <s v="Dagestan:  IRT Ramsey Rayyis; Federation Appeal 20/2002; grant from US Embassy in Moscow"/>
  </r>
  <r>
    <m/>
    <n v="78"/>
    <x v="85"/>
    <x v="37"/>
    <x v="7"/>
    <x v="2"/>
    <m/>
    <n v="2002"/>
    <n v="16"/>
    <x v="3"/>
    <x v="60"/>
    <m/>
    <s v="Storm"/>
    <s v="Tropical Cyclone"/>
    <s v="Typhoon"/>
    <m/>
    <m/>
    <m/>
    <m/>
    <m/>
    <m/>
    <m/>
    <m/>
    <m/>
    <m/>
    <m/>
    <m/>
    <m/>
    <m/>
    <m/>
    <m/>
    <m/>
    <n v="0"/>
    <m/>
    <m/>
    <m/>
    <m/>
    <m/>
    <m/>
    <m/>
    <m/>
    <m/>
    <m/>
    <m/>
    <m/>
    <m/>
    <m/>
    <m/>
    <m/>
    <m/>
    <m/>
    <n v="10000"/>
    <m/>
    <n v="10000"/>
    <m/>
    <m/>
    <n v="1000"/>
    <x v="6"/>
    <s v="Y"/>
    <m/>
    <m/>
    <m/>
    <m/>
    <n v="2898"/>
    <m/>
    <m/>
    <m/>
    <m/>
    <m/>
    <m/>
    <m/>
    <m/>
    <m/>
    <m/>
    <m/>
    <s v="Chata'an"/>
    <s v="Replenished Supplies sent from ARC/Saipan"/>
  </r>
  <r>
    <m/>
    <n v="79"/>
    <x v="86"/>
    <x v="37"/>
    <x v="7"/>
    <x v="3"/>
    <m/>
    <n v="2002"/>
    <n v="17"/>
    <x v="2"/>
    <x v="39"/>
    <m/>
    <s v="Storm"/>
    <s v="Winter Storm"/>
    <s v="Snowstorm"/>
    <m/>
    <m/>
    <m/>
    <m/>
    <m/>
    <m/>
    <m/>
    <m/>
    <m/>
    <m/>
    <m/>
    <m/>
    <n v="0"/>
    <n v="5000"/>
    <m/>
    <m/>
    <m/>
    <n v="5000"/>
    <m/>
    <m/>
    <m/>
    <m/>
    <m/>
    <m/>
    <m/>
    <m/>
    <m/>
    <m/>
    <m/>
    <m/>
    <m/>
    <m/>
    <m/>
    <m/>
    <m/>
    <m/>
    <m/>
    <m/>
    <n v="5000"/>
    <m/>
    <m/>
    <m/>
    <x v="46"/>
    <s v="Y"/>
    <m/>
    <m/>
    <m/>
    <m/>
    <n v="2898"/>
    <m/>
    <m/>
    <m/>
    <m/>
    <m/>
    <m/>
    <m/>
    <m/>
    <m/>
    <m/>
    <m/>
    <m/>
    <s v="DREF Replenishment"/>
  </r>
  <r>
    <m/>
    <n v="80"/>
    <x v="87"/>
    <x v="37"/>
    <x v="7"/>
    <x v="4"/>
    <m/>
    <n v="2002"/>
    <n v="18"/>
    <x v="2"/>
    <x v="38"/>
    <m/>
    <s v="Storm"/>
    <s v="Winter Storm"/>
    <s v="Snowstorm"/>
    <m/>
    <m/>
    <m/>
    <m/>
    <m/>
    <m/>
    <m/>
    <m/>
    <m/>
    <m/>
    <m/>
    <m/>
    <n v="0"/>
    <n v="5000"/>
    <m/>
    <m/>
    <m/>
    <n v="5000"/>
    <m/>
    <m/>
    <m/>
    <m/>
    <m/>
    <m/>
    <m/>
    <m/>
    <m/>
    <m/>
    <m/>
    <m/>
    <m/>
    <m/>
    <m/>
    <m/>
    <m/>
    <m/>
    <m/>
    <m/>
    <n v="5000"/>
    <m/>
    <m/>
    <m/>
    <x v="46"/>
    <s v="Y"/>
    <m/>
    <m/>
    <m/>
    <m/>
    <n v="2898"/>
    <m/>
    <m/>
    <m/>
    <m/>
    <m/>
    <m/>
    <m/>
    <m/>
    <m/>
    <m/>
    <m/>
    <m/>
    <s v="DREF Replenishment"/>
  </r>
  <r>
    <m/>
    <n v="81"/>
    <x v="27"/>
    <x v="37"/>
    <x v="7"/>
    <x v="5"/>
    <m/>
    <n v="2002"/>
    <n v="19"/>
    <x v="2"/>
    <x v="22"/>
    <m/>
    <s v="Floods"/>
    <s v="General Floods"/>
    <s v="General Floods"/>
    <m/>
    <m/>
    <m/>
    <m/>
    <m/>
    <m/>
    <m/>
    <m/>
    <m/>
    <m/>
    <m/>
    <m/>
    <m/>
    <m/>
    <m/>
    <n v="50000"/>
    <m/>
    <n v="50000"/>
    <n v="1"/>
    <m/>
    <m/>
    <m/>
    <m/>
    <m/>
    <m/>
    <m/>
    <m/>
    <m/>
    <m/>
    <m/>
    <m/>
    <m/>
    <m/>
    <m/>
    <m/>
    <m/>
    <m/>
    <m/>
    <n v="50000"/>
    <m/>
    <m/>
    <n v="3840"/>
    <x v="16"/>
    <s v="Y"/>
    <m/>
    <m/>
    <m/>
    <m/>
    <n v="2912"/>
    <m/>
    <m/>
    <m/>
    <m/>
    <m/>
    <m/>
    <m/>
    <m/>
    <m/>
    <m/>
    <m/>
    <m/>
    <s v="Funds provided by US Embassy; program implemented by Delegates/IRT members based in Caracas"/>
  </r>
  <r>
    <m/>
    <n v="82"/>
    <x v="33"/>
    <x v="38"/>
    <x v="7"/>
    <x v="6"/>
    <m/>
    <n v="2002"/>
    <n v="20"/>
    <x v="3"/>
    <x v="15"/>
    <m/>
    <s v="Floods"/>
    <s v="General Floods"/>
    <s v="General Floods"/>
    <m/>
    <m/>
    <m/>
    <m/>
    <m/>
    <m/>
    <m/>
    <m/>
    <m/>
    <m/>
    <m/>
    <m/>
    <n v="1"/>
    <n v="66918.959999999992"/>
    <m/>
    <m/>
    <m/>
    <n v="66918.959999999992"/>
    <n v="7"/>
    <m/>
    <m/>
    <n v="2900"/>
    <m/>
    <m/>
    <m/>
    <m/>
    <m/>
    <m/>
    <m/>
    <m/>
    <m/>
    <m/>
    <m/>
    <m/>
    <m/>
    <m/>
    <n v="122911.16"/>
    <n v="42422.75"/>
    <n v="232252.87"/>
    <m/>
    <m/>
    <n v="36500"/>
    <x v="57"/>
    <s v="Y"/>
    <m/>
    <m/>
    <m/>
    <m/>
    <n v="2954"/>
    <m/>
    <m/>
    <m/>
    <m/>
    <m/>
    <m/>
    <m/>
    <m/>
    <m/>
    <m/>
    <m/>
    <m/>
    <s v="2,900 Family Kits @ $35.88 each; 2 WHO NEHK; 2 WHO Cholera Kits; Flood Mitigation in Assam and Bihar thru Appeal."/>
  </r>
  <r>
    <m/>
    <n v="83"/>
    <x v="88"/>
    <x v="38"/>
    <x v="7"/>
    <x v="7"/>
    <m/>
    <n v="2002"/>
    <n v="21"/>
    <x v="3"/>
    <x v="61"/>
    <m/>
    <s v="Floods"/>
    <s v="General Floods"/>
    <s v="General Floods"/>
    <m/>
    <m/>
    <m/>
    <m/>
    <m/>
    <m/>
    <m/>
    <m/>
    <m/>
    <m/>
    <m/>
    <m/>
    <m/>
    <m/>
    <m/>
    <m/>
    <m/>
    <n v="0"/>
    <n v="3"/>
    <m/>
    <m/>
    <n v="14500"/>
    <m/>
    <m/>
    <m/>
    <m/>
    <m/>
    <m/>
    <m/>
    <m/>
    <m/>
    <n v="14500"/>
    <m/>
    <m/>
    <m/>
    <m/>
    <n v="102950"/>
    <n v="12189.84"/>
    <n v="115139.84"/>
    <m/>
    <m/>
    <n v="58000"/>
    <x v="58"/>
    <s v="Y"/>
    <m/>
    <m/>
    <m/>
    <m/>
    <n v="2685"/>
    <m/>
    <m/>
    <m/>
    <m/>
    <m/>
    <m/>
    <m/>
    <m/>
    <m/>
    <m/>
    <m/>
    <m/>
    <s v="ex Sofia"/>
  </r>
  <r>
    <m/>
    <n v="83"/>
    <x v="89"/>
    <x v="38"/>
    <x v="7"/>
    <x v="7"/>
    <m/>
    <n v="2002"/>
    <n v="21"/>
    <x v="3"/>
    <x v="62"/>
    <m/>
    <s v="Floods"/>
    <s v="General Floods"/>
    <s v="General Floods"/>
    <m/>
    <m/>
    <m/>
    <m/>
    <m/>
    <m/>
    <m/>
    <m/>
    <m/>
    <m/>
    <m/>
    <m/>
    <m/>
    <m/>
    <m/>
    <n v="75000"/>
    <m/>
    <n v="75000"/>
    <m/>
    <m/>
    <m/>
    <m/>
    <m/>
    <m/>
    <m/>
    <m/>
    <m/>
    <m/>
    <m/>
    <m/>
    <m/>
    <m/>
    <m/>
    <m/>
    <m/>
    <m/>
    <m/>
    <m/>
    <n v="75000"/>
    <m/>
    <m/>
    <n v="7500"/>
    <x v="56"/>
    <s v="N"/>
    <m/>
    <m/>
    <m/>
    <m/>
    <n v="2099"/>
    <m/>
    <m/>
    <m/>
    <m/>
    <m/>
    <m/>
    <m/>
    <m/>
    <m/>
    <m/>
    <m/>
    <m/>
    <s v="Pass throughs from  Alcoa, AmEx, Citigroup, Levi Strauss"/>
  </r>
  <r>
    <m/>
    <n v="83"/>
    <x v="90"/>
    <x v="38"/>
    <x v="7"/>
    <x v="7"/>
    <m/>
    <n v="2002"/>
    <n v="21"/>
    <x v="3"/>
    <x v="63"/>
    <m/>
    <s v="Floods"/>
    <s v="General Floods"/>
    <s v="General Floods"/>
    <m/>
    <m/>
    <m/>
    <m/>
    <m/>
    <m/>
    <m/>
    <m/>
    <m/>
    <m/>
    <m/>
    <m/>
    <m/>
    <m/>
    <m/>
    <n v="90000"/>
    <m/>
    <n v="90000"/>
    <m/>
    <m/>
    <m/>
    <m/>
    <m/>
    <m/>
    <m/>
    <m/>
    <m/>
    <m/>
    <m/>
    <m/>
    <m/>
    <m/>
    <m/>
    <m/>
    <m/>
    <m/>
    <m/>
    <m/>
    <n v="90000"/>
    <m/>
    <m/>
    <n v="9000"/>
    <x v="29"/>
    <s v="N"/>
    <m/>
    <m/>
    <m/>
    <m/>
    <n v="2099"/>
    <m/>
    <m/>
    <m/>
    <m/>
    <m/>
    <m/>
    <m/>
    <m/>
    <m/>
    <m/>
    <m/>
    <m/>
    <s v="Pass throughs from  AmEx (2099), Levi Strauss (2099) and JP Morgan (2608)"/>
  </r>
  <r>
    <m/>
    <n v="83"/>
    <x v="91"/>
    <x v="38"/>
    <x v="7"/>
    <x v="7"/>
    <m/>
    <n v="2002"/>
    <n v="21"/>
    <x v="3"/>
    <x v="64"/>
    <m/>
    <s v="Floods"/>
    <s v="General Floods"/>
    <s v="General Floods"/>
    <m/>
    <m/>
    <m/>
    <m/>
    <m/>
    <m/>
    <m/>
    <m/>
    <m/>
    <m/>
    <m/>
    <m/>
    <m/>
    <m/>
    <m/>
    <n v="10000"/>
    <m/>
    <n v="10000"/>
    <m/>
    <m/>
    <m/>
    <m/>
    <m/>
    <m/>
    <m/>
    <m/>
    <m/>
    <m/>
    <m/>
    <m/>
    <m/>
    <m/>
    <m/>
    <m/>
    <m/>
    <m/>
    <m/>
    <m/>
    <n v="10000"/>
    <m/>
    <m/>
    <n v="1000"/>
    <x v="6"/>
    <s v="Y"/>
    <m/>
    <m/>
    <m/>
    <m/>
    <n v="2608"/>
    <m/>
    <m/>
    <m/>
    <m/>
    <m/>
    <m/>
    <m/>
    <m/>
    <m/>
    <m/>
    <m/>
    <m/>
    <s v="Pass through from JP Morgan / Chase"/>
  </r>
  <r>
    <m/>
    <n v="83"/>
    <x v="92"/>
    <x v="38"/>
    <x v="7"/>
    <x v="7"/>
    <m/>
    <n v="2002"/>
    <n v="21"/>
    <x v="3"/>
    <x v="65"/>
    <m/>
    <s v="Floods"/>
    <s v="General Floods"/>
    <s v="General Floods"/>
    <m/>
    <m/>
    <m/>
    <m/>
    <m/>
    <m/>
    <m/>
    <m/>
    <m/>
    <m/>
    <m/>
    <m/>
    <m/>
    <m/>
    <m/>
    <n v="35000"/>
    <m/>
    <n v="35000"/>
    <m/>
    <m/>
    <m/>
    <m/>
    <m/>
    <m/>
    <m/>
    <m/>
    <m/>
    <m/>
    <m/>
    <m/>
    <m/>
    <m/>
    <m/>
    <m/>
    <m/>
    <m/>
    <m/>
    <m/>
    <n v="35000"/>
    <m/>
    <m/>
    <n v="3500"/>
    <x v="59"/>
    <s v="N"/>
    <m/>
    <m/>
    <m/>
    <m/>
    <n v="2099"/>
    <m/>
    <m/>
    <m/>
    <m/>
    <m/>
    <m/>
    <m/>
    <m/>
    <m/>
    <m/>
    <m/>
    <m/>
    <s v="Pass through from  Citigroup (2099) &amp; JP Morgan (2608)"/>
  </r>
  <r>
    <m/>
    <n v="83"/>
    <x v="93"/>
    <x v="38"/>
    <x v="7"/>
    <x v="7"/>
    <m/>
    <n v="2002"/>
    <n v="21"/>
    <x v="3"/>
    <x v="32"/>
    <m/>
    <s v="Floods"/>
    <s v="General Floods"/>
    <s v="General Floods"/>
    <m/>
    <m/>
    <m/>
    <m/>
    <m/>
    <m/>
    <m/>
    <m/>
    <m/>
    <m/>
    <m/>
    <m/>
    <m/>
    <m/>
    <m/>
    <n v="25000"/>
    <m/>
    <n v="25000"/>
    <m/>
    <m/>
    <m/>
    <m/>
    <m/>
    <m/>
    <m/>
    <m/>
    <m/>
    <m/>
    <m/>
    <m/>
    <m/>
    <m/>
    <m/>
    <m/>
    <m/>
    <m/>
    <m/>
    <m/>
    <n v="25000"/>
    <m/>
    <m/>
    <n v="2500"/>
    <x v="8"/>
    <s v="Y"/>
    <m/>
    <m/>
    <m/>
    <m/>
    <n v="2608"/>
    <m/>
    <m/>
    <m/>
    <m/>
    <m/>
    <m/>
    <m/>
    <m/>
    <m/>
    <m/>
    <m/>
    <m/>
    <s v="AMEX re-directed funds from their ADGP"/>
  </r>
  <r>
    <m/>
    <n v="84"/>
    <x v="67"/>
    <x v="39"/>
    <x v="7"/>
    <x v="8"/>
    <m/>
    <n v="2002"/>
    <n v="22"/>
    <x v="2"/>
    <x v="2"/>
    <m/>
    <s v="Storm"/>
    <s v="Tropical Cyclone"/>
    <s v="Hurricane"/>
    <m/>
    <m/>
    <m/>
    <m/>
    <m/>
    <m/>
    <m/>
    <m/>
    <m/>
    <m/>
    <m/>
    <m/>
    <m/>
    <m/>
    <m/>
    <m/>
    <m/>
    <n v="0"/>
    <n v="2"/>
    <m/>
    <m/>
    <m/>
    <m/>
    <m/>
    <m/>
    <m/>
    <m/>
    <m/>
    <m/>
    <m/>
    <m/>
    <m/>
    <m/>
    <m/>
    <m/>
    <m/>
    <m/>
    <n v="60000"/>
    <n v="60000"/>
    <m/>
    <m/>
    <n v="20000"/>
    <x v="45"/>
    <s v="Y"/>
    <m/>
    <m/>
    <m/>
    <m/>
    <n v="2687"/>
    <m/>
    <m/>
    <m/>
    <m/>
    <m/>
    <m/>
    <m/>
    <m/>
    <m/>
    <m/>
    <m/>
    <s v="Isidore"/>
    <s v="$50,000 from OFDA; 4,000 hygiene parcels"/>
  </r>
  <r>
    <m/>
    <n v="85"/>
    <x v="94"/>
    <x v="40"/>
    <x v="7"/>
    <x v="9"/>
    <m/>
    <n v="2002"/>
    <n v="23"/>
    <x v="2"/>
    <x v="66"/>
    <m/>
    <s v="Drought"/>
    <s v="Drought"/>
    <s v="Drought"/>
    <m/>
    <m/>
    <m/>
    <m/>
    <m/>
    <m/>
    <m/>
    <m/>
    <m/>
    <m/>
    <m/>
    <m/>
    <m/>
    <m/>
    <m/>
    <m/>
    <m/>
    <n v="0"/>
    <n v="2"/>
    <m/>
    <m/>
    <m/>
    <m/>
    <m/>
    <m/>
    <m/>
    <m/>
    <m/>
    <m/>
    <m/>
    <m/>
    <m/>
    <m/>
    <m/>
    <m/>
    <m/>
    <m/>
    <m/>
    <n v="0"/>
    <m/>
    <m/>
    <n v="8165"/>
    <x v="7"/>
    <s v="Y"/>
    <m/>
    <m/>
    <m/>
    <m/>
    <n v="2898"/>
    <m/>
    <m/>
    <m/>
    <m/>
    <m/>
    <m/>
    <m/>
    <m/>
    <m/>
    <m/>
    <m/>
    <m/>
    <s v="$50,000 from OFDA money given directly to the Paraguay RC for relief food distributions"/>
  </r>
  <r>
    <m/>
    <n v="86"/>
    <x v="67"/>
    <x v="40"/>
    <x v="7"/>
    <x v="10"/>
    <m/>
    <n v="2002"/>
    <n v="24"/>
    <x v="2"/>
    <x v="2"/>
    <m/>
    <s v="Storm"/>
    <s v="Tropical Cyclone"/>
    <s v="Hurricane"/>
    <m/>
    <m/>
    <m/>
    <m/>
    <m/>
    <m/>
    <m/>
    <m/>
    <m/>
    <m/>
    <m/>
    <m/>
    <m/>
    <m/>
    <m/>
    <m/>
    <m/>
    <n v="0"/>
    <n v="1"/>
    <m/>
    <m/>
    <m/>
    <m/>
    <m/>
    <m/>
    <m/>
    <m/>
    <m/>
    <m/>
    <m/>
    <m/>
    <m/>
    <m/>
    <m/>
    <m/>
    <m/>
    <m/>
    <m/>
    <n v="0"/>
    <m/>
    <m/>
    <m/>
    <x v="7"/>
    <s v="Y"/>
    <m/>
    <m/>
    <m/>
    <m/>
    <n v="2688"/>
    <m/>
    <m/>
    <m/>
    <m/>
    <m/>
    <m/>
    <m/>
    <m/>
    <m/>
    <m/>
    <m/>
    <s v="Kenna"/>
    <m/>
  </r>
  <r>
    <m/>
    <n v="87"/>
    <x v="95"/>
    <x v="40"/>
    <x v="7"/>
    <x v="11"/>
    <m/>
    <n v="2002"/>
    <n v="25"/>
    <x v="3"/>
    <x v="67"/>
    <m/>
    <s v="Storm"/>
    <s v="Tropical Cyclone"/>
    <s v="Typhoon"/>
    <m/>
    <m/>
    <m/>
    <m/>
    <m/>
    <m/>
    <m/>
    <m/>
    <m/>
    <m/>
    <m/>
    <m/>
    <m/>
    <m/>
    <m/>
    <n v="120000"/>
    <m/>
    <n v="120000"/>
    <m/>
    <m/>
    <m/>
    <m/>
    <m/>
    <m/>
    <m/>
    <m/>
    <m/>
    <m/>
    <m/>
    <m/>
    <m/>
    <m/>
    <m/>
    <m/>
    <m/>
    <m/>
    <m/>
    <n v="10000"/>
    <n v="130000"/>
    <m/>
    <m/>
    <n v="5775"/>
    <x v="60"/>
    <s v="Y"/>
    <m/>
    <m/>
    <m/>
    <m/>
    <n v="2686"/>
    <m/>
    <m/>
    <m/>
    <m/>
    <m/>
    <m/>
    <m/>
    <m/>
    <m/>
    <m/>
    <m/>
    <s v="Rusa"/>
    <s v="$10,000 from Alcoa for winter clothing in donor-specified province; $110,000 from CISCO &amp; Lucent for DPP training."/>
  </r>
  <r>
    <m/>
    <n v="88"/>
    <x v="96"/>
    <x v="40"/>
    <x v="7"/>
    <x v="12"/>
    <m/>
    <n v="2002"/>
    <n v="26"/>
    <x v="3"/>
    <x v="68"/>
    <m/>
    <s v="Earthquake"/>
    <s v="Earthquake"/>
    <s v="Earthquake"/>
    <m/>
    <m/>
    <m/>
    <m/>
    <m/>
    <m/>
    <m/>
    <m/>
    <m/>
    <m/>
    <m/>
    <m/>
    <m/>
    <m/>
    <m/>
    <n v="10000"/>
    <m/>
    <n v="10000"/>
    <m/>
    <m/>
    <m/>
    <m/>
    <m/>
    <m/>
    <m/>
    <m/>
    <m/>
    <m/>
    <m/>
    <m/>
    <m/>
    <m/>
    <m/>
    <m/>
    <m/>
    <m/>
    <m/>
    <m/>
    <n v="10000"/>
    <m/>
    <m/>
    <m/>
    <x v="6"/>
    <s v="Y"/>
    <m/>
    <m/>
    <m/>
    <m/>
    <n v="2608"/>
    <m/>
    <m/>
    <m/>
    <m/>
    <m/>
    <m/>
    <m/>
    <m/>
    <m/>
    <m/>
    <m/>
    <m/>
    <s v="Verizon Pass through"/>
  </r>
  <r>
    <m/>
    <n v="89"/>
    <x v="97"/>
    <x v="40"/>
    <x v="7"/>
    <x v="13"/>
    <m/>
    <n v="2002"/>
    <n v="27"/>
    <x v="3"/>
    <x v="27"/>
    <m/>
    <s v="Terrorism"/>
    <s v="Terrorism"/>
    <s v="Terrorism"/>
    <m/>
    <m/>
    <m/>
    <m/>
    <m/>
    <m/>
    <m/>
    <m/>
    <m/>
    <m/>
    <m/>
    <m/>
    <m/>
    <m/>
    <m/>
    <n v="46670"/>
    <m/>
    <n v="46670"/>
    <m/>
    <m/>
    <m/>
    <m/>
    <m/>
    <m/>
    <m/>
    <m/>
    <m/>
    <m/>
    <m/>
    <m/>
    <m/>
    <m/>
    <m/>
    <m/>
    <m/>
    <m/>
    <m/>
    <m/>
    <n v="46670"/>
    <m/>
    <m/>
    <m/>
    <x v="61"/>
    <s v="Y"/>
    <m/>
    <m/>
    <m/>
    <m/>
    <n v="2613"/>
    <m/>
    <m/>
    <m/>
    <m/>
    <m/>
    <m/>
    <m/>
    <m/>
    <m/>
    <m/>
    <m/>
    <s v="Bali"/>
    <s v="Exxon/Mobil provided  $30,000 for Indonesia (to be programmed by AusCross); Citigroup provided $10,000 (2099), G.E provided $5,000 (2898) and Assoc. of Chartered Accountants provided $1,670"/>
  </r>
  <r>
    <m/>
    <n v="89"/>
    <x v="98"/>
    <x v="40"/>
    <x v="7"/>
    <x v="13"/>
    <m/>
    <n v="2002"/>
    <n v="27"/>
    <x v="3"/>
    <x v="69"/>
    <m/>
    <s v="Terrorism"/>
    <s v="Terrorism"/>
    <s v="Terrorism"/>
    <m/>
    <m/>
    <m/>
    <m/>
    <m/>
    <m/>
    <m/>
    <m/>
    <m/>
    <m/>
    <m/>
    <m/>
    <m/>
    <m/>
    <m/>
    <n v="237898.78"/>
    <m/>
    <n v="237898.78"/>
    <n v="1"/>
    <m/>
    <m/>
    <m/>
    <m/>
    <m/>
    <m/>
    <m/>
    <m/>
    <m/>
    <m/>
    <m/>
    <m/>
    <m/>
    <m/>
    <m/>
    <m/>
    <m/>
    <m/>
    <m/>
    <n v="237898.78"/>
    <m/>
    <m/>
    <m/>
    <x v="62"/>
    <s v="Y"/>
    <m/>
    <m/>
    <m/>
    <m/>
    <n v="2613"/>
    <m/>
    <m/>
    <m/>
    <m/>
    <m/>
    <m/>
    <m/>
    <m/>
    <m/>
    <m/>
    <m/>
    <s v="Bali"/>
    <s v="includes $151,228.89 from AP 2613 (estab. Oct 2002). Exxon/Mobil provided  $70,000; Anne Bike sent to Australia."/>
  </r>
  <r>
    <m/>
    <n v="90"/>
    <x v="99"/>
    <x v="40"/>
    <x v="7"/>
    <x v="14"/>
    <m/>
    <n v="2002"/>
    <n v="28"/>
    <x v="3"/>
    <x v="16"/>
    <m/>
    <s v="Miscellaneous"/>
    <s v="Fire"/>
    <s v="Urban Fire"/>
    <m/>
    <m/>
    <m/>
    <m/>
    <m/>
    <m/>
    <m/>
    <m/>
    <m/>
    <m/>
    <m/>
    <m/>
    <m/>
    <m/>
    <m/>
    <n v="100000"/>
    <m/>
    <n v="100000"/>
    <m/>
    <m/>
    <m/>
    <m/>
    <m/>
    <m/>
    <m/>
    <m/>
    <m/>
    <m/>
    <m/>
    <m/>
    <m/>
    <m/>
    <m/>
    <m/>
    <m/>
    <m/>
    <m/>
    <m/>
    <n v="100000"/>
    <m/>
    <m/>
    <n v="1000"/>
    <x v="5"/>
    <s v="Y"/>
    <m/>
    <m/>
    <m/>
    <m/>
    <n v="2608"/>
    <m/>
    <m/>
    <m/>
    <m/>
    <m/>
    <m/>
    <m/>
    <m/>
    <m/>
    <m/>
    <m/>
    <s v="International Trade Center - HCM City"/>
    <s v="SDP developed for Starr Foundation contribution for $100,000"/>
  </r>
  <r>
    <m/>
    <n v="91"/>
    <x v="72"/>
    <x v="40"/>
    <x v="7"/>
    <x v="15"/>
    <m/>
    <n v="2002"/>
    <n v="29"/>
    <x v="2"/>
    <x v="52"/>
    <m/>
    <s v="Storm"/>
    <s v="Tropical Cyclone"/>
    <s v="Hurricane"/>
    <m/>
    <m/>
    <m/>
    <m/>
    <m/>
    <m/>
    <m/>
    <m/>
    <m/>
    <m/>
    <m/>
    <m/>
    <n v="0"/>
    <n v="10000"/>
    <m/>
    <m/>
    <m/>
    <n v="10000"/>
    <m/>
    <m/>
    <m/>
    <m/>
    <m/>
    <m/>
    <m/>
    <m/>
    <m/>
    <m/>
    <m/>
    <m/>
    <m/>
    <m/>
    <m/>
    <m/>
    <m/>
    <m/>
    <m/>
    <m/>
    <n v="10000"/>
    <m/>
    <m/>
    <n v="1000"/>
    <x v="6"/>
    <s v="Y"/>
    <m/>
    <m/>
    <m/>
    <m/>
    <n v="2898"/>
    <m/>
    <m/>
    <m/>
    <m/>
    <m/>
    <m/>
    <m/>
    <m/>
    <m/>
    <m/>
    <m/>
    <s v="Isidore / Lili"/>
    <s v="Toward the Federation Appeal"/>
  </r>
  <r>
    <m/>
    <n v="92"/>
    <x v="100"/>
    <x v="40"/>
    <x v="7"/>
    <x v="16"/>
    <m/>
    <n v="2002"/>
    <n v="30"/>
    <x v="1"/>
    <x v="70"/>
    <m/>
    <s v="Food Insecurity"/>
    <s v="Food Insecurity"/>
    <s v="Food Insecurity"/>
    <m/>
    <m/>
    <m/>
    <m/>
    <m/>
    <m/>
    <m/>
    <m/>
    <m/>
    <m/>
    <m/>
    <m/>
    <n v="0"/>
    <n v="25000"/>
    <m/>
    <m/>
    <m/>
    <n v="25000"/>
    <m/>
    <m/>
    <m/>
    <m/>
    <m/>
    <m/>
    <m/>
    <m/>
    <m/>
    <m/>
    <m/>
    <m/>
    <m/>
    <m/>
    <m/>
    <m/>
    <m/>
    <m/>
    <m/>
    <m/>
    <n v="25000"/>
    <m/>
    <m/>
    <n v="2500"/>
    <x v="8"/>
    <s v="Y"/>
    <m/>
    <m/>
    <m/>
    <m/>
    <n v="2898"/>
    <m/>
    <m/>
    <m/>
    <m/>
    <m/>
    <m/>
    <m/>
    <m/>
    <m/>
    <m/>
    <m/>
    <m/>
    <s v="Toward the Federation Appeal for Southern Africa"/>
  </r>
  <r>
    <m/>
    <n v="93"/>
    <x v="7"/>
    <x v="41"/>
    <x v="7"/>
    <x v="17"/>
    <m/>
    <n v="2002"/>
    <n v="31"/>
    <x v="2"/>
    <x v="3"/>
    <m/>
    <s v="Floods"/>
    <s v="General Floods"/>
    <s v="General Floods"/>
    <m/>
    <m/>
    <m/>
    <m/>
    <m/>
    <m/>
    <m/>
    <m/>
    <m/>
    <m/>
    <m/>
    <m/>
    <m/>
    <m/>
    <m/>
    <n v="1000"/>
    <m/>
    <n v="1000"/>
    <m/>
    <m/>
    <m/>
    <m/>
    <m/>
    <m/>
    <m/>
    <m/>
    <m/>
    <m/>
    <m/>
    <m/>
    <m/>
    <m/>
    <m/>
    <m/>
    <m/>
    <m/>
    <m/>
    <m/>
    <n v="1000"/>
    <m/>
    <m/>
    <m/>
    <x v="37"/>
    <s v="Y"/>
    <m/>
    <m/>
    <m/>
    <m/>
    <n v="2898"/>
    <m/>
    <m/>
    <m/>
    <m/>
    <m/>
    <m/>
    <m/>
    <m/>
    <m/>
    <m/>
    <m/>
    <m/>
    <s v="Cash donation to National Society"/>
  </r>
  <r>
    <m/>
    <n v="94"/>
    <x v="80"/>
    <x v="41"/>
    <x v="7"/>
    <x v="18"/>
    <m/>
    <n v="2002"/>
    <n v="32"/>
    <x v="2"/>
    <x v="57"/>
    <m/>
    <s v="Floods"/>
    <s v="General Floods"/>
    <s v="General Floods"/>
    <m/>
    <m/>
    <m/>
    <m/>
    <m/>
    <m/>
    <m/>
    <m/>
    <m/>
    <m/>
    <m/>
    <m/>
    <m/>
    <m/>
    <m/>
    <n v="1345"/>
    <m/>
    <n v="1345"/>
    <m/>
    <m/>
    <m/>
    <n v="675"/>
    <m/>
    <m/>
    <m/>
    <m/>
    <m/>
    <m/>
    <m/>
    <m/>
    <m/>
    <m/>
    <m/>
    <m/>
    <m/>
    <m/>
    <m/>
    <m/>
    <n v="1345"/>
    <m/>
    <m/>
    <n v="675"/>
    <x v="63"/>
    <s v="Y"/>
    <m/>
    <m/>
    <m/>
    <m/>
    <n v="2898"/>
    <m/>
    <m/>
    <m/>
    <m/>
    <m/>
    <m/>
    <m/>
    <m/>
    <m/>
    <m/>
    <m/>
    <m/>
    <s v="675 jerry cans from pre-positioned stocks"/>
  </r>
  <r>
    <m/>
    <n v="95"/>
    <x v="101"/>
    <x v="41"/>
    <x v="7"/>
    <x v="19"/>
    <m/>
    <n v="2002"/>
    <n v="33"/>
    <x v="1"/>
    <x v="58"/>
    <m/>
    <s v="Epidemic"/>
    <s v="Parasitic"/>
    <s v="Parasitic"/>
    <m/>
    <m/>
    <m/>
    <m/>
    <m/>
    <m/>
    <m/>
    <m/>
    <m/>
    <m/>
    <m/>
    <m/>
    <m/>
    <m/>
    <m/>
    <n v="5000"/>
    <m/>
    <n v="5000"/>
    <m/>
    <m/>
    <m/>
    <m/>
    <m/>
    <m/>
    <m/>
    <m/>
    <m/>
    <m/>
    <m/>
    <m/>
    <m/>
    <m/>
    <m/>
    <m/>
    <m/>
    <m/>
    <m/>
    <m/>
    <n v="5000"/>
    <m/>
    <m/>
    <n v="500"/>
    <x v="46"/>
    <s v="Y"/>
    <m/>
    <m/>
    <m/>
    <m/>
    <n v="2898"/>
    <m/>
    <m/>
    <m/>
    <m/>
    <m/>
    <m/>
    <m/>
    <m/>
    <m/>
    <m/>
    <m/>
    <s v="Malaria"/>
    <s v="Africa Region also donated $5,000 to KRC for a total of $10,000"/>
  </r>
  <r>
    <m/>
    <n v="96"/>
    <x v="102"/>
    <x v="42"/>
    <x v="7"/>
    <x v="23"/>
    <m/>
    <n v="2003"/>
    <n v="1"/>
    <x v="3"/>
    <x v="71"/>
    <m/>
    <s v="Storm"/>
    <s v="Tropical Cyclone"/>
    <s v="Cyclone"/>
    <m/>
    <m/>
    <m/>
    <m/>
    <m/>
    <m/>
    <m/>
    <m/>
    <m/>
    <m/>
    <m/>
    <m/>
    <n v="0"/>
    <n v="7242.1372799999999"/>
    <m/>
    <m/>
    <m/>
    <n v="7242.1372799999999"/>
    <m/>
    <m/>
    <m/>
    <m/>
    <m/>
    <m/>
    <m/>
    <m/>
    <m/>
    <m/>
    <m/>
    <m/>
    <m/>
    <m/>
    <m/>
    <m/>
    <m/>
    <m/>
    <m/>
    <m/>
    <n v="7242.1372799999999"/>
    <m/>
    <m/>
    <m/>
    <x v="64"/>
    <s v="Y"/>
    <m/>
    <m/>
    <m/>
    <m/>
    <n v="2881"/>
    <m/>
    <m/>
    <m/>
    <m/>
    <m/>
    <m/>
    <m/>
    <m/>
    <m/>
    <m/>
    <m/>
    <s v="Zoe"/>
    <s v="FJD 14,369.32 for re-stocking Solomon Islands RC"/>
  </r>
  <r>
    <m/>
    <n v="97"/>
    <x v="0"/>
    <x v="42"/>
    <x v="7"/>
    <x v="20"/>
    <m/>
    <n v="2003"/>
    <n v="2"/>
    <x v="2"/>
    <x v="2"/>
    <m/>
    <s v="Earthquake"/>
    <s v="Earthquake"/>
    <s v="Earthquake"/>
    <m/>
    <m/>
    <m/>
    <m/>
    <m/>
    <m/>
    <m/>
    <m/>
    <m/>
    <m/>
    <m/>
    <m/>
    <m/>
    <m/>
    <m/>
    <n v="350000"/>
    <m/>
    <n v="350000"/>
    <n v="3"/>
    <m/>
    <m/>
    <m/>
    <m/>
    <m/>
    <m/>
    <m/>
    <m/>
    <m/>
    <m/>
    <m/>
    <m/>
    <m/>
    <m/>
    <m/>
    <m/>
    <m/>
    <m/>
    <m/>
    <n v="350000"/>
    <m/>
    <m/>
    <n v="2000"/>
    <x v="65"/>
    <s v="Y"/>
    <m/>
    <m/>
    <m/>
    <m/>
    <n v="2690"/>
    <m/>
    <m/>
    <m/>
    <m/>
    <m/>
    <m/>
    <m/>
    <m/>
    <m/>
    <m/>
    <m/>
    <m/>
    <s v="$100,000 donation from Wells Fargo was programmed by ARC in partnership with Mexican Red Cross (MRC). Steve McAndrew responded and 2 IRT members (Jerry Lisenby and M-C Brien) were subsequently deployed to manage the operation. Toyota donated $250,000 to the relief effort as a strict pass-through to the Mexican Red Cross."/>
  </r>
  <r>
    <m/>
    <n v="97"/>
    <x v="0"/>
    <x v="42"/>
    <x v="7"/>
    <x v="20"/>
    <m/>
    <n v="2003"/>
    <n v="2"/>
    <x v="2"/>
    <x v="2"/>
    <m/>
    <s v="Earthquake"/>
    <s v="Earthquake"/>
    <s v="Earthquake"/>
    <m/>
    <m/>
    <m/>
    <m/>
    <m/>
    <m/>
    <m/>
    <m/>
    <m/>
    <m/>
    <m/>
    <m/>
    <m/>
    <m/>
    <m/>
    <n v="100000"/>
    <m/>
    <n v="100000"/>
    <m/>
    <m/>
    <m/>
    <m/>
    <m/>
    <m/>
    <m/>
    <m/>
    <m/>
    <m/>
    <m/>
    <m/>
    <m/>
    <m/>
    <m/>
    <m/>
    <m/>
    <m/>
    <m/>
    <m/>
    <n v="100000"/>
    <m/>
    <m/>
    <m/>
    <x v="5"/>
    <s v="Y"/>
    <m/>
    <m/>
    <m/>
    <m/>
    <n v="2642"/>
    <m/>
    <m/>
    <m/>
    <m/>
    <m/>
    <m/>
    <m/>
    <m/>
    <m/>
    <m/>
    <m/>
    <m/>
    <s v="$100,000 from OFDA was programmed by ARC in partnership with Mexican Red Cross (MRC)."/>
  </r>
  <r>
    <m/>
    <n v="98"/>
    <x v="103"/>
    <x v="43"/>
    <x v="7"/>
    <x v="21"/>
    <m/>
    <n v="2003"/>
    <n v="3"/>
    <x v="3"/>
    <x v="67"/>
    <m/>
    <s v="Transport"/>
    <s v="Rail"/>
    <s v="Fire"/>
    <m/>
    <m/>
    <m/>
    <m/>
    <m/>
    <m/>
    <m/>
    <m/>
    <m/>
    <m/>
    <m/>
    <m/>
    <m/>
    <m/>
    <m/>
    <n v="10000"/>
    <m/>
    <n v="10000"/>
    <m/>
    <m/>
    <m/>
    <m/>
    <m/>
    <m/>
    <m/>
    <m/>
    <m/>
    <m/>
    <m/>
    <m/>
    <m/>
    <m/>
    <m/>
    <m/>
    <m/>
    <m/>
    <m/>
    <m/>
    <n v="10000"/>
    <m/>
    <m/>
    <n v="1000"/>
    <x v="6"/>
    <s v="Y"/>
    <m/>
    <m/>
    <m/>
    <m/>
    <n v="2608"/>
    <m/>
    <m/>
    <m/>
    <m/>
    <m/>
    <m/>
    <m/>
    <m/>
    <m/>
    <m/>
    <m/>
    <s v="Taegu Subway fire"/>
    <s v="Alcoa passthrough"/>
  </r>
  <r>
    <m/>
    <n v="99"/>
    <x v="104"/>
    <x v="43"/>
    <x v="7"/>
    <x v="22"/>
    <m/>
    <n v="2003"/>
    <n v="4"/>
    <x v="3"/>
    <x v="4"/>
    <m/>
    <s v="Earthquake"/>
    <s v="Earthquake"/>
    <s v="Earthquake"/>
    <m/>
    <m/>
    <m/>
    <m/>
    <m/>
    <m/>
    <m/>
    <m/>
    <m/>
    <m/>
    <m/>
    <m/>
    <m/>
    <m/>
    <m/>
    <n v="50000"/>
    <m/>
    <n v="50000"/>
    <m/>
    <m/>
    <m/>
    <m/>
    <m/>
    <m/>
    <m/>
    <m/>
    <m/>
    <m/>
    <m/>
    <m/>
    <m/>
    <m/>
    <m/>
    <m/>
    <m/>
    <m/>
    <m/>
    <m/>
    <n v="50000"/>
    <m/>
    <m/>
    <n v="1350"/>
    <x v="16"/>
    <s v="Y"/>
    <m/>
    <m/>
    <m/>
    <m/>
    <s v="0000"/>
    <m/>
    <m/>
    <m/>
    <m/>
    <m/>
    <m/>
    <m/>
    <m/>
    <m/>
    <m/>
    <m/>
    <m/>
    <s v="Altria passthrough"/>
  </r>
  <r>
    <m/>
    <n v="100"/>
    <x v="105"/>
    <x v="44"/>
    <x v="7"/>
    <x v="24"/>
    <m/>
    <n v="2003"/>
    <n v="5"/>
    <x v="3"/>
    <x v="72"/>
    <m/>
    <s v="Conflict"/>
    <s v="Conflict"/>
    <s v="Conflict"/>
    <m/>
    <m/>
    <m/>
    <m/>
    <m/>
    <m/>
    <m/>
    <m/>
    <m/>
    <m/>
    <m/>
    <m/>
    <n v="1"/>
    <n v="100000"/>
    <n v="100000"/>
    <m/>
    <m/>
    <n v="200000"/>
    <m/>
    <m/>
    <m/>
    <n v="64200"/>
    <m/>
    <m/>
    <n v="34200"/>
    <n v="30000"/>
    <m/>
    <m/>
    <m/>
    <m/>
    <m/>
    <m/>
    <m/>
    <m/>
    <m/>
    <m/>
    <n v="221694"/>
    <m/>
    <n v="421694"/>
    <m/>
    <m/>
    <n v="54200"/>
    <x v="66"/>
    <s v="Y"/>
    <m/>
    <m/>
    <m/>
    <m/>
    <n v="2689"/>
    <m/>
    <m/>
    <m/>
    <m/>
    <m/>
    <m/>
    <m/>
    <m/>
    <m/>
    <m/>
    <m/>
    <s v="Iraq"/>
    <m/>
  </r>
  <r>
    <m/>
    <n v="100"/>
    <x v="106"/>
    <x v="44"/>
    <x v="7"/>
    <x v="24"/>
    <m/>
    <n v="2003"/>
    <n v="5"/>
    <x v="3"/>
    <x v="59"/>
    <m/>
    <s v="Conflict"/>
    <s v="Conflict"/>
    <s v="Conflict"/>
    <m/>
    <m/>
    <m/>
    <m/>
    <m/>
    <m/>
    <m/>
    <m/>
    <m/>
    <m/>
    <m/>
    <m/>
    <m/>
    <m/>
    <m/>
    <n v="15000"/>
    <m/>
    <n v="15000"/>
    <m/>
    <m/>
    <m/>
    <m/>
    <m/>
    <m/>
    <m/>
    <m/>
    <m/>
    <m/>
    <m/>
    <m/>
    <m/>
    <m/>
    <m/>
    <m/>
    <m/>
    <m/>
    <m/>
    <m/>
    <n v="15000"/>
    <m/>
    <m/>
    <n v="1000"/>
    <x v="18"/>
    <s v="Y"/>
    <m/>
    <m/>
    <m/>
    <m/>
    <n v="2689"/>
    <m/>
    <m/>
    <m/>
    <m/>
    <m/>
    <m/>
    <m/>
    <m/>
    <m/>
    <m/>
    <m/>
    <s v="Iraq"/>
    <s v="PMN for SARC"/>
  </r>
  <r>
    <m/>
    <n v="100"/>
    <x v="36"/>
    <x v="44"/>
    <x v="7"/>
    <x v="24"/>
    <m/>
    <n v="2003"/>
    <n v="5"/>
    <x v="3"/>
    <x v="30"/>
    <m/>
    <s v="Conflict"/>
    <s v="Conflict"/>
    <s v="Conflict"/>
    <m/>
    <m/>
    <m/>
    <m/>
    <m/>
    <m/>
    <m/>
    <m/>
    <m/>
    <m/>
    <m/>
    <m/>
    <m/>
    <m/>
    <m/>
    <n v="15000"/>
    <m/>
    <n v="15000"/>
    <n v="2"/>
    <m/>
    <m/>
    <m/>
    <m/>
    <m/>
    <m/>
    <m/>
    <m/>
    <m/>
    <m/>
    <m/>
    <m/>
    <m/>
    <m/>
    <m/>
    <m/>
    <m/>
    <m/>
    <n v="17812"/>
    <n v="32812"/>
    <m/>
    <m/>
    <n v="1000"/>
    <x v="67"/>
    <s v="Y"/>
    <m/>
    <m/>
    <m/>
    <m/>
    <n v="2689"/>
    <m/>
    <m/>
    <m/>
    <m/>
    <m/>
    <m/>
    <m/>
    <m/>
    <m/>
    <m/>
    <m/>
    <s v="Iraq"/>
    <s v="PMN for JRCS; Jensen &amp; Dmitryuk in Amman"/>
  </r>
  <r>
    <m/>
    <n v="100"/>
    <x v="107"/>
    <x v="44"/>
    <x v="7"/>
    <x v="24"/>
    <m/>
    <n v="2003"/>
    <n v="5"/>
    <x v="3"/>
    <x v="5"/>
    <m/>
    <s v="Conflict"/>
    <s v="Conflict"/>
    <s v="Conflict"/>
    <m/>
    <m/>
    <m/>
    <m/>
    <m/>
    <m/>
    <m/>
    <m/>
    <m/>
    <m/>
    <m/>
    <m/>
    <m/>
    <m/>
    <m/>
    <m/>
    <m/>
    <n v="0"/>
    <n v="1"/>
    <m/>
    <m/>
    <m/>
    <m/>
    <m/>
    <m/>
    <m/>
    <m/>
    <m/>
    <m/>
    <m/>
    <m/>
    <m/>
    <m/>
    <m/>
    <m/>
    <m/>
    <m/>
    <n v="17812"/>
    <n v="17812"/>
    <m/>
    <m/>
    <m/>
    <x v="68"/>
    <s v="Y"/>
    <m/>
    <m/>
    <m/>
    <m/>
    <n v="2689"/>
    <m/>
    <m/>
    <m/>
    <m/>
    <m/>
    <m/>
    <m/>
    <m/>
    <m/>
    <m/>
    <m/>
    <s v="Iraq"/>
    <s v="McAndrew in Ankara"/>
  </r>
  <r>
    <m/>
    <n v="101"/>
    <x v="108"/>
    <x v="45"/>
    <x v="7"/>
    <x v="25"/>
    <m/>
    <n v="2003"/>
    <n v="6"/>
    <x v="2"/>
    <x v="73"/>
    <m/>
    <s v="Floods"/>
    <s v="General Floods"/>
    <s v="General Floods"/>
    <m/>
    <m/>
    <m/>
    <m/>
    <m/>
    <m/>
    <m/>
    <m/>
    <m/>
    <m/>
    <m/>
    <m/>
    <n v="0"/>
    <n v="15000"/>
    <m/>
    <m/>
    <m/>
    <n v="15000"/>
    <n v="1"/>
    <m/>
    <m/>
    <m/>
    <m/>
    <m/>
    <m/>
    <m/>
    <m/>
    <m/>
    <m/>
    <m/>
    <m/>
    <m/>
    <m/>
    <m/>
    <m/>
    <m/>
    <m/>
    <m/>
    <n v="15000"/>
    <m/>
    <m/>
    <n v="1500"/>
    <x v="18"/>
    <s v="Y"/>
    <m/>
    <m/>
    <m/>
    <m/>
    <n v="2898"/>
    <m/>
    <m/>
    <m/>
    <m/>
    <m/>
    <m/>
    <m/>
    <m/>
    <m/>
    <m/>
    <m/>
    <m/>
    <s v="Rob McKenney from PADRU"/>
  </r>
  <r>
    <m/>
    <n v="102"/>
    <x v="9"/>
    <x v="45"/>
    <x v="7"/>
    <x v="26"/>
    <m/>
    <n v="2003"/>
    <n v="7"/>
    <x v="3"/>
    <x v="5"/>
    <m/>
    <s v="Earthquake"/>
    <s v="Earthquake"/>
    <s v="Earthquake"/>
    <m/>
    <m/>
    <m/>
    <m/>
    <m/>
    <m/>
    <m/>
    <m/>
    <m/>
    <m/>
    <m/>
    <m/>
    <m/>
    <m/>
    <m/>
    <m/>
    <m/>
    <n v="0"/>
    <n v="2"/>
    <m/>
    <m/>
    <n v="9000"/>
    <m/>
    <m/>
    <m/>
    <m/>
    <m/>
    <m/>
    <m/>
    <m/>
    <m/>
    <n v="9000"/>
    <m/>
    <m/>
    <m/>
    <m/>
    <n v="331380"/>
    <m/>
    <n v="331380"/>
    <m/>
    <m/>
    <n v="45000"/>
    <x v="69"/>
    <s v="Y"/>
    <m/>
    <m/>
    <m/>
    <m/>
    <n v="2898"/>
    <m/>
    <m/>
    <m/>
    <m/>
    <m/>
    <m/>
    <m/>
    <m/>
    <m/>
    <m/>
    <m/>
    <s v="Bingol"/>
    <s v="Food Parcels paid for by Region; IRT Kelly Hurd sent to support TRCS distribution; IRT R. Chapman deployed to support TRCS"/>
  </r>
  <r>
    <m/>
    <n v="103"/>
    <x v="109"/>
    <x v="45"/>
    <x v="7"/>
    <x v="27"/>
    <m/>
    <n v="2003"/>
    <n v="8"/>
    <x v="3"/>
    <x v="4"/>
    <m/>
    <s v="Epidemic"/>
    <s v="Viral"/>
    <s v="Viral"/>
    <m/>
    <m/>
    <m/>
    <m/>
    <m/>
    <m/>
    <m/>
    <m/>
    <m/>
    <m/>
    <m/>
    <m/>
    <m/>
    <m/>
    <m/>
    <n v="32500"/>
    <m/>
    <n v="32500"/>
    <m/>
    <m/>
    <m/>
    <m/>
    <m/>
    <m/>
    <m/>
    <m/>
    <m/>
    <m/>
    <m/>
    <m/>
    <m/>
    <m/>
    <m/>
    <m/>
    <m/>
    <m/>
    <m/>
    <m/>
    <n v="32500"/>
    <m/>
    <m/>
    <n v="59000"/>
    <x v="70"/>
    <s v="Y"/>
    <m/>
    <m/>
    <m/>
    <m/>
    <n v="2691"/>
    <m/>
    <m/>
    <m/>
    <m/>
    <m/>
    <m/>
    <m/>
    <m/>
    <m/>
    <m/>
    <m/>
    <s v="SARS"/>
    <s v="AMEX: $25,000 + $7,500"/>
  </r>
  <r>
    <m/>
    <n v="103"/>
    <x v="109"/>
    <x v="45"/>
    <x v="7"/>
    <x v="27"/>
    <m/>
    <n v="2003"/>
    <n v="8"/>
    <x v="3"/>
    <x v="4"/>
    <m/>
    <s v="Epidemic"/>
    <s v="Viral"/>
    <s v="Viral"/>
    <m/>
    <m/>
    <m/>
    <m/>
    <m/>
    <m/>
    <m/>
    <m/>
    <m/>
    <m/>
    <m/>
    <m/>
    <m/>
    <m/>
    <m/>
    <n v="370642"/>
    <m/>
    <n v="370642"/>
    <m/>
    <m/>
    <m/>
    <m/>
    <m/>
    <m/>
    <m/>
    <m/>
    <m/>
    <m/>
    <m/>
    <m/>
    <m/>
    <m/>
    <m/>
    <m/>
    <m/>
    <m/>
    <m/>
    <m/>
    <n v="370642"/>
    <m/>
    <m/>
    <n v="15000"/>
    <x v="71"/>
    <s v="Y"/>
    <m/>
    <m/>
    <m/>
    <m/>
    <s v="0000"/>
    <m/>
    <m/>
    <m/>
    <m/>
    <m/>
    <m/>
    <m/>
    <m/>
    <m/>
    <m/>
    <m/>
    <s v="SARS"/>
    <s v="Pfizer: $200,000; JP Morgan/Chase: $128,000; Microsoft: $42,642"/>
  </r>
  <r>
    <m/>
    <n v="103"/>
    <x v="110"/>
    <x v="45"/>
    <x v="7"/>
    <x v="27"/>
    <m/>
    <n v="2003"/>
    <n v="8"/>
    <x v="3"/>
    <x v="74"/>
    <m/>
    <s v="Epidemic"/>
    <s v="Viral"/>
    <s v="Viral"/>
    <m/>
    <m/>
    <m/>
    <m/>
    <m/>
    <m/>
    <m/>
    <m/>
    <m/>
    <m/>
    <m/>
    <m/>
    <m/>
    <m/>
    <m/>
    <n v="60000"/>
    <m/>
    <n v="60000"/>
    <m/>
    <m/>
    <m/>
    <m/>
    <m/>
    <m/>
    <m/>
    <m/>
    <m/>
    <m/>
    <m/>
    <m/>
    <m/>
    <m/>
    <m/>
    <m/>
    <m/>
    <m/>
    <m/>
    <m/>
    <n v="60000"/>
    <m/>
    <m/>
    <n v="72500"/>
    <x v="45"/>
    <s v="Y"/>
    <m/>
    <m/>
    <m/>
    <m/>
    <n v="2060"/>
    <m/>
    <m/>
    <m/>
    <m/>
    <m/>
    <m/>
    <m/>
    <m/>
    <m/>
    <m/>
    <m/>
    <s v="SARS"/>
    <s v="$25,000 from AMEX and $35,000 from JP Morgan Chase (both) programmed against total invoice of $97,923.15 for 1.2 million alcohol swabs and 435,000 surgical masks"/>
  </r>
  <r>
    <m/>
    <n v="104"/>
    <x v="111"/>
    <x v="45"/>
    <x v="7"/>
    <x v="28"/>
    <m/>
    <n v="2003"/>
    <n v="9"/>
    <x v="3"/>
    <x v="34"/>
    <m/>
    <s v="Floods"/>
    <s v="General Floods"/>
    <s v="General Floods"/>
    <m/>
    <m/>
    <m/>
    <m/>
    <m/>
    <m/>
    <m/>
    <m/>
    <m/>
    <m/>
    <m/>
    <m/>
    <n v="0"/>
    <n v="21400"/>
    <m/>
    <m/>
    <m/>
    <n v="21400"/>
    <m/>
    <m/>
    <m/>
    <m/>
    <m/>
    <m/>
    <m/>
    <m/>
    <m/>
    <m/>
    <m/>
    <m/>
    <m/>
    <m/>
    <m/>
    <m/>
    <m/>
    <m/>
    <m/>
    <m/>
    <n v="21400"/>
    <m/>
    <m/>
    <n v="2862.1931568439049"/>
    <x v="72"/>
    <s v="Y"/>
    <m/>
    <m/>
    <m/>
    <m/>
    <n v="2692"/>
    <m/>
    <m/>
    <m/>
    <m/>
    <m/>
    <m/>
    <m/>
    <m/>
    <m/>
    <m/>
    <m/>
    <m/>
    <s v="Funds provided through Citigroup's ADGP; Federation Appeal for $934,598 / 125,000 beneficiaries / 3 months"/>
  </r>
  <r>
    <m/>
    <n v="105"/>
    <x v="80"/>
    <x v="46"/>
    <x v="8"/>
    <x v="1"/>
    <m/>
    <n v="2003"/>
    <n v="10"/>
    <x v="2"/>
    <x v="57"/>
    <m/>
    <s v="Floods"/>
    <s v="General Floods"/>
    <s v="General Floods"/>
    <m/>
    <m/>
    <m/>
    <m/>
    <m/>
    <m/>
    <m/>
    <m/>
    <m/>
    <m/>
    <m/>
    <m/>
    <m/>
    <m/>
    <m/>
    <m/>
    <m/>
    <n v="0"/>
    <n v="1"/>
    <m/>
    <m/>
    <n v="6500"/>
    <m/>
    <n v="500"/>
    <m/>
    <m/>
    <m/>
    <m/>
    <m/>
    <n v="6000"/>
    <m/>
    <m/>
    <m/>
    <m/>
    <m/>
    <m/>
    <n v="16700"/>
    <m/>
    <n v="16700"/>
    <m/>
    <m/>
    <n v="3000"/>
    <x v="73"/>
    <s v="Y"/>
    <m/>
    <m/>
    <m/>
    <m/>
    <n v="2898"/>
    <m/>
    <m/>
    <m/>
    <m/>
    <m/>
    <m/>
    <m/>
    <m/>
    <m/>
    <m/>
    <m/>
    <m/>
    <s v="hygiene kits (value $1,770) and bedsheets (500 packets of 12 at a total value of $15,000) from PADRU as part of a joint ARC/Federation/Panamanian Red Cross operation. Steve McAndrew was deployed from PADRU to oversee the distributions"/>
  </r>
  <r>
    <m/>
    <n v="106"/>
    <x v="112"/>
    <x v="47"/>
    <x v="8"/>
    <x v="2"/>
    <m/>
    <n v="2003"/>
    <n v="11"/>
    <x v="4"/>
    <x v="40"/>
    <m/>
    <s v="Wildfire"/>
    <s v="Forest Fire"/>
    <s v="Fire"/>
    <m/>
    <m/>
    <m/>
    <m/>
    <m/>
    <m/>
    <m/>
    <m/>
    <m/>
    <m/>
    <m/>
    <m/>
    <m/>
    <m/>
    <m/>
    <n v="10000"/>
    <m/>
    <n v="10000"/>
    <m/>
    <m/>
    <m/>
    <m/>
    <m/>
    <m/>
    <m/>
    <m/>
    <m/>
    <m/>
    <m/>
    <m/>
    <m/>
    <m/>
    <m/>
    <m/>
    <m/>
    <m/>
    <m/>
    <m/>
    <n v="10000"/>
    <m/>
    <m/>
    <n v="250"/>
    <x v="6"/>
    <s v="N"/>
    <m/>
    <m/>
    <m/>
    <m/>
    <n v="2099"/>
    <m/>
    <m/>
    <m/>
    <m/>
    <m/>
    <m/>
    <m/>
    <m/>
    <m/>
    <m/>
    <m/>
    <m/>
    <s v="$10,000 donation from Citigroup for forest fires in British Columbia (Citigroup $ kept in 2099 per a prior agreement)"/>
  </r>
  <r>
    <m/>
    <n v="107"/>
    <x v="113"/>
    <x v="48"/>
    <x v="8"/>
    <x v="3"/>
    <m/>
    <n v="2003"/>
    <n v="12"/>
    <x v="2"/>
    <x v="75"/>
    <m/>
    <s v="Earthquake"/>
    <s v="Earthquake"/>
    <s v="Earthquake"/>
    <m/>
    <m/>
    <m/>
    <m/>
    <m/>
    <m/>
    <m/>
    <m/>
    <m/>
    <m/>
    <m/>
    <m/>
    <m/>
    <m/>
    <m/>
    <m/>
    <m/>
    <n v="0"/>
    <m/>
    <m/>
    <m/>
    <m/>
    <m/>
    <m/>
    <m/>
    <m/>
    <m/>
    <m/>
    <m/>
    <m/>
    <m/>
    <m/>
    <m/>
    <m/>
    <m/>
    <m/>
    <n v="25000"/>
    <m/>
    <n v="25000"/>
    <m/>
    <m/>
    <n v="100"/>
    <x v="8"/>
    <s v="Y"/>
    <m/>
    <m/>
    <m/>
    <m/>
    <n v="2694"/>
    <m/>
    <m/>
    <m/>
    <m/>
    <m/>
    <m/>
    <m/>
    <m/>
    <m/>
    <m/>
    <m/>
    <s v="Puerto Plata"/>
    <s v="$25,000 from Verizon (AP is shared with November 2003 floods in Cibao / Montecristi)"/>
  </r>
  <r>
    <m/>
    <n v="108"/>
    <x v="114"/>
    <x v="45"/>
    <x v="8"/>
    <x v="4"/>
    <m/>
    <n v="2003"/>
    <n v="13"/>
    <x v="1"/>
    <x v="76"/>
    <m/>
    <s v="Earthquake"/>
    <s v="Earthquake"/>
    <s v="Earthquake"/>
    <m/>
    <m/>
    <m/>
    <m/>
    <m/>
    <m/>
    <m/>
    <m/>
    <m/>
    <m/>
    <m/>
    <m/>
    <m/>
    <m/>
    <m/>
    <m/>
    <m/>
    <n v="0"/>
    <m/>
    <m/>
    <m/>
    <n v="10000"/>
    <m/>
    <n v="10000"/>
    <m/>
    <m/>
    <m/>
    <m/>
    <m/>
    <m/>
    <m/>
    <m/>
    <m/>
    <m/>
    <m/>
    <m/>
    <n v="37200"/>
    <n v="28670"/>
    <n v="65870"/>
    <m/>
    <m/>
    <n v="50000"/>
    <x v="74"/>
    <s v="Y"/>
    <m/>
    <m/>
    <m/>
    <m/>
    <n v="2693"/>
    <m/>
    <m/>
    <m/>
    <m/>
    <m/>
    <m/>
    <m/>
    <m/>
    <m/>
    <m/>
    <m/>
    <s v="RESPONSE IN FY 04"/>
    <s v="hygiene kits ($3.72 each) ex Bulgaria; $8,470 for transport, $1,200 demurrage, $19,000 to remove washing powder in Greece"/>
  </r>
  <r>
    <m/>
    <n v="109"/>
    <x v="115"/>
    <x v="49"/>
    <x v="8"/>
    <x v="5"/>
    <m/>
    <n v="2003"/>
    <n v="14"/>
    <x v="1"/>
    <x v="77"/>
    <m/>
    <s v="Conflict"/>
    <s v="Conflict"/>
    <s v="Conflict"/>
    <m/>
    <m/>
    <m/>
    <m/>
    <m/>
    <m/>
    <m/>
    <m/>
    <m/>
    <m/>
    <m/>
    <m/>
    <n v="0"/>
    <n v="35027"/>
    <m/>
    <m/>
    <m/>
    <n v="35027"/>
    <m/>
    <m/>
    <m/>
    <m/>
    <m/>
    <m/>
    <m/>
    <m/>
    <m/>
    <m/>
    <m/>
    <m/>
    <m/>
    <m/>
    <m/>
    <m/>
    <m/>
    <m/>
    <m/>
    <m/>
    <n v="35027"/>
    <m/>
    <m/>
    <n v="2500"/>
    <x v="75"/>
    <s v="Y"/>
    <m/>
    <m/>
    <m/>
    <m/>
    <n v="2631"/>
    <m/>
    <m/>
    <m/>
    <m/>
    <m/>
    <m/>
    <m/>
    <m/>
    <m/>
    <m/>
    <m/>
    <m/>
    <s v="Funds from Region's budget previously sent to Geneva re-allocated  - signed PMN returned to IDRU in October 2003"/>
  </r>
  <r>
    <m/>
    <n v="110"/>
    <x v="6"/>
    <x v="47"/>
    <x v="8"/>
    <x v="6"/>
    <m/>
    <n v="2003"/>
    <n v="15"/>
    <x v="2"/>
    <x v="2"/>
    <m/>
    <s v="Floods"/>
    <s v="General Floods"/>
    <s v="General Floods"/>
    <m/>
    <m/>
    <m/>
    <m/>
    <m/>
    <m/>
    <m/>
    <m/>
    <m/>
    <m/>
    <m/>
    <m/>
    <m/>
    <m/>
    <m/>
    <n v="10500"/>
    <m/>
    <n v="10500"/>
    <n v="2"/>
    <m/>
    <m/>
    <m/>
    <m/>
    <m/>
    <m/>
    <m/>
    <m/>
    <m/>
    <m/>
    <m/>
    <m/>
    <m/>
    <m/>
    <m/>
    <m/>
    <m/>
    <m/>
    <m/>
    <n v="10500"/>
    <m/>
    <m/>
    <n v="3000"/>
    <x v="76"/>
    <s v="Y"/>
    <m/>
    <m/>
    <m/>
    <m/>
    <n v="2688"/>
    <m/>
    <m/>
    <m/>
    <m/>
    <m/>
    <m/>
    <m/>
    <m/>
    <m/>
    <m/>
    <m/>
    <m/>
    <s v="Hurricane Kenna funds ($11,636.16 minus 11.15%); Christine Strater and Nate Cooper deployed 5 October 2003"/>
  </r>
  <r>
    <m/>
    <n v="111"/>
    <x v="95"/>
    <x v="48"/>
    <x v="8"/>
    <x v="7"/>
    <m/>
    <n v="2003"/>
    <n v="16"/>
    <x v="3"/>
    <x v="67"/>
    <m/>
    <s v="Storm"/>
    <s v="Tropical Cyclone"/>
    <s v="Typhoon"/>
    <m/>
    <m/>
    <m/>
    <m/>
    <m/>
    <m/>
    <m/>
    <m/>
    <m/>
    <m/>
    <m/>
    <m/>
    <m/>
    <m/>
    <m/>
    <n v="10000"/>
    <m/>
    <n v="10000"/>
    <m/>
    <m/>
    <m/>
    <m/>
    <m/>
    <m/>
    <m/>
    <m/>
    <m/>
    <m/>
    <m/>
    <m/>
    <m/>
    <m/>
    <m/>
    <m/>
    <m/>
    <m/>
    <m/>
    <m/>
    <n v="10000"/>
    <m/>
    <m/>
    <m/>
    <x v="6"/>
    <s v="Y"/>
    <m/>
    <m/>
    <m/>
    <m/>
    <n v="2647"/>
    <m/>
    <m/>
    <m/>
    <m/>
    <m/>
    <m/>
    <m/>
    <m/>
    <m/>
    <m/>
    <m/>
    <s v="Maemi"/>
    <s v="Alcoa funds for re-stocking KNRC warehouse"/>
  </r>
  <r>
    <m/>
    <n v="112"/>
    <x v="116"/>
    <x v="50"/>
    <x v="8"/>
    <x v="8"/>
    <m/>
    <n v="2003"/>
    <n v="17"/>
    <x v="2"/>
    <x v="75"/>
    <m/>
    <s v="Floods"/>
    <s v="General Floods"/>
    <s v="General Floods"/>
    <m/>
    <m/>
    <m/>
    <m/>
    <m/>
    <m/>
    <m/>
    <m/>
    <m/>
    <m/>
    <m/>
    <m/>
    <m/>
    <m/>
    <m/>
    <m/>
    <m/>
    <n v="0"/>
    <n v="3"/>
    <s v="Relief ERU"/>
    <m/>
    <m/>
    <m/>
    <m/>
    <m/>
    <m/>
    <m/>
    <m/>
    <m/>
    <m/>
    <m/>
    <m/>
    <m/>
    <m/>
    <m/>
    <m/>
    <n v="50000"/>
    <m/>
    <n v="50000"/>
    <m/>
    <m/>
    <n v="500"/>
    <x v="16"/>
    <s v="Y"/>
    <m/>
    <m/>
    <m/>
    <m/>
    <n v="2618"/>
    <m/>
    <m/>
    <m/>
    <m/>
    <m/>
    <m/>
    <m/>
    <m/>
    <m/>
    <m/>
    <m/>
    <s v="Cibao / Montecristi"/>
    <s v="$50,000 from OFDA; Greenhalgh, McAndrew and Chapman deployed in November 2003 on Relief ERU Pilot"/>
  </r>
  <r>
    <m/>
    <n v="112"/>
    <x v="116"/>
    <x v="50"/>
    <x v="8"/>
    <x v="8"/>
    <m/>
    <n v="2003"/>
    <n v="17"/>
    <x v="2"/>
    <x v="75"/>
    <m/>
    <s v="Floods"/>
    <s v="General Floods"/>
    <s v="General Floods"/>
    <m/>
    <m/>
    <m/>
    <m/>
    <m/>
    <m/>
    <m/>
    <m/>
    <m/>
    <m/>
    <m/>
    <m/>
    <m/>
    <m/>
    <m/>
    <m/>
    <m/>
    <n v="0"/>
    <m/>
    <m/>
    <m/>
    <m/>
    <m/>
    <m/>
    <m/>
    <m/>
    <m/>
    <m/>
    <m/>
    <m/>
    <m/>
    <m/>
    <m/>
    <m/>
    <m/>
    <m/>
    <m/>
    <m/>
    <n v="0"/>
    <m/>
    <m/>
    <m/>
    <x v="7"/>
    <s v="Y"/>
    <m/>
    <m/>
    <m/>
    <m/>
    <n v="2694"/>
    <m/>
    <m/>
    <m/>
    <m/>
    <m/>
    <m/>
    <m/>
    <m/>
    <m/>
    <m/>
    <m/>
    <s v="Cibao / Montecristi"/>
    <s v="(AP is shared with October 2003 Earthquake in Puerto Plata)"/>
  </r>
  <r>
    <m/>
    <n v="113"/>
    <x v="117"/>
    <x v="51"/>
    <x v="8"/>
    <x v="9"/>
    <m/>
    <n v="2003"/>
    <n v="18"/>
    <x v="3"/>
    <x v="49"/>
    <m/>
    <s v="Earthquake"/>
    <s v="Earthquake"/>
    <s v="Earthquake"/>
    <m/>
    <m/>
    <m/>
    <m/>
    <m/>
    <m/>
    <m/>
    <m/>
    <m/>
    <m/>
    <m/>
    <m/>
    <n v="1"/>
    <n v="200000"/>
    <m/>
    <m/>
    <m/>
    <n v="200000"/>
    <n v="6"/>
    <s v="Relief ERU"/>
    <m/>
    <n v="115560"/>
    <m/>
    <n v="45000"/>
    <n v="27000"/>
    <m/>
    <m/>
    <n v="490"/>
    <m/>
    <m/>
    <m/>
    <m/>
    <m/>
    <m/>
    <m/>
    <m/>
    <n v="825763"/>
    <n v="150038.97999999998"/>
    <n v="1175801.98"/>
    <m/>
    <m/>
    <n v="225000"/>
    <x v="77"/>
    <s v="Y"/>
    <m/>
    <m/>
    <m/>
    <m/>
    <n v="2019"/>
    <m/>
    <m/>
    <m/>
    <m/>
    <m/>
    <m/>
    <m/>
    <m/>
    <m/>
    <m/>
    <m/>
    <s v="Bam"/>
    <s v="Relief ERU deployed: McAndrew (TL), Stephenson, Stops, Parry, Strater &amp; Swadzka.  $200,000 PMN sent to Federation; Commodities provide: 10,000 towels and 20,000 nail clippers"/>
  </r>
  <r>
    <m/>
    <n v="113"/>
    <x v="117"/>
    <x v="51"/>
    <x v="8"/>
    <x v="9"/>
    <m/>
    <n v="2003"/>
    <n v="18"/>
    <x v="3"/>
    <x v="49"/>
    <m/>
    <s v="Earthquake"/>
    <s v="Earthquake"/>
    <s v="Earthquake"/>
    <m/>
    <m/>
    <m/>
    <m/>
    <m/>
    <m/>
    <m/>
    <m/>
    <m/>
    <m/>
    <m/>
    <m/>
    <m/>
    <m/>
    <m/>
    <m/>
    <m/>
    <n v="0"/>
    <m/>
    <m/>
    <m/>
    <n v="11"/>
    <m/>
    <m/>
    <m/>
    <m/>
    <m/>
    <n v="11"/>
    <m/>
    <m/>
    <m/>
    <m/>
    <m/>
    <m/>
    <m/>
    <m/>
    <n v="19975"/>
    <m/>
    <n v="19975"/>
    <m/>
    <m/>
    <n v="440"/>
    <x v="78"/>
    <s v="Y"/>
    <m/>
    <m/>
    <m/>
    <m/>
    <n v="2616"/>
    <m/>
    <m/>
    <m/>
    <m/>
    <m/>
    <m/>
    <m/>
    <m/>
    <m/>
    <m/>
    <m/>
    <s v="Bam"/>
    <s v="Grant from Reuters / AlertNet"/>
  </r>
  <r>
    <m/>
    <n v="113"/>
    <x v="117"/>
    <x v="51"/>
    <x v="8"/>
    <x v="9"/>
    <m/>
    <n v="2003"/>
    <n v="18"/>
    <x v="3"/>
    <x v="49"/>
    <m/>
    <s v="Earthquake"/>
    <s v="Earthquake"/>
    <s v="Earthquake"/>
    <m/>
    <m/>
    <m/>
    <m/>
    <m/>
    <m/>
    <m/>
    <m/>
    <m/>
    <m/>
    <m/>
    <m/>
    <m/>
    <m/>
    <m/>
    <m/>
    <m/>
    <n v="0"/>
    <m/>
    <m/>
    <m/>
    <m/>
    <m/>
    <m/>
    <m/>
    <m/>
    <m/>
    <m/>
    <m/>
    <m/>
    <m/>
    <m/>
    <m/>
    <m/>
    <m/>
    <m/>
    <n v="60000"/>
    <m/>
    <n v="60000"/>
    <m/>
    <m/>
    <m/>
    <x v="45"/>
    <s v="Y"/>
    <m/>
    <m/>
    <m/>
    <m/>
    <n v="2793"/>
    <m/>
    <m/>
    <m/>
    <m/>
    <m/>
    <m/>
    <m/>
    <m/>
    <m/>
    <m/>
    <m/>
    <s v="Bam"/>
    <s v="Grant from Semnani Foundation."/>
  </r>
  <r>
    <m/>
    <n v="114"/>
    <x v="118"/>
    <x v="51"/>
    <x v="8"/>
    <x v="10"/>
    <m/>
    <n v="2003"/>
    <n v="19"/>
    <x v="2"/>
    <x v="57"/>
    <m/>
    <s v="Earthquake"/>
    <s v="Earthquake"/>
    <s v="Earthquake"/>
    <m/>
    <m/>
    <m/>
    <m/>
    <m/>
    <m/>
    <m/>
    <m/>
    <m/>
    <m/>
    <m/>
    <m/>
    <m/>
    <m/>
    <m/>
    <m/>
    <m/>
    <n v="0"/>
    <m/>
    <m/>
    <m/>
    <n v="2300"/>
    <m/>
    <m/>
    <n v="1000"/>
    <m/>
    <m/>
    <m/>
    <m/>
    <n v="1100"/>
    <m/>
    <m/>
    <m/>
    <m/>
    <m/>
    <m/>
    <n v="6178"/>
    <m/>
    <n v="6178"/>
    <m/>
    <m/>
    <n v="550"/>
    <x v="79"/>
    <s v="Y"/>
    <m/>
    <m/>
    <m/>
    <m/>
    <n v="2898"/>
    <m/>
    <m/>
    <m/>
    <m/>
    <m/>
    <m/>
    <m/>
    <m/>
    <m/>
    <m/>
    <m/>
    <m/>
    <s v="Supplies to Panama RC"/>
  </r>
  <r>
    <m/>
    <n v="115"/>
    <x v="119"/>
    <x v="52"/>
    <x v="8"/>
    <x v="11"/>
    <m/>
    <n v="2004"/>
    <n v="1"/>
    <x v="3"/>
    <x v="78"/>
    <m/>
    <s v="Transport"/>
    <s v="Rail"/>
    <s v="Explosion"/>
    <m/>
    <m/>
    <m/>
    <m/>
    <m/>
    <m/>
    <m/>
    <m/>
    <m/>
    <m/>
    <m/>
    <m/>
    <n v="1"/>
    <n v="110000"/>
    <m/>
    <m/>
    <m/>
    <n v="110000"/>
    <m/>
    <m/>
    <m/>
    <m/>
    <m/>
    <m/>
    <m/>
    <m/>
    <m/>
    <m/>
    <m/>
    <m/>
    <m/>
    <m/>
    <m/>
    <m/>
    <m/>
    <m/>
    <m/>
    <m/>
    <n v="110000"/>
    <m/>
    <m/>
    <n v="3300"/>
    <x v="80"/>
    <s v="Y"/>
    <m/>
    <m/>
    <m/>
    <m/>
    <s v="2861 / 2790"/>
    <m/>
    <m/>
    <m/>
    <m/>
    <m/>
    <m/>
    <m/>
    <m/>
    <m/>
    <m/>
    <m/>
    <s v="Ryongchon"/>
    <s v="CASH: $10,000  from 2861 funds from Asia Region ; $100,000 from OFDA / 2790;"/>
  </r>
  <r>
    <m/>
    <n v="116"/>
    <x v="116"/>
    <x v="53"/>
    <x v="8"/>
    <x v="12"/>
    <m/>
    <n v="2004"/>
    <n v="2"/>
    <x v="2"/>
    <x v="75"/>
    <m/>
    <s v="Floods"/>
    <s v="General Floods"/>
    <s v="General Floods"/>
    <m/>
    <m/>
    <m/>
    <m/>
    <m/>
    <m/>
    <m/>
    <m/>
    <m/>
    <m/>
    <m/>
    <m/>
    <m/>
    <m/>
    <m/>
    <m/>
    <m/>
    <n v="0"/>
    <n v="1"/>
    <m/>
    <m/>
    <n v="10930"/>
    <m/>
    <m/>
    <m/>
    <n v="2350"/>
    <m/>
    <n v="150"/>
    <m/>
    <n v="5000"/>
    <m/>
    <m/>
    <n v="1000"/>
    <m/>
    <m/>
    <m/>
    <n v="205334.81245"/>
    <n v="14800"/>
    <n v="220134.81245"/>
    <m/>
    <m/>
    <n v="2500"/>
    <x v="81"/>
    <s v="Y"/>
    <m/>
    <m/>
    <m/>
    <m/>
    <n v="2694"/>
    <m/>
    <m/>
    <m/>
    <m/>
    <m/>
    <m/>
    <m/>
    <m/>
    <m/>
    <m/>
    <m/>
    <s v="Jimani &amp; Duarte"/>
    <s v="Nate Cooper deployed to DR with PADRU; stocks deployed ($74,526.50) from PADRU includes 2,430 school kits; $89,000 worth of generators"/>
  </r>
  <r>
    <m/>
    <n v="116"/>
    <x v="120"/>
    <x v="53"/>
    <x v="8"/>
    <x v="12"/>
    <m/>
    <n v="2004"/>
    <n v="2"/>
    <x v="2"/>
    <x v="79"/>
    <m/>
    <s v="Floods"/>
    <s v="General Floods"/>
    <s v="General Floods"/>
    <m/>
    <m/>
    <m/>
    <m/>
    <m/>
    <m/>
    <m/>
    <m/>
    <m/>
    <m/>
    <m/>
    <m/>
    <n v="0"/>
    <n v="20007"/>
    <m/>
    <m/>
    <m/>
    <n v="20007"/>
    <m/>
    <m/>
    <m/>
    <m/>
    <m/>
    <m/>
    <m/>
    <m/>
    <m/>
    <m/>
    <m/>
    <m/>
    <m/>
    <m/>
    <m/>
    <n v="2"/>
    <m/>
    <m/>
    <n v="16885.856"/>
    <n v="7665"/>
    <n v="44557.856"/>
    <m/>
    <m/>
    <n v="3000"/>
    <x v="82"/>
    <s v="Y"/>
    <m/>
    <m/>
    <m/>
    <m/>
    <n v="2614"/>
    <m/>
    <m/>
    <m/>
    <m/>
    <m/>
    <m/>
    <m/>
    <m/>
    <m/>
    <m/>
    <m/>
    <s v="Eastern"/>
    <s v="PMN 0407052 ($18,000 + PSR) dated 7 July 2004; rental of two vehicles to be used in Haiti for 3 months each"/>
  </r>
  <r>
    <m/>
    <n v="116"/>
    <x v="121"/>
    <x v="53"/>
    <x v="8"/>
    <x v="13"/>
    <m/>
    <n v="2004"/>
    <n v="3"/>
    <x v="1"/>
    <x v="37"/>
    <m/>
    <s v="Epidemic"/>
    <s v="Viral"/>
    <s v="Viral"/>
    <m/>
    <m/>
    <m/>
    <m/>
    <m/>
    <m/>
    <m/>
    <m/>
    <m/>
    <m/>
    <m/>
    <m/>
    <m/>
    <m/>
    <m/>
    <m/>
    <m/>
    <n v="0"/>
    <m/>
    <m/>
    <m/>
    <n v="12380"/>
    <m/>
    <m/>
    <m/>
    <m/>
    <m/>
    <m/>
    <m/>
    <n v="12360"/>
    <m/>
    <m/>
    <n v="20"/>
    <m/>
    <m/>
    <m/>
    <n v="61220"/>
    <m/>
    <n v="61220"/>
    <m/>
    <m/>
    <n v="6180"/>
    <x v="83"/>
    <s v="Y"/>
    <m/>
    <m/>
    <m/>
    <m/>
    <n v="2898"/>
    <m/>
    <m/>
    <m/>
    <m/>
    <m/>
    <m/>
    <m/>
    <m/>
    <m/>
    <m/>
    <m/>
    <s v="HIV/AIDS - Home Care"/>
    <s v="ex London"/>
  </r>
  <r>
    <m/>
    <n v="116"/>
    <x v="116"/>
    <x v="54"/>
    <x v="8"/>
    <x v="12"/>
    <m/>
    <n v="2004"/>
    <n v="2"/>
    <x v="2"/>
    <x v="75"/>
    <m/>
    <s v="Floods"/>
    <s v="General Floods"/>
    <s v="General Floods"/>
    <m/>
    <m/>
    <m/>
    <m/>
    <m/>
    <m/>
    <m/>
    <m/>
    <m/>
    <m/>
    <m/>
    <m/>
    <m/>
    <m/>
    <m/>
    <m/>
    <m/>
    <n v="0"/>
    <n v="1"/>
    <m/>
    <m/>
    <m/>
    <m/>
    <m/>
    <m/>
    <m/>
    <m/>
    <m/>
    <m/>
    <m/>
    <m/>
    <m/>
    <m/>
    <m/>
    <m/>
    <m/>
    <n v="110266.26"/>
    <m/>
    <n v="110266.26"/>
    <m/>
    <m/>
    <n v="2500"/>
    <x v="84"/>
    <s v="Y"/>
    <m/>
    <m/>
    <m/>
    <m/>
    <n v="2788"/>
    <m/>
    <m/>
    <m/>
    <m/>
    <m/>
    <m/>
    <m/>
    <m/>
    <m/>
    <m/>
    <m/>
    <s v="Jimani &amp; Duarte"/>
    <s v="Ricardo Caivano - Gates Foundation funds ($233,780 - 11.15% = $207,713.53 available - - 60% for DR)"/>
  </r>
  <r>
    <m/>
    <n v="116"/>
    <x v="120"/>
    <x v="54"/>
    <x v="8"/>
    <x v="12"/>
    <m/>
    <n v="2004"/>
    <n v="2"/>
    <x v="2"/>
    <x v="79"/>
    <m/>
    <s v="Floods"/>
    <s v="General Floods"/>
    <s v="General Floods"/>
    <m/>
    <m/>
    <m/>
    <m/>
    <m/>
    <m/>
    <m/>
    <m/>
    <m/>
    <m/>
    <m/>
    <m/>
    <m/>
    <m/>
    <m/>
    <m/>
    <m/>
    <n v="0"/>
    <m/>
    <m/>
    <m/>
    <m/>
    <m/>
    <m/>
    <m/>
    <m/>
    <m/>
    <m/>
    <m/>
    <m/>
    <m/>
    <m/>
    <m/>
    <m/>
    <m/>
    <m/>
    <n v="97442.48"/>
    <m/>
    <n v="97442.48"/>
    <m/>
    <m/>
    <n v="3000"/>
    <x v="85"/>
    <s v="Y"/>
    <m/>
    <m/>
    <m/>
    <m/>
    <n v="2788"/>
    <m/>
    <m/>
    <m/>
    <m/>
    <m/>
    <m/>
    <m/>
    <m/>
    <m/>
    <m/>
    <m/>
    <s v="Eastern"/>
    <s v="Ricardo Caivano - Gates Foundation funds ($233,780 - 11.15% = $207,713.53 available - - 40% for Haiti)"/>
  </r>
  <r>
    <m/>
    <n v="117"/>
    <x v="122"/>
    <x v="53"/>
    <x v="8"/>
    <x v="14"/>
    <m/>
    <n v="2004"/>
    <n v="4"/>
    <x v="2"/>
    <x v="53"/>
    <m/>
    <s v="Conflict"/>
    <s v="Conflict"/>
    <s v="Conflict"/>
    <m/>
    <m/>
    <m/>
    <m/>
    <m/>
    <m/>
    <m/>
    <m/>
    <m/>
    <m/>
    <m/>
    <m/>
    <m/>
    <m/>
    <m/>
    <m/>
    <m/>
    <n v="0"/>
    <n v="0"/>
    <m/>
    <m/>
    <n v="1000"/>
    <m/>
    <n v="500"/>
    <m/>
    <m/>
    <m/>
    <m/>
    <m/>
    <n v="500"/>
    <m/>
    <m/>
    <m/>
    <m/>
    <m/>
    <m/>
    <n v="3000"/>
    <m/>
    <n v="3000"/>
    <m/>
    <m/>
    <n v="500"/>
    <x v="86"/>
    <s v="Y"/>
    <m/>
    <m/>
    <m/>
    <m/>
    <n v="2898"/>
    <m/>
    <m/>
    <m/>
    <m/>
    <m/>
    <m/>
    <m/>
    <m/>
    <m/>
    <m/>
    <m/>
    <s v="Haiti - Refugee"/>
    <s v="PADRU stocks"/>
  </r>
  <r>
    <m/>
    <n v="119"/>
    <x v="123"/>
    <x v="55"/>
    <x v="9"/>
    <x v="1"/>
    <m/>
    <n v="2004"/>
    <n v="5"/>
    <x v="2"/>
    <x v="66"/>
    <m/>
    <s v="Miscellaneous"/>
    <s v="Fire"/>
    <s v="Urban Fire"/>
    <m/>
    <m/>
    <m/>
    <m/>
    <m/>
    <m/>
    <m/>
    <m/>
    <m/>
    <m/>
    <m/>
    <m/>
    <m/>
    <m/>
    <m/>
    <n v="18675"/>
    <m/>
    <n v="18675"/>
    <m/>
    <m/>
    <m/>
    <m/>
    <m/>
    <m/>
    <m/>
    <m/>
    <m/>
    <m/>
    <m/>
    <m/>
    <m/>
    <m/>
    <m/>
    <m/>
    <m/>
    <m/>
    <m/>
    <m/>
    <n v="18675"/>
    <m/>
    <m/>
    <m/>
    <x v="87"/>
    <s v="Y"/>
    <m/>
    <m/>
    <m/>
    <m/>
    <n v="2816"/>
    <m/>
    <m/>
    <m/>
    <m/>
    <m/>
    <m/>
    <m/>
    <m/>
    <m/>
    <m/>
    <m/>
    <s v="Asuncion Supermarket"/>
    <s v="World Bank Employees; money arrived Oct 2004"/>
  </r>
  <r>
    <m/>
    <n v="120"/>
    <x v="124"/>
    <x v="55"/>
    <x v="9"/>
    <x v="2"/>
    <m/>
    <n v="2004"/>
    <n v="6"/>
    <x v="1"/>
    <x v="80"/>
    <m/>
    <s v="Conflict"/>
    <s v="Conflict"/>
    <s v="Conflict"/>
    <m/>
    <m/>
    <m/>
    <m/>
    <m/>
    <m/>
    <m/>
    <m/>
    <m/>
    <m/>
    <m/>
    <m/>
    <n v="1"/>
    <n v="100000"/>
    <m/>
    <m/>
    <m/>
    <n v="100000"/>
    <m/>
    <m/>
    <m/>
    <m/>
    <m/>
    <m/>
    <m/>
    <m/>
    <m/>
    <m/>
    <m/>
    <m/>
    <m/>
    <m/>
    <m/>
    <m/>
    <m/>
    <m/>
    <m/>
    <m/>
    <n v="100000"/>
    <m/>
    <m/>
    <m/>
    <x v="5"/>
    <s v="Y"/>
    <m/>
    <m/>
    <m/>
    <m/>
    <n v="9306"/>
    <m/>
    <m/>
    <m/>
    <m/>
    <m/>
    <m/>
    <m/>
    <m/>
    <m/>
    <m/>
    <m/>
    <s v="Darfur / Sudan"/>
    <s v="PMN Contribution to support Fed Appeal - Chad: Sudanese Refugees (from LDS)"/>
  </r>
  <r>
    <m/>
    <n v="120"/>
    <x v="125"/>
    <x v="55"/>
    <x v="9"/>
    <x v="2"/>
    <m/>
    <n v="2004"/>
    <n v="6"/>
    <x v="1"/>
    <x v="81"/>
    <m/>
    <s v="Conflict"/>
    <s v="Conflict"/>
    <s v="Conflict"/>
    <m/>
    <m/>
    <m/>
    <m/>
    <m/>
    <m/>
    <m/>
    <m/>
    <m/>
    <m/>
    <m/>
    <m/>
    <m/>
    <m/>
    <n v="242000"/>
    <m/>
    <m/>
    <n v="242000"/>
    <n v="1"/>
    <m/>
    <m/>
    <m/>
    <m/>
    <m/>
    <m/>
    <m/>
    <m/>
    <m/>
    <m/>
    <m/>
    <m/>
    <m/>
    <m/>
    <m/>
    <m/>
    <m/>
    <m/>
    <n v="5400"/>
    <n v="247400"/>
    <m/>
    <m/>
    <m/>
    <x v="88"/>
    <s v="Y"/>
    <m/>
    <m/>
    <m/>
    <m/>
    <n v="2802"/>
    <m/>
    <m/>
    <m/>
    <m/>
    <m/>
    <m/>
    <m/>
    <m/>
    <m/>
    <m/>
    <m/>
    <s v="Darfur / Sudan"/>
    <s v="1. 2004 - L. Greenhalgh seconded to Fed, expenses $5400 2. 2006 - Pledge to ICRC Sudan Appeal, $242,000"/>
  </r>
  <r>
    <m/>
    <n v="121"/>
    <x v="19"/>
    <x v="55"/>
    <x v="9"/>
    <x v="3"/>
    <m/>
    <n v="2004"/>
    <n v="7"/>
    <x v="3"/>
    <x v="14"/>
    <m/>
    <s v="Floods"/>
    <s v="General Floods"/>
    <s v="General Floods"/>
    <m/>
    <m/>
    <m/>
    <m/>
    <m/>
    <m/>
    <m/>
    <m/>
    <m/>
    <m/>
    <m/>
    <m/>
    <n v="0"/>
    <n v="35975"/>
    <m/>
    <m/>
    <m/>
    <n v="35975"/>
    <m/>
    <m/>
    <m/>
    <m/>
    <m/>
    <m/>
    <m/>
    <m/>
    <m/>
    <m/>
    <m/>
    <m/>
    <m/>
    <m/>
    <m/>
    <m/>
    <m/>
    <m/>
    <m/>
    <m/>
    <n v="35975"/>
    <m/>
    <m/>
    <m/>
    <x v="89"/>
    <s v="Y"/>
    <m/>
    <m/>
    <m/>
    <m/>
    <n v="2017"/>
    <m/>
    <m/>
    <m/>
    <m/>
    <m/>
    <m/>
    <m/>
    <m/>
    <m/>
    <m/>
    <m/>
    <s v="Country-wide"/>
    <s v="PMN: $15,975 from Citigroup and $20,000 from AMEX"/>
  </r>
  <r>
    <m/>
    <n v="122"/>
    <x v="126"/>
    <x v="55"/>
    <x v="9"/>
    <x v="4"/>
    <m/>
    <n v="2004"/>
    <n v="8"/>
    <x v="3"/>
    <x v="10"/>
    <m/>
    <s v="Storm"/>
    <s v="Tropical Cyclone"/>
    <s v="Typhoon"/>
    <m/>
    <m/>
    <m/>
    <m/>
    <m/>
    <m/>
    <m/>
    <m/>
    <m/>
    <m/>
    <m/>
    <m/>
    <m/>
    <m/>
    <m/>
    <n v="59896.536212325685"/>
    <m/>
    <n v="59896.536212325685"/>
    <m/>
    <m/>
    <m/>
    <m/>
    <m/>
    <m/>
    <m/>
    <m/>
    <m/>
    <m/>
    <m/>
    <m/>
    <m/>
    <m/>
    <m/>
    <m/>
    <m/>
    <m/>
    <m/>
    <m/>
    <n v="59896.536212325685"/>
    <m/>
    <m/>
    <m/>
    <x v="90"/>
    <s v="Y"/>
    <m/>
    <m/>
    <m/>
    <m/>
    <n v="2824"/>
    <m/>
    <m/>
    <m/>
    <m/>
    <m/>
    <m/>
    <m/>
    <m/>
    <m/>
    <m/>
    <m/>
    <s v="Mindulle"/>
    <s v="Pass through from Intel ($50,000), Synopsys Community Foundation ($10,000 - 11.15%) and San Gabriel Valley Chapter ($1,000 - 11.15%)"/>
  </r>
  <r>
    <m/>
    <n v="123"/>
    <x v="25"/>
    <x v="56"/>
    <x v="9"/>
    <x v="5"/>
    <m/>
    <n v="2004"/>
    <n v="9"/>
    <x v="2"/>
    <x v="20"/>
    <m/>
    <s v="Storm"/>
    <s v="Tropical Cyclone"/>
    <s v="Hurricane"/>
    <m/>
    <m/>
    <m/>
    <m/>
    <m/>
    <m/>
    <m/>
    <m/>
    <m/>
    <m/>
    <m/>
    <m/>
    <n v="1"/>
    <n v="300000"/>
    <m/>
    <m/>
    <m/>
    <n v="300000"/>
    <n v="2"/>
    <m/>
    <m/>
    <n v="486"/>
    <m/>
    <m/>
    <m/>
    <n v="481"/>
    <m/>
    <n v="5"/>
    <m/>
    <m/>
    <m/>
    <m/>
    <m/>
    <m/>
    <m/>
    <m/>
    <n v="2452.19"/>
    <m/>
    <n v="302452.19"/>
    <m/>
    <m/>
    <m/>
    <x v="91"/>
    <s v="Y"/>
    <m/>
    <m/>
    <m/>
    <m/>
    <n v="2024"/>
    <m/>
    <m/>
    <m/>
    <m/>
    <m/>
    <m/>
    <m/>
    <m/>
    <m/>
    <m/>
    <m/>
    <s v="Ivan"/>
    <s v="PMN - March 05; N. Cooper deployed to Grenada and Bahamas w/ PADRU; T. Reines deployed to Grenada.  5 Tents @ $299 each; Jerry Cans @ $1.99 each"/>
  </r>
  <r>
    <m/>
    <n v="123"/>
    <x v="73"/>
    <x v="56"/>
    <x v="9"/>
    <x v="5"/>
    <m/>
    <n v="2004"/>
    <n v="9"/>
    <x v="2"/>
    <x v="53"/>
    <m/>
    <s v="Storm"/>
    <s v="Tropical Cyclone"/>
    <s v="Hurricane"/>
    <m/>
    <m/>
    <m/>
    <m/>
    <m/>
    <m/>
    <m/>
    <m/>
    <m/>
    <m/>
    <m/>
    <m/>
    <n v="1"/>
    <n v="100000"/>
    <m/>
    <m/>
    <m/>
    <n v="100000"/>
    <n v="1"/>
    <m/>
    <m/>
    <n v="7314"/>
    <m/>
    <m/>
    <n v="5000"/>
    <n v="802"/>
    <m/>
    <m/>
    <m/>
    <m/>
    <m/>
    <m/>
    <n v="1105"/>
    <m/>
    <m/>
    <m/>
    <n v="31046.879999999997"/>
    <m/>
    <n v="131046.88"/>
    <m/>
    <m/>
    <m/>
    <x v="92"/>
    <s v="Y"/>
    <m/>
    <m/>
    <m/>
    <m/>
    <n v="2024"/>
    <m/>
    <m/>
    <m/>
    <m/>
    <m/>
    <m/>
    <m/>
    <m/>
    <m/>
    <m/>
    <m/>
    <s v="Ivan"/>
    <s v="PMN - March 05; M. Parry deployed with FACT; Jerry Cans @ $1.99 each, blankets @ $3.03 each, 407 flashlights @ $1.20 each,  tarpaulins @ $12.50 each"/>
  </r>
  <r>
    <m/>
    <n v="123"/>
    <x v="127"/>
    <x v="56"/>
    <x v="9"/>
    <x v="5"/>
    <m/>
    <n v="2004"/>
    <n v="9"/>
    <x v="2"/>
    <x v="82"/>
    <m/>
    <s v="Storm"/>
    <s v="Tropical Cyclone"/>
    <s v="Hurricane"/>
    <m/>
    <m/>
    <m/>
    <m/>
    <m/>
    <m/>
    <m/>
    <m/>
    <m/>
    <m/>
    <m/>
    <m/>
    <n v="1"/>
    <n v="100000"/>
    <m/>
    <m/>
    <m/>
    <n v="100000"/>
    <n v="1"/>
    <m/>
    <m/>
    <n v="2346"/>
    <m/>
    <n v="1000"/>
    <m/>
    <n v="321"/>
    <m/>
    <n v="25"/>
    <m/>
    <m/>
    <m/>
    <m/>
    <m/>
    <m/>
    <m/>
    <m/>
    <n v="12853.79"/>
    <m/>
    <n v="112853.79000000001"/>
    <m/>
    <m/>
    <m/>
    <x v="93"/>
    <s v="Y"/>
    <m/>
    <m/>
    <m/>
    <m/>
    <n v="2024"/>
    <m/>
    <m/>
    <m/>
    <m/>
    <m/>
    <m/>
    <m/>
    <m/>
    <m/>
    <m/>
    <m/>
    <s v="Ivan"/>
    <s v="PMN - March 05; tents @ $299 each; Jerrry Cans @$1.99 each; 1,000 flashlights @ $1.20 each; Hygiene Kits @ $3.54 loaned to British Red Cross"/>
  </r>
  <r>
    <m/>
    <n v="123"/>
    <x v="13"/>
    <x v="56"/>
    <x v="9"/>
    <x v="5"/>
    <m/>
    <n v="2004"/>
    <n v="9"/>
    <x v="2"/>
    <x v="83"/>
    <m/>
    <s v="Storm"/>
    <s v="Tropical Cyclone"/>
    <s v="Hurricane"/>
    <m/>
    <m/>
    <m/>
    <m/>
    <m/>
    <m/>
    <m/>
    <m/>
    <m/>
    <m/>
    <m/>
    <m/>
    <n v="1"/>
    <n v="100000"/>
    <m/>
    <m/>
    <m/>
    <n v="100000"/>
    <n v="4"/>
    <m/>
    <m/>
    <m/>
    <m/>
    <m/>
    <m/>
    <m/>
    <m/>
    <m/>
    <m/>
    <m/>
    <m/>
    <m/>
    <m/>
    <m/>
    <m/>
    <m/>
    <m/>
    <m/>
    <n v="100000"/>
    <m/>
    <m/>
    <m/>
    <x v="5"/>
    <s v="Y"/>
    <m/>
    <m/>
    <m/>
    <m/>
    <n v="2024"/>
    <m/>
    <m/>
    <m/>
    <m/>
    <m/>
    <m/>
    <m/>
    <m/>
    <m/>
    <m/>
    <m/>
    <s v="Ivan"/>
    <s v="PMN - Jan 05; C. Garrison, S. Schaefer deployed 1 month; N. Cooper deployed several times"/>
  </r>
  <r>
    <m/>
    <n v="124"/>
    <x v="120"/>
    <x v="56"/>
    <x v="9"/>
    <x v="6"/>
    <m/>
    <n v="2004"/>
    <n v="10"/>
    <x v="2"/>
    <x v="79"/>
    <m/>
    <s v="Floods"/>
    <s v="Storm Surge"/>
    <s v="Storm Surge"/>
    <m/>
    <m/>
    <m/>
    <m/>
    <m/>
    <m/>
    <m/>
    <m/>
    <m/>
    <m/>
    <m/>
    <m/>
    <n v="1"/>
    <n v="400000"/>
    <m/>
    <m/>
    <m/>
    <n v="400000"/>
    <n v="1"/>
    <m/>
    <m/>
    <n v="110"/>
    <m/>
    <m/>
    <m/>
    <m/>
    <m/>
    <m/>
    <m/>
    <m/>
    <m/>
    <m/>
    <n v="110"/>
    <m/>
    <m/>
    <m/>
    <n v="1375"/>
    <m/>
    <n v="401375"/>
    <m/>
    <m/>
    <m/>
    <x v="94"/>
    <s v="Y"/>
    <m/>
    <m/>
    <m/>
    <m/>
    <n v="2614"/>
    <m/>
    <m/>
    <m/>
    <m/>
    <m/>
    <m/>
    <m/>
    <m/>
    <m/>
    <m/>
    <m/>
    <s v="TS Jeanne"/>
    <s v="Brigitte Gallis deployed; tarpaulins @ $12.50 each; PMN 400K out of AP 2024 Jan 05"/>
  </r>
  <r>
    <m/>
    <n v="125"/>
    <x v="7"/>
    <x v="57"/>
    <x v="9"/>
    <x v="7"/>
    <m/>
    <n v="2004"/>
    <n v="11"/>
    <x v="2"/>
    <x v="3"/>
    <m/>
    <s v="Floods"/>
    <s v="General Floods"/>
    <s v="General Floods"/>
    <m/>
    <m/>
    <m/>
    <m/>
    <m/>
    <m/>
    <m/>
    <m/>
    <m/>
    <m/>
    <m/>
    <m/>
    <m/>
    <m/>
    <m/>
    <m/>
    <m/>
    <n v="0"/>
    <m/>
    <m/>
    <m/>
    <n v="750"/>
    <m/>
    <n v="750"/>
    <m/>
    <m/>
    <m/>
    <m/>
    <m/>
    <m/>
    <m/>
    <m/>
    <m/>
    <m/>
    <m/>
    <m/>
    <n v="2655"/>
    <m/>
    <n v="2655"/>
    <m/>
    <m/>
    <m/>
    <x v="95"/>
    <s v="Y"/>
    <m/>
    <m/>
    <m/>
    <m/>
    <n v="2898"/>
    <m/>
    <m/>
    <m/>
    <m/>
    <m/>
    <m/>
    <m/>
    <m/>
    <m/>
    <m/>
    <m/>
    <m/>
    <s v="from PADRU @ $3.54 each"/>
  </r>
  <r>
    <m/>
    <n v="126"/>
    <x v="80"/>
    <x v="58"/>
    <x v="9"/>
    <x v="8"/>
    <m/>
    <n v="2004"/>
    <n v="12"/>
    <x v="2"/>
    <x v="57"/>
    <s v="Hydrometerological"/>
    <s v="Floods"/>
    <s v="General Floods"/>
    <s v="General Floods"/>
    <m/>
    <m/>
    <m/>
    <m/>
    <m/>
    <m/>
    <m/>
    <m/>
    <m/>
    <m/>
    <m/>
    <m/>
    <m/>
    <m/>
    <m/>
    <m/>
    <m/>
    <n v="0"/>
    <m/>
    <m/>
    <m/>
    <m/>
    <m/>
    <m/>
    <m/>
    <m/>
    <m/>
    <m/>
    <m/>
    <m/>
    <m/>
    <m/>
    <m/>
    <m/>
    <m/>
    <m/>
    <m/>
    <m/>
    <n v="0"/>
    <m/>
    <m/>
    <m/>
    <x v="7"/>
    <s v="Y"/>
    <m/>
    <m/>
    <m/>
    <m/>
    <n v="2898"/>
    <m/>
    <m/>
    <m/>
    <m/>
    <m/>
    <m/>
    <m/>
    <m/>
    <m/>
    <m/>
    <m/>
    <s v="Darien"/>
    <s v="CANCELLED: 100 cases of laundry soap (5,000 bars = $7,200) and 5,000 bars of bath soap ($1,475)"/>
  </r>
  <r>
    <m/>
    <n v="127"/>
    <x v="128"/>
    <x v="58"/>
    <x v="9"/>
    <x v="9"/>
    <m/>
    <n v="2004"/>
    <n v="13"/>
    <x v="3"/>
    <x v="34"/>
    <s v="Hydrometerological"/>
    <s v="Tsunami"/>
    <s v="Tsunami"/>
    <s v="Tsunami"/>
    <m/>
    <m/>
    <m/>
    <m/>
    <m/>
    <m/>
    <m/>
    <m/>
    <m/>
    <m/>
    <m/>
    <m/>
    <n v="1"/>
    <n v="1837066.6666666667"/>
    <m/>
    <m/>
    <m/>
    <n v="1837066.6666666667"/>
    <n v="17"/>
    <s v="Relief ERU"/>
    <m/>
    <m/>
    <m/>
    <m/>
    <m/>
    <m/>
    <m/>
    <m/>
    <m/>
    <m/>
    <m/>
    <m/>
    <m/>
    <m/>
    <m/>
    <m/>
    <n v="2011842.8599999999"/>
    <n v="100000000"/>
    <n v="103848909.52666667"/>
    <m/>
    <m/>
    <m/>
    <x v="96"/>
    <s v="Y"/>
    <m/>
    <m/>
    <m/>
    <m/>
    <n v="2695"/>
    <m/>
    <m/>
    <m/>
    <m/>
    <m/>
    <m/>
    <m/>
    <m/>
    <m/>
    <m/>
    <m/>
    <s v="S &amp; E Provinces"/>
    <s v="Parry, Ragan, Courville, Matthews, Caivano, Blake, Garrison, Szwadzka, Hurd, Chinn, Gaver, Brien, Reines, Thornton, Cummings, deployed with Relief ERU. Stephenson and Cooper deployed with British RC; Hagos deployed for 2 weeks in Feb 2005; L. Wilkinson (DP)   $5 million PMN sent to Federation for Appeal / 100K for emerg phase"/>
  </r>
  <r>
    <m/>
    <n v="127"/>
    <x v="129"/>
    <x v="58"/>
    <x v="9"/>
    <x v="9"/>
    <m/>
    <n v="2004"/>
    <n v="13"/>
    <x v="3"/>
    <x v="27"/>
    <s v="Hydrometerological"/>
    <s v="Tsunami"/>
    <s v="Tsunami"/>
    <s v="Tsunami"/>
    <m/>
    <m/>
    <m/>
    <m/>
    <m/>
    <m/>
    <m/>
    <m/>
    <m/>
    <m/>
    <m/>
    <m/>
    <n v="1"/>
    <n v="1666666.6666666667"/>
    <m/>
    <m/>
    <m/>
    <n v="1666666.6666666667"/>
    <n v="5"/>
    <s v="Relief ERU"/>
    <m/>
    <m/>
    <m/>
    <m/>
    <m/>
    <m/>
    <m/>
    <m/>
    <m/>
    <m/>
    <m/>
    <m/>
    <m/>
    <m/>
    <m/>
    <m/>
    <n v="2300506.4"/>
    <m/>
    <n v="3967173.0666666664"/>
    <m/>
    <m/>
    <m/>
    <x v="97"/>
    <s v="Y"/>
    <m/>
    <m/>
    <m/>
    <m/>
    <n v="2695"/>
    <m/>
    <m/>
    <m/>
    <m/>
    <m/>
    <m/>
    <m/>
    <m/>
    <m/>
    <m/>
    <m/>
    <s v="N. Sumatra"/>
    <s v="O'Donnell, Michaud and Card deployed as w/ Relief ERU in Northern Sumatra; Greenhalgh on FACT.   $5 million PMN sent to Federation for Appeal; Caivano transferred from Sri Lanka to Indo; Karnes deployed as IRT (logs/ops) "/>
  </r>
  <r>
    <m/>
    <n v="127"/>
    <x v="130"/>
    <x v="58"/>
    <x v="9"/>
    <x v="9"/>
    <m/>
    <n v="2004"/>
    <n v="13"/>
    <x v="3"/>
    <x v="84"/>
    <s v="Hydrometerological"/>
    <s v="Tsunami"/>
    <s v="Tsunami"/>
    <s v="Tsunami"/>
    <m/>
    <m/>
    <m/>
    <m/>
    <m/>
    <m/>
    <m/>
    <m/>
    <m/>
    <m/>
    <m/>
    <m/>
    <n v="1"/>
    <n v="1666666.6666666667"/>
    <m/>
    <m/>
    <m/>
    <n v="1666666.6666666667"/>
    <n v="2"/>
    <m/>
    <m/>
    <m/>
    <m/>
    <m/>
    <m/>
    <m/>
    <m/>
    <m/>
    <m/>
    <m/>
    <m/>
    <m/>
    <m/>
    <m/>
    <m/>
    <m/>
    <n v="155600"/>
    <m/>
    <n v="1822266.6666666667"/>
    <m/>
    <m/>
    <m/>
    <x v="98"/>
    <s v="Y"/>
    <m/>
    <m/>
    <m/>
    <m/>
    <n v="2695"/>
    <m/>
    <m/>
    <m/>
    <m/>
    <m/>
    <m/>
    <m/>
    <m/>
    <m/>
    <m/>
    <m/>
    <s v="Country-wide"/>
    <s v="Hagos on FACT; $5 million PMN sent to Federation for Appeal; Gould wat/san IRT"/>
  </r>
  <r>
    <m/>
    <n v="128"/>
    <x v="131"/>
    <x v="59"/>
    <x v="9"/>
    <x v="10"/>
    <m/>
    <n v="2005"/>
    <n v="1"/>
    <x v="2"/>
    <x v="85"/>
    <s v="Hydrometerological"/>
    <s v="Floods"/>
    <s v="General Floods"/>
    <s v="General Floods"/>
    <m/>
    <m/>
    <m/>
    <m/>
    <m/>
    <m/>
    <m/>
    <m/>
    <m/>
    <m/>
    <m/>
    <m/>
    <m/>
    <m/>
    <m/>
    <m/>
    <m/>
    <n v="0"/>
    <n v="2"/>
    <m/>
    <m/>
    <m/>
    <m/>
    <m/>
    <m/>
    <m/>
    <m/>
    <m/>
    <m/>
    <m/>
    <m/>
    <m/>
    <m/>
    <m/>
    <m/>
    <m/>
    <n v="10000"/>
    <n v="3100"/>
    <n v="13100"/>
    <m/>
    <m/>
    <m/>
    <x v="99"/>
    <s v="Y"/>
    <m/>
    <m/>
    <m/>
    <m/>
    <n v="2774"/>
    <m/>
    <m/>
    <m/>
    <m/>
    <m/>
    <m/>
    <m/>
    <m/>
    <m/>
    <m/>
    <m/>
    <s v="Georgetown"/>
    <s v="Jim Gould and Jeffery Weiss deployed and purchased and shipped to the GRC $10,000 worth of individual and family First Aid Kits."/>
  </r>
  <r>
    <m/>
    <n v="129"/>
    <x v="132"/>
    <x v="60"/>
    <x v="9"/>
    <x v="11"/>
    <m/>
    <n v="2005"/>
    <n v="2"/>
    <x v="4"/>
    <x v="40"/>
    <s v="Hydrometerological"/>
    <s v="Floods"/>
    <s v="General Floods"/>
    <s v="General Floods"/>
    <m/>
    <m/>
    <m/>
    <m/>
    <m/>
    <m/>
    <m/>
    <m/>
    <m/>
    <m/>
    <m/>
    <m/>
    <m/>
    <m/>
    <m/>
    <n v="5000"/>
    <m/>
    <n v="5000"/>
    <m/>
    <m/>
    <m/>
    <m/>
    <m/>
    <m/>
    <m/>
    <m/>
    <m/>
    <m/>
    <m/>
    <m/>
    <m/>
    <m/>
    <m/>
    <m/>
    <m/>
    <m/>
    <m/>
    <m/>
    <n v="5000"/>
    <m/>
    <m/>
    <m/>
    <x v="46"/>
    <s v="Y"/>
    <m/>
    <m/>
    <m/>
    <m/>
    <s v="N/A"/>
    <m/>
    <m/>
    <m/>
    <m/>
    <m/>
    <m/>
    <m/>
    <m/>
    <m/>
    <m/>
    <m/>
    <s v="Alberta Floods"/>
    <s v="Contribution from AmEx for the Alberta Floods (GID direct to CRC)."/>
  </r>
  <r>
    <m/>
    <n v="130"/>
    <x v="133"/>
    <x v="61"/>
    <x v="10"/>
    <x v="1"/>
    <m/>
    <n v="2005"/>
    <n v="3"/>
    <x v="2"/>
    <x v="53"/>
    <s v="Hydrometerological"/>
    <s v="Storm"/>
    <s v="Tropical Cyclone"/>
    <s v="Hurricane"/>
    <m/>
    <s v="Y"/>
    <s v="IFRC"/>
    <n v="587000"/>
    <s v="05EA14"/>
    <m/>
    <m/>
    <m/>
    <m/>
    <n v="35000"/>
    <m/>
    <m/>
    <n v="0"/>
    <n v="25000"/>
    <m/>
    <m/>
    <m/>
    <n v="25000"/>
    <m/>
    <m/>
    <m/>
    <n v="25"/>
    <m/>
    <m/>
    <m/>
    <m/>
    <m/>
    <n v="25"/>
    <m/>
    <m/>
    <m/>
    <m/>
    <m/>
    <m/>
    <m/>
    <m/>
    <n v="7475"/>
    <m/>
    <n v="32475"/>
    <m/>
    <m/>
    <n v="100"/>
    <x v="100"/>
    <s v="Y"/>
    <m/>
    <m/>
    <m/>
    <m/>
    <n v="2024"/>
    <m/>
    <m/>
    <m/>
    <m/>
    <m/>
    <m/>
    <m/>
    <m/>
    <m/>
    <m/>
    <m/>
    <s v="Dennis / Emily"/>
    <s v="Ex PADRU"/>
  </r>
  <r>
    <m/>
    <n v="130"/>
    <x v="134"/>
    <x v="61"/>
    <x v="10"/>
    <x v="1"/>
    <m/>
    <n v="2005"/>
    <n v="3"/>
    <x v="2"/>
    <x v="20"/>
    <s v="Hydrometerological"/>
    <s v="Storm"/>
    <s v="Tropical Cyclone"/>
    <s v="Hurricane"/>
    <m/>
    <m/>
    <m/>
    <m/>
    <m/>
    <m/>
    <m/>
    <m/>
    <m/>
    <m/>
    <m/>
    <m/>
    <n v="1"/>
    <n v="75000"/>
    <m/>
    <m/>
    <m/>
    <n v="75000"/>
    <m/>
    <m/>
    <m/>
    <m/>
    <m/>
    <m/>
    <m/>
    <m/>
    <m/>
    <m/>
    <m/>
    <m/>
    <m/>
    <m/>
    <m/>
    <m/>
    <m/>
    <m/>
    <m/>
    <m/>
    <n v="75000"/>
    <m/>
    <m/>
    <m/>
    <x v="56"/>
    <s v="Y"/>
    <m/>
    <m/>
    <m/>
    <m/>
    <n v="2024"/>
    <m/>
    <m/>
    <m/>
    <m/>
    <m/>
    <m/>
    <m/>
    <m/>
    <m/>
    <m/>
    <m/>
    <s v="Dennis / Emily"/>
    <s v="$200,000 PMN sent: $100,000 to be divided between Jamaica and Grenada at Federation's discretion."/>
  </r>
  <r>
    <m/>
    <n v="130"/>
    <x v="135"/>
    <x v="61"/>
    <x v="10"/>
    <x v="1"/>
    <m/>
    <n v="2005"/>
    <n v="3"/>
    <x v="2"/>
    <x v="79"/>
    <s v="Hydrometerological"/>
    <s v="Storm"/>
    <s v="Tropical Cyclone"/>
    <s v="Hurricane"/>
    <m/>
    <m/>
    <m/>
    <m/>
    <m/>
    <m/>
    <m/>
    <m/>
    <m/>
    <m/>
    <m/>
    <m/>
    <n v="1"/>
    <n v="100000"/>
    <m/>
    <m/>
    <m/>
    <n v="100000"/>
    <m/>
    <m/>
    <m/>
    <n v="9995"/>
    <m/>
    <m/>
    <m/>
    <m/>
    <m/>
    <m/>
    <m/>
    <m/>
    <m/>
    <m/>
    <m/>
    <m/>
    <m/>
    <m/>
    <n v="8693"/>
    <m/>
    <n v="108693"/>
    <m/>
    <m/>
    <m/>
    <x v="101"/>
    <s v="Y"/>
    <m/>
    <m/>
    <m/>
    <m/>
    <n v="2614"/>
    <m/>
    <m/>
    <m/>
    <m/>
    <m/>
    <m/>
    <m/>
    <m/>
    <m/>
    <m/>
    <m/>
    <s v="Dennis / Emily"/>
    <s v="4,995 pcs laundry soap &amp; 5,000 pcs bath soap sent from PADRU; $200,000 PMN sent with $100,000 for Haiti"/>
  </r>
  <r>
    <m/>
    <n v="131"/>
    <x v="136"/>
    <x v="61"/>
    <x v="10"/>
    <x v="2"/>
    <m/>
    <n v="2005"/>
    <n v="4"/>
    <x v="1"/>
    <x v="86"/>
    <s v="Human Related"/>
    <s v="Food Insecurity"/>
    <s v="Food Insecurity"/>
    <s v="Food Insecurity"/>
    <m/>
    <s v="Y"/>
    <s v="IFRC"/>
    <n v="14211607"/>
    <s v="05EA015"/>
    <m/>
    <m/>
    <m/>
    <m/>
    <n v="222000"/>
    <m/>
    <m/>
    <m/>
    <m/>
    <m/>
    <m/>
    <m/>
    <n v="0"/>
    <n v="3"/>
    <m/>
    <m/>
    <m/>
    <m/>
    <m/>
    <m/>
    <m/>
    <m/>
    <m/>
    <m/>
    <m/>
    <m/>
    <m/>
    <m/>
    <m/>
    <m/>
    <m/>
    <m/>
    <n v="36200"/>
    <n v="36200"/>
    <m/>
    <m/>
    <m/>
    <x v="102"/>
    <s v="Y"/>
    <m/>
    <m/>
    <m/>
    <m/>
    <n v="2949"/>
    <m/>
    <m/>
    <m/>
    <m/>
    <m/>
    <m/>
    <m/>
    <m/>
    <m/>
    <m/>
    <m/>
    <s v="Sahel"/>
    <s v="Paying for secondments of Langdon Greenhalgh, Brigitte Gaillis and Tim Cummings to IFRC"/>
  </r>
  <r>
    <m/>
    <n v="132"/>
    <x v="137"/>
    <x v="62"/>
    <x v="10"/>
    <x v="3"/>
    <m/>
    <n v="2005"/>
    <n v="5"/>
    <x v="4"/>
    <x v="51"/>
    <s v="Hydrometerological"/>
    <s v="Tropical Storm"/>
    <s v="Tropical Cyclone"/>
    <s v="Hurricane"/>
    <m/>
    <m/>
    <m/>
    <m/>
    <m/>
    <m/>
    <m/>
    <m/>
    <m/>
    <m/>
    <m/>
    <m/>
    <m/>
    <m/>
    <m/>
    <m/>
    <m/>
    <n v="0"/>
    <n v="3"/>
    <m/>
    <m/>
    <m/>
    <m/>
    <m/>
    <m/>
    <m/>
    <m/>
    <m/>
    <m/>
    <m/>
    <m/>
    <m/>
    <m/>
    <m/>
    <m/>
    <m/>
    <m/>
    <m/>
    <n v="0"/>
    <m/>
    <m/>
    <m/>
    <x v="7"/>
    <s v="Y"/>
    <m/>
    <m/>
    <m/>
    <m/>
    <m/>
    <m/>
    <m/>
    <m/>
    <m/>
    <m/>
    <m/>
    <m/>
    <m/>
    <m/>
    <m/>
    <m/>
    <s v="Katrina"/>
    <s v="Nate Cooper, Mark Smith and Lance Leverenz deployed to Mississippi, Lousiana and Alabama."/>
  </r>
  <r>
    <m/>
    <n v="133"/>
    <x v="138"/>
    <x v="63"/>
    <x v="10"/>
    <x v="4"/>
    <m/>
    <n v="2005"/>
    <n v="6"/>
    <x v="3"/>
    <x v="47"/>
    <s v="Geophysical"/>
    <s v="Earthquake"/>
    <s v="Earthquake"/>
    <s v="Earthquake"/>
    <n v="3500000"/>
    <s v="Y"/>
    <s v="IFRC"/>
    <n v="117000000"/>
    <s v="05EA022"/>
    <m/>
    <m/>
    <m/>
    <m/>
    <n v="575000"/>
    <m/>
    <m/>
    <n v="1"/>
    <n v="6750000"/>
    <n v="1000000"/>
    <m/>
    <m/>
    <n v="7750000"/>
    <n v="4"/>
    <m/>
    <m/>
    <n v="325618"/>
    <m/>
    <n v="18000"/>
    <n v="222900"/>
    <m/>
    <n v="28000"/>
    <n v="5200"/>
    <n v="18000"/>
    <n v="30518"/>
    <m/>
    <m/>
    <n v="3000"/>
    <m/>
    <m/>
    <m/>
    <n v="4808310"/>
    <m/>
    <n v="12558310"/>
    <m/>
    <m/>
    <n v="120000"/>
    <x v="103"/>
    <s v="Y"/>
    <m/>
    <m/>
    <m/>
    <m/>
    <s v="2897/2771/2769"/>
    <m/>
    <m/>
    <m/>
    <m/>
    <m/>
    <m/>
    <m/>
    <m/>
    <m/>
    <m/>
    <s v="y"/>
    <s v="North West Frontier Province (NWFP) and Pakistan Administered Kashmir (PAK)"/>
    <s v="CASH: Non-designated PMN to the Fed $1,850,000; PMN to the Fed designated for one month cost of helicopter relief operations for $400,000; PMN to the Fed designated for corrugated iron sheeting (~73,000 pc) for $1,500,000. SUPPLIES:  Shawls at $50,000. (Cost includes all inspection costs/ transporation costs as well as commodity cost); PEOPLE: Seconded John Manley to FACT team and Jim Stephenson to Fed relief/logistics team.(Cost includes all inspection costs/ transporation costs as well as commodity cost). ICRC - $1M 2006 - Winter Prep - PMN for 1.5 million (500k to household repair kits, 300k to CGI);   (Cost includes all inspection costs/ transporation costs as well as commodity cost); seconded C. Chaperon and N. Cooper to Fed for monitoring."/>
  </r>
  <r>
    <m/>
    <n v="134"/>
    <x v="139"/>
    <x v="63"/>
    <x v="10"/>
    <x v="5"/>
    <m/>
    <n v="2005"/>
    <n v="7"/>
    <x v="2"/>
    <x v="44"/>
    <s v="Hydrometerological"/>
    <s v="Tropical Storm"/>
    <s v="Tropical Cyclone"/>
    <s v="Hurricane"/>
    <m/>
    <m/>
    <m/>
    <m/>
    <m/>
    <m/>
    <m/>
    <m/>
    <m/>
    <m/>
    <m/>
    <m/>
    <n v="0"/>
    <n v="47581"/>
    <m/>
    <m/>
    <m/>
    <n v="47581"/>
    <m/>
    <m/>
    <m/>
    <m/>
    <m/>
    <m/>
    <m/>
    <m/>
    <m/>
    <m/>
    <m/>
    <m/>
    <m/>
    <m/>
    <m/>
    <m/>
    <m/>
    <m/>
    <m/>
    <m/>
    <n v="47581"/>
    <m/>
    <m/>
    <m/>
    <x v="104"/>
    <s v="Y"/>
    <m/>
    <m/>
    <m/>
    <m/>
    <n v="2759"/>
    <m/>
    <m/>
    <m/>
    <m/>
    <m/>
    <m/>
    <m/>
    <m/>
    <m/>
    <m/>
    <m/>
    <s v="Stan"/>
    <s v="PMN contribution to support Federation's appeal relief operations."/>
  </r>
  <r>
    <m/>
    <n v="134"/>
    <x v="140"/>
    <x v="63"/>
    <x v="10"/>
    <x v="5"/>
    <m/>
    <n v="2005"/>
    <n v="7"/>
    <x v="2"/>
    <x v="2"/>
    <s v="Hydrometerological"/>
    <s v="Tropical Storm"/>
    <s v="Tropical Cyclone"/>
    <s v="Hurricane"/>
    <m/>
    <m/>
    <m/>
    <m/>
    <m/>
    <m/>
    <m/>
    <m/>
    <m/>
    <m/>
    <m/>
    <m/>
    <n v="1"/>
    <n v="257378"/>
    <m/>
    <n v="85000"/>
    <m/>
    <n v="342378"/>
    <m/>
    <m/>
    <m/>
    <m/>
    <m/>
    <m/>
    <m/>
    <m/>
    <m/>
    <m/>
    <m/>
    <m/>
    <m/>
    <m/>
    <m/>
    <m/>
    <m/>
    <m/>
    <m/>
    <m/>
    <n v="342378"/>
    <m/>
    <m/>
    <m/>
    <x v="105"/>
    <s v="Y"/>
    <m/>
    <m/>
    <m/>
    <m/>
    <n v="2020"/>
    <m/>
    <m/>
    <m/>
    <m/>
    <m/>
    <m/>
    <m/>
    <m/>
    <m/>
    <m/>
    <m/>
    <s v="Stan"/>
    <s v="CASH: Initial PMN contribution for $25,000 from IRF 2099 for Federation's Hurricane Stan Appeal.Additional PMN contribution for $83,568 from AP2760 for Federation's Hurricane Stan Appeal relief operations. Additional $124,453 PMN contribution from AP 2020 for Federation's Hurricane Stan Appeal relief operations in Mexico. $49,357 PMN contribution from AP2882  to support Federation's appeal relief operations.Cash to Mex RC: $35,000 from AP2760 for Initial direct contribution to the MRC to support their relief operation. Additional contribution of $50,000 from AP2020 to the MexRC to support their relief operation gift from Exxon Mobil and G&amp;E."/>
  </r>
  <r>
    <s v="TC-2005-000173-SLV"/>
    <n v="135"/>
    <x v="141"/>
    <x v="63"/>
    <x v="10"/>
    <x v="6"/>
    <m/>
    <n v="2005"/>
    <n v="8"/>
    <x v="2"/>
    <x v="35"/>
    <s v="Geophysical"/>
    <s v="Volcano"/>
    <s v="Volcanic Eruption"/>
    <s v="Volcanic Eruption"/>
    <m/>
    <m/>
    <m/>
    <n v="1098045"/>
    <s v="05EA020"/>
    <m/>
    <m/>
    <m/>
    <m/>
    <n v="21000"/>
    <m/>
    <m/>
    <n v="0"/>
    <n v="7034"/>
    <m/>
    <m/>
    <m/>
    <n v="7034"/>
    <n v="1"/>
    <m/>
    <m/>
    <m/>
    <m/>
    <m/>
    <m/>
    <m/>
    <m/>
    <m/>
    <m/>
    <m/>
    <m/>
    <m/>
    <m/>
    <m/>
    <m/>
    <m/>
    <m/>
    <m/>
    <n v="7034"/>
    <m/>
    <m/>
    <m/>
    <x v="106"/>
    <s v="Y"/>
    <m/>
    <m/>
    <m/>
    <m/>
    <n v="2690"/>
    <m/>
    <m/>
    <m/>
    <m/>
    <m/>
    <m/>
    <m/>
    <m/>
    <m/>
    <m/>
    <m/>
    <s v="Also: Floods"/>
    <s v="Nate Cooper deployed on PADRU team and PMN contribution to support Federation's appeal  relief operation in response of floods and volcanic eruption in El Salvador."/>
  </r>
  <r>
    <s v="TC-2005-000178-BHS"/>
    <n v="136"/>
    <x v="142"/>
    <x v="63"/>
    <x v="10"/>
    <x v="7"/>
    <m/>
    <n v="2005"/>
    <n v="9"/>
    <x v="2"/>
    <x v="9"/>
    <s v="Hydrometerological"/>
    <s v="Storm"/>
    <s v="Tropical Cyclone"/>
    <s v="Hurricane"/>
    <m/>
    <m/>
    <m/>
    <n v="1634707"/>
    <s v="05EA024"/>
    <m/>
    <m/>
    <m/>
    <m/>
    <m/>
    <m/>
    <m/>
    <m/>
    <m/>
    <m/>
    <m/>
    <m/>
    <n v="0"/>
    <m/>
    <m/>
    <m/>
    <n v="2371.9999999999995"/>
    <m/>
    <n v="2372"/>
    <m/>
    <m/>
    <m/>
    <m/>
    <m/>
    <m/>
    <m/>
    <m/>
    <m/>
    <m/>
    <m/>
    <m/>
    <n v="20597"/>
    <m/>
    <n v="20597"/>
    <m/>
    <m/>
    <n v="4000"/>
    <x v="107"/>
    <s v="Y"/>
    <m/>
    <m/>
    <m/>
    <m/>
    <n v="2024"/>
    <m/>
    <m/>
    <m/>
    <m/>
    <m/>
    <m/>
    <m/>
    <m/>
    <m/>
    <m/>
    <m/>
    <s v="Wilma"/>
    <s v="$3.54 each + 6,200 (transport) = $14,596.88  plus shipping and handling"/>
  </r>
  <r>
    <s v="TC-2005-000178-MEX"/>
    <n v="136"/>
    <x v="143"/>
    <x v="63"/>
    <x v="10"/>
    <x v="7"/>
    <m/>
    <n v="2005"/>
    <n v="9"/>
    <x v="2"/>
    <x v="2"/>
    <s v="Hydrometerological"/>
    <s v="Storm"/>
    <s v="Tropical Cyclone"/>
    <s v="Hurricane"/>
    <n v="300000"/>
    <m/>
    <m/>
    <n v="1918000"/>
    <s v="05EA024"/>
    <m/>
    <m/>
    <m/>
    <m/>
    <m/>
    <m/>
    <m/>
    <n v="1"/>
    <n v="128869"/>
    <m/>
    <n v="325000"/>
    <m/>
    <n v="453869"/>
    <m/>
    <m/>
    <m/>
    <n v="4500"/>
    <m/>
    <n v="4500"/>
    <m/>
    <m/>
    <m/>
    <m/>
    <m/>
    <m/>
    <m/>
    <m/>
    <m/>
    <m/>
    <m/>
    <m/>
    <n v="43875"/>
    <m/>
    <n v="497744"/>
    <m/>
    <m/>
    <m/>
    <x v="108"/>
    <s v="Y"/>
    <m/>
    <m/>
    <m/>
    <m/>
    <n v="2757"/>
    <m/>
    <m/>
    <m/>
    <m/>
    <m/>
    <m/>
    <m/>
    <m/>
    <m/>
    <m/>
    <m/>
    <s v="Wilma"/>
    <s v="CASH: $250,000 -Initital direct contribution from AP 2757 to the MexRC to support their relief operation in Cozumel, gift from Carnival Cruise Lines. 2) $75,000 additional direct contribution from AP 2020 to the MexRC to support their relief operations, gift from AmEx;.3) $100,000 PMN contribution from AP2758 to support Federation's appeal relief operations, 1. 62000 2. 38000 (10.06); 4) $28,869 PMN contribution from AP2757 to support Federation's appeal relief operations;    SUPPLIES: PADRU stocks valued at $43,875;"/>
  </r>
  <r>
    <m/>
    <n v="137"/>
    <x v="144"/>
    <x v="63"/>
    <x v="10"/>
    <x v="8"/>
    <m/>
    <n v="2005"/>
    <n v="10"/>
    <x v="3"/>
    <x v="16"/>
    <s v="Hydrometerological"/>
    <s v="Storm"/>
    <s v="Tropical Cyclone"/>
    <s v="Typhoon"/>
    <m/>
    <s v="Y"/>
    <s v="IFRC"/>
    <n v="628813"/>
    <s v="05EA019"/>
    <n v="3.3504396378573595E-2"/>
    <m/>
    <m/>
    <m/>
    <n v="25000"/>
    <m/>
    <m/>
    <n v="0"/>
    <n v="21068"/>
    <m/>
    <m/>
    <m/>
    <n v="21068"/>
    <m/>
    <m/>
    <m/>
    <m/>
    <m/>
    <m/>
    <m/>
    <m/>
    <m/>
    <m/>
    <m/>
    <m/>
    <m/>
    <m/>
    <m/>
    <m/>
    <m/>
    <m/>
    <m/>
    <m/>
    <n v="21068"/>
    <m/>
    <m/>
    <m/>
    <x v="109"/>
    <s v="Y"/>
    <m/>
    <m/>
    <m/>
    <m/>
    <n v="2870"/>
    <m/>
    <m/>
    <m/>
    <m/>
    <m/>
    <m/>
    <m/>
    <m/>
    <m/>
    <m/>
    <m/>
    <s v="Central Vietnam"/>
    <s v="PMN to the Federtion to support Vietnam: Typhoon Damrey Emergency Appeal. The funds were from Boejing and the PMN was handled by the region."/>
  </r>
  <r>
    <m/>
    <n v="138"/>
    <x v="145"/>
    <x v="64"/>
    <x v="10"/>
    <x v="9"/>
    <m/>
    <n v="2005"/>
    <n v="11"/>
    <x v="2"/>
    <x v="87"/>
    <s v="Geophysical"/>
    <s v="Volcano"/>
    <s v="Volcanic Eruption"/>
    <s v="Volcanic Eruption"/>
    <m/>
    <m/>
    <m/>
    <m/>
    <m/>
    <m/>
    <m/>
    <m/>
    <m/>
    <m/>
    <m/>
    <m/>
    <m/>
    <m/>
    <m/>
    <m/>
    <m/>
    <n v="0"/>
    <m/>
    <m/>
    <m/>
    <n v="45"/>
    <m/>
    <m/>
    <m/>
    <m/>
    <m/>
    <n v="45"/>
    <m/>
    <m/>
    <m/>
    <m/>
    <m/>
    <m/>
    <m/>
    <m/>
    <n v="17402"/>
    <m/>
    <n v="17402"/>
    <m/>
    <m/>
    <m/>
    <x v="110"/>
    <s v="Y"/>
    <m/>
    <m/>
    <m/>
    <m/>
    <n v="2898"/>
    <m/>
    <m/>
    <m/>
    <m/>
    <m/>
    <m/>
    <m/>
    <m/>
    <m/>
    <m/>
    <m/>
    <s v="Galeras Volcano"/>
    <s v="tents to the CRC - cost of shipping charged to 2099."/>
  </r>
  <r>
    <m/>
    <n v="139"/>
    <x v="146"/>
    <x v="65"/>
    <x v="10"/>
    <x v="10"/>
    <m/>
    <n v="2006"/>
    <n v="1"/>
    <x v="1"/>
    <x v="70"/>
    <s v="Hydrometerological"/>
    <s v="Drought"/>
    <s v="Drought"/>
    <s v="Drought"/>
    <m/>
    <s v="Y"/>
    <s v="IFRC"/>
    <m/>
    <s v="05EA023"/>
    <m/>
    <m/>
    <m/>
    <m/>
    <n v="1500000"/>
    <m/>
    <m/>
    <n v="1"/>
    <n v="100000"/>
    <m/>
    <m/>
    <m/>
    <n v="100000"/>
    <n v="3"/>
    <m/>
    <m/>
    <m/>
    <m/>
    <m/>
    <m/>
    <m/>
    <m/>
    <m/>
    <m/>
    <m/>
    <m/>
    <m/>
    <m/>
    <m/>
    <m/>
    <m/>
    <m/>
    <m/>
    <n v="100000"/>
    <m/>
    <m/>
    <m/>
    <x v="5"/>
    <s v="N"/>
    <m/>
    <m/>
    <m/>
    <m/>
    <n v="2099"/>
    <m/>
    <m/>
    <m/>
    <m/>
    <m/>
    <m/>
    <m/>
    <m/>
    <m/>
    <m/>
    <m/>
    <s v="Food Crisis"/>
    <s v="PMN contribution to support Federation's appeal relief operations in Lesotho."/>
  </r>
  <r>
    <m/>
    <n v="139"/>
    <x v="147"/>
    <x v="65"/>
    <x v="10"/>
    <x v="10"/>
    <m/>
    <n v="2006"/>
    <n v="1"/>
    <x v="1"/>
    <x v="37"/>
    <s v="Hydrometerological"/>
    <s v="Drought"/>
    <s v="Drought"/>
    <s v="Drought"/>
    <m/>
    <m/>
    <m/>
    <m/>
    <s v="05EA023"/>
    <m/>
    <m/>
    <m/>
    <m/>
    <m/>
    <m/>
    <m/>
    <n v="1"/>
    <n v="150000"/>
    <m/>
    <m/>
    <m/>
    <n v="150000"/>
    <m/>
    <m/>
    <m/>
    <m/>
    <m/>
    <m/>
    <m/>
    <m/>
    <m/>
    <m/>
    <m/>
    <m/>
    <m/>
    <m/>
    <m/>
    <m/>
    <m/>
    <m/>
    <m/>
    <m/>
    <n v="150000"/>
    <m/>
    <m/>
    <m/>
    <x v="13"/>
    <s v="N"/>
    <m/>
    <m/>
    <m/>
    <m/>
    <n v="2099"/>
    <m/>
    <m/>
    <m/>
    <m/>
    <m/>
    <m/>
    <m/>
    <m/>
    <m/>
    <m/>
    <m/>
    <s v="Food Crisis"/>
    <s v="PMN contribution to support Federation's appeal earmarked for Community Base Health Care Program to leverage NLRC funding."/>
  </r>
  <r>
    <m/>
    <n v="139"/>
    <x v="148"/>
    <x v="65"/>
    <x v="10"/>
    <x v="10"/>
    <m/>
    <n v="2006"/>
    <n v="1"/>
    <x v="1"/>
    <x v="25"/>
    <s v="Hydrometerological"/>
    <s v="Drought"/>
    <s v="Drought"/>
    <s v="Drought"/>
    <m/>
    <m/>
    <m/>
    <m/>
    <s v="05EA023"/>
    <m/>
    <m/>
    <m/>
    <m/>
    <m/>
    <m/>
    <m/>
    <n v="1"/>
    <n v="250000"/>
    <m/>
    <m/>
    <m/>
    <n v="250000"/>
    <m/>
    <m/>
    <m/>
    <m/>
    <m/>
    <m/>
    <m/>
    <m/>
    <m/>
    <m/>
    <m/>
    <m/>
    <m/>
    <m/>
    <m/>
    <m/>
    <m/>
    <m/>
    <m/>
    <m/>
    <n v="250000"/>
    <m/>
    <m/>
    <m/>
    <x v="35"/>
    <s v="N"/>
    <m/>
    <m/>
    <m/>
    <m/>
    <n v="2099"/>
    <m/>
    <m/>
    <m/>
    <m/>
    <m/>
    <m/>
    <m/>
    <m/>
    <m/>
    <m/>
    <m/>
    <s v="Food Crisis"/>
    <s v="PMN contribution to support Federation's appeal relief operations in Zimbabwe."/>
  </r>
  <r>
    <m/>
    <n v="139"/>
    <x v="149"/>
    <x v="65"/>
    <x v="10"/>
    <x v="10"/>
    <m/>
    <n v="2006"/>
    <n v="1"/>
    <x v="1"/>
    <x v="88"/>
    <s v="Hydrometerological"/>
    <s v="Drought"/>
    <s v="Drought"/>
    <s v="Drought"/>
    <m/>
    <m/>
    <m/>
    <s v="`"/>
    <s v="05EA023"/>
    <m/>
    <m/>
    <m/>
    <m/>
    <m/>
    <m/>
    <m/>
    <n v="1"/>
    <n v="400000"/>
    <m/>
    <m/>
    <m/>
    <n v="400000"/>
    <m/>
    <m/>
    <m/>
    <m/>
    <m/>
    <m/>
    <m/>
    <m/>
    <m/>
    <m/>
    <m/>
    <m/>
    <m/>
    <m/>
    <m/>
    <m/>
    <m/>
    <m/>
    <m/>
    <m/>
    <n v="400000"/>
    <m/>
    <m/>
    <m/>
    <x v="111"/>
    <s v="N"/>
    <m/>
    <m/>
    <m/>
    <m/>
    <n v="2099"/>
    <m/>
    <m/>
    <m/>
    <m/>
    <m/>
    <m/>
    <m/>
    <m/>
    <m/>
    <m/>
    <m/>
    <s v="Food Crisis"/>
    <s v="$400K &amp; $100K PMN contribution to support Federation's appeal relief operations in Zambia."/>
  </r>
  <r>
    <m/>
    <n v="140"/>
    <x v="150"/>
    <x v="66"/>
    <x v="10"/>
    <x v="11"/>
    <m/>
    <n v="2006"/>
    <n v="2"/>
    <x v="1"/>
    <x v="58"/>
    <s v="Hydrometerological"/>
    <s v="Drought"/>
    <s v="Drought"/>
    <s v="Drought"/>
    <m/>
    <s v="Y"/>
    <s v="IFRC"/>
    <n v="10500000"/>
    <s v="MDRKE001"/>
    <n v="1.4285714285714285E-2"/>
    <m/>
    <m/>
    <m/>
    <n v="329000"/>
    <m/>
    <m/>
    <n v="1"/>
    <n v="150000"/>
    <m/>
    <m/>
    <m/>
    <n v="150000"/>
    <m/>
    <m/>
    <m/>
    <m/>
    <m/>
    <m/>
    <m/>
    <m/>
    <m/>
    <m/>
    <m/>
    <m/>
    <m/>
    <m/>
    <m/>
    <m/>
    <m/>
    <m/>
    <m/>
    <m/>
    <n v="150000"/>
    <m/>
    <m/>
    <m/>
    <x v="13"/>
    <s v="N"/>
    <m/>
    <m/>
    <m/>
    <m/>
    <n v="2099"/>
    <m/>
    <m/>
    <m/>
    <m/>
    <m/>
    <m/>
    <m/>
    <m/>
    <m/>
    <m/>
    <m/>
    <s v="E. Africa Appeal"/>
    <s v="PMN contribution to support Federation's appeal relief operations."/>
  </r>
  <r>
    <m/>
    <n v="141"/>
    <x v="151"/>
    <x v="66"/>
    <x v="10"/>
    <x v="12"/>
    <m/>
    <n v="2006"/>
    <n v="3"/>
    <x v="3"/>
    <x v="72"/>
    <s v="Human Related"/>
    <s v="Conflict"/>
    <s v="Conflict"/>
    <s v="Conflict"/>
    <m/>
    <s v="Y"/>
    <s v="IFRC/ ICRC"/>
    <m/>
    <s v="MDRIQ001 / 05EA026 / REX 07/346"/>
    <m/>
    <m/>
    <m/>
    <m/>
    <n v="455000"/>
    <m/>
    <m/>
    <n v="1"/>
    <n v="88443"/>
    <n v="100000"/>
    <m/>
    <m/>
    <n v="188443"/>
    <m/>
    <m/>
    <m/>
    <m/>
    <m/>
    <m/>
    <m/>
    <m/>
    <m/>
    <m/>
    <m/>
    <m/>
    <m/>
    <m/>
    <m/>
    <m/>
    <m/>
    <m/>
    <m/>
    <m/>
    <n v="188443"/>
    <m/>
    <m/>
    <n v="455000"/>
    <x v="112"/>
    <s v="Y"/>
    <m/>
    <m/>
    <m/>
    <m/>
    <n v="2689"/>
    <m/>
    <m/>
    <m/>
    <m/>
    <m/>
    <m/>
    <m/>
    <m/>
    <m/>
    <m/>
    <m/>
    <s v="Humanitarian Emergency"/>
    <s v="19,170 PMN to IFRC Iraq: Floods Appeal No. MDRIQ001 for 25,000 beneficiaries; 69,272.96 PMN to IFRC Iraq: Humanitarian Emergency Appeal No. 05 EA026 for 350,000 beneficiaries; 100,000 Cash Contribution to ICRC's emergency appeal for Iraq activities related to wat/san for 80,000 beneficiaries."/>
  </r>
  <r>
    <s v="-2006-000022-TMP"/>
    <n v="142"/>
    <x v="152"/>
    <x v="67"/>
    <x v="10"/>
    <x v="13"/>
    <m/>
    <n v="2006"/>
    <n v="4"/>
    <x v="3"/>
    <x v="13"/>
    <s v="Hydrometerological"/>
    <s v="Floods"/>
    <s v="General Floods"/>
    <s v="General Floods"/>
    <m/>
    <s v="Y"/>
    <s v="IFRC"/>
    <n v="485000"/>
    <s v="MDRTP001"/>
    <n v="0.10309278350515463"/>
    <m/>
    <m/>
    <m/>
    <n v="8400"/>
    <m/>
    <m/>
    <n v="1"/>
    <n v="50000"/>
    <m/>
    <m/>
    <m/>
    <n v="50000"/>
    <m/>
    <m/>
    <m/>
    <m/>
    <m/>
    <m/>
    <m/>
    <m/>
    <m/>
    <m/>
    <m/>
    <m/>
    <m/>
    <m/>
    <m/>
    <m/>
    <m/>
    <m/>
    <m/>
    <m/>
    <n v="50000"/>
    <m/>
    <m/>
    <n v="8400"/>
    <x v="16"/>
    <s v="N"/>
    <m/>
    <m/>
    <m/>
    <m/>
    <n v="2799"/>
    <m/>
    <m/>
    <m/>
    <m/>
    <m/>
    <m/>
    <m/>
    <m/>
    <m/>
    <m/>
    <m/>
    <s v="Oecusse, Ainaro, Viqueque, Bobonaro and Baucau Districts"/>
    <s v="PMN contribution to support the Federation's operation in response to the Timor-Leste: Storms and Floods Emergency Appeal No. MDRTP001."/>
  </r>
  <r>
    <s v="MS-2006-000179-PHL"/>
    <n v="143"/>
    <x v="153"/>
    <x v="67"/>
    <x v="10"/>
    <x v="14"/>
    <m/>
    <n v="2006"/>
    <n v="5"/>
    <x v="3"/>
    <x v="89"/>
    <s v="Hydrometerological"/>
    <s v="Mass Movement Wet"/>
    <s v="Landslide"/>
    <s v="Mudslide"/>
    <m/>
    <s v="Y"/>
    <s v="IFRC"/>
    <n v="2000000"/>
    <s v="MDRPH001"/>
    <n v="2.5000000000000001E-2"/>
    <m/>
    <m/>
    <m/>
    <n v="8000"/>
    <m/>
    <m/>
    <n v="1"/>
    <n v="50000"/>
    <m/>
    <n v="5000"/>
    <m/>
    <n v="55000"/>
    <m/>
    <m/>
    <m/>
    <m/>
    <m/>
    <m/>
    <m/>
    <m/>
    <m/>
    <m/>
    <m/>
    <m/>
    <m/>
    <m/>
    <m/>
    <m/>
    <m/>
    <m/>
    <m/>
    <m/>
    <n v="55000"/>
    <m/>
    <m/>
    <n v="8000"/>
    <x v="113"/>
    <s v="Y"/>
    <m/>
    <m/>
    <m/>
    <m/>
    <n v="2032"/>
    <m/>
    <m/>
    <m/>
    <m/>
    <m/>
    <m/>
    <m/>
    <m/>
    <m/>
    <m/>
    <m/>
    <s v="Southern Leyte"/>
    <s v="PMN contribution to support the Federation's operation in the Philippines: Landslides and Floods Emergency Appeal No. MDRPH001 in the amount of 50,000 USD; Amex donation to Philippines National Red Cross for their emergency operations in the amount of 5,000 USD."/>
  </r>
  <r>
    <m/>
    <n v="144"/>
    <x v="154"/>
    <x v="68"/>
    <x v="10"/>
    <x v="15"/>
    <m/>
    <n v="2006"/>
    <n v="6"/>
    <x v="1"/>
    <x v="90"/>
    <s v="Biological"/>
    <s v="Epidemic"/>
    <s v="Bacterial"/>
    <s v="Bacterial"/>
    <m/>
    <m/>
    <m/>
    <m/>
    <m/>
    <m/>
    <m/>
    <m/>
    <m/>
    <m/>
    <m/>
    <m/>
    <m/>
    <m/>
    <m/>
    <m/>
    <m/>
    <n v="0"/>
    <n v="1"/>
    <m/>
    <m/>
    <m/>
    <m/>
    <m/>
    <m/>
    <m/>
    <m/>
    <m/>
    <m/>
    <m/>
    <m/>
    <m/>
    <m/>
    <m/>
    <m/>
    <m/>
    <m/>
    <n v="5000"/>
    <n v="5000"/>
    <m/>
    <m/>
    <m/>
    <x v="46"/>
    <s v="N"/>
    <m/>
    <m/>
    <m/>
    <m/>
    <n v="2799"/>
    <m/>
    <m/>
    <m/>
    <m/>
    <m/>
    <m/>
    <m/>
    <m/>
    <m/>
    <m/>
    <m/>
    <s v="Cholera Outbreak"/>
    <s v="J. Koepsell as FACT Health"/>
  </r>
  <r>
    <m/>
    <n v="145"/>
    <x v="5"/>
    <x v="69"/>
    <x v="10"/>
    <x v="16"/>
    <m/>
    <n v="2006"/>
    <n v="7"/>
    <x v="1"/>
    <x v="1"/>
    <s v="Hydrometerological"/>
    <s v="Drought"/>
    <s v="Drought"/>
    <s v="Drought"/>
    <m/>
    <s v="Y"/>
    <s v="IFRC"/>
    <n v="1129750"/>
    <s v="MDRET001"/>
    <n v="8.3612303606992691E-2"/>
    <m/>
    <m/>
    <m/>
    <n v="36341"/>
    <m/>
    <m/>
    <n v="1"/>
    <n v="94461"/>
    <m/>
    <m/>
    <m/>
    <n v="94461"/>
    <m/>
    <m/>
    <m/>
    <m/>
    <m/>
    <m/>
    <m/>
    <m/>
    <m/>
    <m/>
    <m/>
    <m/>
    <m/>
    <m/>
    <m/>
    <m/>
    <m/>
    <m/>
    <m/>
    <m/>
    <n v="94461"/>
    <m/>
    <m/>
    <m/>
    <x v="114"/>
    <s v="N"/>
    <m/>
    <m/>
    <m/>
    <m/>
    <n v="2099"/>
    <m/>
    <m/>
    <m/>
    <m/>
    <m/>
    <m/>
    <m/>
    <m/>
    <m/>
    <m/>
    <m/>
    <m/>
    <s v="PMN contribution to support Ethiopa: Drought Appeal"/>
  </r>
  <r>
    <m/>
    <n v="146"/>
    <x v="155"/>
    <x v="69"/>
    <x v="10"/>
    <x v="17"/>
    <m/>
    <n v="2006"/>
    <n v="8"/>
    <x v="1"/>
    <x v="91"/>
    <s v="Hydrometerological"/>
    <s v="Drought"/>
    <s v="Drought"/>
    <s v="Drought"/>
    <m/>
    <s v="Y"/>
    <s v="ICRC"/>
    <m/>
    <m/>
    <m/>
    <m/>
    <m/>
    <m/>
    <m/>
    <m/>
    <m/>
    <n v="1"/>
    <m/>
    <n v="250000"/>
    <m/>
    <m/>
    <n v="250000"/>
    <m/>
    <m/>
    <m/>
    <m/>
    <m/>
    <m/>
    <m/>
    <m/>
    <m/>
    <m/>
    <m/>
    <m/>
    <m/>
    <m/>
    <m/>
    <m/>
    <m/>
    <m/>
    <m/>
    <m/>
    <n v="250000"/>
    <m/>
    <m/>
    <m/>
    <x v="35"/>
    <s v="N"/>
    <m/>
    <m/>
    <m/>
    <m/>
    <n v="2099"/>
    <m/>
    <m/>
    <m/>
    <m/>
    <m/>
    <m/>
    <m/>
    <m/>
    <m/>
    <m/>
    <m/>
    <m/>
    <s v="Pledge Letter to ICRC for Somalia Emergency Appeal"/>
  </r>
  <r>
    <m/>
    <n v="147"/>
    <x v="156"/>
    <x v="69"/>
    <x v="10"/>
    <x v="18"/>
    <m/>
    <n v="2006"/>
    <n v="9"/>
    <x v="3"/>
    <x v="92"/>
    <s v="Human Related"/>
    <s v="Terrorism"/>
    <s v="Terrorism"/>
    <s v="Terrorism"/>
    <m/>
    <m/>
    <m/>
    <m/>
    <m/>
    <m/>
    <m/>
    <m/>
    <m/>
    <m/>
    <m/>
    <m/>
    <m/>
    <m/>
    <m/>
    <n v="20000"/>
    <m/>
    <n v="20000"/>
    <m/>
    <m/>
    <m/>
    <m/>
    <m/>
    <m/>
    <m/>
    <m/>
    <m/>
    <m/>
    <m/>
    <m/>
    <m/>
    <m/>
    <m/>
    <m/>
    <m/>
    <m/>
    <m/>
    <m/>
    <n v="20000"/>
    <m/>
    <m/>
    <m/>
    <x v="25"/>
    <s v="Y"/>
    <m/>
    <m/>
    <m/>
    <m/>
    <n v="2903"/>
    <m/>
    <m/>
    <m/>
    <m/>
    <m/>
    <m/>
    <m/>
    <m/>
    <m/>
    <m/>
    <m/>
    <s v="April 2004 MadridTrain Bombing"/>
    <s v="Suspense acct contribution following April 2004 bombing. Grant to Spain RC for DPP"/>
  </r>
  <r>
    <m/>
    <n v="148"/>
    <x v="157"/>
    <x v="68"/>
    <x v="10"/>
    <x v="19"/>
    <m/>
    <n v="2006"/>
    <n v="10"/>
    <x v="2"/>
    <x v="87"/>
    <s v="Hydrometerological"/>
    <s v="Floods"/>
    <s v="General Floods"/>
    <m/>
    <m/>
    <m/>
    <m/>
    <m/>
    <m/>
    <m/>
    <m/>
    <m/>
    <m/>
    <m/>
    <m/>
    <n v="2500"/>
    <m/>
    <m/>
    <m/>
    <n v="50000"/>
    <m/>
    <n v="50000"/>
    <m/>
    <m/>
    <m/>
    <m/>
    <m/>
    <m/>
    <m/>
    <m/>
    <m/>
    <m/>
    <m/>
    <m/>
    <m/>
    <m/>
    <m/>
    <m/>
    <m/>
    <m/>
    <m/>
    <m/>
    <n v="50000"/>
    <m/>
    <m/>
    <m/>
    <x v="16"/>
    <s v="N"/>
    <m/>
    <m/>
    <m/>
    <m/>
    <n v="2799"/>
    <m/>
    <m/>
    <m/>
    <m/>
    <m/>
    <m/>
    <m/>
    <m/>
    <m/>
    <m/>
    <m/>
    <m/>
    <s v="OFDA award in support of ARC's proposal &quot;Colombia Floods 2006&quot; to support CRC emergency relief response."/>
  </r>
  <r>
    <s v="EQ-2006-000064-IDN"/>
    <n v="149"/>
    <x v="158"/>
    <x v="68"/>
    <x v="10"/>
    <x v="23"/>
    <m/>
    <n v="2006"/>
    <n v="11"/>
    <x v="3"/>
    <x v="27"/>
    <s v="Geophysical"/>
    <s v="Earthquake"/>
    <s v="Earthquake"/>
    <s v="Earthquake"/>
    <m/>
    <s v="Y"/>
    <s v="IFRC"/>
    <n v="31000000"/>
    <s v="MDRID001"/>
    <m/>
    <m/>
    <m/>
    <m/>
    <n v="325000"/>
    <m/>
    <m/>
    <n v="1"/>
    <n v="1398250"/>
    <m/>
    <m/>
    <m/>
    <n v="1398250"/>
    <n v="7"/>
    <s v="Relief ERU"/>
    <m/>
    <m/>
    <m/>
    <m/>
    <m/>
    <m/>
    <m/>
    <m/>
    <m/>
    <m/>
    <m/>
    <m/>
    <m/>
    <m/>
    <m/>
    <m/>
    <m/>
    <n v="87500"/>
    <n v="1485750"/>
    <m/>
    <m/>
    <n v="13000"/>
    <x v="115"/>
    <s v="Y"/>
    <m/>
    <m/>
    <m/>
    <m/>
    <s v="2930 / 2799"/>
    <m/>
    <m/>
    <m/>
    <m/>
    <m/>
    <m/>
    <m/>
    <m/>
    <m/>
    <m/>
    <m/>
    <s v="Yogyakarta"/>
    <s v="CASH: 1. PMN to Fed 119,000 from AP2930  2. PMN to Fed 179,250 from AP2930 earmarked for 80K sleeping mats 3. PMN from AP2930 to Fed 1 million earmarked for tarps (600K), PSP (100K), DM (300K); PMN contribution to support Fed appeal relief operations - joint w/ 119,000 from AP 2930 4. PEOPLE: Relief ERU deployed with N. Cooper, C. Blake, S. Rahman, B. Riester, T. Betz, C. Chaperon. PA B. Gillespie, Health S. Shetty, PSP team"/>
  </r>
  <r>
    <m/>
    <n v="150"/>
    <x v="88"/>
    <x v="70"/>
    <x v="11"/>
    <x v="1"/>
    <m/>
    <n v="2006"/>
    <n v="12"/>
    <x v="3"/>
    <x v="61"/>
    <s v="Hydrometerological"/>
    <s v="Floods"/>
    <s v="General Floods"/>
    <s v="General Floods"/>
    <m/>
    <s v="Y"/>
    <s v="IFRC"/>
    <n v="1900000"/>
    <s v="MDRRO001"/>
    <n v="2.631578947368421E-3"/>
    <m/>
    <m/>
    <m/>
    <n v="13000"/>
    <m/>
    <m/>
    <n v="0"/>
    <n v="5000"/>
    <m/>
    <m/>
    <m/>
    <n v="5000"/>
    <m/>
    <m/>
    <m/>
    <m/>
    <m/>
    <m/>
    <m/>
    <m/>
    <m/>
    <m/>
    <m/>
    <m/>
    <m/>
    <m/>
    <m/>
    <m/>
    <m/>
    <m/>
    <m/>
    <m/>
    <n v="5000"/>
    <m/>
    <m/>
    <m/>
    <x v="46"/>
    <s v="Y"/>
    <m/>
    <m/>
    <m/>
    <m/>
    <n v="2685"/>
    <m/>
    <m/>
    <m/>
    <m/>
    <m/>
    <m/>
    <m/>
    <m/>
    <m/>
    <m/>
    <m/>
    <s v="Country-Wide"/>
    <s v="PMN contribution to support Federation's Emergency Appeal - AmEx contribution - from suspense acct"/>
  </r>
  <r>
    <m/>
    <n v="151"/>
    <x v="159"/>
    <x v="70"/>
    <x v="11"/>
    <x v="2"/>
    <m/>
    <n v="2006"/>
    <n v="13"/>
    <x v="3"/>
    <x v="93"/>
    <s v="Human Related"/>
    <s v="Conflict"/>
    <s v="Conflict"/>
    <s v="Conflict"/>
    <m/>
    <s v="Y"/>
    <s v="IFRC/ICRC"/>
    <n v="83131000"/>
    <s v="MDR81001 /REX 06/575"/>
    <m/>
    <m/>
    <m/>
    <m/>
    <n v="2000000"/>
    <m/>
    <m/>
    <n v="1"/>
    <n v="475000"/>
    <n v="1058600"/>
    <n v="356000"/>
    <m/>
    <n v="1889600"/>
    <m/>
    <m/>
    <m/>
    <m/>
    <m/>
    <m/>
    <m/>
    <m/>
    <m/>
    <m/>
    <m/>
    <m/>
    <m/>
    <m/>
    <m/>
    <m/>
    <m/>
    <m/>
    <m/>
    <m/>
    <n v="1889600"/>
    <m/>
    <m/>
    <m/>
    <x v="116"/>
    <s v="Y"/>
    <m/>
    <m/>
    <m/>
    <m/>
    <s v="2099 /2649"/>
    <m/>
    <m/>
    <m/>
    <m/>
    <m/>
    <m/>
    <m/>
    <m/>
    <m/>
    <m/>
    <m/>
    <s v="Humanitarian Crisis"/>
    <s v="CASH: Contributions to ICRC - 1. $500,000 2. $150,000 3. $211,136 to MDA specifically from AP2099; Contributions to ICRC - 1. $150,000 2. 47,500 (Dow Chemical Com from AP2649 pany), Contribution to Fed $475,000 (Coca Cola) from AP2649; $200,000 grant to Palestinian Red Crescent for southern Lebanon; $156,000 grant to Lebanese Red Cross for ambulances"/>
  </r>
  <r>
    <m/>
    <n v="152"/>
    <x v="8"/>
    <x v="71"/>
    <x v="11"/>
    <x v="3"/>
    <m/>
    <n v="2006"/>
    <n v="14"/>
    <x v="3"/>
    <x v="4"/>
    <s v="Hydrometerological"/>
    <s v="Floods"/>
    <s v="General Floods"/>
    <s v="General Floods"/>
    <m/>
    <s v="Y"/>
    <s v="IFRC"/>
    <n v="4825791"/>
    <s v="MDRCN001"/>
    <n v="1.036099574142353E-2"/>
    <m/>
    <m/>
    <m/>
    <n v="240000"/>
    <m/>
    <m/>
    <n v="1"/>
    <n v="50000"/>
    <m/>
    <m/>
    <m/>
    <n v="50000"/>
    <m/>
    <m/>
    <m/>
    <m/>
    <m/>
    <m/>
    <m/>
    <m/>
    <m/>
    <m/>
    <m/>
    <m/>
    <m/>
    <m/>
    <m/>
    <m/>
    <m/>
    <m/>
    <m/>
    <m/>
    <n v="50000"/>
    <m/>
    <m/>
    <m/>
    <x v="16"/>
    <s v="N"/>
    <m/>
    <m/>
    <m/>
    <m/>
    <n v="2799"/>
    <m/>
    <m/>
    <m/>
    <m/>
    <m/>
    <m/>
    <m/>
    <m/>
    <m/>
    <m/>
    <m/>
    <m/>
    <s v="PMN contribution earmarked for procurement of rice to support Fed's China: Floods Appeal"/>
  </r>
  <r>
    <s v="VO-2006-"/>
    <n v="153"/>
    <x v="160"/>
    <x v="71"/>
    <x v="11"/>
    <x v="4"/>
    <m/>
    <n v="2006"/>
    <n v="15"/>
    <x v="2"/>
    <x v="45"/>
    <s v="Geophysical"/>
    <s v="Volcano"/>
    <s v="Volcanic Eruption"/>
    <s v="Volcanic Eruption"/>
    <m/>
    <s v="Y"/>
    <s v="IFRC"/>
    <n v="514753"/>
    <s v="MDREC002"/>
    <n v="0"/>
    <n v="1"/>
    <m/>
    <m/>
    <n v="5475"/>
    <m/>
    <m/>
    <m/>
    <m/>
    <m/>
    <n v="50000"/>
    <m/>
    <n v="50000"/>
    <m/>
    <m/>
    <m/>
    <m/>
    <m/>
    <m/>
    <m/>
    <m/>
    <m/>
    <m/>
    <m/>
    <m/>
    <m/>
    <m/>
    <m/>
    <m/>
    <m/>
    <m/>
    <m/>
    <m/>
    <n v="50000"/>
    <m/>
    <m/>
    <m/>
    <x v="16"/>
    <s v="N"/>
    <m/>
    <m/>
    <m/>
    <m/>
    <n v="2799"/>
    <m/>
    <m/>
    <m/>
    <m/>
    <m/>
    <m/>
    <m/>
    <m/>
    <m/>
    <m/>
    <m/>
    <s v="Tungurahua"/>
    <s v="OFDA award in support of ARC's proposal &quot;Tungurahua Volcano eruption&quot; to support the ERC emergency relief response."/>
  </r>
  <r>
    <s v="FL-2006-000122-ETH"/>
    <n v="154"/>
    <x v="161"/>
    <x v="71"/>
    <x v="11"/>
    <x v="5"/>
    <m/>
    <n v="2006"/>
    <n v="16"/>
    <x v="1"/>
    <x v="1"/>
    <s v="Hydrometerological"/>
    <s v="Floods"/>
    <s v="General Floods"/>
    <s v="General Floods"/>
    <m/>
    <s v="Y"/>
    <s v="IFRC"/>
    <n v="4225070"/>
    <s v="MDRET003"/>
    <n v="2.0118009879126264E-2"/>
    <m/>
    <m/>
    <m/>
    <n v="25000"/>
    <m/>
    <m/>
    <n v="1"/>
    <n v="85000"/>
    <m/>
    <m/>
    <m/>
    <n v="85000"/>
    <n v="2"/>
    <m/>
    <m/>
    <m/>
    <m/>
    <m/>
    <m/>
    <m/>
    <m/>
    <m/>
    <m/>
    <m/>
    <m/>
    <m/>
    <m/>
    <m/>
    <m/>
    <m/>
    <m/>
    <m/>
    <n v="85000"/>
    <m/>
    <m/>
    <m/>
    <x v="117"/>
    <s v="Y"/>
    <m/>
    <m/>
    <m/>
    <m/>
    <s v="2099 / 2648"/>
    <m/>
    <m/>
    <m/>
    <m/>
    <m/>
    <m/>
    <m/>
    <m/>
    <m/>
    <m/>
    <m/>
    <s v="Amhara"/>
    <s v="CASH: PMN from 2099 contribution to Fed Appeal earmarked for tarps, blankets, sleeping mats PEOPLE: Deployed J. Manley, Prog Coordinator, 2 mo. AND K.White, Prog Delegate, 2 mo. From AP 2648."/>
  </r>
  <r>
    <s v="FL-2006-000123-SDN"/>
    <n v="155"/>
    <x v="162"/>
    <x v="72"/>
    <x v="11"/>
    <x v="6"/>
    <m/>
    <n v="2006"/>
    <n v="17"/>
    <x v="1"/>
    <x v="81"/>
    <s v="Hydrometerological"/>
    <s v="Floods"/>
    <s v="General Floods"/>
    <s v="General Floods"/>
    <m/>
    <s v="Y"/>
    <s v="IFRC"/>
    <n v="492625"/>
    <s v="MDRSD002"/>
    <n v="2.0299416391778735E-2"/>
    <m/>
    <m/>
    <m/>
    <n v="15000"/>
    <m/>
    <m/>
    <n v="0"/>
    <n v="10000"/>
    <m/>
    <m/>
    <m/>
    <n v="10000"/>
    <m/>
    <m/>
    <m/>
    <n v="10000"/>
    <m/>
    <m/>
    <m/>
    <m/>
    <m/>
    <m/>
    <m/>
    <m/>
    <n v="10000"/>
    <m/>
    <m/>
    <m/>
    <m/>
    <m/>
    <n v="36900"/>
    <m/>
    <n v="46900"/>
    <m/>
    <m/>
    <m/>
    <x v="118"/>
    <s v="Y"/>
    <m/>
    <m/>
    <m/>
    <m/>
    <n v="2802"/>
    <m/>
    <m/>
    <m/>
    <m/>
    <m/>
    <m/>
    <m/>
    <s v="N"/>
    <m/>
    <m/>
    <m/>
    <m/>
    <s v="Nets @ $3.69 each + $10,000 (transport) = $46,900"/>
  </r>
  <r>
    <s v="TC-2006-000175-PHL"/>
    <n v="156"/>
    <x v="163"/>
    <x v="73"/>
    <x v="11"/>
    <x v="7"/>
    <m/>
    <n v="2006"/>
    <n v="18"/>
    <x v="3"/>
    <x v="89"/>
    <s v="Hydrometerological"/>
    <s v="Storm"/>
    <s v="Tropical Cyclone"/>
    <s v="Typhoon"/>
    <m/>
    <s v="Y"/>
    <s v="IFRC"/>
    <n v="8637057"/>
    <s v="MDRPH002"/>
    <n v="9.1119000372464828E-2"/>
    <m/>
    <m/>
    <m/>
    <n v="1030000"/>
    <m/>
    <m/>
    <n v="1"/>
    <n v="787000"/>
    <m/>
    <m/>
    <m/>
    <n v="787000"/>
    <n v="2"/>
    <m/>
    <m/>
    <m/>
    <m/>
    <m/>
    <m/>
    <m/>
    <m/>
    <m/>
    <m/>
    <m/>
    <m/>
    <m/>
    <m/>
    <m/>
    <m/>
    <m/>
    <m/>
    <n v="6500"/>
    <n v="793500"/>
    <m/>
    <m/>
    <m/>
    <x v="119"/>
    <s v="Y"/>
    <m/>
    <m/>
    <m/>
    <m/>
    <n v="2032"/>
    <m/>
    <m/>
    <m/>
    <m/>
    <m/>
    <m/>
    <m/>
    <s v="N"/>
    <m/>
    <m/>
    <m/>
    <s v="Xangsane / Durian"/>
    <s v="PEOPLE: Deployed B. Gaillis, Ops Coordinator, 5 wks; Deployed C. Blake, FACT Relief, 3 wks. CASH: 2. PMN Fed Philippines: Typhoons $237,000 from AP2032; PMN Fed Philippines: Typhoon Xangsane Appeal $200,000 from AP2099;  3. PMN Fed Philippines: Typhoons $350K earmarked for CGI from AP2032;"/>
  </r>
  <r>
    <s v="TC-2006-000144-VNM; TC-2006-000175-VNM"/>
    <n v="157"/>
    <x v="164"/>
    <x v="73"/>
    <x v="11"/>
    <x v="8"/>
    <m/>
    <n v="2006"/>
    <n v="19"/>
    <x v="3"/>
    <x v="16"/>
    <s v="Hydrometerological"/>
    <s v="Storm"/>
    <s v="Tropical Cyclone"/>
    <s v="Typhoon"/>
    <m/>
    <s v="Y"/>
    <s v="IFRC"/>
    <n v="1340000"/>
    <s v="MDRVN001"/>
    <n v="4.7014925373134328E-2"/>
    <m/>
    <m/>
    <m/>
    <n v="60400"/>
    <m/>
    <m/>
    <n v="1"/>
    <n v="63000"/>
    <m/>
    <m/>
    <m/>
    <n v="63000"/>
    <m/>
    <m/>
    <m/>
    <m/>
    <m/>
    <m/>
    <m/>
    <m/>
    <m/>
    <m/>
    <m/>
    <m/>
    <m/>
    <m/>
    <m/>
    <m/>
    <m/>
    <m/>
    <m/>
    <m/>
    <n v="63000"/>
    <m/>
    <m/>
    <m/>
    <x v="120"/>
    <s v="N"/>
    <m/>
    <m/>
    <m/>
    <m/>
    <n v="2799"/>
    <m/>
    <m/>
    <m/>
    <m/>
    <m/>
    <m/>
    <m/>
    <s v="Y"/>
    <m/>
    <m/>
    <m/>
    <s v="Xangsane"/>
    <s v="PMN Fed Vietnam from AP2799: Typhoon Xangsane Appeal $25,000; PMN Fed Vietnam from AP2870: Typhoon Xangsane $38,000"/>
  </r>
  <r>
    <m/>
    <n v="158"/>
    <x v="165"/>
    <x v="74"/>
    <x v="11"/>
    <x v="9"/>
    <m/>
    <n v="2006"/>
    <n v="20"/>
    <x v="1"/>
    <x v="91"/>
    <s v="Human Related"/>
    <s v="Conflict"/>
    <s v="Conflict"/>
    <s v="Conflict"/>
    <m/>
    <m/>
    <m/>
    <m/>
    <m/>
    <m/>
    <m/>
    <m/>
    <m/>
    <m/>
    <m/>
    <m/>
    <m/>
    <m/>
    <n v="50000"/>
    <m/>
    <m/>
    <n v="50000"/>
    <m/>
    <m/>
    <m/>
    <m/>
    <m/>
    <m/>
    <m/>
    <m/>
    <m/>
    <m/>
    <m/>
    <m/>
    <m/>
    <m/>
    <m/>
    <m/>
    <m/>
    <m/>
    <m/>
    <m/>
    <n v="50000"/>
    <m/>
    <m/>
    <m/>
    <x v="16"/>
    <s v="N"/>
    <m/>
    <m/>
    <m/>
    <m/>
    <n v="2799"/>
    <m/>
    <m/>
    <m/>
    <m/>
    <m/>
    <m/>
    <m/>
    <s v="Y"/>
    <m/>
    <m/>
    <m/>
    <s v="IDP"/>
    <s v="Contribution to ICRC 2006 Somalia Emergency Appeal - spec IDPs"/>
  </r>
  <r>
    <s v="FL-2006-000159-KEN"/>
    <n v="159"/>
    <x v="81"/>
    <x v="74"/>
    <x v="11"/>
    <x v="10"/>
    <m/>
    <n v="2006"/>
    <n v="21"/>
    <x v="1"/>
    <x v="58"/>
    <s v="Hydrometerological"/>
    <s v="Floods"/>
    <s v="General Floods"/>
    <s v="General Floods"/>
    <m/>
    <s v="Y"/>
    <s v="IFRC"/>
    <n v="21832647"/>
    <s v="MDRKE003"/>
    <n v="2.290148326952751E-3"/>
    <m/>
    <m/>
    <m/>
    <n v="563000"/>
    <m/>
    <m/>
    <n v="1"/>
    <n v="50000"/>
    <m/>
    <n v="30000"/>
    <m/>
    <n v="80000"/>
    <m/>
    <m/>
    <m/>
    <n v="20000"/>
    <m/>
    <m/>
    <m/>
    <m/>
    <m/>
    <m/>
    <m/>
    <m/>
    <n v="20000"/>
    <m/>
    <m/>
    <m/>
    <m/>
    <m/>
    <n v="120000"/>
    <m/>
    <n v="200000"/>
    <m/>
    <m/>
    <m/>
    <x v="121"/>
    <s v="Y"/>
    <m/>
    <m/>
    <m/>
    <m/>
    <s v="2925 / 2099"/>
    <m/>
    <m/>
    <m/>
    <m/>
    <m/>
    <m/>
    <m/>
    <s v="N"/>
    <m/>
    <m/>
    <m/>
    <m/>
    <s v="CASH: From AP2925: 30K - IDR/IP grant directly to Kenya Red Cross; PMN to Fed - 50k from LDS; SUPPLIES: 20,000 (mosquito nets) @ $4.44 each + PSR, etc + $20,000 (transport) = $120,000 from AP2099"/>
  </r>
  <r>
    <m/>
    <n v="160"/>
    <x v="166"/>
    <x v="74"/>
    <x v="11"/>
    <x v="11"/>
    <m/>
    <n v="2006"/>
    <n v="22"/>
    <x v="1"/>
    <x v="91"/>
    <s v="Hydrometerological"/>
    <s v="Floods"/>
    <s v="General Floods"/>
    <s v="General Floods"/>
    <m/>
    <s v="Y"/>
    <s v="ICRC"/>
    <n v="33508000"/>
    <s v="REX 06/813"/>
    <m/>
    <m/>
    <m/>
    <m/>
    <n v="324000"/>
    <m/>
    <m/>
    <m/>
    <m/>
    <n v="100000"/>
    <m/>
    <m/>
    <n v="100000"/>
    <m/>
    <m/>
    <m/>
    <m/>
    <m/>
    <m/>
    <m/>
    <m/>
    <m/>
    <m/>
    <m/>
    <m/>
    <m/>
    <m/>
    <m/>
    <m/>
    <m/>
    <m/>
    <m/>
    <m/>
    <n v="100000"/>
    <m/>
    <m/>
    <m/>
    <x v="5"/>
    <s v="N"/>
    <m/>
    <m/>
    <m/>
    <m/>
    <n v="2099"/>
    <m/>
    <m/>
    <m/>
    <m/>
    <m/>
    <m/>
    <m/>
    <s v="N"/>
    <m/>
    <m/>
    <m/>
    <m/>
    <s v="Contribution to ICRC 2006 Somalia Emergency Appeal - spec those affected by floods"/>
  </r>
  <r>
    <s v="FL-2006-000198-MOZ"/>
    <n v="161"/>
    <x v="46"/>
    <x v="75"/>
    <x v="11"/>
    <x v="12"/>
    <m/>
    <n v="2007"/>
    <n v="1"/>
    <x v="1"/>
    <x v="36"/>
    <s v="Hydrometerological"/>
    <s v="Floods"/>
    <s v="General Floods"/>
    <s v="General Floods"/>
    <m/>
    <s v="Y"/>
    <s v="IFRC"/>
    <n v="5971938"/>
    <s v="MDRMZ002"/>
    <m/>
    <m/>
    <m/>
    <m/>
    <n v="100000"/>
    <m/>
    <m/>
    <m/>
    <m/>
    <m/>
    <m/>
    <m/>
    <n v="0"/>
    <n v="2"/>
    <s v="Relief ERU"/>
    <m/>
    <n v="26950"/>
    <m/>
    <m/>
    <n v="7050"/>
    <m/>
    <m/>
    <m/>
    <m/>
    <m/>
    <m/>
    <m/>
    <n v="3900"/>
    <m/>
    <m/>
    <m/>
    <n v="200000"/>
    <n v="45000"/>
    <n v="245000"/>
    <m/>
    <m/>
    <m/>
    <x v="122"/>
    <s v="Y"/>
    <m/>
    <m/>
    <m/>
    <m/>
    <s v="2099 /2936"/>
    <m/>
    <m/>
    <m/>
    <m/>
    <m/>
    <m/>
    <m/>
    <s v="N"/>
    <m/>
    <m/>
    <m/>
    <s v="Caia"/>
    <s v="SUPPLIES: 7050 blankets @ $3.75, 3900 tarps @ $14.20, 16,000 sleeping mats @ $1.70; PEOPLE: Relief ERU deployment - T. Reines, G. Guinta, 1 month, 2nd team rotation from  AP2936"/>
  </r>
  <r>
    <s v="FL-2007-000012-BOL"/>
    <n v="162"/>
    <x v="48"/>
    <x v="75"/>
    <x v="11"/>
    <x v="13"/>
    <m/>
    <n v="2007"/>
    <n v="2"/>
    <x v="2"/>
    <x v="38"/>
    <s v="Hydrometerological"/>
    <s v="Floods"/>
    <s v="General Floods"/>
    <s v="General Floods"/>
    <m/>
    <s v="Y"/>
    <s v="IFRC"/>
    <n v="484360"/>
    <s v="MDRBO002"/>
    <m/>
    <m/>
    <m/>
    <m/>
    <n v="35940"/>
    <m/>
    <m/>
    <n v="1"/>
    <n v="150000"/>
    <m/>
    <m/>
    <m/>
    <n v="150000"/>
    <m/>
    <m/>
    <m/>
    <m/>
    <m/>
    <m/>
    <m/>
    <m/>
    <m/>
    <m/>
    <m/>
    <m/>
    <m/>
    <m/>
    <m/>
    <m/>
    <m/>
    <m/>
    <m/>
    <m/>
    <n v="150000"/>
    <m/>
    <m/>
    <m/>
    <x v="13"/>
    <s v="Y"/>
    <m/>
    <m/>
    <m/>
    <m/>
    <s v="2099 / 2666"/>
    <m/>
    <m/>
    <m/>
    <m/>
    <m/>
    <m/>
    <m/>
    <s v="N"/>
    <m/>
    <m/>
    <m/>
    <m/>
    <s v="$50,000 PMN to Fed - unearmarked from 2099; $100,000  from 2666 - OFDA grant to Fed via PMN. Earmarked for 1500 food parcels, 1500 tool kits and remaining goes to transport costs."/>
  </r>
  <r>
    <m/>
    <n v="163"/>
    <x v="167"/>
    <x v="76"/>
    <x v="11"/>
    <x v="14"/>
    <m/>
    <n v="2007"/>
    <n v="3"/>
    <x v="3"/>
    <x v="34"/>
    <s v="Human Related"/>
    <s v="Conflict"/>
    <s v="Conflict"/>
    <s v="Conflict"/>
    <m/>
    <s v="Y"/>
    <s v="ICRC"/>
    <n v="32018000"/>
    <s v="REX 07/376"/>
    <m/>
    <m/>
    <m/>
    <m/>
    <n v="150000"/>
    <m/>
    <m/>
    <m/>
    <m/>
    <n v="2000000"/>
    <m/>
    <m/>
    <n v="2000000"/>
    <m/>
    <m/>
    <m/>
    <m/>
    <m/>
    <m/>
    <m/>
    <m/>
    <m/>
    <m/>
    <m/>
    <m/>
    <m/>
    <m/>
    <m/>
    <m/>
    <m/>
    <m/>
    <m/>
    <m/>
    <n v="2000000"/>
    <m/>
    <m/>
    <m/>
    <x v="123"/>
    <s v="Y"/>
    <m/>
    <m/>
    <m/>
    <m/>
    <s v="2695 /2692"/>
    <m/>
    <m/>
    <m/>
    <m/>
    <m/>
    <m/>
    <m/>
    <s v="N"/>
    <m/>
    <m/>
    <m/>
    <m/>
    <s v="Contribution to ICRC 2007 Sri Lanka Emergency Appeal - to build the capacity of the SLRCS in disaster relief, IHL and overall cooperation. $320K earmarked to support ICRC HQ ops"/>
  </r>
  <r>
    <m/>
    <n v="164"/>
    <x v="168"/>
    <x v="76"/>
    <x v="11"/>
    <x v="15"/>
    <m/>
    <n v="2007"/>
    <n v="4"/>
    <x v="1"/>
    <x v="26"/>
    <s v="Hydrometerological"/>
    <s v="Storm"/>
    <s v="Tropical Cyclone"/>
    <s v="Cyclone"/>
    <m/>
    <s v="Y"/>
    <s v="IFRC"/>
    <n v="1649430"/>
    <s v="MDRMG002"/>
    <m/>
    <m/>
    <m/>
    <m/>
    <n v="60000"/>
    <m/>
    <m/>
    <m/>
    <m/>
    <m/>
    <m/>
    <m/>
    <n v="0"/>
    <n v="5"/>
    <s v="Relief ERU"/>
    <m/>
    <n v="10000"/>
    <m/>
    <m/>
    <m/>
    <m/>
    <m/>
    <m/>
    <m/>
    <m/>
    <n v="1000"/>
    <m/>
    <m/>
    <m/>
    <m/>
    <m/>
    <n v="74000"/>
    <n v="28000"/>
    <n v="102000"/>
    <m/>
    <m/>
    <m/>
    <x v="124"/>
    <s v="Y"/>
    <m/>
    <m/>
    <m/>
    <m/>
    <s v="2936 / 2799"/>
    <m/>
    <m/>
    <m/>
    <m/>
    <m/>
    <m/>
    <m/>
    <s v="N"/>
    <m/>
    <m/>
    <m/>
    <s v="Indlala / Jaya"/>
    <s v="SUPPLIES: 1000 Mosquito Nets - $74,000 from 2799; PEOPLE: Deployed B. Gaillis, FACT, 3 wks; Deployed Relief ERU - C. Chaperon, G. Matthews 4 wks; Deployed 2nd rotation of Relief ERU - J. Manley, S. Hagerich, 4 wks - $18,000 cost from 2936"/>
  </r>
  <r>
    <s v="TS-2007-000042-SLB"/>
    <n v="165"/>
    <x v="169"/>
    <x v="77"/>
    <x v="11"/>
    <x v="16"/>
    <m/>
    <n v="2007"/>
    <n v="5"/>
    <x v="3"/>
    <x v="71"/>
    <s v="Geophysical"/>
    <s v="Earthquake"/>
    <s v="Tsunami"/>
    <s v="Tsunami"/>
    <m/>
    <s v="Y"/>
    <s v="IFRC"/>
    <n v="1405645"/>
    <s v="MDRSB001"/>
    <m/>
    <m/>
    <m/>
    <m/>
    <n v="9000"/>
    <m/>
    <m/>
    <n v="1"/>
    <n v="50000"/>
    <m/>
    <m/>
    <m/>
    <n v="50000"/>
    <m/>
    <m/>
    <m/>
    <m/>
    <m/>
    <m/>
    <m/>
    <m/>
    <m/>
    <m/>
    <m/>
    <m/>
    <m/>
    <m/>
    <m/>
    <m/>
    <m/>
    <m/>
    <m/>
    <m/>
    <n v="50000"/>
    <m/>
    <m/>
    <m/>
    <x v="16"/>
    <s v="Y"/>
    <m/>
    <m/>
    <m/>
    <m/>
    <n v="2881"/>
    <m/>
    <m/>
    <m/>
    <m/>
    <m/>
    <m/>
    <m/>
    <s v="N"/>
    <m/>
    <m/>
    <m/>
    <m/>
    <s v="PMN to Fed - unearmarked"/>
  </r>
  <r>
    <m/>
    <n v="166"/>
    <x v="170"/>
    <x v="78"/>
    <x v="11"/>
    <x v="17"/>
    <m/>
    <n v="2007"/>
    <n v="6"/>
    <x v="2"/>
    <x v="87"/>
    <s v="Hydrometerological"/>
    <s v="Floods"/>
    <s v="General Floods"/>
    <s v="General Floods"/>
    <m/>
    <m/>
    <m/>
    <m/>
    <m/>
    <m/>
    <m/>
    <m/>
    <m/>
    <m/>
    <m/>
    <n v="3600"/>
    <m/>
    <m/>
    <m/>
    <n v="5000"/>
    <m/>
    <n v="5000"/>
    <m/>
    <m/>
    <m/>
    <m/>
    <m/>
    <m/>
    <m/>
    <m/>
    <m/>
    <m/>
    <m/>
    <m/>
    <m/>
    <m/>
    <m/>
    <m/>
    <m/>
    <m/>
    <m/>
    <m/>
    <n v="5000"/>
    <m/>
    <m/>
    <m/>
    <x v="46"/>
    <s v="N"/>
    <m/>
    <m/>
    <m/>
    <m/>
    <n v="2799"/>
    <m/>
    <m/>
    <m/>
    <m/>
    <m/>
    <m/>
    <m/>
    <s v="Y"/>
    <m/>
    <m/>
    <m/>
    <s v="Tolima"/>
    <s v="Grant to NS for NFIs, health team visits, general admin costs"/>
  </r>
  <r>
    <m/>
    <n v="167"/>
    <x v="171"/>
    <x v="78"/>
    <x v="11"/>
    <x v="18"/>
    <m/>
    <n v="2007"/>
    <n v="7"/>
    <x v="2"/>
    <x v="2"/>
    <s v="Hydrometerological"/>
    <s v="Storm"/>
    <s v="Local Storm"/>
    <s v="Tornado"/>
    <m/>
    <m/>
    <s v="NS"/>
    <m/>
    <m/>
    <m/>
    <m/>
    <m/>
    <m/>
    <m/>
    <m/>
    <n v="3000"/>
    <m/>
    <m/>
    <m/>
    <n v="20000"/>
    <m/>
    <n v="20000"/>
    <m/>
    <m/>
    <m/>
    <m/>
    <m/>
    <m/>
    <m/>
    <m/>
    <m/>
    <m/>
    <m/>
    <m/>
    <m/>
    <m/>
    <m/>
    <m/>
    <m/>
    <m/>
    <m/>
    <m/>
    <n v="20000"/>
    <m/>
    <m/>
    <m/>
    <x v="25"/>
    <s v="Y"/>
    <m/>
    <m/>
    <m/>
    <m/>
    <n v="2690"/>
    <m/>
    <m/>
    <m/>
    <m/>
    <m/>
    <m/>
    <m/>
    <s v="N"/>
    <m/>
    <m/>
    <m/>
    <s v="Coahuila"/>
    <s v="Grant to NS for NFIs - kitchen, hygiene, baby kits; laterns w/ radios"/>
  </r>
  <r>
    <m/>
    <n v="168"/>
    <x v="165"/>
    <x v="79"/>
    <x v="11"/>
    <x v="19"/>
    <m/>
    <n v="2007"/>
    <n v="8"/>
    <x v="1"/>
    <x v="91"/>
    <s v="Human Related"/>
    <s v="Conflict"/>
    <s v="Conflict"/>
    <s v="Conflict"/>
    <m/>
    <s v="Y"/>
    <s v="ICRC"/>
    <n v="38292000"/>
    <s v="REX 07/347"/>
    <m/>
    <m/>
    <m/>
    <m/>
    <n v="612000"/>
    <m/>
    <m/>
    <n v="1"/>
    <m/>
    <n v="100000"/>
    <m/>
    <m/>
    <n v="100000"/>
    <m/>
    <m/>
    <m/>
    <m/>
    <m/>
    <m/>
    <m/>
    <m/>
    <m/>
    <m/>
    <m/>
    <m/>
    <m/>
    <m/>
    <m/>
    <m/>
    <m/>
    <m/>
    <m/>
    <m/>
    <n v="100000"/>
    <m/>
    <m/>
    <m/>
    <x v="5"/>
    <s v="Y"/>
    <m/>
    <m/>
    <m/>
    <m/>
    <n v="2817"/>
    <m/>
    <m/>
    <m/>
    <m/>
    <m/>
    <m/>
    <m/>
    <s v="N"/>
    <m/>
    <m/>
    <m/>
    <m/>
    <s v="Contribution to ICRC 2007 Somalia Emergency Appeal: Budget Extension - support for capacity bldg."/>
  </r>
  <r>
    <m/>
    <n v="169"/>
    <x v="125"/>
    <x v="79"/>
    <x v="11"/>
    <x v="23"/>
    <m/>
    <n v="2007"/>
    <n v="9"/>
    <x v="1"/>
    <x v="81"/>
    <s v="Human Related"/>
    <s v="Conflict"/>
    <s v="Conflict"/>
    <s v="Conflict"/>
    <m/>
    <s v="Y"/>
    <s v="ICRC"/>
    <n v="86239000"/>
    <s v="REX 07/207"/>
    <m/>
    <m/>
    <m/>
    <m/>
    <n v="125000"/>
    <m/>
    <m/>
    <m/>
    <m/>
    <n v="200000"/>
    <m/>
    <m/>
    <n v="200000"/>
    <m/>
    <m/>
    <m/>
    <m/>
    <m/>
    <m/>
    <m/>
    <m/>
    <m/>
    <m/>
    <m/>
    <m/>
    <m/>
    <m/>
    <m/>
    <m/>
    <m/>
    <m/>
    <m/>
    <m/>
    <n v="200000"/>
    <m/>
    <m/>
    <m/>
    <x v="121"/>
    <s v="Y"/>
    <m/>
    <m/>
    <m/>
    <m/>
    <n v="2661"/>
    <m/>
    <m/>
    <m/>
    <m/>
    <m/>
    <m/>
    <m/>
    <s v="N"/>
    <m/>
    <m/>
    <m/>
    <m/>
    <s v="Contribution to ICRC 2007 Sudan Emergency Appeal: Budget Extension - support for capacity bldg."/>
  </r>
  <r>
    <s v="FF-2007-000082-PAK; and TC-2007-000084-PAK"/>
    <n v="170"/>
    <x v="172"/>
    <x v="80"/>
    <x v="12"/>
    <x v="1"/>
    <m/>
    <n v="2007"/>
    <n v="10"/>
    <x v="3"/>
    <x v="47"/>
    <s v="Hydrometerological"/>
    <s v="Storm"/>
    <s v="Tropical Cyclone"/>
    <s v="Cyclone"/>
    <n v="1500000"/>
    <s v="Y"/>
    <s v="IFRC"/>
    <n v="17000000"/>
    <s v="MDRPK001"/>
    <m/>
    <m/>
    <m/>
    <m/>
    <n v="257500"/>
    <m/>
    <m/>
    <n v="1"/>
    <n v="285000"/>
    <m/>
    <m/>
    <m/>
    <n v="285000"/>
    <n v="1"/>
    <m/>
    <m/>
    <m/>
    <m/>
    <m/>
    <m/>
    <m/>
    <m/>
    <m/>
    <m/>
    <m/>
    <m/>
    <m/>
    <m/>
    <m/>
    <m/>
    <m/>
    <m/>
    <n v="10000"/>
    <n v="295000"/>
    <m/>
    <m/>
    <m/>
    <x v="125"/>
    <s v="Y"/>
    <m/>
    <m/>
    <m/>
    <m/>
    <s v="2099/2897"/>
    <m/>
    <m/>
    <m/>
    <m/>
    <m/>
    <m/>
    <m/>
    <s v="N"/>
    <m/>
    <m/>
    <m/>
    <s v="Yemyin"/>
    <s v="CASH: PMN to Fed - unearmarked; PEOPLE: T. Betz deployed on FACT as Relief/Logs Ap2897"/>
  </r>
  <r>
    <s v="FF-2007-000080-BGD"/>
    <n v="171"/>
    <x v="19"/>
    <x v="80"/>
    <x v="12"/>
    <x v="2"/>
    <m/>
    <n v="2007"/>
    <n v="11"/>
    <x v="3"/>
    <x v="14"/>
    <s v="Hydrometerological"/>
    <s v="Floods"/>
    <s v="General Floods"/>
    <s v="General Floods"/>
    <n v="2300000"/>
    <s v="Y"/>
    <s v="IFRC"/>
    <n v="4850000"/>
    <s v="MDRBD002"/>
    <n v="2.5670103092783506E-2"/>
    <n v="0.95"/>
    <m/>
    <m/>
    <n v="1200000"/>
    <m/>
    <m/>
    <n v="1"/>
    <n v="124500"/>
    <m/>
    <m/>
    <m/>
    <n v="124500"/>
    <m/>
    <m/>
    <m/>
    <m/>
    <m/>
    <m/>
    <m/>
    <m/>
    <m/>
    <m/>
    <m/>
    <m/>
    <m/>
    <m/>
    <m/>
    <m/>
    <m/>
    <m/>
    <m/>
    <m/>
    <n v="124500"/>
    <m/>
    <m/>
    <m/>
    <x v="126"/>
    <s v="Y"/>
    <m/>
    <m/>
    <m/>
    <m/>
    <s v="2017 / 2099"/>
    <m/>
    <m/>
    <m/>
    <m/>
    <m/>
    <m/>
    <m/>
    <s v="N"/>
    <m/>
    <m/>
    <m/>
    <m/>
    <s v="CASH: $24,500 PMN to Fed - unearmarked from 2017; $100,000 PMN to Fed - unearmarked from 2099;"/>
  </r>
  <r>
    <m/>
    <n v="172"/>
    <x v="105"/>
    <x v="80"/>
    <x v="12"/>
    <x v="3"/>
    <m/>
    <n v="2007"/>
    <n v="12"/>
    <x v="3"/>
    <x v="72"/>
    <s v="Human Related"/>
    <s v="Conflict"/>
    <s v="Conflict"/>
    <s v="Conflict"/>
    <n v="2000000"/>
    <s v="Y"/>
    <s v="IFRC"/>
    <n v="15000000"/>
    <s v="MDR81002"/>
    <n v="1.6666666666666666E-2"/>
    <m/>
    <m/>
    <m/>
    <n v="250000"/>
    <m/>
    <m/>
    <n v="1"/>
    <n v="250000"/>
    <m/>
    <m/>
    <m/>
    <n v="250000"/>
    <m/>
    <m/>
    <m/>
    <m/>
    <m/>
    <m/>
    <m/>
    <m/>
    <m/>
    <m/>
    <m/>
    <m/>
    <m/>
    <m/>
    <m/>
    <m/>
    <m/>
    <m/>
    <m/>
    <m/>
    <n v="250000"/>
    <m/>
    <m/>
    <m/>
    <x v="35"/>
    <s v="N"/>
    <m/>
    <m/>
    <m/>
    <m/>
    <n v="2099"/>
    <m/>
    <m/>
    <m/>
    <m/>
    <m/>
    <m/>
    <m/>
    <s v="N"/>
    <m/>
    <m/>
    <m/>
    <s v="Refugees from Iraq in Syria and Jordan"/>
    <s v="PMN to Fed - unearmarked"/>
  </r>
  <r>
    <s v="FL-2007-00093-SDN"/>
    <n v="173"/>
    <x v="162"/>
    <x v="80"/>
    <x v="12"/>
    <x v="4"/>
    <m/>
    <n v="2007"/>
    <n v="13"/>
    <x v="1"/>
    <x v="81"/>
    <s v="Hydrometerological"/>
    <s v="Floods"/>
    <s v="General Floods"/>
    <s v="General Floods"/>
    <n v="365000"/>
    <s v="Y"/>
    <s v="IFRC"/>
    <n v="6800000"/>
    <s v="MDRSD004"/>
    <m/>
    <m/>
    <m/>
    <m/>
    <n v="200000"/>
    <m/>
    <m/>
    <n v="1"/>
    <n v="100000"/>
    <m/>
    <m/>
    <m/>
    <n v="100000"/>
    <n v="1"/>
    <m/>
    <m/>
    <n v="10000"/>
    <m/>
    <m/>
    <m/>
    <m/>
    <m/>
    <m/>
    <m/>
    <m/>
    <n v="10000"/>
    <m/>
    <m/>
    <m/>
    <m/>
    <m/>
    <n v="44400"/>
    <n v="9000"/>
    <n v="153400"/>
    <m/>
    <m/>
    <m/>
    <x v="127"/>
    <s v="Y"/>
    <m/>
    <m/>
    <m/>
    <m/>
    <s v="2802 /2099"/>
    <m/>
    <m/>
    <m/>
    <m/>
    <m/>
    <m/>
    <m/>
    <s v="N"/>
    <m/>
    <m/>
    <m/>
    <m/>
    <s v="CASH: $100,000 PMN to Fed earmarked for improved emergency shelters (Appeal obj 1) and tree saplings (obj 4) for 500 families from AP 2099; PEOPLE: N.Cooper deployed on FACT as Relief/Shelter"/>
  </r>
  <r>
    <s v="FL-2007-000111-GBR"/>
    <n v="174"/>
    <x v="173"/>
    <x v="80"/>
    <x v="12"/>
    <x v="5"/>
    <m/>
    <n v="2007"/>
    <n v="15"/>
    <x v="3"/>
    <x v="94"/>
    <s v="Hydrometerological"/>
    <s v="Floods"/>
    <s v="General Floods"/>
    <s v="General Floods"/>
    <n v="1000000"/>
    <m/>
    <m/>
    <m/>
    <m/>
    <m/>
    <m/>
    <m/>
    <m/>
    <m/>
    <m/>
    <m/>
    <m/>
    <m/>
    <m/>
    <n v="20188"/>
    <m/>
    <n v="20188"/>
    <m/>
    <m/>
    <m/>
    <m/>
    <m/>
    <m/>
    <m/>
    <m/>
    <m/>
    <m/>
    <m/>
    <m/>
    <m/>
    <m/>
    <m/>
    <m/>
    <m/>
    <m/>
    <m/>
    <m/>
    <n v="20188"/>
    <m/>
    <m/>
    <m/>
    <x v="128"/>
    <s v="Y"/>
    <m/>
    <m/>
    <m/>
    <m/>
    <n v="2605"/>
    <m/>
    <m/>
    <m/>
    <m/>
    <m/>
    <m/>
    <m/>
    <s v="N"/>
    <m/>
    <m/>
    <m/>
    <m/>
    <s v="Grant letter to British Red Cross; 10,000 GBP donation from Cargill + individual donations"/>
  </r>
  <r>
    <s v="FF-2007-000117-NPL"/>
    <n v="175"/>
    <x v="174"/>
    <x v="81"/>
    <x v="12"/>
    <x v="6"/>
    <m/>
    <n v="2007"/>
    <n v="16"/>
    <x v="3"/>
    <x v="95"/>
    <s v="Hydrometerological"/>
    <s v="Floods"/>
    <s v="General Floods"/>
    <s v="General Floods"/>
    <n v="645000"/>
    <s v="Y"/>
    <s v="IFRC"/>
    <n v="2340000"/>
    <m/>
    <n v="2.1367521367521368E-2"/>
    <m/>
    <s v="Y"/>
    <m/>
    <n v="150000"/>
    <m/>
    <m/>
    <n v="1"/>
    <n v="50000"/>
    <m/>
    <m/>
    <m/>
    <n v="50000"/>
    <m/>
    <m/>
    <m/>
    <m/>
    <m/>
    <m/>
    <m/>
    <m/>
    <m/>
    <m/>
    <m/>
    <m/>
    <m/>
    <m/>
    <m/>
    <m/>
    <m/>
    <m/>
    <m/>
    <m/>
    <n v="50000"/>
    <m/>
    <m/>
    <m/>
    <x v="16"/>
    <s v="N"/>
    <m/>
    <m/>
    <m/>
    <m/>
    <n v="2099"/>
    <m/>
    <m/>
    <m/>
    <m/>
    <m/>
    <m/>
    <m/>
    <s v="N"/>
    <m/>
    <m/>
    <m/>
    <m/>
    <s v="PMN to Fed - unearmarked"/>
  </r>
  <r>
    <s v="EQ-2007-000133-PER"/>
    <n v="176"/>
    <x v="54"/>
    <x v="81"/>
    <x v="12"/>
    <x v="7"/>
    <m/>
    <n v="2007"/>
    <n v="17"/>
    <x v="2"/>
    <x v="39"/>
    <s v="Geophysical"/>
    <s v="Earthquake"/>
    <s v="Earthquake"/>
    <s v="Earthquake"/>
    <n v="655000"/>
    <s v="Y"/>
    <s v="IFRC"/>
    <n v="9600000"/>
    <s v="MDRPE003"/>
    <n v="3.125E-2"/>
    <n v="0.93"/>
    <m/>
    <m/>
    <n v="37500"/>
    <m/>
    <m/>
    <n v="1"/>
    <n v="300000"/>
    <m/>
    <m/>
    <m/>
    <n v="300000"/>
    <n v="6"/>
    <m/>
    <m/>
    <n v="16500"/>
    <m/>
    <n v="3500"/>
    <m/>
    <m/>
    <m/>
    <m/>
    <n v="2000"/>
    <m/>
    <m/>
    <m/>
    <n v="11000"/>
    <m/>
    <m/>
    <m/>
    <n v="214800"/>
    <n v="5000"/>
    <n v="519800"/>
    <m/>
    <m/>
    <m/>
    <x v="129"/>
    <s v="Y"/>
    <m/>
    <m/>
    <m/>
    <m/>
    <n v="2816"/>
    <m/>
    <m/>
    <m/>
    <m/>
    <m/>
    <m/>
    <m/>
    <s v="N"/>
    <m/>
    <m/>
    <s v="y"/>
    <m/>
    <s v="CASH: 100K PMN Unearmarked, 200K PMN earmarked for hygiene kits, jerry cans and shelter kits + ops costs; SUPPLIES: hygiene kits @ $13.55; tarps @ $11.30; kitchen sets @ $14.55 + PSR; PEOPLE: C Michaud deployed on Relief ERU (2 days) replaced by L Aceves for 1 month; C Chaperon sent to deliver equipment; Roberto Brito and Richard Urrutia (early recovery assmt); Shelley Cheatham (Admin/Ops), Lee Malany (shelter) and Jessica (PSP early recovery delegate)"/>
  </r>
  <r>
    <s v="TC-2007-000135"/>
    <n v="177"/>
    <x v="175"/>
    <x v="81"/>
    <x v="12"/>
    <x v="8"/>
    <m/>
    <n v="2007"/>
    <n v="18"/>
    <x v="2"/>
    <x v="53"/>
    <s v="Hydrometerological"/>
    <s v="Storm"/>
    <s v="Tropical Cyclone"/>
    <s v="Hurricane"/>
    <n v="210000"/>
    <s v="Y"/>
    <s v="IFRC"/>
    <n v="2927000"/>
    <s v="MDR49001"/>
    <m/>
    <m/>
    <m/>
    <m/>
    <n v="108550"/>
    <m/>
    <n v="5000"/>
    <m/>
    <m/>
    <m/>
    <m/>
    <m/>
    <n v="0"/>
    <m/>
    <m/>
    <m/>
    <n v="2350"/>
    <m/>
    <n v="1000"/>
    <m/>
    <m/>
    <m/>
    <m/>
    <n v="1000"/>
    <m/>
    <m/>
    <m/>
    <n v="350"/>
    <m/>
    <m/>
    <m/>
    <n v="34565"/>
    <m/>
    <n v="34565"/>
    <m/>
    <m/>
    <m/>
    <x v="130"/>
    <s v="Y"/>
    <m/>
    <m/>
    <m/>
    <m/>
    <n v="2837"/>
    <m/>
    <m/>
    <m/>
    <m/>
    <m/>
    <m/>
    <m/>
    <s v="N"/>
    <m/>
    <m/>
    <m/>
    <s v="Dean"/>
    <m/>
  </r>
  <r>
    <s v="TC-2007-000135"/>
    <n v="177"/>
    <x v="175"/>
    <x v="81"/>
    <x v="12"/>
    <x v="8"/>
    <m/>
    <n v="2007"/>
    <n v="18"/>
    <x v="2"/>
    <x v="2"/>
    <s v="Hydrometerological"/>
    <s v="Storm"/>
    <s v="Tropical Cyclone"/>
    <s v="Hurricane"/>
    <m/>
    <m/>
    <m/>
    <m/>
    <m/>
    <m/>
    <m/>
    <m/>
    <m/>
    <m/>
    <m/>
    <n v="24000"/>
    <m/>
    <m/>
    <m/>
    <n v="298680"/>
    <m/>
    <n v="298680"/>
    <n v="1"/>
    <m/>
    <m/>
    <m/>
    <m/>
    <m/>
    <m/>
    <m/>
    <m/>
    <m/>
    <m/>
    <m/>
    <m/>
    <m/>
    <m/>
    <m/>
    <m/>
    <m/>
    <m/>
    <m/>
    <n v="298680"/>
    <m/>
    <m/>
    <m/>
    <x v="131"/>
    <s v="Y"/>
    <m/>
    <m/>
    <m/>
    <m/>
    <s v="2868 / 2099"/>
    <m/>
    <m/>
    <m/>
    <m/>
    <m/>
    <m/>
    <m/>
    <s v="N"/>
    <m/>
    <m/>
    <m/>
    <s v="Dean"/>
    <s v="CASH:  ARC grant ($76k) to MRC for hygiene kits, kitchen sets, and roofing materials for 670 families; ARC/OFDA subgrant to MRC ($222k) for 1,830 families; PEOPLE: Shelley Cheatham (Monitoring)"/>
  </r>
  <r>
    <s v="TC-2007-000135"/>
    <n v="177"/>
    <x v="175"/>
    <x v="81"/>
    <x v="12"/>
    <x v="8"/>
    <m/>
    <n v="2007"/>
    <n v="18"/>
    <x v="2"/>
    <x v="79"/>
    <s v="Hydrometerological"/>
    <s v="Storm"/>
    <s v="Tropical Cyclone"/>
    <s v="Hurricane"/>
    <m/>
    <m/>
    <m/>
    <m/>
    <m/>
    <m/>
    <m/>
    <m/>
    <m/>
    <m/>
    <m/>
    <m/>
    <m/>
    <m/>
    <m/>
    <n v="2500"/>
    <m/>
    <n v="2500"/>
    <n v="1"/>
    <m/>
    <m/>
    <m/>
    <m/>
    <m/>
    <m/>
    <m/>
    <m/>
    <m/>
    <m/>
    <m/>
    <m/>
    <m/>
    <m/>
    <m/>
    <m/>
    <m/>
    <m/>
    <m/>
    <n v="2500"/>
    <m/>
    <m/>
    <m/>
    <x v="132"/>
    <s v="Y"/>
    <m/>
    <m/>
    <m/>
    <m/>
    <n v="2837"/>
    <m/>
    <m/>
    <m/>
    <m/>
    <m/>
    <m/>
    <m/>
    <s v="N"/>
    <m/>
    <m/>
    <m/>
    <s v="Dean"/>
    <s v="CASH: Grant to Haitian Red Cross - restock relief supplies; PEOPLE: Brigitte Gaillis (Contingency Planning)"/>
  </r>
  <r>
    <s v="WF-2007-000148-GRC"/>
    <n v="178"/>
    <x v="176"/>
    <x v="82"/>
    <x v="12"/>
    <x v="9"/>
    <m/>
    <n v="2007"/>
    <n v="19"/>
    <x v="3"/>
    <x v="8"/>
    <s v="Hydrometerological"/>
    <s v="Wildfire"/>
    <s v="Forest Fire"/>
    <s v="Fire"/>
    <m/>
    <m/>
    <m/>
    <m/>
    <m/>
    <m/>
    <m/>
    <m/>
    <m/>
    <m/>
    <m/>
    <m/>
    <m/>
    <m/>
    <m/>
    <n v="40000"/>
    <m/>
    <n v="40000"/>
    <m/>
    <m/>
    <m/>
    <m/>
    <m/>
    <m/>
    <m/>
    <m/>
    <m/>
    <m/>
    <m/>
    <m/>
    <m/>
    <m/>
    <m/>
    <m/>
    <m/>
    <m/>
    <m/>
    <m/>
    <n v="40000"/>
    <m/>
    <m/>
    <m/>
    <x v="27"/>
    <s v="N"/>
    <m/>
    <m/>
    <m/>
    <m/>
    <n v="2099"/>
    <m/>
    <m/>
    <m/>
    <m/>
    <m/>
    <m/>
    <m/>
    <s v="N"/>
    <m/>
    <m/>
    <m/>
    <m/>
    <s v="UPS 25k, Gen Mills 15k - Grant letter"/>
  </r>
  <r>
    <s v="TC-2007-000157"/>
    <n v="179"/>
    <x v="177"/>
    <x v="82"/>
    <x v="12"/>
    <x v="10"/>
    <m/>
    <n v="2007"/>
    <n v="20"/>
    <x v="2"/>
    <x v="6"/>
    <s v="Hydrometerological"/>
    <s v="Storm"/>
    <s v="Tropical Cyclone"/>
    <s v="Hurricane"/>
    <n v="175000"/>
    <s v="Y"/>
    <s v="IFRC"/>
    <n v="1300000"/>
    <s v="MDR43002"/>
    <n v="3.8461538461538464E-2"/>
    <m/>
    <m/>
    <m/>
    <n v="31658"/>
    <m/>
    <m/>
    <n v="1"/>
    <n v="50000"/>
    <m/>
    <m/>
    <m/>
    <n v="50000"/>
    <m/>
    <m/>
    <m/>
    <m/>
    <m/>
    <m/>
    <m/>
    <m/>
    <m/>
    <m/>
    <m/>
    <m/>
    <m/>
    <m/>
    <m/>
    <m/>
    <m/>
    <m/>
    <m/>
    <m/>
    <n v="50000"/>
    <m/>
    <m/>
    <m/>
    <x v="16"/>
    <s v="N"/>
    <m/>
    <m/>
    <m/>
    <m/>
    <n v="2099"/>
    <m/>
    <m/>
    <m/>
    <m/>
    <m/>
    <m/>
    <m/>
    <s v="N"/>
    <m/>
    <m/>
    <m/>
    <s v="Felix"/>
    <s v="PMN to Fed - earmarked $50,000 for Nicaragua and $22,500 for Honduras (includes $25,000 from Exxon for Honduras); "/>
  </r>
  <r>
    <s v="TC-2007-000157"/>
    <n v="179"/>
    <x v="177"/>
    <x v="82"/>
    <x v="12"/>
    <x v="10"/>
    <m/>
    <n v="2007"/>
    <n v="20"/>
    <x v="2"/>
    <x v="43"/>
    <s v="Hydrometerological"/>
    <s v="Storm"/>
    <s v="Tropical Cyclone"/>
    <s v="Hurricane"/>
    <m/>
    <m/>
    <m/>
    <m/>
    <m/>
    <m/>
    <m/>
    <m/>
    <m/>
    <m/>
    <m/>
    <m/>
    <n v="0"/>
    <n v="22500"/>
    <m/>
    <m/>
    <m/>
    <n v="22500"/>
    <m/>
    <m/>
    <m/>
    <m/>
    <m/>
    <m/>
    <m/>
    <m/>
    <m/>
    <m/>
    <m/>
    <m/>
    <m/>
    <m/>
    <m/>
    <m/>
    <m/>
    <m/>
    <m/>
    <m/>
    <n v="22500"/>
    <m/>
    <m/>
    <m/>
    <x v="133"/>
    <s v="N"/>
    <m/>
    <m/>
    <m/>
    <m/>
    <n v="2099"/>
    <m/>
    <m/>
    <m/>
    <m/>
    <m/>
    <m/>
    <m/>
    <s v="N"/>
    <m/>
    <m/>
    <m/>
    <s v="Felix"/>
    <m/>
  </r>
  <r>
    <s v="TC-2007-000157"/>
    <n v="179"/>
    <x v="177"/>
    <x v="82"/>
    <x v="12"/>
    <x v="10"/>
    <m/>
    <n v="2007"/>
    <n v="20"/>
    <x v="2"/>
    <x v="43"/>
    <s v="Hydrometerological"/>
    <s v="Storm"/>
    <s v="Tropical Cyclone"/>
    <s v="Hurricane"/>
    <m/>
    <m/>
    <m/>
    <m/>
    <m/>
    <m/>
    <m/>
    <m/>
    <m/>
    <m/>
    <m/>
    <m/>
    <n v="0"/>
    <n v="47500"/>
    <m/>
    <m/>
    <m/>
    <n v="47500"/>
    <m/>
    <m/>
    <m/>
    <m/>
    <m/>
    <m/>
    <m/>
    <m/>
    <m/>
    <m/>
    <m/>
    <m/>
    <m/>
    <m/>
    <m/>
    <m/>
    <m/>
    <m/>
    <m/>
    <m/>
    <n v="47500"/>
    <m/>
    <m/>
    <m/>
    <x v="134"/>
    <s v="Y"/>
    <m/>
    <m/>
    <m/>
    <m/>
    <n v="2696"/>
    <m/>
    <m/>
    <m/>
    <m/>
    <m/>
    <m/>
    <m/>
    <s v="N"/>
    <m/>
    <m/>
    <m/>
    <s v="Felix"/>
    <s v="CASH: PMN to Fed - unearmarked"/>
  </r>
  <r>
    <s v="EQ-2007-000157-IDN"/>
    <n v="180"/>
    <x v="178"/>
    <x v="82"/>
    <x v="12"/>
    <x v="11"/>
    <m/>
    <n v="2007"/>
    <n v="21"/>
    <x v="3"/>
    <x v="27"/>
    <s v="Geophysical"/>
    <s v="Earthquake"/>
    <s v="Earthquake"/>
    <s v="Earthquake"/>
    <m/>
    <m/>
    <m/>
    <m/>
    <m/>
    <m/>
    <m/>
    <m/>
    <m/>
    <m/>
    <m/>
    <m/>
    <m/>
    <m/>
    <m/>
    <n v="3000"/>
    <m/>
    <n v="3000"/>
    <m/>
    <m/>
    <m/>
    <m/>
    <m/>
    <m/>
    <m/>
    <m/>
    <m/>
    <m/>
    <m/>
    <m/>
    <m/>
    <m/>
    <m/>
    <m/>
    <m/>
    <m/>
    <m/>
    <m/>
    <n v="3000"/>
    <m/>
    <m/>
    <m/>
    <x v="86"/>
    <s v="N"/>
    <m/>
    <m/>
    <m/>
    <m/>
    <n v="2799"/>
    <m/>
    <m/>
    <m/>
    <m/>
    <m/>
    <m/>
    <m/>
    <s v="Y"/>
    <m/>
    <m/>
    <m/>
    <s v="Bengkulu"/>
    <s v="Per diem for PMI response team"/>
  </r>
  <r>
    <s v="FL-2007-000138-UGA"/>
    <n v="181"/>
    <x v="179"/>
    <x v="82"/>
    <x v="12"/>
    <x v="12"/>
    <m/>
    <n v="2007"/>
    <n v="22"/>
    <x v="1"/>
    <x v="96"/>
    <s v="Hydrometerological"/>
    <s v="Floods"/>
    <s v="General Floods"/>
    <s v="General Floods"/>
    <n v="450000"/>
    <s v="Y"/>
    <s v="IFRC"/>
    <n v="9511366"/>
    <s v="MDRUG006"/>
    <m/>
    <n v="0.64"/>
    <m/>
    <m/>
    <n v="125000"/>
    <m/>
    <m/>
    <m/>
    <m/>
    <m/>
    <m/>
    <m/>
    <n v="0"/>
    <n v="3"/>
    <s v="IT/Telecoms"/>
    <m/>
    <m/>
    <m/>
    <m/>
    <m/>
    <m/>
    <m/>
    <m/>
    <m/>
    <m/>
    <m/>
    <m/>
    <m/>
    <m/>
    <m/>
    <m/>
    <m/>
    <n v="17400"/>
    <n v="17400"/>
    <m/>
    <m/>
    <m/>
    <x v="135"/>
    <s v="N"/>
    <m/>
    <m/>
    <m/>
    <m/>
    <n v="2799"/>
    <m/>
    <m/>
    <m/>
    <m/>
    <m/>
    <m/>
    <m/>
    <s v="Y"/>
    <m/>
    <m/>
    <m/>
    <m/>
    <s v="C Chaperon (relief) and B Nandiga (wat/san) deployed on FACT.  M Million deployed on joint Danish-American IT/Telecom ERU."/>
  </r>
  <r>
    <s v="FL-2007-000158-TGO; FL-2007-000132-BFA;FL-2007-000153-GHA"/>
    <n v="182"/>
    <x v="180"/>
    <x v="82"/>
    <x v="12"/>
    <x v="13"/>
    <m/>
    <n v="2007"/>
    <n v="23"/>
    <x v="1"/>
    <x v="97"/>
    <s v="Hydrometerological"/>
    <s v="Floods"/>
    <s v="General Floods"/>
    <s v="General Floods"/>
    <n v="185000"/>
    <s v="Y"/>
    <s v="IFRC"/>
    <n v="3200000"/>
    <s v="MDR61002"/>
    <n v="6.2406249999999996E-3"/>
    <n v="0.95"/>
    <m/>
    <m/>
    <n v="94825"/>
    <m/>
    <m/>
    <n v="0"/>
    <n v="19970"/>
    <m/>
    <m/>
    <m/>
    <n v="19970"/>
    <m/>
    <m/>
    <m/>
    <m/>
    <m/>
    <m/>
    <m/>
    <m/>
    <m/>
    <m/>
    <m/>
    <m/>
    <m/>
    <m/>
    <m/>
    <m/>
    <m/>
    <m/>
    <m/>
    <m/>
    <n v="19970"/>
    <m/>
    <m/>
    <m/>
    <x v="136"/>
    <s v="N"/>
    <m/>
    <m/>
    <m/>
    <m/>
    <n v="2799"/>
    <m/>
    <m/>
    <m/>
    <m/>
    <m/>
    <m/>
    <m/>
    <s v="Y"/>
    <m/>
    <m/>
    <m/>
    <m/>
    <s v="PMN (CHF 10,300) to cover delegate costs for Youssouff Langui on FACT to Togo.  PMN (CHF 13,102) to cover costs for 3 RDRTs for one month."/>
  </r>
  <r>
    <s v="TC-000198-DOM/HTI;"/>
    <n v="183"/>
    <x v="181"/>
    <x v="83"/>
    <x v="12"/>
    <x v="14"/>
    <m/>
    <n v="2007"/>
    <n v="24"/>
    <x v="2"/>
    <x v="75"/>
    <s v="Hydrometerological"/>
    <s v="Storm"/>
    <s v="Tropical Cyclone"/>
    <s v="Tropical Storm"/>
    <n v="200000"/>
    <s v="Y"/>
    <s v="IFRC"/>
    <n v="1544000"/>
    <s v="MDR49002"/>
    <n v="2.266839378238342E-2"/>
    <m/>
    <m/>
    <m/>
    <n v="52995"/>
    <m/>
    <m/>
    <n v="0"/>
    <n v="35000"/>
    <m/>
    <m/>
    <m/>
    <n v="35000"/>
    <m/>
    <m/>
    <m/>
    <n v="4000"/>
    <m/>
    <n v="1000"/>
    <m/>
    <m/>
    <m/>
    <m/>
    <n v="1000"/>
    <m/>
    <m/>
    <m/>
    <n v="2000"/>
    <m/>
    <m/>
    <m/>
    <n v="69055"/>
    <m/>
    <n v="104055"/>
    <m/>
    <m/>
    <m/>
    <x v="137"/>
    <s v="Y"/>
    <m/>
    <m/>
    <m/>
    <m/>
    <n v="2694"/>
    <m/>
    <m/>
    <m/>
    <m/>
    <m/>
    <m/>
    <m/>
    <s v="N"/>
    <m/>
    <m/>
    <m/>
    <s v="Noel"/>
    <s v="PSR"/>
  </r>
  <r>
    <s v="TC-000198-DOM/HTI;"/>
    <n v="183"/>
    <x v="181"/>
    <x v="84"/>
    <x v="12"/>
    <x v="14"/>
    <m/>
    <n v="2007"/>
    <n v="24"/>
    <x v="2"/>
    <x v="79"/>
    <s v="Hydrometerological"/>
    <s v="Storm"/>
    <s v="Tropical Cyclone"/>
    <s v="Tropical Storm"/>
    <m/>
    <m/>
    <m/>
    <m/>
    <s v="MDR49002"/>
    <m/>
    <m/>
    <m/>
    <m/>
    <m/>
    <m/>
    <m/>
    <n v="1"/>
    <n v="50000"/>
    <m/>
    <m/>
    <m/>
    <n v="50000"/>
    <m/>
    <m/>
    <m/>
    <n v="2000"/>
    <m/>
    <m/>
    <n v="2000"/>
    <m/>
    <m/>
    <m/>
    <m/>
    <m/>
    <m/>
    <m/>
    <m/>
    <m/>
    <m/>
    <m/>
    <n v="8073"/>
    <m/>
    <n v="58073"/>
    <m/>
    <m/>
    <m/>
    <x v="138"/>
    <s v="Y"/>
    <m/>
    <m/>
    <m/>
    <m/>
    <n v="2024"/>
    <m/>
    <m/>
    <m/>
    <m/>
    <m/>
    <m/>
    <m/>
    <s v="N"/>
    <m/>
    <m/>
    <m/>
    <s v="Noel"/>
    <s v="PSR"/>
  </r>
  <r>
    <s v="TC-000198-DOM/HTI;"/>
    <n v="183"/>
    <x v="181"/>
    <x v="84"/>
    <x v="12"/>
    <x v="14"/>
    <m/>
    <n v="2007"/>
    <n v="24"/>
    <x v="2"/>
    <x v="9"/>
    <s v="Hydrometerological"/>
    <s v="Storm"/>
    <s v="Tropical Cyclone"/>
    <s v="Tropical Storm"/>
    <m/>
    <m/>
    <m/>
    <m/>
    <s v="MDR49002"/>
    <m/>
    <m/>
    <m/>
    <m/>
    <m/>
    <m/>
    <m/>
    <n v="0"/>
    <n v="30000"/>
    <m/>
    <m/>
    <m/>
    <n v="30000"/>
    <n v="2"/>
    <m/>
    <m/>
    <m/>
    <m/>
    <m/>
    <m/>
    <m/>
    <m/>
    <m/>
    <m/>
    <m/>
    <m/>
    <m/>
    <m/>
    <m/>
    <m/>
    <m/>
    <m/>
    <n v="7440"/>
    <n v="37440"/>
    <m/>
    <m/>
    <m/>
    <x v="139"/>
    <s v="Y"/>
    <m/>
    <m/>
    <m/>
    <m/>
    <n v="2024"/>
    <m/>
    <m/>
    <m/>
    <m/>
    <m/>
    <m/>
    <m/>
    <s v="N"/>
    <m/>
    <m/>
    <m/>
    <s v="Noel"/>
    <s v="PEOPLE: O Abou-Samra, J Ferguson (cash/livelihoods); CASH: PMN to Fed ($10k for cash distribution project, $20k operational costs)"/>
  </r>
  <r>
    <s v="FL-2007-000200-MEX"/>
    <n v="184"/>
    <x v="6"/>
    <x v="84"/>
    <x v="12"/>
    <x v="15"/>
    <m/>
    <n v="2007"/>
    <n v="25"/>
    <x v="2"/>
    <x v="2"/>
    <s v="Hydrometerological"/>
    <s v="Floods"/>
    <s v="General Floods"/>
    <s v="General Floods"/>
    <n v="1000000"/>
    <s v="Y"/>
    <s v="IFRC"/>
    <n v="1800000"/>
    <s v="MDRMX002"/>
    <n v="9.2820555555555559E-2"/>
    <n v="1"/>
    <m/>
    <m/>
    <n v="44380"/>
    <m/>
    <n v="10000"/>
    <n v="1"/>
    <n v="167077"/>
    <m/>
    <n v="350000"/>
    <m/>
    <n v="517077"/>
    <n v="1"/>
    <m/>
    <m/>
    <n v="15500"/>
    <m/>
    <n v="3500"/>
    <m/>
    <m/>
    <m/>
    <m/>
    <n v="2000"/>
    <m/>
    <n v="10000"/>
    <m/>
    <m/>
    <m/>
    <m/>
    <m/>
    <n v="143415"/>
    <n v="357"/>
    <n v="660849"/>
    <m/>
    <m/>
    <m/>
    <x v="140"/>
    <s v="Y"/>
    <m/>
    <m/>
    <m/>
    <m/>
    <s v="2690/OFDA/2799 "/>
    <m/>
    <m/>
    <m/>
    <m/>
    <m/>
    <m/>
    <m/>
    <s v="N"/>
    <m/>
    <m/>
    <m/>
    <s v="Tabasco"/>
    <s v="CASH: Grants to MxRC ($50k from 2799 + $300k from 2690), PMN to Fed $167k (earmarked for 4,000 hygiene kits, 4,000 jerry cans, 4,000 buckets);  OFDA Grant; PEOPLE: W Romeril (info)"/>
  </r>
  <r>
    <s v="TC-2007-00178-VNM"/>
    <n v="185"/>
    <x v="182"/>
    <x v="84"/>
    <x v="12"/>
    <x v="16"/>
    <m/>
    <n v="2007"/>
    <n v="26"/>
    <x v="3"/>
    <x v="16"/>
    <s v="Hydrometerological"/>
    <s v="Storm"/>
    <s v="Tropical Cyclone"/>
    <s v="Typhoon"/>
    <n v="600000"/>
    <s v="Y"/>
    <s v="IFRC"/>
    <n v="2700000"/>
    <s v="MDRVN002"/>
    <n v="4.2592592592592592E-2"/>
    <n v="0.77"/>
    <m/>
    <m/>
    <n v="180000"/>
    <m/>
    <m/>
    <n v="1"/>
    <n v="115000"/>
    <m/>
    <m/>
    <m/>
    <n v="115000"/>
    <m/>
    <m/>
    <m/>
    <m/>
    <m/>
    <m/>
    <m/>
    <m/>
    <m/>
    <m/>
    <m/>
    <m/>
    <m/>
    <m/>
    <m/>
    <m/>
    <m/>
    <m/>
    <m/>
    <m/>
    <n v="115000"/>
    <m/>
    <m/>
    <m/>
    <x v="141"/>
    <s v="Y"/>
    <m/>
    <m/>
    <m/>
    <m/>
    <s v="2099/ 2869"/>
    <m/>
    <m/>
    <m/>
    <m/>
    <m/>
    <m/>
    <m/>
    <s v="N"/>
    <m/>
    <s v="ARCT"/>
    <m/>
    <s v="Lekima"/>
    <s v="CASH: PMN  from AP 2099 to Fed unearmarked; PMN from AP 2869 to Fed earmarked purchase/dist household kits;  $100,000 from ARCT for shelter to Federation"/>
  </r>
  <r>
    <s v="FF-2007-000080-BGD"/>
    <n v="186"/>
    <x v="183"/>
    <x v="84"/>
    <x v="12"/>
    <x v="17"/>
    <m/>
    <n v="2007"/>
    <n v="27"/>
    <x v="3"/>
    <x v="14"/>
    <s v="Hydrometerological"/>
    <s v="Storm"/>
    <s v="Tropical Cyclone"/>
    <s v="Cyclone"/>
    <n v="8500000"/>
    <s v="Y"/>
    <s v="IFRC"/>
    <n v="22000000"/>
    <s v="MDRBD002"/>
    <n v="4.926618181818182E-2"/>
    <n v="0.66"/>
    <m/>
    <m/>
    <n v="1215000"/>
    <m/>
    <m/>
    <n v="1"/>
    <n v="1083856"/>
    <m/>
    <m/>
    <m/>
    <n v="1083856"/>
    <n v="3"/>
    <m/>
    <m/>
    <n v="39000"/>
    <m/>
    <n v="4000"/>
    <n v="25000"/>
    <m/>
    <m/>
    <m/>
    <m/>
    <m/>
    <m/>
    <m/>
    <n v="10000"/>
    <m/>
    <m/>
    <m/>
    <n v="260798"/>
    <n v="12000"/>
    <n v="1356654"/>
    <m/>
    <m/>
    <m/>
    <x v="142"/>
    <s v="Y"/>
    <m/>
    <m/>
    <m/>
    <m/>
    <s v="2017/OFDA"/>
    <m/>
    <m/>
    <m/>
    <m/>
    <m/>
    <m/>
    <m/>
    <s v="N"/>
    <m/>
    <m/>
    <m/>
    <s v="Sidr"/>
    <s v="CASH:  1st PMN ($100k unearmarked from AP 2099), 2nd PMN ($100k earmarked to tsunami affected areas from AP 2546), 3rd PMN ($300k earmarked for shelter and wat/san from OFDA), 4th PMN ($583k earmarked for shelter and wat/san from OFDA); SUPPLIES: + PSR; PEOPLE: Nek Alam (wat/san); S Wiseman (wat/san), L Malany (shelter)"/>
  </r>
  <r>
    <s v="FL-2007-000209-PNG"/>
    <n v="187"/>
    <x v="184"/>
    <x v="84"/>
    <x v="12"/>
    <x v="18"/>
    <m/>
    <n v="2007"/>
    <n v="28"/>
    <x v="3"/>
    <x v="98"/>
    <s v="Hydrometerological"/>
    <s v="Storm"/>
    <s v="Tropical Cyclone"/>
    <s v="Cyclone"/>
    <n v="162000"/>
    <s v="Y"/>
    <s v="IFRC"/>
    <n v="672000"/>
    <s v="MDRPG002"/>
    <n v="3.5342261904761904E-2"/>
    <n v="0.76"/>
    <m/>
    <m/>
    <n v="13000"/>
    <m/>
    <m/>
    <n v="0"/>
    <n v="23750"/>
    <m/>
    <m/>
    <m/>
    <n v="23750"/>
    <m/>
    <m/>
    <m/>
    <m/>
    <m/>
    <m/>
    <m/>
    <m/>
    <m/>
    <m/>
    <m/>
    <m/>
    <m/>
    <m/>
    <m/>
    <m/>
    <m/>
    <m/>
    <m/>
    <m/>
    <n v="23750"/>
    <m/>
    <m/>
    <m/>
    <x v="143"/>
    <s v="Y"/>
    <m/>
    <m/>
    <m/>
    <m/>
    <n v="2881"/>
    <m/>
    <m/>
    <m/>
    <m/>
    <m/>
    <m/>
    <m/>
    <s v="N"/>
    <m/>
    <m/>
    <m/>
    <s v="Guba"/>
    <s v="CASH: PMN to Fed unearmarked"/>
  </r>
  <r>
    <m/>
    <n v="188"/>
    <x v="185"/>
    <x v="85"/>
    <x v="12"/>
    <x v="19"/>
    <m/>
    <n v="2008"/>
    <n v="1"/>
    <x v="1"/>
    <x v="58"/>
    <s v="Human Related"/>
    <s v="Civil Unrest"/>
    <s v="Civil Unrest"/>
    <s v="Civil Unrest"/>
    <n v="500000"/>
    <s v="Y"/>
    <s v="ICRC"/>
    <n v="14200000"/>
    <m/>
    <n v="1.7605633802816902E-2"/>
    <m/>
    <m/>
    <m/>
    <n v="500000"/>
    <m/>
    <m/>
    <n v="1"/>
    <m/>
    <n v="250000"/>
    <n v="50000"/>
    <m/>
    <n v="300000"/>
    <m/>
    <m/>
    <m/>
    <m/>
    <m/>
    <m/>
    <m/>
    <m/>
    <m/>
    <m/>
    <m/>
    <m/>
    <m/>
    <m/>
    <m/>
    <m/>
    <m/>
    <m/>
    <m/>
    <m/>
    <n v="300000"/>
    <m/>
    <m/>
    <m/>
    <x v="144"/>
    <s v="Y"/>
    <m/>
    <m/>
    <m/>
    <m/>
    <s v="2002 / 2099"/>
    <m/>
    <m/>
    <m/>
    <m/>
    <m/>
    <m/>
    <m/>
    <s v="N"/>
    <m/>
    <m/>
    <m/>
    <s v="Elections"/>
    <s v="CASH: 50k to KRCS  from 2799 and 50k to ICRC from 2002; CASH from 2099: 200k to ICRC"/>
  </r>
  <r>
    <s v="CW-2008-000013-CHN"/>
    <n v="189"/>
    <x v="186"/>
    <x v="86"/>
    <x v="12"/>
    <x v="23"/>
    <m/>
    <n v="2008"/>
    <n v="2"/>
    <x v="3"/>
    <x v="4"/>
    <s v="Hydrometerological"/>
    <s v="Storm"/>
    <s v="Winter Storm"/>
    <s v="Snowstorm"/>
    <n v="7800000"/>
    <m/>
    <m/>
    <s v="n/a"/>
    <m/>
    <m/>
    <m/>
    <m/>
    <m/>
    <s v="n/a"/>
    <m/>
    <s v="n/a"/>
    <m/>
    <m/>
    <m/>
    <n v="867000"/>
    <m/>
    <n v="867000"/>
    <m/>
    <m/>
    <m/>
    <m/>
    <m/>
    <m/>
    <m/>
    <m/>
    <m/>
    <m/>
    <m/>
    <m/>
    <m/>
    <m/>
    <m/>
    <m/>
    <m/>
    <m/>
    <m/>
    <m/>
    <n v="867000"/>
    <m/>
    <m/>
    <m/>
    <x v="145"/>
    <s v="Y"/>
    <m/>
    <m/>
    <m/>
    <m/>
    <n v="2060"/>
    <m/>
    <m/>
    <m/>
    <m/>
    <m/>
    <m/>
    <m/>
    <s v="N"/>
    <m/>
    <m/>
    <s v="y"/>
    <m/>
    <s v="CASH: Bilateral to RCSC"/>
  </r>
  <r>
    <m/>
    <n v="190"/>
    <x v="187"/>
    <x v="86"/>
    <x v="12"/>
    <x v="20"/>
    <m/>
    <n v="2008"/>
    <n v="3"/>
    <x v="1"/>
    <x v="85"/>
    <s v="Human Related"/>
    <s v="Civil Unrest"/>
    <s v="Civil Unrest"/>
    <s v="Civil Unrest"/>
    <m/>
    <m/>
    <m/>
    <s v="n/a"/>
    <m/>
    <m/>
    <m/>
    <m/>
    <m/>
    <n v="0"/>
    <m/>
    <n v="0"/>
    <m/>
    <m/>
    <m/>
    <n v="2400"/>
    <m/>
    <n v="2400"/>
    <n v="2"/>
    <m/>
    <m/>
    <m/>
    <m/>
    <m/>
    <m/>
    <m/>
    <m/>
    <m/>
    <m/>
    <m/>
    <m/>
    <m/>
    <m/>
    <m/>
    <m/>
    <m/>
    <m/>
    <n v="10000"/>
    <n v="12400"/>
    <m/>
    <m/>
    <m/>
    <x v="146"/>
    <s v="N"/>
    <m/>
    <m/>
    <m/>
    <m/>
    <n v="2799"/>
    <m/>
    <m/>
    <m/>
    <m/>
    <m/>
    <m/>
    <m/>
    <s v="Y"/>
    <m/>
    <m/>
    <m/>
    <s v="Violence"/>
    <s v="PEOPLE: G. Dodge, V. Vibhakar to Guyana for PSP ($10k) CASH: cash to NS $2,400 - total both $12,400"/>
  </r>
  <r>
    <m/>
    <n v="191"/>
    <x v="125"/>
    <x v="86"/>
    <x v="12"/>
    <x v="21"/>
    <m/>
    <n v="2008"/>
    <n v="4"/>
    <x v="1"/>
    <x v="81"/>
    <s v="Human Related"/>
    <s v="Conflict"/>
    <s v="Conflict"/>
    <s v="Conflict"/>
    <n v="2000000"/>
    <s v="Y"/>
    <s v="ICRC"/>
    <n v="94000000"/>
    <m/>
    <n v="7.5957446808510637E-3"/>
    <m/>
    <m/>
    <m/>
    <n v="600000"/>
    <m/>
    <m/>
    <n v="1"/>
    <m/>
    <n v="714000"/>
    <m/>
    <m/>
    <n v="714000"/>
    <m/>
    <m/>
    <m/>
    <m/>
    <m/>
    <m/>
    <m/>
    <m/>
    <m/>
    <m/>
    <m/>
    <m/>
    <m/>
    <m/>
    <m/>
    <m/>
    <m/>
    <m/>
    <m/>
    <m/>
    <n v="714000"/>
    <m/>
    <m/>
    <m/>
    <x v="147"/>
    <s v="Y"/>
    <m/>
    <m/>
    <m/>
    <m/>
    <n v="2661"/>
    <m/>
    <m/>
    <m/>
    <m/>
    <m/>
    <m/>
    <m/>
    <s v="N"/>
    <m/>
    <m/>
    <m/>
    <m/>
    <s v="CASH: 714k to ICRC from Coca Cola"/>
  </r>
  <r>
    <s v="FL-2008-000018-ECU"/>
    <n v="192"/>
    <x v="188"/>
    <x v="86"/>
    <x v="12"/>
    <x v="22"/>
    <m/>
    <n v="2008"/>
    <n v="5"/>
    <x v="2"/>
    <x v="45"/>
    <s v="Hydrometerological"/>
    <s v="Floods"/>
    <s v="General Floods"/>
    <s v="General Floods"/>
    <n v="315000"/>
    <m/>
    <s v="?"/>
    <n v="700000"/>
    <m/>
    <n v="0"/>
    <m/>
    <m/>
    <m/>
    <n v="15220"/>
    <m/>
    <n v="6445"/>
    <m/>
    <m/>
    <m/>
    <n v="245000"/>
    <m/>
    <n v="245000"/>
    <m/>
    <m/>
    <m/>
    <m/>
    <m/>
    <m/>
    <m/>
    <m/>
    <m/>
    <m/>
    <m/>
    <m/>
    <m/>
    <m/>
    <m/>
    <m/>
    <m/>
    <m/>
    <m/>
    <m/>
    <n v="245000"/>
    <m/>
    <m/>
    <m/>
    <x v="122"/>
    <s v="Y"/>
    <m/>
    <m/>
    <m/>
    <m/>
    <s v="2597 / 2099"/>
    <m/>
    <m/>
    <m/>
    <m/>
    <m/>
    <m/>
    <m/>
    <s v="N"/>
    <m/>
    <m/>
    <m/>
    <s v="Pacific Coast"/>
    <s v="CASH from 2597: OFDA grant for procurement of NFIs - nets, clean-up kits, kitchen sets;  CASH from 2099: To ERC for purchase of food parcels "/>
  </r>
  <r>
    <m/>
    <n v="193"/>
    <x v="105"/>
    <x v="87"/>
    <x v="12"/>
    <x v="24"/>
    <m/>
    <n v="2008"/>
    <n v="6"/>
    <x v="3"/>
    <x v="72"/>
    <s v="Human Related"/>
    <s v="Conflict"/>
    <s v="Conflict"/>
    <s v="Conflict"/>
    <n v="4000000"/>
    <s v="Y"/>
    <s v="IFRC"/>
    <n v="18900000"/>
    <m/>
    <n v="1.4232804232804232E-2"/>
    <m/>
    <m/>
    <m/>
    <n v="900000"/>
    <m/>
    <m/>
    <n v="1"/>
    <n v="269000"/>
    <m/>
    <m/>
    <m/>
    <n v="269000"/>
    <m/>
    <m/>
    <m/>
    <m/>
    <m/>
    <m/>
    <m/>
    <m/>
    <m/>
    <m/>
    <m/>
    <m/>
    <m/>
    <m/>
    <m/>
    <m/>
    <m/>
    <m/>
    <m/>
    <m/>
    <n v="269000"/>
    <m/>
    <m/>
    <m/>
    <x v="148"/>
    <s v="Y"/>
    <m/>
    <m/>
    <m/>
    <m/>
    <s v="2099/2689"/>
    <m/>
    <m/>
    <m/>
    <m/>
    <m/>
    <m/>
    <m/>
    <s v="N"/>
    <m/>
    <m/>
    <m/>
    <s v="Country-wide"/>
    <s v="CASH from 2099: $250k Earmarked for OD and M&amp;E; CASH from 2689: $19k Earmarked for OD and M&amp;E;"/>
  </r>
  <r>
    <s v="TC-2008-000023-MDG"/>
    <n v="194"/>
    <x v="189"/>
    <x v="87"/>
    <x v="12"/>
    <x v="25"/>
    <m/>
    <n v="2008"/>
    <n v="7"/>
    <x v="1"/>
    <x v="26"/>
    <s v="Hydrometerological"/>
    <s v="Storm"/>
    <s v="Tropical Cyclone"/>
    <s v="Cyclone"/>
    <n v="322000"/>
    <s v="Y"/>
    <s v="IFRC"/>
    <n v="1000000"/>
    <s v="MDRMG003"/>
    <n v="0"/>
    <m/>
    <m/>
    <m/>
    <n v="50000"/>
    <m/>
    <m/>
    <m/>
    <m/>
    <m/>
    <m/>
    <m/>
    <n v="0"/>
    <m/>
    <m/>
    <m/>
    <n v="10000"/>
    <m/>
    <m/>
    <m/>
    <m/>
    <m/>
    <m/>
    <m/>
    <m/>
    <n v="10000"/>
    <m/>
    <m/>
    <m/>
    <m/>
    <m/>
    <n v="50000"/>
    <m/>
    <n v="50000"/>
    <m/>
    <m/>
    <m/>
    <x v="16"/>
    <s v="N"/>
    <m/>
    <m/>
    <m/>
    <m/>
    <n v="2799"/>
    <m/>
    <m/>
    <m/>
    <m/>
    <m/>
    <m/>
    <m/>
    <s v="Y"/>
    <m/>
    <m/>
    <m/>
    <s v="Ivan"/>
    <m/>
  </r>
  <r>
    <s v="TC-2008-000033-MOZ"/>
    <n v="195"/>
    <x v="190"/>
    <x v="87"/>
    <x v="12"/>
    <x v="26"/>
    <m/>
    <n v="2008"/>
    <n v="8"/>
    <x v="1"/>
    <x v="36"/>
    <s v="Hydrometerological"/>
    <s v="Floods"/>
    <s v="General Floods"/>
    <s v="General Floods"/>
    <n v="400000"/>
    <s v="Y"/>
    <m/>
    <n v="8400000"/>
    <m/>
    <n v="3.5714285714285712E-2"/>
    <m/>
    <m/>
    <m/>
    <n v="97550"/>
    <m/>
    <n v="15000"/>
    <n v="1"/>
    <n v="300000"/>
    <m/>
    <m/>
    <m/>
    <n v="300000"/>
    <m/>
    <m/>
    <m/>
    <m/>
    <m/>
    <m/>
    <m/>
    <m/>
    <m/>
    <m/>
    <m/>
    <m/>
    <m/>
    <m/>
    <m/>
    <m/>
    <m/>
    <m/>
    <m/>
    <m/>
    <n v="300000"/>
    <m/>
    <m/>
    <m/>
    <x v="144"/>
    <s v="Y"/>
    <m/>
    <m/>
    <m/>
    <m/>
    <s v="2099/($200k)/2869 ($100k)"/>
    <m/>
    <m/>
    <m/>
    <m/>
    <m/>
    <m/>
    <m/>
    <s v="N"/>
    <m/>
    <s v="ARCT"/>
    <m/>
    <s v="Southern Africa"/>
    <s v="CASH: 285k earmarked shelter/relief activities, 15k earmarked for RDRT costs x3; 2099 = $200k/ 2869 = $100k. Note ARCT funds used - $100,000 to Federation for shelter, see ARCT 2008 report."/>
  </r>
  <r>
    <s v="TC-2008-000033-MOZ"/>
    <n v="196"/>
    <x v="190"/>
    <x v="87"/>
    <x v="12"/>
    <x v="27"/>
    <m/>
    <n v="2008"/>
    <n v="9"/>
    <x v="1"/>
    <x v="99"/>
    <s v="Hydrometerological"/>
    <s v="Floods"/>
    <s v="General Floods"/>
    <s v="General Floods"/>
    <n v="2700"/>
    <m/>
    <m/>
    <s v="n/a"/>
    <m/>
    <m/>
    <m/>
    <m/>
    <m/>
    <n v="2700"/>
    <m/>
    <m/>
    <m/>
    <m/>
    <m/>
    <n v="48500"/>
    <m/>
    <n v="48500"/>
    <m/>
    <m/>
    <m/>
    <m/>
    <m/>
    <m/>
    <m/>
    <m/>
    <m/>
    <m/>
    <m/>
    <m/>
    <m/>
    <m/>
    <m/>
    <m/>
    <m/>
    <m/>
    <m/>
    <m/>
    <n v="48500"/>
    <m/>
    <m/>
    <m/>
    <x v="149"/>
    <s v="Y"/>
    <m/>
    <m/>
    <m/>
    <m/>
    <n v="2002"/>
    <m/>
    <m/>
    <m/>
    <m/>
    <m/>
    <m/>
    <m/>
    <s v="N"/>
    <m/>
    <m/>
    <m/>
    <s v="Flood/Mine"/>
    <s v="CASH: Grant letter to TRCS, relief/shelter"/>
  </r>
  <r>
    <s v="TC-2008-000057-MMR"/>
    <n v="197"/>
    <x v="191"/>
    <x v="88"/>
    <x v="12"/>
    <x v="28"/>
    <m/>
    <n v="2008"/>
    <n v="10"/>
    <x v="3"/>
    <x v="100"/>
    <s v="Hydrometerological"/>
    <s v="Storm"/>
    <s v="Tropical Cyclone"/>
    <s v="Cyclone"/>
    <n v="2400000"/>
    <s v="Y"/>
    <s v="IFRC"/>
    <n v="72537164"/>
    <s v="MDRMM002"/>
    <n v="3.446509157705697E-3"/>
    <n v="0.9"/>
    <m/>
    <m/>
    <n v="500000"/>
    <m/>
    <m/>
    <n v="1"/>
    <n v="250000"/>
    <m/>
    <m/>
    <m/>
    <n v="250000"/>
    <n v="1"/>
    <m/>
    <n v="1"/>
    <n v="205000"/>
    <m/>
    <m/>
    <n v="25000"/>
    <m/>
    <m/>
    <m/>
    <n v="5000"/>
    <m/>
    <n v="20000"/>
    <m/>
    <n v="9995"/>
    <m/>
    <m/>
    <m/>
    <n v="900000"/>
    <m/>
    <n v="1150000"/>
    <m/>
    <m/>
    <m/>
    <x v="129"/>
    <s v="Y"/>
    <m/>
    <m/>
    <m/>
    <m/>
    <s v="2594 / 2875"/>
    <m/>
    <m/>
    <m/>
    <m/>
    <m/>
    <m/>
    <m/>
    <s v="N"/>
    <m/>
    <m/>
    <s v="y"/>
    <s v="Nargis"/>
    <s v="SUPPLIES from 2594: OFDA  jerry cans, plus roughly 60k transport and associated costs; SUPPLIES from 2875: $1,150,000 plus transport"/>
  </r>
  <r>
    <s v="EQ-2008-000062-CHN"/>
    <n v="198"/>
    <x v="192"/>
    <x v="88"/>
    <x v="12"/>
    <x v="29"/>
    <m/>
    <n v="2008"/>
    <n v="11"/>
    <x v="3"/>
    <x v="4"/>
    <s v="Geophysical"/>
    <s v="Earthquake"/>
    <s v="Earthquake"/>
    <s v="Earthquake"/>
    <n v="10000000"/>
    <s v="Y"/>
    <s v="IFRC"/>
    <n v="92700000"/>
    <s v="MDRCN003"/>
    <n v="0.10787486515641856"/>
    <n v="0.65"/>
    <m/>
    <m/>
    <n v="500000"/>
    <m/>
    <m/>
    <n v="1"/>
    <n v="10000000"/>
    <m/>
    <m/>
    <m/>
    <n v="10000000"/>
    <n v="3"/>
    <m/>
    <m/>
    <m/>
    <m/>
    <m/>
    <m/>
    <m/>
    <m/>
    <m/>
    <m/>
    <m/>
    <m/>
    <m/>
    <m/>
    <m/>
    <m/>
    <m/>
    <m/>
    <m/>
    <n v="10000000"/>
    <m/>
    <m/>
    <m/>
    <x v="150"/>
    <s v="Y"/>
    <m/>
    <m/>
    <m/>
    <m/>
    <n v="2060"/>
    <m/>
    <m/>
    <m/>
    <m/>
    <m/>
    <m/>
    <m/>
    <s v="N"/>
    <m/>
    <m/>
    <s v="y"/>
    <s v="Sichuan"/>
    <s v="CASH: Unearmarked PMN; PEOPLE: R. Rayyis 1 wk info gathering, T. Betz 3 wk relief/logs/monitoring del; S. Thornton 6 mo relief del"/>
  </r>
  <r>
    <s v="DR-2008-000043-ETH"/>
    <n v="199"/>
    <x v="193"/>
    <x v="89"/>
    <x v="12"/>
    <x v="30"/>
    <m/>
    <n v="2008"/>
    <n v="14"/>
    <x v="1"/>
    <x v="1"/>
    <s v="Human Related"/>
    <s v="Food Insecurity"/>
    <s v="Food Insecurity"/>
    <s v="Food Insecurity"/>
    <n v="4500000"/>
    <s v="Y"/>
    <s v="IFRC"/>
    <n v="7920006"/>
    <s v="MDRET005"/>
    <n v="1.2626253060919398E-2"/>
    <m/>
    <m/>
    <m/>
    <n v="76075"/>
    <m/>
    <m/>
    <n v="1"/>
    <n v="100000"/>
    <m/>
    <m/>
    <m/>
    <n v="100000"/>
    <m/>
    <m/>
    <m/>
    <m/>
    <m/>
    <m/>
    <m/>
    <m/>
    <m/>
    <m/>
    <m/>
    <m/>
    <m/>
    <m/>
    <m/>
    <m/>
    <m/>
    <m/>
    <m/>
    <m/>
    <n v="100000"/>
    <m/>
    <m/>
    <m/>
    <x v="5"/>
    <s v="Y"/>
    <m/>
    <m/>
    <m/>
    <m/>
    <n v="2949"/>
    <m/>
    <m/>
    <m/>
    <m/>
    <m/>
    <m/>
    <m/>
    <s v="N"/>
    <m/>
    <m/>
    <m/>
    <m/>
    <s v="CASH: PMN earmarked for procurement, transport, distribution of food"/>
  </r>
  <r>
    <m/>
    <n v="200"/>
    <x v="194"/>
    <x v="89"/>
    <x v="12"/>
    <x v="31"/>
    <m/>
    <n v="2008"/>
    <n v="12"/>
    <x v="1"/>
    <x v="23"/>
    <s v="Human Related"/>
    <s v="Civil Unrest"/>
    <s v="Civil Unrest"/>
    <s v="Civil Unrest"/>
    <n v="50000"/>
    <m/>
    <m/>
    <s v="n/a"/>
    <m/>
    <m/>
    <m/>
    <m/>
    <m/>
    <n v="30000"/>
    <m/>
    <n v="0"/>
    <m/>
    <m/>
    <m/>
    <m/>
    <m/>
    <n v="0"/>
    <n v="1"/>
    <m/>
    <m/>
    <m/>
    <m/>
    <m/>
    <m/>
    <m/>
    <m/>
    <m/>
    <m/>
    <m/>
    <m/>
    <m/>
    <m/>
    <m/>
    <m/>
    <m/>
    <m/>
    <n v="10000"/>
    <n v="10000"/>
    <m/>
    <m/>
    <m/>
    <x v="6"/>
    <s v="N"/>
    <m/>
    <m/>
    <m/>
    <m/>
    <n v="2799"/>
    <m/>
    <m/>
    <m/>
    <m/>
    <m/>
    <m/>
    <m/>
    <s v="Y"/>
    <m/>
    <m/>
    <m/>
    <s v="Urban Violence"/>
    <s v="PEOPLE: C. Bell bilateral - dev systems/tracking"/>
  </r>
  <r>
    <s v="FL-2008-000069-CHL"/>
    <n v="201"/>
    <x v="195"/>
    <x v="89"/>
    <x v="12"/>
    <x v="32"/>
    <m/>
    <n v="2008"/>
    <n v="13"/>
    <x v="2"/>
    <x v="101"/>
    <s v="Hydrometerological"/>
    <s v="Floods"/>
    <s v="General Floods"/>
    <s v="General Floods"/>
    <n v="50000"/>
    <m/>
    <m/>
    <s v="n/a"/>
    <m/>
    <m/>
    <m/>
    <m/>
    <m/>
    <n v="4000"/>
    <m/>
    <n v="1250"/>
    <n v="0"/>
    <n v="2000"/>
    <m/>
    <m/>
    <m/>
    <n v="2000"/>
    <n v="1"/>
    <m/>
    <m/>
    <m/>
    <m/>
    <m/>
    <m/>
    <m/>
    <m/>
    <m/>
    <m/>
    <m/>
    <m/>
    <m/>
    <m/>
    <m/>
    <m/>
    <m/>
    <m/>
    <m/>
    <n v="2000"/>
    <m/>
    <m/>
    <m/>
    <x v="55"/>
    <s v="N"/>
    <m/>
    <m/>
    <m/>
    <m/>
    <n v="2799"/>
    <m/>
    <m/>
    <m/>
    <m/>
    <m/>
    <m/>
    <m/>
    <s v="Y"/>
    <m/>
    <m/>
    <m/>
    <m/>
    <s v="PEOPLE: S. DiPretoro, w/RIT, cash voucher/market assessment"/>
  </r>
  <r>
    <s v="TC-2008-000093-PHL"/>
    <n v="202"/>
    <x v="196"/>
    <x v="89"/>
    <x v="12"/>
    <x v="33"/>
    <m/>
    <n v="2008"/>
    <n v="15"/>
    <x v="3"/>
    <x v="89"/>
    <s v="Hydrometerological"/>
    <s v="Storm"/>
    <s v="Tropical Cyclone"/>
    <s v="Typhoon"/>
    <n v="4800000"/>
    <s v="Y"/>
    <s v="IFRC"/>
    <n v="8000000"/>
    <s v="MDRPH004"/>
    <n v="2.3125E-2"/>
    <n v="1"/>
    <m/>
    <m/>
    <n v="30000"/>
    <m/>
    <m/>
    <n v="1"/>
    <n v="185000"/>
    <m/>
    <m/>
    <m/>
    <n v="185000"/>
    <n v="1"/>
    <m/>
    <m/>
    <m/>
    <m/>
    <m/>
    <m/>
    <m/>
    <m/>
    <m/>
    <m/>
    <m/>
    <m/>
    <m/>
    <m/>
    <m/>
    <m/>
    <m/>
    <m/>
    <m/>
    <n v="185000"/>
    <m/>
    <m/>
    <m/>
    <x v="151"/>
    <s v="Y"/>
    <m/>
    <m/>
    <m/>
    <m/>
    <s v="2032/2799/2869"/>
    <m/>
    <m/>
    <m/>
    <m/>
    <m/>
    <m/>
    <m/>
    <s v="N"/>
    <m/>
    <s v="ARCT"/>
    <m/>
    <s v="Fengshen"/>
    <s v="CASH: 1st PMN (135K)earmarked for typhoon-resistant shelter construction, and DP programs, 2nd (50k) earmarked for shelters after IFRC reported severe underfunding; 1st PMN: AP 2869 - $80,938.17, AP 2799 - $45,211.83. AP 2032 - $8,850.00 / 2nd PMN: AP 2799 - $50,000 PEOPLE: G. Bicego, wat/san assessment team, Fed will pay all expenses. Note: ARCT Funds $100,000 used for shelter to Federation as noted in ARCT report for 2008."/>
  </r>
  <r>
    <m/>
    <n v="203"/>
    <x v="197"/>
    <x v="90"/>
    <x v="13"/>
    <x v="1"/>
    <m/>
    <n v="2008"/>
    <n v="16"/>
    <x v="3"/>
    <x v="102"/>
    <s v="Human Related"/>
    <s v="Conflict"/>
    <s v="Conflict"/>
    <s v="Conflict"/>
    <n v="77000"/>
    <s v="Y"/>
    <s v="ICRC"/>
    <n v="13707000"/>
    <m/>
    <n v="3.6477712117895965E-3"/>
    <m/>
    <m/>
    <m/>
    <n v="80500"/>
    <m/>
    <m/>
    <n v="1"/>
    <m/>
    <n v="50000"/>
    <m/>
    <m/>
    <n v="50000"/>
    <m/>
    <m/>
    <m/>
    <s v="-"/>
    <m/>
    <m/>
    <m/>
    <m/>
    <m/>
    <m/>
    <m/>
    <m/>
    <m/>
    <m/>
    <m/>
    <m/>
    <m/>
    <m/>
    <m/>
    <m/>
    <n v="50000"/>
    <m/>
    <m/>
    <m/>
    <x v="16"/>
    <s v="N"/>
    <m/>
    <m/>
    <m/>
    <m/>
    <n v="2799"/>
    <m/>
    <m/>
    <m/>
    <m/>
    <m/>
    <m/>
    <m/>
    <s v="Y"/>
    <m/>
    <m/>
    <m/>
    <s v="Believing Youth"/>
    <s v="CASH: $50,000 Pledge Letter to ICRC"/>
  </r>
  <r>
    <s v="FL-2008-000095-SUR"/>
    <n v="204"/>
    <x v="198"/>
    <x v="91"/>
    <x v="13"/>
    <x v="2"/>
    <m/>
    <n v="2008"/>
    <n v="17"/>
    <x v="2"/>
    <x v="103"/>
    <s v="Hydrometerological"/>
    <s v="Floods"/>
    <s v="General Floods"/>
    <s v="General Floods"/>
    <n v="49090"/>
    <s v="Y"/>
    <s v="IFRC"/>
    <n v="861000"/>
    <s v="MDRSR002"/>
    <m/>
    <m/>
    <m/>
    <m/>
    <n v="3000"/>
    <m/>
    <m/>
    <m/>
    <m/>
    <m/>
    <m/>
    <m/>
    <s v="-"/>
    <n v="2"/>
    <s v="IT/Telecoms"/>
    <n v="2"/>
    <s v="-"/>
    <m/>
    <m/>
    <m/>
    <m/>
    <m/>
    <m/>
    <m/>
    <m/>
    <m/>
    <m/>
    <m/>
    <m/>
    <m/>
    <m/>
    <s v="-"/>
    <s v="-"/>
    <n v="0"/>
    <m/>
    <m/>
    <m/>
    <x v="7"/>
    <s v="N"/>
    <m/>
    <m/>
    <m/>
    <m/>
    <n v="2799"/>
    <m/>
    <m/>
    <m/>
    <m/>
    <m/>
    <m/>
    <m/>
    <s v="Y"/>
    <m/>
    <m/>
    <m/>
    <m/>
    <s v="PEOPLE: M. Million, R. Palmer IT capacity bldg"/>
  </r>
  <r>
    <s v="FL-2008-000122-UKR/MDA"/>
    <n v="205"/>
    <x v="199"/>
    <x v="92"/>
    <x v="13"/>
    <x v="3"/>
    <m/>
    <n v="2008"/>
    <n v="18"/>
    <x v="3"/>
    <x v="104"/>
    <s v="Hydrometerological"/>
    <s v="Floods"/>
    <s v="General Floods"/>
    <s v="General Floods"/>
    <n v="30000"/>
    <s v="Y"/>
    <s v="IFRC"/>
    <n v="1193000"/>
    <s v="MDR67003"/>
    <n v="3.7091366303436714E-2"/>
    <n v="0.54"/>
    <m/>
    <m/>
    <n v="60000"/>
    <m/>
    <m/>
    <n v="1"/>
    <n v="44250"/>
    <m/>
    <m/>
    <m/>
    <n v="44250"/>
    <m/>
    <m/>
    <m/>
    <s v="-"/>
    <m/>
    <m/>
    <m/>
    <m/>
    <m/>
    <m/>
    <m/>
    <m/>
    <m/>
    <m/>
    <m/>
    <m/>
    <m/>
    <m/>
    <m/>
    <m/>
    <n v="44250"/>
    <m/>
    <m/>
    <m/>
    <x v="152"/>
    <s v="Y"/>
    <m/>
    <m/>
    <m/>
    <m/>
    <n v="2048"/>
    <m/>
    <m/>
    <m/>
    <m/>
    <m/>
    <m/>
    <m/>
    <s v="N"/>
    <m/>
    <m/>
    <m/>
    <m/>
    <s v="CASH: $44,280 PMN unearmarked, Boeing donation"/>
  </r>
  <r>
    <m/>
    <n v="206"/>
    <x v="200"/>
    <x v="92"/>
    <x v="13"/>
    <x v="4"/>
    <m/>
    <n v="2008"/>
    <n v="19"/>
    <x v="3"/>
    <x v="105"/>
    <s v="Human Related"/>
    <s v="Conflict"/>
    <s v="Conflict"/>
    <s v="Conflict"/>
    <n v="72000"/>
    <s v="Y"/>
    <s v="ICRC"/>
    <n v="7395000"/>
    <s v="REX08/555"/>
    <m/>
    <m/>
    <m/>
    <m/>
    <n v="50000"/>
    <m/>
    <m/>
    <n v="1"/>
    <m/>
    <n v="100000"/>
    <m/>
    <m/>
    <n v="100000"/>
    <m/>
    <m/>
    <m/>
    <s v="-"/>
    <m/>
    <m/>
    <m/>
    <m/>
    <m/>
    <m/>
    <m/>
    <m/>
    <m/>
    <m/>
    <m/>
    <m/>
    <m/>
    <m/>
    <m/>
    <m/>
    <n v="100000"/>
    <m/>
    <m/>
    <m/>
    <x v="5"/>
    <s v="N"/>
    <m/>
    <m/>
    <m/>
    <m/>
    <n v="2799"/>
    <m/>
    <m/>
    <m/>
    <m/>
    <m/>
    <m/>
    <m/>
    <s v="Y"/>
    <m/>
    <m/>
    <m/>
    <s v="S. Ossetia"/>
    <s v="CASH: $100,000 Pledge Letter to ICRC"/>
  </r>
  <r>
    <s v="FL-2008-000104-NPL"/>
    <n v="207"/>
    <x v="174"/>
    <x v="93"/>
    <x v="13"/>
    <x v="5"/>
    <m/>
    <n v="2008"/>
    <n v="20"/>
    <x v="3"/>
    <x v="95"/>
    <s v="Hydrometerological"/>
    <s v="Floods"/>
    <s v="General Floods"/>
    <s v="General Floods"/>
    <n v="70000"/>
    <s v="Y"/>
    <s v="IFRC"/>
    <n v="2647699"/>
    <s v="MDRNP002"/>
    <n v="1.8884321820569483E-2"/>
    <n v="0.72"/>
    <m/>
    <m/>
    <n v="150000"/>
    <m/>
    <m/>
    <n v="1"/>
    <n v="50000"/>
    <m/>
    <m/>
    <m/>
    <n v="50000"/>
    <m/>
    <m/>
    <m/>
    <s v="-"/>
    <m/>
    <m/>
    <m/>
    <m/>
    <m/>
    <m/>
    <m/>
    <m/>
    <m/>
    <m/>
    <m/>
    <m/>
    <m/>
    <m/>
    <m/>
    <m/>
    <n v="50000"/>
    <m/>
    <m/>
    <m/>
    <x v="16"/>
    <s v="N"/>
    <m/>
    <m/>
    <m/>
    <m/>
    <n v="2799"/>
    <m/>
    <m/>
    <m/>
    <m/>
    <m/>
    <m/>
    <m/>
    <s v="Y"/>
    <m/>
    <m/>
    <m/>
    <s v="Koshi River Embankment Breach"/>
    <s v="CASH: PMN $50,000 unearmarked to Fed"/>
  </r>
  <r>
    <s v="TC-2008-000147-HTI"/>
    <n v="208"/>
    <x v="201"/>
    <x v="93"/>
    <x v="13"/>
    <x v="6"/>
    <m/>
    <n v="2008"/>
    <n v="21"/>
    <x v="2"/>
    <x v="79"/>
    <s v="Hydrometerological"/>
    <s v="Storm"/>
    <s v="Tropical Cyclone"/>
    <s v="Hurricane"/>
    <n v="800000"/>
    <s v="Y"/>
    <s v="IFRC"/>
    <n v="7600000"/>
    <s v="MDRHT005"/>
    <n v="3.7326578947368419E-2"/>
    <n v="1.04"/>
    <m/>
    <m/>
    <n v="50000"/>
    <m/>
    <m/>
    <n v="1"/>
    <n v="283682"/>
    <m/>
    <m/>
    <m/>
    <n v="283682"/>
    <n v="5"/>
    <s v="Relief ERU"/>
    <n v="5"/>
    <n v="19100"/>
    <m/>
    <n v="4000"/>
    <m/>
    <m/>
    <n v="4800"/>
    <m/>
    <n v="3000"/>
    <m/>
    <n v="6000"/>
    <m/>
    <n v="1300"/>
    <m/>
    <m/>
    <m/>
    <n v="340000"/>
    <m/>
    <n v="1532876"/>
    <m/>
    <m/>
    <m/>
    <x v="153"/>
    <s v="Y"/>
    <m/>
    <m/>
    <m/>
    <m/>
    <s v="2869/2885/ 2591"/>
    <m/>
    <m/>
    <m/>
    <m/>
    <m/>
    <m/>
    <m/>
    <s v="N"/>
    <m/>
    <s v="OFDA grant for $500,000; ARCT funds used - $100,000"/>
    <s v="y"/>
    <s v="Gustav, Hanna, Ike"/>
    <s v="CASH: $100K PMN from AP 2885 earmarked for shelter kits from ARCT; PEOPLE: B. Gaillis (FACT TL), Relief ERU - C. Chaperon (TL), M. Marek, 2nd round - M. Marek (TL), J. Manley, G. Matthews, value at 50k to Fed;  OFDA grant for $500,000. SUPPLIES plus transport/PSR"/>
  </r>
  <r>
    <s v="TC-2008-000143"/>
    <n v="209"/>
    <x v="202"/>
    <x v="93"/>
    <x v="13"/>
    <x v="7"/>
    <m/>
    <n v="2008"/>
    <n v="22"/>
    <x v="2"/>
    <x v="9"/>
    <s v="Hydrometerological"/>
    <s v="Storm"/>
    <s v="Tropical Cyclone"/>
    <s v="Hurricane"/>
    <n v="9750"/>
    <s v="Y"/>
    <s v="IFRC"/>
    <n v="1638300"/>
    <s v="MDR49003"/>
    <n v="7.3883904046877863E-2"/>
    <n v="0.77"/>
    <m/>
    <m/>
    <n v="20000"/>
    <m/>
    <m/>
    <n v="1"/>
    <n v="121044"/>
    <m/>
    <m/>
    <m/>
    <n v="121044"/>
    <n v="1"/>
    <m/>
    <n v="1"/>
    <s v="-"/>
    <m/>
    <m/>
    <m/>
    <m/>
    <m/>
    <m/>
    <m/>
    <m/>
    <m/>
    <m/>
    <m/>
    <m/>
    <m/>
    <m/>
    <m/>
    <m/>
    <n v="121044"/>
    <m/>
    <m/>
    <m/>
    <x v="154"/>
    <s v="N"/>
    <m/>
    <m/>
    <m/>
    <m/>
    <n v="2799"/>
    <m/>
    <m/>
    <m/>
    <m/>
    <m/>
    <m/>
    <m/>
    <s v="Y"/>
    <m/>
    <m/>
    <s v="y"/>
    <s v="Bahamas, Jamaica"/>
    <s v="CASH: PMN $100,000 earmarked for Bahamas and Jamaica; PEOPLE: C. Hammond (RIT)"/>
  </r>
  <r>
    <s v="TC-2008-000143"/>
    <n v="209"/>
    <x v="203"/>
    <x v="93"/>
    <x v="13"/>
    <x v="7"/>
    <m/>
    <n v="2008"/>
    <n v="22"/>
    <x v="2"/>
    <x v="53"/>
    <s v="Hydrometerological"/>
    <s v="Storm"/>
    <s v="Tropical Cyclone"/>
    <s v="Hurricane"/>
    <n v="4000"/>
    <m/>
    <m/>
    <s v="-"/>
    <s v="MDR49003"/>
    <m/>
    <m/>
    <m/>
    <m/>
    <s v="-"/>
    <m/>
    <s v="-"/>
    <m/>
    <m/>
    <m/>
    <m/>
    <m/>
    <m/>
    <m/>
    <m/>
    <m/>
    <s v="-"/>
    <m/>
    <m/>
    <m/>
    <m/>
    <m/>
    <m/>
    <m/>
    <m/>
    <m/>
    <m/>
    <m/>
    <m/>
    <m/>
    <m/>
    <m/>
    <m/>
    <s v="-"/>
    <m/>
    <m/>
    <m/>
    <x v="155"/>
    <s v="Y"/>
    <m/>
    <m/>
    <m/>
    <m/>
    <m/>
    <m/>
    <m/>
    <m/>
    <m/>
    <m/>
    <m/>
    <m/>
    <s v="N"/>
    <m/>
    <m/>
    <s v="y"/>
    <s v="Bahamas, Jamaica"/>
    <s v="CASH: PMN earmarked for Bahamas and Jamaica"/>
  </r>
  <r>
    <s v="TC-2008-000143"/>
    <n v="210"/>
    <x v="204"/>
    <x v="93"/>
    <x v="13"/>
    <x v="8"/>
    <m/>
    <n v="2008"/>
    <n v="23"/>
    <x v="2"/>
    <x v="52"/>
    <s v="Hydrometerological"/>
    <s v="Storm"/>
    <s v="Tropical Cyclone"/>
    <s v="Hurricane"/>
    <n v="2900000"/>
    <s v="Y"/>
    <s v="IFRC"/>
    <n v="8811345"/>
    <s v="MDRCU001"/>
    <n v="0.12823728953979216"/>
    <n v="0.66"/>
    <m/>
    <m/>
    <n v="60000"/>
    <m/>
    <n v="10380"/>
    <n v="1"/>
    <n v="1129943"/>
    <m/>
    <m/>
    <m/>
    <n v="1129943"/>
    <m/>
    <m/>
    <m/>
    <s v="-"/>
    <m/>
    <m/>
    <m/>
    <m/>
    <m/>
    <m/>
    <m/>
    <m/>
    <m/>
    <m/>
    <m/>
    <m/>
    <m/>
    <m/>
    <m/>
    <m/>
    <n v="1129943"/>
    <m/>
    <m/>
    <m/>
    <x v="156"/>
    <s v="N"/>
    <m/>
    <m/>
    <m/>
    <m/>
    <n v="2099"/>
    <m/>
    <m/>
    <m/>
    <m/>
    <m/>
    <m/>
    <m/>
    <s v="N"/>
    <m/>
    <m/>
    <s v="y"/>
    <s v="Gustav, Ike"/>
    <s v="CASH: PMN unearmarked - OFAC license received"/>
  </r>
  <r>
    <s v="FL-2008-000198"/>
    <n v="211"/>
    <x v="205"/>
    <x v="94"/>
    <x v="13"/>
    <x v="9"/>
    <m/>
    <n v="2008"/>
    <n v="24"/>
    <x v="2"/>
    <x v="6"/>
    <s v="Hydrometerological"/>
    <s v="Floods"/>
    <s v="Storm Surge"/>
    <s v="Storm Surge"/>
    <s v="-"/>
    <m/>
    <m/>
    <s v="-"/>
    <m/>
    <m/>
    <m/>
    <m/>
    <m/>
    <s v="-"/>
    <m/>
    <s v="-"/>
    <m/>
    <m/>
    <m/>
    <m/>
    <m/>
    <m/>
    <m/>
    <m/>
    <m/>
    <s v="-"/>
    <m/>
    <m/>
    <m/>
    <m/>
    <m/>
    <m/>
    <m/>
    <m/>
    <m/>
    <m/>
    <m/>
    <m/>
    <m/>
    <m/>
    <m/>
    <m/>
    <s v="-"/>
    <m/>
    <m/>
    <m/>
    <x v="155"/>
    <s v="Y"/>
    <m/>
    <m/>
    <m/>
    <m/>
    <m/>
    <m/>
    <m/>
    <m/>
    <m/>
    <m/>
    <m/>
    <m/>
    <s v="N"/>
    <m/>
    <m/>
    <s v="y"/>
    <m/>
    <m/>
  </r>
  <r>
    <s v="FL-2008-000198"/>
    <n v="211"/>
    <x v="205"/>
    <x v="94"/>
    <x v="13"/>
    <x v="9"/>
    <m/>
    <n v="2008"/>
    <n v="24"/>
    <x v="2"/>
    <x v="43"/>
    <s v="Hydrometerological"/>
    <s v="Floods"/>
    <s v="Storm Surge"/>
    <s v="Storm Surge"/>
    <s v="-"/>
    <m/>
    <m/>
    <s v="-"/>
    <m/>
    <m/>
    <m/>
    <m/>
    <m/>
    <s v="-"/>
    <m/>
    <s v="-"/>
    <n v="0"/>
    <n v="25000"/>
    <m/>
    <m/>
    <m/>
    <m/>
    <m/>
    <m/>
    <m/>
    <s v="-"/>
    <m/>
    <m/>
    <m/>
    <m/>
    <m/>
    <m/>
    <m/>
    <m/>
    <m/>
    <m/>
    <m/>
    <m/>
    <m/>
    <m/>
    <m/>
    <m/>
    <s v="-"/>
    <m/>
    <m/>
    <m/>
    <x v="155"/>
    <s v="Y"/>
    <m/>
    <m/>
    <m/>
    <m/>
    <n v="2882"/>
    <m/>
    <m/>
    <m/>
    <m/>
    <m/>
    <m/>
    <m/>
    <s v="N"/>
    <m/>
    <m/>
    <s v="y"/>
    <m/>
    <s v="CASH: PMN 25k earmarked to Honduras from 2882"/>
  </r>
  <r>
    <s v="FL-2008-000198"/>
    <n v="211"/>
    <x v="205"/>
    <x v="94"/>
    <x v="13"/>
    <x v="9"/>
    <m/>
    <n v="2008"/>
    <n v="24"/>
    <x v="2"/>
    <x v="106"/>
    <s v="Hydrometerological"/>
    <s v="Floods"/>
    <s v="Storm Surge"/>
    <s v="Storm Surge"/>
    <n v="328000"/>
    <s v="Y"/>
    <s v="IFRC"/>
    <n v="1388924"/>
    <s v="MDR43004"/>
    <n v="0.17760727008821217"/>
    <n v="0.67"/>
    <m/>
    <m/>
    <n v="32000"/>
    <m/>
    <m/>
    <n v="1"/>
    <n v="246683"/>
    <m/>
    <m/>
    <m/>
    <n v="246683"/>
    <m/>
    <m/>
    <m/>
    <s v="-"/>
    <m/>
    <m/>
    <m/>
    <m/>
    <m/>
    <m/>
    <m/>
    <m/>
    <m/>
    <m/>
    <m/>
    <m/>
    <m/>
    <m/>
    <m/>
    <m/>
    <n v="246683"/>
    <m/>
    <m/>
    <m/>
    <x v="157"/>
    <s v="Y"/>
    <m/>
    <m/>
    <m/>
    <m/>
    <s v="2799 /2882 /2869"/>
    <m/>
    <m/>
    <m/>
    <m/>
    <m/>
    <m/>
    <m/>
    <s v="N"/>
    <m/>
    <s v="ARCT funds used - $100,000"/>
    <s v="y"/>
    <m/>
    <s v="CASH: PMN 100k from 2799 unearmarked; PMN 91k - ( $88,500 from 2869 ARCT and $2,500 from 2799); $25,000 from 2882 earmarked for Honduras"/>
  </r>
  <r>
    <s v="FL-2008-000198"/>
    <n v="211"/>
    <x v="205"/>
    <x v="94"/>
    <x v="13"/>
    <x v="9"/>
    <m/>
    <n v="2008"/>
    <n v="24"/>
    <x v="2"/>
    <x v="44"/>
    <s v="Hydrometerological"/>
    <s v="Floods"/>
    <s v="Storm Surge"/>
    <s v="Storm Surge"/>
    <m/>
    <m/>
    <m/>
    <m/>
    <m/>
    <m/>
    <m/>
    <m/>
    <m/>
    <m/>
    <m/>
    <m/>
    <m/>
    <m/>
    <m/>
    <m/>
    <m/>
    <m/>
    <m/>
    <m/>
    <m/>
    <s v="-"/>
    <m/>
    <m/>
    <m/>
    <m/>
    <m/>
    <m/>
    <m/>
    <m/>
    <m/>
    <m/>
    <m/>
    <m/>
    <m/>
    <m/>
    <m/>
    <m/>
    <m/>
    <m/>
    <m/>
    <m/>
    <x v="7"/>
    <s v="Y"/>
    <m/>
    <m/>
    <m/>
    <m/>
    <m/>
    <m/>
    <m/>
    <m/>
    <m/>
    <m/>
    <m/>
    <m/>
    <s v="N"/>
    <m/>
    <m/>
    <s v="y"/>
    <m/>
    <m/>
  </r>
  <r>
    <s v="EQ-2008-000206-PAK"/>
    <n v="212"/>
    <x v="206"/>
    <x v="95"/>
    <x v="13"/>
    <x v="10"/>
    <m/>
    <n v="2008"/>
    <n v="25"/>
    <x v="3"/>
    <x v="47"/>
    <s v="Geophysical"/>
    <s v="Earthquake"/>
    <s v="Earthquake"/>
    <s v="Earthquake"/>
    <n v="366000"/>
    <s v="Y"/>
    <s v="ICRC &amp; IFRC"/>
    <n v="9880000"/>
    <s v="REX08/722 &amp; MDRPK002"/>
    <m/>
    <m/>
    <m/>
    <m/>
    <n v="37930"/>
    <m/>
    <m/>
    <m/>
    <m/>
    <m/>
    <n v="100000"/>
    <m/>
    <n v="100000"/>
    <m/>
    <m/>
    <m/>
    <s v="-"/>
    <m/>
    <m/>
    <m/>
    <m/>
    <m/>
    <m/>
    <m/>
    <m/>
    <m/>
    <m/>
    <m/>
    <m/>
    <m/>
    <m/>
    <m/>
    <m/>
    <n v="100000"/>
    <m/>
    <m/>
    <n v="37930"/>
    <x v="5"/>
    <s v="N"/>
    <m/>
    <m/>
    <m/>
    <m/>
    <n v="2799"/>
    <m/>
    <m/>
    <m/>
    <m/>
    <m/>
    <m/>
    <m/>
    <s v="Y"/>
    <m/>
    <m/>
    <m/>
    <s v="Baluchistan"/>
    <s v="CASH: $100,000 to purchase relief supplies."/>
  </r>
  <r>
    <s v="FF-2008-000211-VNM"/>
    <n v="213"/>
    <x v="21"/>
    <x v="95"/>
    <x v="13"/>
    <x v="11"/>
    <m/>
    <n v="2008"/>
    <n v="26"/>
    <x v="3"/>
    <x v="16"/>
    <s v="Hydrometerological"/>
    <s v="Floods"/>
    <s v="General Floods"/>
    <s v="General Floods"/>
    <n v="600000"/>
    <s v="Y"/>
    <s v="IFRC"/>
    <n v="4000000"/>
    <s v="MDRVN005"/>
    <n v="1.2500000000000001E-2"/>
    <n v="0.47"/>
    <m/>
    <m/>
    <n v="300000"/>
    <m/>
    <m/>
    <n v="1"/>
    <n v="50000"/>
    <m/>
    <m/>
    <m/>
    <n v="50000"/>
    <m/>
    <m/>
    <m/>
    <s v="-"/>
    <m/>
    <m/>
    <m/>
    <m/>
    <m/>
    <m/>
    <m/>
    <m/>
    <m/>
    <m/>
    <m/>
    <m/>
    <m/>
    <m/>
    <m/>
    <m/>
    <n v="50000"/>
    <m/>
    <m/>
    <m/>
    <x v="16"/>
    <s v="N"/>
    <m/>
    <m/>
    <m/>
    <m/>
    <n v="2799"/>
    <m/>
    <m/>
    <m/>
    <m/>
    <m/>
    <m/>
    <m/>
    <s v="Y"/>
    <m/>
    <m/>
    <m/>
    <s v="North and Central Regions"/>
    <s v="CASH: PMN 50k unearmarked "/>
  </r>
  <r>
    <s v="FL-2008-000232-CRI"/>
    <n v="214"/>
    <x v="207"/>
    <x v="96"/>
    <x v="13"/>
    <x v="12"/>
    <m/>
    <n v="2008"/>
    <n v="27"/>
    <x v="2"/>
    <x v="3"/>
    <s v="Hydrometerological"/>
    <s v="Floods"/>
    <s v="General Floods"/>
    <m/>
    <s v="-"/>
    <m/>
    <m/>
    <s v="-"/>
    <m/>
    <m/>
    <m/>
    <m/>
    <m/>
    <s v="-"/>
    <m/>
    <s v="-"/>
    <m/>
    <m/>
    <m/>
    <m/>
    <m/>
    <m/>
    <m/>
    <m/>
    <m/>
    <s v="-"/>
    <m/>
    <m/>
    <m/>
    <m/>
    <m/>
    <m/>
    <m/>
    <m/>
    <m/>
    <m/>
    <m/>
    <m/>
    <m/>
    <m/>
    <m/>
    <m/>
    <s v="-"/>
    <m/>
    <m/>
    <m/>
    <x v="155"/>
    <s v="Y"/>
    <m/>
    <m/>
    <m/>
    <m/>
    <m/>
    <m/>
    <m/>
    <m/>
    <m/>
    <m/>
    <m/>
    <m/>
    <s v="N"/>
    <m/>
    <m/>
    <m/>
    <m/>
    <m/>
  </r>
  <r>
    <s v="FL-2008-000158-PAN"/>
    <n v="214"/>
    <x v="207"/>
    <x v="97"/>
    <x v="13"/>
    <x v="12"/>
    <m/>
    <n v="2008"/>
    <n v="27"/>
    <x v="2"/>
    <x v="57"/>
    <s v="Hydrometerological"/>
    <s v="Floods"/>
    <s v="General Floods"/>
    <m/>
    <n v="40158"/>
    <s v="Y"/>
    <s v="IFRC"/>
    <n v="571953"/>
    <s v="MDR43005"/>
    <n v="0.17483954101123694"/>
    <n v="0.39"/>
    <m/>
    <m/>
    <n v="15000"/>
    <m/>
    <m/>
    <n v="1"/>
    <n v="100000"/>
    <m/>
    <m/>
    <m/>
    <n v="100000"/>
    <m/>
    <m/>
    <m/>
    <s v="-"/>
    <m/>
    <m/>
    <m/>
    <m/>
    <m/>
    <m/>
    <m/>
    <m/>
    <m/>
    <m/>
    <m/>
    <m/>
    <m/>
    <m/>
    <m/>
    <m/>
    <n v="100000"/>
    <m/>
    <m/>
    <m/>
    <x v="5"/>
    <s v="N"/>
    <m/>
    <m/>
    <m/>
    <m/>
    <n v="2799"/>
    <m/>
    <m/>
    <m/>
    <m/>
    <m/>
    <m/>
    <m/>
    <s v="Y"/>
    <m/>
    <m/>
    <m/>
    <m/>
    <s v="CASH: PMN $100,000 for Fed Appeal"/>
  </r>
  <r>
    <m/>
    <n v="215"/>
    <x v="208"/>
    <x v="98"/>
    <x v="13"/>
    <x v="13"/>
    <m/>
    <n v="2008"/>
    <n v="28"/>
    <x v="1"/>
    <x v="1"/>
    <s v="Human Related"/>
    <s v="Food Insecurity"/>
    <s v="Food Insecurity"/>
    <m/>
    <s v="-"/>
    <m/>
    <m/>
    <s v="-"/>
    <m/>
    <m/>
    <m/>
    <m/>
    <m/>
    <s v="-"/>
    <m/>
    <s v="-"/>
    <m/>
    <m/>
    <m/>
    <m/>
    <m/>
    <m/>
    <m/>
    <m/>
    <m/>
    <s v="-"/>
    <m/>
    <m/>
    <m/>
    <m/>
    <m/>
    <m/>
    <m/>
    <m/>
    <m/>
    <m/>
    <m/>
    <m/>
    <m/>
    <m/>
    <m/>
    <m/>
    <s v="-"/>
    <m/>
    <m/>
    <m/>
    <x v="155"/>
    <s v="Y"/>
    <m/>
    <m/>
    <m/>
    <m/>
    <m/>
    <m/>
    <m/>
    <m/>
    <m/>
    <m/>
    <m/>
    <m/>
    <s v="N"/>
    <m/>
    <m/>
    <m/>
    <m/>
    <m/>
  </r>
  <r>
    <m/>
    <n v="215"/>
    <x v="208"/>
    <x v="99"/>
    <x v="13"/>
    <x v="13"/>
    <m/>
    <n v="2008"/>
    <n v="28"/>
    <x v="1"/>
    <x v="58"/>
    <s v="Human Related"/>
    <s v="Food Insecurity"/>
    <s v="Food Insecurity"/>
    <m/>
    <s v="-"/>
    <m/>
    <m/>
    <s v="-"/>
    <m/>
    <m/>
    <m/>
    <m/>
    <m/>
    <s v="-"/>
    <m/>
    <s v="-"/>
    <m/>
    <m/>
    <m/>
    <m/>
    <m/>
    <m/>
    <m/>
    <m/>
    <m/>
    <s v="-"/>
    <m/>
    <m/>
    <m/>
    <m/>
    <m/>
    <m/>
    <m/>
    <m/>
    <m/>
    <m/>
    <m/>
    <m/>
    <m/>
    <m/>
    <m/>
    <m/>
    <s v="-"/>
    <m/>
    <m/>
    <m/>
    <x v="155"/>
    <s v="Y"/>
    <m/>
    <m/>
    <m/>
    <m/>
    <m/>
    <m/>
    <m/>
    <m/>
    <m/>
    <m/>
    <m/>
    <m/>
    <s v="N"/>
    <m/>
    <m/>
    <m/>
    <m/>
    <m/>
  </r>
  <r>
    <m/>
    <n v="215"/>
    <x v="208"/>
    <x v="100"/>
    <x v="13"/>
    <x v="13"/>
    <m/>
    <n v="2008"/>
    <n v="28"/>
    <x v="1"/>
    <x v="91"/>
    <s v="Human Related"/>
    <s v="Food Insecurity"/>
    <s v="Food Insecurity"/>
    <m/>
    <s v="-"/>
    <m/>
    <m/>
    <s v="-"/>
    <m/>
    <m/>
    <m/>
    <m/>
    <m/>
    <s v="-"/>
    <m/>
    <s v="-"/>
    <m/>
    <m/>
    <m/>
    <m/>
    <m/>
    <m/>
    <m/>
    <m/>
    <m/>
    <s v="-"/>
    <m/>
    <m/>
    <m/>
    <m/>
    <m/>
    <m/>
    <m/>
    <m/>
    <m/>
    <m/>
    <m/>
    <m/>
    <m/>
    <m/>
    <m/>
    <m/>
    <s v="-"/>
    <m/>
    <m/>
    <m/>
    <x v="155"/>
    <s v="Y"/>
    <m/>
    <m/>
    <m/>
    <m/>
    <m/>
    <m/>
    <m/>
    <m/>
    <m/>
    <m/>
    <m/>
    <m/>
    <s v="N"/>
    <m/>
    <m/>
    <m/>
    <m/>
    <m/>
  </r>
  <r>
    <s v="OT-2008-000196-DJI/ERI/ETH/KEN/SOM"/>
    <n v="215"/>
    <x v="208"/>
    <x v="101"/>
    <x v="13"/>
    <x v="13"/>
    <m/>
    <n v="2008"/>
    <n v="28"/>
    <x v="1"/>
    <x v="107"/>
    <s v="Human Related"/>
    <s v="Food Insecurity"/>
    <s v="Food Insecurity"/>
    <m/>
    <n v="16800000"/>
    <s v="Y"/>
    <s v="IFRC"/>
    <n v="66586679"/>
    <s v="MDR64003"/>
    <n v="0"/>
    <n v="0.09"/>
    <s v="Y"/>
    <n v="118830"/>
    <n v="2488500"/>
    <m/>
    <m/>
    <m/>
    <m/>
    <m/>
    <n v="500000"/>
    <m/>
    <m/>
    <n v="1"/>
    <m/>
    <n v="1"/>
    <s v="-"/>
    <m/>
    <m/>
    <m/>
    <m/>
    <m/>
    <m/>
    <m/>
    <m/>
    <m/>
    <m/>
    <m/>
    <m/>
    <m/>
    <m/>
    <m/>
    <m/>
    <n v="0"/>
    <m/>
    <m/>
    <m/>
    <x v="7"/>
    <s v="N"/>
    <m/>
    <m/>
    <m/>
    <m/>
    <n v="2799"/>
    <m/>
    <m/>
    <m/>
    <m/>
    <m/>
    <m/>
    <m/>
    <s v="Y"/>
    <m/>
    <m/>
    <m/>
    <m/>
    <s v="PEOPLE: T. Reines, relief del on Fed assessment team x3 wks (entire Horn of Africa); CASH: Intially $500,000 was approved but issues related to the programming and the appeal kept these funds from being disbursed to IFRC appeal. Eventually appeal was cancelled. Instead, ARC provided the resources to a British Red Cross led effort in Djibouti around livelihoods that was consistent with the appeal and recognized by the Federation as such."/>
  </r>
  <r>
    <m/>
    <n v="216"/>
    <x v="209"/>
    <x v="102"/>
    <x v="13"/>
    <x v="14"/>
    <m/>
    <n v="2008"/>
    <n v="29"/>
    <x v="1"/>
    <x v="96"/>
    <s v="Human Related"/>
    <s v="Conflict"/>
    <s v="Conflict"/>
    <s v="Conflict"/>
    <n v="280000"/>
    <s v="Y"/>
    <s v="IFRC"/>
    <n v="1437632"/>
    <s v="MDR64004"/>
    <n v="3.4779415038062589E-2"/>
    <n v="0.62"/>
    <s v="Y"/>
    <n v="201571"/>
    <n v="60000"/>
    <m/>
    <m/>
    <n v="1"/>
    <n v="50000"/>
    <m/>
    <m/>
    <m/>
    <n v="50000"/>
    <n v="1"/>
    <m/>
    <n v="1"/>
    <s v="-"/>
    <m/>
    <m/>
    <m/>
    <m/>
    <m/>
    <m/>
    <m/>
    <m/>
    <m/>
    <m/>
    <m/>
    <m/>
    <m/>
    <m/>
    <m/>
    <m/>
    <n v="50000"/>
    <m/>
    <m/>
    <m/>
    <x v="16"/>
    <s v="N"/>
    <m/>
    <m/>
    <m/>
    <m/>
    <n v="2799"/>
    <m/>
    <m/>
    <m/>
    <m/>
    <m/>
    <m/>
    <m/>
    <s v="Y"/>
    <m/>
    <m/>
    <m/>
    <m/>
    <s v="CASH: $50,000 PMN to Appeal earmarked to Uganda. PEOPLE: B. Banks, seconded to NBO as backfill DM coordinator deployed to Uganda on Fed assessment"/>
  </r>
  <r>
    <s v="EP-2008-000218-ZWE"/>
    <n v="217"/>
    <x v="210"/>
    <x v="103"/>
    <x v="13"/>
    <x v="15"/>
    <m/>
    <n v="2008"/>
    <n v="30"/>
    <x v="1"/>
    <x v="25"/>
    <s v="Biological"/>
    <s v="Epidemic"/>
    <s v="Disease"/>
    <s v="Cholera"/>
    <n v="50000"/>
    <s v="Y"/>
    <s v="IFRC"/>
    <n v="9200000"/>
    <s v="MDRZW004"/>
    <n v="1.0869565217391304E-2"/>
    <n v="0.64"/>
    <s v="Y"/>
    <n v="359374"/>
    <n v="1500000"/>
    <m/>
    <m/>
    <n v="1"/>
    <n v="100000"/>
    <m/>
    <m/>
    <m/>
    <n v="100000"/>
    <m/>
    <m/>
    <m/>
    <s v="-"/>
    <m/>
    <m/>
    <m/>
    <m/>
    <m/>
    <m/>
    <m/>
    <m/>
    <m/>
    <m/>
    <m/>
    <m/>
    <m/>
    <m/>
    <m/>
    <m/>
    <n v="100000"/>
    <m/>
    <m/>
    <m/>
    <x v="5"/>
    <s v="N"/>
    <m/>
    <m/>
    <m/>
    <m/>
    <n v="2799"/>
    <m/>
    <m/>
    <m/>
    <m/>
    <m/>
    <m/>
    <m/>
    <s v="Y"/>
    <m/>
    <m/>
    <m/>
    <m/>
    <s v="CASH: PMN $100k to IFRC from 2799 - 75% operational needs, 25% support costs."/>
  </r>
  <r>
    <m/>
    <n v="218"/>
    <x v="211"/>
    <x v="103"/>
    <x v="13"/>
    <x v="16"/>
    <m/>
    <n v="2008"/>
    <n v="31"/>
    <x v="3"/>
    <x v="29"/>
    <s v="Human Related"/>
    <s v="Conflict"/>
    <s v="Conflict"/>
    <s v="Conflict"/>
    <s v="-"/>
    <s v="Y"/>
    <s v="ICRC/Ntl Socs"/>
    <s v="-"/>
    <m/>
    <m/>
    <m/>
    <m/>
    <m/>
    <s v="-"/>
    <m/>
    <s v="-"/>
    <m/>
    <m/>
    <s v=" "/>
    <n v="200000"/>
    <m/>
    <m/>
    <m/>
    <m/>
    <m/>
    <s v="-"/>
    <m/>
    <m/>
    <m/>
    <m/>
    <m/>
    <m/>
    <m/>
    <m/>
    <m/>
    <m/>
    <m/>
    <m/>
    <m/>
    <m/>
    <m/>
    <m/>
    <s v="-"/>
    <m/>
    <m/>
    <m/>
    <x v="155"/>
    <s v="N"/>
    <m/>
    <m/>
    <m/>
    <m/>
    <n v="2099"/>
    <m/>
    <m/>
    <m/>
    <m/>
    <m/>
    <m/>
    <m/>
    <s v="N"/>
    <m/>
    <m/>
    <m/>
    <m/>
    <s v="CASH: 5 Jan 09 - $250,000 from 2799 RRF to ICRC;  9 Jan 09 $250,000 from 2799 RRF, to PRCS;  30 Jan 09 $200,000 from 2099 IRF to MDA;  5 Feb 09: $110,625 from 2010 Middle East, to PRCS appeal, and $110,625, 2010 Middle East to ICRC appeal."/>
  </r>
  <r>
    <m/>
    <n v="218"/>
    <x v="212"/>
    <x v="103"/>
    <x v="13"/>
    <x v="16"/>
    <m/>
    <n v="2008"/>
    <n v="31"/>
    <x v="3"/>
    <x v="31"/>
    <s v="Human Related"/>
    <s v="Conflict"/>
    <s v="Conflict"/>
    <s v="Conflict"/>
    <n v="90000"/>
    <s v="Y"/>
    <s v="ICRC/Ntl Socs"/>
    <m/>
    <m/>
    <m/>
    <m/>
    <s v="Y"/>
    <n v="310244"/>
    <n v="50000"/>
    <m/>
    <m/>
    <n v="1"/>
    <m/>
    <n v="360625"/>
    <n v="560625"/>
    <m/>
    <n v="921250"/>
    <m/>
    <m/>
    <m/>
    <s v="-"/>
    <m/>
    <m/>
    <m/>
    <m/>
    <m/>
    <m/>
    <m/>
    <m/>
    <m/>
    <m/>
    <m/>
    <m/>
    <m/>
    <m/>
    <m/>
    <m/>
    <n v="921250"/>
    <m/>
    <m/>
    <m/>
    <x v="158"/>
    <s v="Y"/>
    <m/>
    <m/>
    <m/>
    <m/>
    <s v="2799/2099/2010"/>
    <m/>
    <m/>
    <m/>
    <m/>
    <m/>
    <m/>
    <m/>
    <s v="N"/>
    <m/>
    <m/>
    <m/>
    <m/>
    <s v="CASH: 5 Jan 09 - $250,000 from 2799 RRF to ICRC;  9 Jan 09 $250,000 from 2799 RRF, to PRCS;  30 Jan 09 $200,000 from 2099 IRF to MDA;  5 Feb 09: $110,625 from 2010 Middle East, to PRCS appeal, and $110,625, 2010 Middle East to ICRC appeal."/>
  </r>
  <r>
    <s v="EQ-2009-000009-CRI"/>
    <n v="219"/>
    <x v="213"/>
    <x v="104"/>
    <x v="13"/>
    <x v="17"/>
    <s v="Q3"/>
    <n v="2009"/>
    <n v="2"/>
    <x v="2"/>
    <x v="3"/>
    <s v="Geophysical"/>
    <s v="Earthquake"/>
    <s v="Earthquake"/>
    <s v="Earthquake"/>
    <n v="2943"/>
    <s v="N"/>
    <m/>
    <s v="-"/>
    <m/>
    <m/>
    <m/>
    <s v="Y"/>
    <n v="49273"/>
    <s v="-"/>
    <s v="Y"/>
    <n v="640"/>
    <m/>
    <m/>
    <m/>
    <n v="62250"/>
    <m/>
    <n v="62250"/>
    <n v="2"/>
    <m/>
    <n v="2"/>
    <m/>
    <m/>
    <m/>
    <m/>
    <m/>
    <m/>
    <m/>
    <m/>
    <m/>
    <m/>
    <m/>
    <m/>
    <m/>
    <m/>
    <m/>
    <m/>
    <n v="11950"/>
    <n v="74200"/>
    <m/>
    <m/>
    <m/>
    <x v="159"/>
    <s v="Y"/>
    <m/>
    <m/>
    <m/>
    <m/>
    <n v="2882"/>
    <m/>
    <m/>
    <m/>
    <m/>
    <m/>
    <m/>
    <m/>
    <s v="N"/>
    <m/>
    <m/>
    <m/>
    <s v="Earthquake"/>
    <s v="CASH: Bilateral to CRRC; PEOPLE: S. DiPretoro, A. Vargas"/>
  </r>
  <r>
    <s v="WF-2009-000035-AUS"/>
    <n v="220"/>
    <x v="214"/>
    <x v="105"/>
    <x v="13"/>
    <x v="18"/>
    <s v="Q3"/>
    <n v="2009"/>
    <n v="3"/>
    <x v="3"/>
    <x v="69"/>
    <s v="Hydrometerological"/>
    <s v="Wildfire"/>
    <m/>
    <m/>
    <n v="22000"/>
    <s v="N"/>
    <m/>
    <m/>
    <m/>
    <m/>
    <m/>
    <m/>
    <m/>
    <m/>
    <s v="Y"/>
    <m/>
    <m/>
    <m/>
    <m/>
    <n v="1520000"/>
    <m/>
    <n v="1520000"/>
    <m/>
    <m/>
    <m/>
    <m/>
    <m/>
    <m/>
    <m/>
    <m/>
    <m/>
    <m/>
    <m/>
    <m/>
    <m/>
    <m/>
    <m/>
    <m/>
    <m/>
    <m/>
    <m/>
    <m/>
    <n v="1520000"/>
    <m/>
    <m/>
    <m/>
    <x v="160"/>
    <s v="Y"/>
    <m/>
    <m/>
    <m/>
    <m/>
    <n v="2881"/>
    <m/>
    <m/>
    <m/>
    <m/>
    <m/>
    <m/>
    <m/>
    <s v="N"/>
    <m/>
    <m/>
    <m/>
    <m/>
    <s v="CASH: ARC coordinated US corporate donations to joint domestic AusRC &amp; Ntl Govt appeal -  totaled $1,250,000 - sent August 2009"/>
  </r>
  <r>
    <m/>
    <n v="221"/>
    <x v="167"/>
    <x v="106"/>
    <x v="13"/>
    <x v="19"/>
    <s v="Q3"/>
    <n v="2009"/>
    <n v="4"/>
    <x v="3"/>
    <x v="34"/>
    <s v="Human Related"/>
    <s v="Conflict"/>
    <m/>
    <m/>
    <n v="250000"/>
    <s v="Y"/>
    <s v="ICRC"/>
    <m/>
    <m/>
    <m/>
    <m/>
    <m/>
    <m/>
    <m/>
    <m/>
    <n v="20000"/>
    <n v="1"/>
    <m/>
    <n v="500000"/>
    <m/>
    <m/>
    <n v="500000"/>
    <n v="1"/>
    <m/>
    <n v="1"/>
    <m/>
    <m/>
    <m/>
    <m/>
    <m/>
    <m/>
    <m/>
    <m/>
    <m/>
    <m/>
    <m/>
    <m/>
    <m/>
    <m/>
    <m/>
    <m/>
    <m/>
    <n v="500000"/>
    <m/>
    <m/>
    <m/>
    <x v="161"/>
    <s v="Y"/>
    <m/>
    <m/>
    <m/>
    <m/>
    <s v="TRP"/>
    <m/>
    <m/>
    <m/>
    <m/>
    <m/>
    <m/>
    <m/>
    <s v="N"/>
    <m/>
    <m/>
    <m/>
    <s v="Sri Lanka Conflict"/>
    <s v="CASH: $500,000 to ICRC for baby kits to IDPs in camps. PEOPLE: Gina Guinta ICRC volunteer to work in IDP camps doing relief distribution, 30 days."/>
  </r>
  <r>
    <s v="FL-2009-000052-COL"/>
    <n v="222"/>
    <x v="157"/>
    <x v="107"/>
    <x v="13"/>
    <x v="23"/>
    <s v="Q3"/>
    <n v="2009"/>
    <n v="5"/>
    <x v="2"/>
    <x v="87"/>
    <s v="Hydrometerological"/>
    <s v="Floods"/>
    <m/>
    <m/>
    <n v="31250"/>
    <s v="Y"/>
    <s v="IFRC"/>
    <n v="957924"/>
    <s v="MDRCO006"/>
    <m/>
    <n v="0.99"/>
    <s v="Y"/>
    <n v="152369"/>
    <n v="25000"/>
    <m/>
    <m/>
    <m/>
    <m/>
    <m/>
    <m/>
    <m/>
    <m/>
    <m/>
    <m/>
    <m/>
    <n v="8000"/>
    <m/>
    <m/>
    <m/>
    <n v="8000"/>
    <m/>
    <m/>
    <m/>
    <m/>
    <m/>
    <m/>
    <m/>
    <m/>
    <m/>
    <m/>
    <n v="30000"/>
    <m/>
    <n v="30000"/>
    <m/>
    <m/>
    <m/>
    <x v="162"/>
    <s v="N"/>
    <m/>
    <m/>
    <m/>
    <m/>
    <n v="2799"/>
    <m/>
    <m/>
    <m/>
    <m/>
    <m/>
    <m/>
    <m/>
    <s v="Y"/>
    <m/>
    <m/>
    <m/>
    <s v="Colombia Floods"/>
    <s v="SUPPLIES: 8,000 ARC Jerry Cans from stock at PADRU shipped to IFRC in Colombia."/>
  </r>
  <r>
    <s v="EQ-2009-000072-ITA"/>
    <n v="223"/>
    <x v="96"/>
    <x v="108"/>
    <x v="13"/>
    <x v="20"/>
    <s v="Q4"/>
    <n v="2009"/>
    <n v="6"/>
    <x v="3"/>
    <x v="68"/>
    <s v="Geophysical"/>
    <s v="Earthquake"/>
    <m/>
    <m/>
    <n v="48000"/>
    <s v="N"/>
    <m/>
    <m/>
    <m/>
    <m/>
    <m/>
    <s v="Y"/>
    <n v="613944"/>
    <m/>
    <s v="Y"/>
    <m/>
    <m/>
    <m/>
    <m/>
    <n v="981315"/>
    <m/>
    <n v="981315"/>
    <m/>
    <m/>
    <m/>
    <m/>
    <m/>
    <m/>
    <m/>
    <m/>
    <m/>
    <m/>
    <m/>
    <m/>
    <m/>
    <m/>
    <m/>
    <m/>
    <m/>
    <m/>
    <m/>
    <m/>
    <n v="981315"/>
    <m/>
    <m/>
    <m/>
    <x v="163"/>
    <s v="Y"/>
    <m/>
    <m/>
    <m/>
    <m/>
    <s v="2799/2697"/>
    <m/>
    <m/>
    <m/>
    <m/>
    <m/>
    <m/>
    <m/>
    <s v="N"/>
    <m/>
    <m/>
    <m/>
    <s v="L'Aquila Earthquake"/>
    <s v="CASH: $50,000 to Italian Red Cross from RRF 2799 - later repaid by 2697 when raised; Receiving donor funds to AP 2697 from public and chapters. Additional $522,180 from donor funds sent 5/29/09. Final amount in Aug. 2009"/>
  </r>
  <r>
    <s v="Fl-2009-000062-NAM"/>
    <n v="224"/>
    <x v="215"/>
    <x v="109"/>
    <x v="13"/>
    <x v="21"/>
    <s v="Q4"/>
    <n v="2009"/>
    <n v="7"/>
    <x v="1"/>
    <x v="108"/>
    <s v="Hydrometerological"/>
    <s v="Floods"/>
    <m/>
    <m/>
    <n v="700000"/>
    <s v="Y"/>
    <s v="IFRC"/>
    <n v="1878181"/>
    <s v="MDRNA004"/>
    <n v="2.6621502400460871E-2"/>
    <n v="0.91"/>
    <s v="Y"/>
    <n v="128552"/>
    <n v="20000"/>
    <m/>
    <m/>
    <n v="1"/>
    <n v="50000"/>
    <m/>
    <m/>
    <m/>
    <n v="50000"/>
    <m/>
    <m/>
    <m/>
    <m/>
    <m/>
    <m/>
    <m/>
    <m/>
    <m/>
    <m/>
    <m/>
    <m/>
    <m/>
    <m/>
    <m/>
    <m/>
    <m/>
    <m/>
    <m/>
    <m/>
    <n v="50000"/>
    <m/>
    <m/>
    <m/>
    <x v="16"/>
    <s v="N"/>
    <m/>
    <m/>
    <m/>
    <m/>
    <n v="2799"/>
    <m/>
    <m/>
    <m/>
    <m/>
    <m/>
    <m/>
    <m/>
    <s v="Y"/>
    <m/>
    <m/>
    <m/>
    <m/>
    <s v="CASH: $50k to IFRC from 2799 earmarked for relief supplies"/>
  </r>
  <r>
    <m/>
    <n v="225"/>
    <x v="216"/>
    <x v="109"/>
    <x v="13"/>
    <x v="22"/>
    <s v="Q4"/>
    <n v="2009"/>
    <n v="8"/>
    <x v="1"/>
    <x v="81"/>
    <s v="Biological"/>
    <s v="Epidemic"/>
    <m/>
    <m/>
    <n v="25000000"/>
    <s v="Y"/>
    <s v="IFRC"/>
    <n v="2200000"/>
    <s v="MDR61004; MDR64004; MDR63002"/>
    <n v="9.0909090909090912E-2"/>
    <s v="various"/>
    <s v="Y"/>
    <n v="315628"/>
    <n v="25000000"/>
    <m/>
    <m/>
    <n v="1"/>
    <n v="200000"/>
    <m/>
    <m/>
    <m/>
    <n v="200000"/>
    <m/>
    <m/>
    <m/>
    <m/>
    <m/>
    <m/>
    <m/>
    <m/>
    <m/>
    <m/>
    <m/>
    <m/>
    <m/>
    <m/>
    <m/>
    <m/>
    <m/>
    <m/>
    <m/>
    <m/>
    <n v="200000"/>
    <m/>
    <m/>
    <m/>
    <x v="121"/>
    <s v="Y"/>
    <m/>
    <m/>
    <m/>
    <m/>
    <n v="2869"/>
    <m/>
    <m/>
    <m/>
    <m/>
    <m/>
    <s v="Y"/>
    <m/>
    <s v="N"/>
    <m/>
    <s v="ARCT Funds used - $200,000"/>
    <m/>
    <s v="Polio - Sudan"/>
    <s v="CASH: $200k to IFRC earmarked for Sudan vaccination campaign from ARCT - funds went out as of August 2009."/>
  </r>
  <r>
    <m/>
    <n v="226"/>
    <x v="217"/>
    <x v="109"/>
    <x v="13"/>
    <x v="24"/>
    <s v="Q4"/>
    <n v="2009"/>
    <n v="9"/>
    <x v="3"/>
    <x v="47"/>
    <s v="Human Related"/>
    <s v="Conflict"/>
    <m/>
    <m/>
    <n v="2000000"/>
    <s v="Y"/>
    <s v="IFRC"/>
    <n v="7300000"/>
    <s v="MDRPK003"/>
    <n v="3.4246575342465752E-2"/>
    <n v="0.45"/>
    <m/>
    <m/>
    <n v="91000"/>
    <m/>
    <m/>
    <n v="1"/>
    <n v="250000"/>
    <m/>
    <m/>
    <m/>
    <n v="250000"/>
    <m/>
    <m/>
    <m/>
    <n v="5150"/>
    <m/>
    <m/>
    <m/>
    <m/>
    <m/>
    <m/>
    <m/>
    <m/>
    <m/>
    <m/>
    <m/>
    <m/>
    <m/>
    <m/>
    <n v="80000"/>
    <m/>
    <n v="330000"/>
    <m/>
    <m/>
    <m/>
    <x v="164"/>
    <s v="N"/>
    <m/>
    <m/>
    <m/>
    <m/>
    <n v="2799"/>
    <m/>
    <m/>
    <m/>
    <m/>
    <m/>
    <m/>
    <m/>
    <s v="Y"/>
    <m/>
    <m/>
    <m/>
    <s v="Pakistan Complex Emergency"/>
    <s v="SUPPLIES: $80,000 bilateral for beds and mattresses to be transported to PRCS for IDP camps. CASH: $250,000 earmarked for NFIs. on June 26 to support Federation Appeal. "/>
  </r>
  <r>
    <s v="TC-2009-000105-BGD"/>
    <n v="227"/>
    <x v="218"/>
    <x v="110"/>
    <x v="13"/>
    <x v="25"/>
    <s v="Q4"/>
    <n v="2009"/>
    <n v="10"/>
    <x v="3"/>
    <x v="14"/>
    <s v="Hydrometerological"/>
    <s v="Storm"/>
    <m/>
    <m/>
    <n v="3928238"/>
    <s v="Y"/>
    <s v="IFRC"/>
    <n v="2200000"/>
    <s v="MDRBD004"/>
    <n v="0"/>
    <m/>
    <s v="Y"/>
    <n v="230677"/>
    <n v="184000"/>
    <m/>
    <m/>
    <m/>
    <m/>
    <m/>
    <m/>
    <m/>
    <m/>
    <n v="1"/>
    <m/>
    <n v="1"/>
    <m/>
    <m/>
    <m/>
    <m/>
    <m/>
    <m/>
    <m/>
    <m/>
    <m/>
    <m/>
    <m/>
    <m/>
    <m/>
    <m/>
    <m/>
    <m/>
    <m/>
    <n v="0"/>
    <m/>
    <m/>
    <m/>
    <x v="7"/>
    <s v="Y"/>
    <m/>
    <m/>
    <m/>
    <m/>
    <n v="2017"/>
    <m/>
    <m/>
    <m/>
    <m/>
    <m/>
    <m/>
    <m/>
    <s v="N"/>
    <m/>
    <m/>
    <m/>
    <s v="Bangladesh Cyclone Aila"/>
    <s v="PEOPLE: Relief Operations Support Delegate: Travis Betz deployed 4 weeks as a Relief Operations Support Delegate to provide support to the Bangladesh Delegation and affected National Society in response to Cyclone Aila. "/>
  </r>
  <r>
    <s v="FL-2009-000095-TJK"/>
    <n v="228"/>
    <x v="219"/>
    <x v="111"/>
    <x v="14"/>
    <x v="1"/>
    <s v="Q1"/>
    <n v="2009"/>
    <n v="11"/>
    <x v="3"/>
    <x v="109"/>
    <s v="Hydrometerological"/>
    <s v="Floods"/>
    <m/>
    <m/>
    <n v="12000"/>
    <s v="Y"/>
    <s v="IFRC"/>
    <n v="806936"/>
    <s v="MDRTJ005"/>
    <n v="1.4251440015069349E-2"/>
    <n v="0.61"/>
    <s v="Y"/>
    <n v="118472"/>
    <n v="4320"/>
    <m/>
    <n v="165"/>
    <m/>
    <n v="11500"/>
    <m/>
    <m/>
    <m/>
    <n v="11500"/>
    <m/>
    <m/>
    <m/>
    <m/>
    <m/>
    <m/>
    <m/>
    <m/>
    <m/>
    <m/>
    <m/>
    <m/>
    <m/>
    <m/>
    <m/>
    <m/>
    <m/>
    <m/>
    <m/>
    <m/>
    <n v="11500"/>
    <m/>
    <m/>
    <m/>
    <x v="165"/>
    <s v="N"/>
    <m/>
    <m/>
    <m/>
    <m/>
    <n v="2799"/>
    <m/>
    <m/>
    <m/>
    <m/>
    <m/>
    <m/>
    <m/>
    <s v="Y"/>
    <m/>
    <m/>
    <m/>
    <m/>
    <s v="CASH: $11,500 (plus cost recovery) to IFRC Appeal from 2799"/>
  </r>
  <r>
    <s v="DR-2009-00149-SYR"/>
    <n v="229"/>
    <x v="220"/>
    <x v="112"/>
    <x v="14"/>
    <x v="2"/>
    <s v="Q1"/>
    <n v="2009"/>
    <n v="12"/>
    <x v="3"/>
    <x v="59"/>
    <s v="Hydrometerological"/>
    <s v="Drought"/>
    <m/>
    <m/>
    <n v="1300000"/>
    <s v="Y"/>
    <s v="IFRC"/>
    <n v="3076415"/>
    <s v="MDRSY001"/>
    <n v="1.6252683724399992E-2"/>
    <n v="0.34"/>
    <s v="Y"/>
    <n v="303195"/>
    <n v="260000"/>
    <m/>
    <m/>
    <n v="1"/>
    <n v="50000"/>
    <m/>
    <m/>
    <m/>
    <n v="50000"/>
    <m/>
    <m/>
    <m/>
    <m/>
    <m/>
    <m/>
    <m/>
    <m/>
    <m/>
    <m/>
    <m/>
    <m/>
    <m/>
    <m/>
    <m/>
    <m/>
    <m/>
    <m/>
    <m/>
    <m/>
    <n v="50000"/>
    <m/>
    <m/>
    <m/>
    <x v="16"/>
    <s v="Y"/>
    <m/>
    <m/>
    <m/>
    <m/>
    <n v="2869"/>
    <m/>
    <m/>
    <m/>
    <m/>
    <m/>
    <s v="Y"/>
    <m/>
    <s v="N"/>
    <m/>
    <s v="ARCT Funds used"/>
    <m/>
    <m/>
    <s v="CASH: $50,000 from ARCT for Overlooked Disasters Fund (plus cost recovery to be covered from RRF 2799)"/>
  </r>
  <r>
    <s v="FL-2009-000172-BFA "/>
    <n v="230"/>
    <x v="221"/>
    <x v="113"/>
    <x v="14"/>
    <x v="3"/>
    <s v="Q1"/>
    <n v="2009"/>
    <n v="13"/>
    <x v="1"/>
    <x v="110"/>
    <s v="Hydrometerological"/>
    <s v="Floods"/>
    <m/>
    <m/>
    <n v="600000"/>
    <s v="Y"/>
    <s v="IFRC"/>
    <n v="2600000"/>
    <s v="MDRBF008 &amp; MDRSN002"/>
    <n v="0"/>
    <n v="0.32"/>
    <s v="Y"/>
    <n v="419190"/>
    <n v="40000"/>
    <m/>
    <m/>
    <m/>
    <m/>
    <m/>
    <m/>
    <m/>
    <n v="0"/>
    <n v="1"/>
    <m/>
    <n v="1"/>
    <m/>
    <m/>
    <n v="7500"/>
    <n v="37500"/>
    <n v="7500"/>
    <n v="7500"/>
    <n v="500"/>
    <n v="7500"/>
    <m/>
    <m/>
    <m/>
    <m/>
    <m/>
    <m/>
    <m/>
    <m/>
    <m/>
    <n v="0"/>
    <m/>
    <m/>
    <m/>
    <x v="7"/>
    <s v="N"/>
    <m/>
    <m/>
    <m/>
    <m/>
    <n v="2799"/>
    <m/>
    <m/>
    <m/>
    <m/>
    <m/>
    <m/>
    <m/>
    <s v="Y"/>
    <m/>
    <m/>
    <m/>
    <m/>
    <s v="PEOPLE: John Manley deployed to Burkina Faso as FACT team member for 1 month. "/>
  </r>
  <r>
    <s v="FL-2009-000164-SEN"/>
    <n v="230"/>
    <x v="222"/>
    <x v="113"/>
    <x v="14"/>
    <x v="3"/>
    <s v="Q1"/>
    <n v="2009"/>
    <n v="13"/>
    <x v="1"/>
    <x v="111"/>
    <s v="Hydrometerological"/>
    <s v="Floods"/>
    <m/>
    <m/>
    <n v="156000"/>
    <s v="Y"/>
    <s v="IFRC"/>
    <n v="2000000"/>
    <s v="MDRBF008 &amp; MDRSN002"/>
    <n v="0"/>
    <n v="0.47"/>
    <s v="Y"/>
    <n v="419190"/>
    <n v="25000"/>
    <m/>
    <m/>
    <m/>
    <m/>
    <m/>
    <m/>
    <m/>
    <n v="0"/>
    <n v="3"/>
    <s v="Relief ERU"/>
    <n v="3"/>
    <m/>
    <m/>
    <m/>
    <m/>
    <m/>
    <m/>
    <m/>
    <m/>
    <m/>
    <m/>
    <m/>
    <m/>
    <m/>
    <m/>
    <m/>
    <m/>
    <m/>
    <n v="0"/>
    <m/>
    <m/>
    <m/>
    <x v="7"/>
    <s v="N"/>
    <m/>
    <m/>
    <m/>
    <m/>
    <n v="2799"/>
    <m/>
    <m/>
    <m/>
    <m/>
    <m/>
    <m/>
    <m/>
    <s v="Y"/>
    <m/>
    <m/>
    <m/>
    <m/>
    <s v="PEOPLE: 3 ERU team members deployed jointly with DanishRC for 1 month: Steve McAndrew – ERU Team leader, Shinko Mondori- ERU team member, Luis Matnog- ERU team member . ERUs are part of Appeal Mob table so we can claim multilateral beneficiaries."/>
  </r>
  <r>
    <s v="TC-2009-000167-MEX"/>
    <n v="231"/>
    <x v="223"/>
    <x v="114"/>
    <x v="14"/>
    <x v="4"/>
    <s v="Q1"/>
    <n v="2009"/>
    <n v="14"/>
    <x v="2"/>
    <x v="2"/>
    <s v="Hydrometerological"/>
    <s v="Cyclone"/>
    <m/>
    <m/>
    <n v="100000"/>
    <s v="N"/>
    <m/>
    <m/>
    <m/>
    <m/>
    <m/>
    <s v="Y"/>
    <n v="319632"/>
    <m/>
    <s v="Y"/>
    <n v="15000"/>
    <m/>
    <m/>
    <m/>
    <m/>
    <m/>
    <n v="0"/>
    <n v="1"/>
    <m/>
    <n v="1"/>
    <n v="13840"/>
    <s v="mixed"/>
    <n v="1840"/>
    <m/>
    <m/>
    <m/>
    <m/>
    <n v="3000"/>
    <m/>
    <n v="6000"/>
    <m/>
    <m/>
    <m/>
    <n v="3000"/>
    <m/>
    <n v="259500"/>
    <m/>
    <n v="259500"/>
    <m/>
    <m/>
    <m/>
    <x v="166"/>
    <s v="Y"/>
    <m/>
    <m/>
    <m/>
    <m/>
    <s v="2799  + OFDA"/>
    <m/>
    <m/>
    <m/>
    <m/>
    <m/>
    <m/>
    <s v="Y"/>
    <s v="N"/>
    <m/>
    <m/>
    <m/>
    <m/>
    <s v="SUPPLIES: Bilateral to Mexican RC: 1,840 hygiene kits from stock at PADRU, 3,000 kitchen sets from stock at PADRU, 3,000 reconstruction kits to be procured locally. Funding: For 1,840  hygiene kits ($60,000) from 2799; 3,000 kitchen sets ($75,000) from OFDA; 3,000 reconstruction kits ($124,500) from OFDA.  PEOPLE: Jono Anzalone deployed to do M &amp; E for relief distribution."/>
  </r>
  <r>
    <s v="EQ-2009-000173-IDN"/>
    <n v="232"/>
    <x v="224"/>
    <x v="115"/>
    <x v="14"/>
    <x v="5"/>
    <s v="Q1"/>
    <n v="2009"/>
    <n v="15"/>
    <x v="3"/>
    <x v="27"/>
    <s v="Geophysical"/>
    <s v="Earthquake"/>
    <m/>
    <m/>
    <n v="90000"/>
    <s v="N"/>
    <m/>
    <m/>
    <m/>
    <m/>
    <m/>
    <s v="N"/>
    <m/>
    <m/>
    <s v="Y"/>
    <m/>
    <m/>
    <m/>
    <m/>
    <m/>
    <m/>
    <n v="0"/>
    <n v="1"/>
    <m/>
    <n v="1"/>
    <m/>
    <m/>
    <m/>
    <m/>
    <m/>
    <m/>
    <m/>
    <m/>
    <m/>
    <m/>
    <m/>
    <m/>
    <m/>
    <m/>
    <m/>
    <m/>
    <m/>
    <n v="0"/>
    <m/>
    <m/>
    <m/>
    <x v="7"/>
    <s v="N"/>
    <m/>
    <m/>
    <m/>
    <m/>
    <n v="2799"/>
    <m/>
    <m/>
    <m/>
    <m/>
    <m/>
    <m/>
    <m/>
    <s v="Y"/>
    <m/>
    <m/>
    <m/>
    <m/>
    <s v="PEOPLE: Cristina Hammond deployed to fill the role of IFRC Shelter Cluster Information Manager for Java Earthquake response - 4 weeks."/>
  </r>
  <r>
    <s v="TC-2009-000205-PHL"/>
    <n v="233"/>
    <x v="225"/>
    <x v="115"/>
    <x v="14"/>
    <x v="6"/>
    <s v="Q1"/>
    <n v="2009"/>
    <n v="16"/>
    <x v="3"/>
    <x v="89"/>
    <s v="Hydrometerological"/>
    <s v="Cyclone"/>
    <m/>
    <m/>
    <n v="1000000"/>
    <s v="Y"/>
    <s v="IFRC"/>
    <n v="6650000"/>
    <s v="MDRPH005"/>
    <n v="8.2706766917293228E-2"/>
    <n v="0.53"/>
    <s v="Y"/>
    <n v="242000"/>
    <n v="200000"/>
    <m/>
    <n v="50000"/>
    <n v="1"/>
    <n v="550000"/>
    <m/>
    <n v="500000"/>
    <m/>
    <n v="1050000"/>
    <n v="2"/>
    <m/>
    <n v="2"/>
    <n v="22300"/>
    <s v="Y"/>
    <m/>
    <n v="4000"/>
    <n v="10000"/>
    <m/>
    <m/>
    <n v="1500"/>
    <m/>
    <n v="6800"/>
    <m/>
    <m/>
    <m/>
    <m/>
    <m/>
    <n v="118000"/>
    <m/>
    <n v="1168000"/>
    <m/>
    <m/>
    <m/>
    <x v="167"/>
    <s v="Y"/>
    <m/>
    <m/>
    <m/>
    <m/>
    <n v="2698"/>
    <m/>
    <m/>
    <m/>
    <m/>
    <m/>
    <m/>
    <s v="Y"/>
    <s v="N"/>
    <m/>
    <s v="OFDA grant for $500,000 for NFIs"/>
    <m/>
    <m/>
    <s v="Philippines: SUPPLIES: approx $118,000 in relief supplies from KL warehouse. CASH: $550,000 = $250,000 PMN to Philippines Appeal for early recovery (plus cost recovery) +$300,000 PMN to Philippines appeal for shelter, relief and watsan (plus cost recovery); plus OFDA grant for $500,000 for locally procured NFIs l w/ARC mgmt through Philippines RC (counted as cash to Ntl Soc). PEOPLE: 1) Mariza Rogers deployed as shelter coordinator delegate for one month - started Oct. 5.  2) Cristina Hammond deployed to implement OFDA NFI distribution Oct. 16 for one month"/>
  </r>
  <r>
    <s v="FL-2009-000207-VNM"/>
    <n v="233"/>
    <x v="226"/>
    <x v="115"/>
    <x v="14"/>
    <x v="6"/>
    <s v="Q1"/>
    <n v="2009"/>
    <n v="16"/>
    <x v="3"/>
    <x v="16"/>
    <s v="Hydrometerological"/>
    <s v="Cyclone"/>
    <m/>
    <m/>
    <n v="3000000"/>
    <s v="Y"/>
    <s v="IFRC"/>
    <n v="5470000"/>
    <s v="MDRRVN006"/>
    <n v="8.226691042047532E-2"/>
    <n v="0.77"/>
    <s v="Y"/>
    <n v="324167"/>
    <n v="270000"/>
    <m/>
    <m/>
    <n v="1"/>
    <n v="450000"/>
    <m/>
    <n v="500000"/>
    <m/>
    <n v="950000"/>
    <n v="1"/>
    <m/>
    <n v="1"/>
    <m/>
    <m/>
    <m/>
    <m/>
    <m/>
    <m/>
    <m/>
    <m/>
    <m/>
    <m/>
    <m/>
    <m/>
    <m/>
    <m/>
    <m/>
    <m/>
    <m/>
    <n v="950000"/>
    <n v="1200000"/>
    <m/>
    <m/>
    <x v="168"/>
    <s v="Y"/>
    <m/>
    <m/>
    <m/>
    <m/>
    <n v="2698"/>
    <m/>
    <m/>
    <m/>
    <m/>
    <m/>
    <m/>
    <s v="Y"/>
    <s v="N"/>
    <m/>
    <s v="OFDA grant for $500,000 for cash transfer programming"/>
    <m/>
    <m/>
    <s v="Vietnam: CASH: Cash: $450,000 total:  $50,000 PMN Oct. 2 + $300,000 PMN Oct. 5 to Federation Vietnam Appeal - earmarked for shelter, NFIs and Wat/San + $100,000 PMN to Vietnam Appeal for DRR (plus cost recovery). OFDA grant for $500,000 for cash programming; PEOPLE: Michael Zeleke delegate to Vietnam to work on cash programming."/>
  </r>
  <r>
    <s v="TS-2009-000211-IDN"/>
    <n v="234"/>
    <x v="227"/>
    <x v="115"/>
    <x v="14"/>
    <x v="7"/>
    <s v="Q1"/>
    <n v="2009"/>
    <n v="17"/>
    <x v="3"/>
    <x v="27"/>
    <s v="Geophysical"/>
    <s v="Earthquake"/>
    <m/>
    <m/>
    <n v="1000000"/>
    <s v="Y"/>
    <s v="IFRC"/>
    <n v="18600000"/>
    <s v="MDRID004"/>
    <n v="4.8387096774193547E-2"/>
    <n v="0.93"/>
    <s v="Y"/>
    <n v="227106"/>
    <n v="100000"/>
    <m/>
    <n v="25000"/>
    <n v="1"/>
    <m/>
    <m/>
    <n v="500000"/>
    <m/>
    <n v="500000"/>
    <n v="1"/>
    <m/>
    <n v="1"/>
    <n v="44181"/>
    <s v="Y"/>
    <m/>
    <n v="20981"/>
    <m/>
    <m/>
    <m/>
    <m/>
    <m/>
    <n v="13200"/>
    <m/>
    <n v="10000"/>
    <m/>
    <m/>
    <m/>
    <n v="400000"/>
    <m/>
    <n v="900000"/>
    <n v="764192.86"/>
    <m/>
    <m/>
    <x v="169"/>
    <s v="Y"/>
    <m/>
    <m/>
    <m/>
    <m/>
    <n v="2930"/>
    <m/>
    <m/>
    <m/>
    <m/>
    <m/>
    <m/>
    <s v="Y"/>
    <s v="N"/>
    <m/>
    <s v="OFDA grant for $500,000 for NFIs"/>
    <m/>
    <m/>
    <s v="CASH: OFDA grant for $500,000 to fund NFIs; SUPPLIES: 44,180 supplies (cost: $400,000) from KL warehouse; PEOPLE: Alex Mahoney onsite 3 weeks to coordinate OFDA NFIs distribution."/>
  </r>
  <r>
    <s v="2009-000209 - ASM; 2009-000210-WSM"/>
    <n v="235"/>
    <x v="228"/>
    <x v="116"/>
    <x v="14"/>
    <x v="8"/>
    <s v="Q2"/>
    <n v="2009"/>
    <n v="18"/>
    <x v="3"/>
    <x v="112"/>
    <s v="Hydrometerological"/>
    <s v="Tsunami"/>
    <m/>
    <m/>
    <n v="10000"/>
    <s v="Y"/>
    <s v="IFRC"/>
    <n v="2450000"/>
    <s v="MDRWS001"/>
    <n v="4.0816326530612242E-2"/>
    <n v="0.25"/>
    <s v="Y"/>
    <n v="313729"/>
    <n v="5000"/>
    <m/>
    <n v="2500"/>
    <n v="1"/>
    <n v="100000"/>
    <m/>
    <m/>
    <m/>
    <n v="100000"/>
    <m/>
    <m/>
    <m/>
    <m/>
    <m/>
    <m/>
    <m/>
    <m/>
    <m/>
    <m/>
    <m/>
    <m/>
    <m/>
    <m/>
    <m/>
    <m/>
    <m/>
    <m/>
    <m/>
    <m/>
    <n v="100000"/>
    <m/>
    <m/>
    <m/>
    <x v="5"/>
    <s v="N"/>
    <m/>
    <m/>
    <m/>
    <m/>
    <n v="2799"/>
    <m/>
    <m/>
    <m/>
    <m/>
    <m/>
    <m/>
    <m/>
    <s v="Y"/>
    <m/>
    <m/>
    <m/>
    <m/>
    <s v="CASH: $100,000 PMN to Federation Appeal from Rapid Response Fund"/>
  </r>
  <r>
    <s v="FL-2009-000217-IND"/>
    <n v="236"/>
    <x v="33"/>
    <x v="117"/>
    <x v="14"/>
    <x v="9"/>
    <s v="Q2"/>
    <n v="2009"/>
    <n v="19"/>
    <x v="3"/>
    <x v="15"/>
    <s v="Hydrometerological"/>
    <s v="Floods"/>
    <m/>
    <m/>
    <n v="4100000"/>
    <s v="Y"/>
    <s v="NS"/>
    <n v="3100000"/>
    <s v="MDRIN004"/>
    <n v="0"/>
    <m/>
    <s v="Y"/>
    <n v="51364"/>
    <n v="125000"/>
    <m/>
    <m/>
    <m/>
    <m/>
    <m/>
    <m/>
    <m/>
    <n v="0"/>
    <m/>
    <m/>
    <m/>
    <n v="7500"/>
    <s v="N"/>
    <m/>
    <m/>
    <m/>
    <m/>
    <m/>
    <n v="7500"/>
    <m/>
    <m/>
    <m/>
    <m/>
    <m/>
    <m/>
    <m/>
    <n v="190000"/>
    <m/>
    <n v="190000"/>
    <m/>
    <m/>
    <m/>
    <x v="170"/>
    <s v="Y"/>
    <m/>
    <m/>
    <m/>
    <m/>
    <s v="2003/2695"/>
    <m/>
    <m/>
    <m/>
    <m/>
    <m/>
    <m/>
    <m/>
    <s v="N"/>
    <m/>
    <m/>
    <m/>
    <m/>
    <s v="SUPPLIES: In response to Indian RC national appeal, ARC locally procured approx 2,700 kitchen sets to deliver to Indian RC, using APs 2003 (India R &amp; D) and 2695 (TRP funds for Andra Pradesh DM) - this effectively closes out these APs ($190,000 spent total)"/>
  </r>
  <r>
    <s v="DR-2009-000197-KEN"/>
    <n v="237"/>
    <x v="229"/>
    <x v="118"/>
    <x v="14"/>
    <x v="10"/>
    <s v="Q2"/>
    <n v="2009"/>
    <n v="20"/>
    <x v="1"/>
    <x v="58"/>
    <s v="Hydrometerological"/>
    <s v="Drought"/>
    <m/>
    <m/>
    <n v="3800000"/>
    <s v="Y"/>
    <s v="IFRC"/>
    <n v="8427856"/>
    <s v="MDRKE009"/>
    <n v="1.1865413932084269E-2"/>
    <n v="0.06"/>
    <s v="Y"/>
    <n v="500000"/>
    <n v="1692428"/>
    <m/>
    <n v="21668"/>
    <n v="1"/>
    <n v="100000"/>
    <m/>
    <m/>
    <m/>
    <n v="100000"/>
    <m/>
    <m/>
    <m/>
    <m/>
    <m/>
    <m/>
    <m/>
    <m/>
    <m/>
    <m/>
    <m/>
    <m/>
    <m/>
    <m/>
    <m/>
    <m/>
    <m/>
    <m/>
    <m/>
    <m/>
    <n v="100000"/>
    <m/>
    <m/>
    <m/>
    <x v="5"/>
    <s v="N"/>
    <m/>
    <m/>
    <m/>
    <m/>
    <n v="2799"/>
    <m/>
    <m/>
    <m/>
    <m/>
    <m/>
    <m/>
    <m/>
    <s v="Y"/>
    <m/>
    <m/>
    <m/>
    <m/>
    <s v="CASH: $100,000 PMN to Federation Appeal from Rapid Response Fund earmarked for seeds."/>
  </r>
  <r>
    <s v="FL-2009-000206-HTI"/>
    <n v="238"/>
    <x v="120"/>
    <x v="119"/>
    <x v="14"/>
    <x v="11"/>
    <s v="Q2"/>
    <n v="2009"/>
    <n v="21"/>
    <x v="2"/>
    <x v="79"/>
    <s v="Hydrometerological"/>
    <s v="Floods"/>
    <m/>
    <m/>
    <n v="2500"/>
    <s v="N"/>
    <m/>
    <m/>
    <m/>
    <m/>
    <m/>
    <s v="Y"/>
    <n v="103918"/>
    <n v="2500"/>
    <s v="Y"/>
    <m/>
    <m/>
    <m/>
    <m/>
    <m/>
    <m/>
    <n v="0"/>
    <n v="1"/>
    <m/>
    <n v="1"/>
    <m/>
    <m/>
    <m/>
    <m/>
    <m/>
    <m/>
    <m/>
    <m/>
    <m/>
    <m/>
    <m/>
    <m/>
    <m/>
    <m/>
    <m/>
    <m/>
    <m/>
    <n v="0"/>
    <m/>
    <m/>
    <m/>
    <x v="7"/>
    <s v="Y"/>
    <m/>
    <m/>
    <m/>
    <m/>
    <n v="2885"/>
    <m/>
    <m/>
    <m/>
    <m/>
    <m/>
    <m/>
    <m/>
    <s v="N"/>
    <m/>
    <m/>
    <m/>
    <m/>
    <s v="PEOPLE: John Manley deployed to Haiti NRC as a RIT for DREF operation."/>
  </r>
  <r>
    <s v="FL-2009-000238-SLV"/>
    <n v="239"/>
    <x v="230"/>
    <x v="120"/>
    <x v="14"/>
    <x v="12"/>
    <s v="Q2"/>
    <n v="2009"/>
    <n v="22"/>
    <x v="2"/>
    <x v="35"/>
    <s v="Hydrometerological"/>
    <s v="Floods"/>
    <m/>
    <m/>
    <n v="75000"/>
    <s v="Y"/>
    <s v="IFRC"/>
    <n v="1681039"/>
    <s v="MDRSV002"/>
    <n v="0.14491335418155082"/>
    <n v="0.92"/>
    <s v="Y"/>
    <n v="180614"/>
    <n v="10000"/>
    <m/>
    <m/>
    <n v="1"/>
    <n v="243605"/>
    <m/>
    <m/>
    <m/>
    <n v="243605"/>
    <m/>
    <m/>
    <m/>
    <n v="1000"/>
    <s v="Y"/>
    <n v="500"/>
    <m/>
    <m/>
    <m/>
    <m/>
    <n v="500"/>
    <m/>
    <m/>
    <m/>
    <m/>
    <m/>
    <m/>
    <m/>
    <n v="31240"/>
    <m/>
    <n v="274845"/>
    <m/>
    <m/>
    <m/>
    <x v="171"/>
    <s v="Y"/>
    <m/>
    <m/>
    <m/>
    <m/>
    <n v="2882"/>
    <m/>
    <m/>
    <m/>
    <m/>
    <m/>
    <s v="Y"/>
    <m/>
    <s v="N"/>
    <m/>
    <s v="UPS donated $50,000; ARCT Funds applied for as of 11/18/09"/>
    <s v="ARCT"/>
    <m/>
    <s v="CASH: $193,603 to Federation Appeal earmarked for transitional shelter; SUPPLIES: $24,500 in kitchen sets and hygiene kits. "/>
  </r>
  <r>
    <s v="EQ-2010-000009-HTI"/>
    <n v="240"/>
    <x v="231"/>
    <x v="121"/>
    <x v="14"/>
    <x v="13"/>
    <s v="Q3"/>
    <n v="2010"/>
    <n v="1"/>
    <x v="2"/>
    <x v="79"/>
    <s v="Geophysical"/>
    <s v="Earthquake"/>
    <m/>
    <m/>
    <n v="2000000"/>
    <s v="Y"/>
    <s v="IFRC"/>
    <n v="200000000"/>
    <s v="MDRHT008"/>
    <m/>
    <n v="0.94"/>
    <s v="Y"/>
    <n v="491265"/>
    <n v="400000"/>
    <m/>
    <m/>
    <n v="1"/>
    <n v="30000000"/>
    <n v="4377346.43"/>
    <m/>
    <m/>
    <m/>
    <n v="82"/>
    <s v=" IT/Telecoms; Relief ERU"/>
    <n v="85"/>
    <n v="5143307"/>
    <s v="Y"/>
    <m/>
    <m/>
    <m/>
    <m/>
    <m/>
    <m/>
    <m/>
    <m/>
    <m/>
    <m/>
    <m/>
    <m/>
    <m/>
    <n v="15266353"/>
    <m/>
    <n v="139611532"/>
    <n v="337000000"/>
    <m/>
    <m/>
    <x v="172"/>
    <s v="Y"/>
    <m/>
    <m/>
    <m/>
    <m/>
    <n v="2888"/>
    <m/>
    <m/>
    <m/>
    <m/>
    <m/>
    <m/>
    <m/>
    <s v="N"/>
    <m/>
    <s v="various - notably online and text donations from individuals; telethons. "/>
    <s v="definitely!"/>
    <n v="476611532"/>
    <s v="As of June 30 2010: CASH &amp; SUPPLIES: See detailed donor report, mob table, etc. for specific amounts to Federation, amount spent, etc. Raised: $468 million. PEOPLE: 65+ deployed to Haiti, DR and PADRU: Relief and IT/Telecoms ERU deployed, and various delegates to Fed and ARC delegation in Haiti, to Fed at PADRU, to Fed logistics in Santo Domingo, DR, plus NHQ to backfill. See the Deployments History tab in this spreadsheet or the RAPs for list of all personnel deploying and roles. "/>
  </r>
  <r>
    <s v="FL-2009-000264-TZA"/>
    <n v="241"/>
    <x v="232"/>
    <x v="122"/>
    <x v="14"/>
    <x v="14"/>
    <s v="Q3"/>
    <n v="2010"/>
    <n v="2"/>
    <x v="1"/>
    <x v="99"/>
    <m/>
    <s v="Floods"/>
    <m/>
    <m/>
    <n v="50000"/>
    <s v="Y"/>
    <s v="IFRC"/>
    <n v="1625152"/>
    <s v="MDRTZ010"/>
    <n v="0.44"/>
    <n v="0.89"/>
    <s v="Y"/>
    <n v="313536"/>
    <n v="23000"/>
    <m/>
    <m/>
    <n v="1"/>
    <n v="200000"/>
    <m/>
    <m/>
    <m/>
    <n v="200000"/>
    <m/>
    <m/>
    <m/>
    <m/>
    <m/>
    <m/>
    <m/>
    <m/>
    <m/>
    <m/>
    <m/>
    <m/>
    <m/>
    <m/>
    <m/>
    <m/>
    <m/>
    <m/>
    <m/>
    <m/>
    <n v="200000"/>
    <m/>
    <m/>
    <m/>
    <x v="121"/>
    <s v="Y"/>
    <m/>
    <m/>
    <m/>
    <m/>
    <n v="2869"/>
    <m/>
    <m/>
    <m/>
    <m/>
    <m/>
    <s v="Y"/>
    <m/>
    <s v="N"/>
    <m/>
    <s v="ARCT funds - $200,000"/>
    <s v="ARCT"/>
    <m/>
    <s v="CASH: Anne Ray Charitable Trust funds applied $200,000 towards water and sanitation equipment."/>
  </r>
  <r>
    <s v="EQ-2010-000034-CHL "/>
    <n v="242"/>
    <x v="233"/>
    <x v="123"/>
    <x v="14"/>
    <x v="15"/>
    <s v="Q3"/>
    <n v="2010"/>
    <n v="3"/>
    <x v="2"/>
    <x v="101"/>
    <m/>
    <s v="Earthquake"/>
    <m/>
    <m/>
    <n v="2000000"/>
    <s v="Y"/>
    <s v="IFRC"/>
    <n v="6400000"/>
    <s v="MDRCL006"/>
    <n v="8.5000000000000006E-2"/>
    <n v="0.79"/>
    <s v="Y"/>
    <n v="279350"/>
    <n v="100000"/>
    <m/>
    <m/>
    <n v="1"/>
    <n v="500000"/>
    <m/>
    <n v="500000"/>
    <m/>
    <n v="1000000"/>
    <n v="2"/>
    <m/>
    <n v="2"/>
    <n v="6160"/>
    <s v="Y"/>
    <n v="1160"/>
    <m/>
    <n v="5000"/>
    <m/>
    <m/>
    <m/>
    <m/>
    <m/>
    <m/>
    <m/>
    <m/>
    <m/>
    <m/>
    <n v="96000"/>
    <m/>
    <n v="1096000"/>
    <n v="5304000"/>
    <m/>
    <m/>
    <x v="173"/>
    <s v="Y"/>
    <m/>
    <m/>
    <m/>
    <m/>
    <n v="2896"/>
    <m/>
    <m/>
    <m/>
    <m/>
    <m/>
    <m/>
    <m/>
    <s v="N"/>
    <m/>
    <m/>
    <m/>
    <m/>
    <s v="CASH: $50,000 made available from IRF as initial response. $450,000 made available in subsequent week. SUPPLIES: 5,000 jerry cans; 1,160 hygiene kits. PEOPLE: Alvaro Garita  - Relief delegate, Gonzalo Aquino - Water and Sanitation  delegate."/>
  </r>
  <r>
    <s v="EQ-2010-000073-CHN"/>
    <n v="243"/>
    <x v="104"/>
    <x v="124"/>
    <x v="14"/>
    <x v="16"/>
    <s v="Q4"/>
    <n v="2010"/>
    <n v="4"/>
    <x v="3"/>
    <x v="4"/>
    <m/>
    <s v="Earthquake"/>
    <m/>
    <m/>
    <n v="100000"/>
    <s v="Y"/>
    <s v="NS"/>
    <m/>
    <m/>
    <m/>
    <m/>
    <m/>
    <m/>
    <s v="tbd"/>
    <m/>
    <m/>
    <m/>
    <n v="0"/>
    <m/>
    <n v="500000"/>
    <m/>
    <n v="500000"/>
    <m/>
    <m/>
    <m/>
    <m/>
    <m/>
    <m/>
    <n v="198970"/>
    <m/>
    <m/>
    <m/>
    <m/>
    <m/>
    <m/>
    <m/>
    <m/>
    <m/>
    <m/>
    <m/>
    <m/>
    <m/>
    <n v="500000"/>
    <m/>
    <n v="500000"/>
    <m/>
    <x v="174"/>
    <s v="Y"/>
    <m/>
    <m/>
    <m/>
    <m/>
    <n v="2571"/>
    <m/>
    <m/>
    <m/>
    <m/>
    <m/>
    <m/>
    <m/>
    <s v="N"/>
    <m/>
    <m/>
    <m/>
    <m/>
    <s v="National Society has issued it own appeal. ARC decided to contribute $500,000 after June 30 2010.  An additional $500,000 will go to future community disaster preparedness."/>
  </r>
  <r>
    <s v="CW-2010-000010-MNG"/>
    <n v="244"/>
    <x v="234"/>
    <x v="125"/>
    <x v="14"/>
    <x v="17"/>
    <s v="Q4"/>
    <n v="2010"/>
    <n v="5"/>
    <x v="3"/>
    <x v="113"/>
    <m/>
    <s v="Winter storm"/>
    <m/>
    <m/>
    <n v="507000"/>
    <s v="Y"/>
    <s v="IFRC"/>
    <n v="991697"/>
    <s v="    MDRMN004"/>
    <n v="0.32"/>
    <n v="0.35"/>
    <s v="Y"/>
    <n v="93924"/>
    <n v="13600"/>
    <m/>
    <m/>
    <n v="1"/>
    <n v="145000"/>
    <m/>
    <m/>
    <m/>
    <n v="145000"/>
    <m/>
    <m/>
    <m/>
    <m/>
    <m/>
    <m/>
    <m/>
    <m/>
    <m/>
    <m/>
    <m/>
    <m/>
    <m/>
    <m/>
    <m/>
    <m/>
    <m/>
    <m/>
    <m/>
    <m/>
    <n v="145000"/>
    <m/>
    <m/>
    <m/>
    <x v="175"/>
    <s v="Y"/>
    <m/>
    <m/>
    <m/>
    <m/>
    <n v="2869"/>
    <m/>
    <m/>
    <m/>
    <m/>
    <m/>
    <s v="Y"/>
    <m/>
    <s v="N"/>
    <m/>
    <s v="ARCT"/>
    <s v="ARCT"/>
    <m/>
    <s v="CASH: $145,000 contribution made to Federation appeal from Anne Ray Charitable Trust (ARCT) funds"/>
  </r>
  <r>
    <m/>
    <n v="245"/>
    <x v="235"/>
    <x v="126"/>
    <x v="14"/>
    <x v="18"/>
    <s v="Q4"/>
    <n v="2010"/>
    <n v="6"/>
    <x v="3"/>
    <x v="95"/>
    <m/>
    <s v="Epidemic"/>
    <m/>
    <m/>
    <n v="67000"/>
    <s v="Y"/>
    <s v="IFRC"/>
    <n v="664175"/>
    <m/>
    <m/>
    <m/>
    <s v="Y"/>
    <n v="179855"/>
    <n v="189000"/>
    <m/>
    <m/>
    <n v="1"/>
    <n v="50000"/>
    <m/>
    <m/>
    <m/>
    <n v="50000"/>
    <m/>
    <m/>
    <m/>
    <m/>
    <m/>
    <m/>
    <m/>
    <m/>
    <m/>
    <m/>
    <m/>
    <m/>
    <m/>
    <m/>
    <m/>
    <m/>
    <m/>
    <m/>
    <m/>
    <m/>
    <n v="50000"/>
    <m/>
    <m/>
    <m/>
    <x v="16"/>
    <s v="N"/>
    <m/>
    <m/>
    <m/>
    <m/>
    <n v="2799"/>
    <m/>
    <m/>
    <m/>
    <m/>
    <m/>
    <m/>
    <m/>
    <s v="Y"/>
    <m/>
    <m/>
    <m/>
    <m/>
    <s v="CASH: $50,000 towards Federation appeal."/>
  </r>
  <r>
    <s v="TC-2010-000105-GTM"/>
    <n v="246"/>
    <x v="236"/>
    <x v="127"/>
    <x v="14"/>
    <x v="19"/>
    <s v="Q4"/>
    <n v="2010"/>
    <n v="7"/>
    <x v="2"/>
    <x v="44"/>
    <m/>
    <s v="Tropical Storm"/>
    <m/>
    <m/>
    <n v="173518"/>
    <s v="Y"/>
    <s v="IFRC"/>
    <n v="1112170"/>
    <s v="MDRGT002"/>
    <n v="8.9914311660987081E-2"/>
    <m/>
    <s v="Y"/>
    <n v="307254"/>
    <n v="7500"/>
    <m/>
    <n v="1250"/>
    <n v="1"/>
    <n v="100000"/>
    <m/>
    <m/>
    <m/>
    <n v="100000"/>
    <m/>
    <m/>
    <m/>
    <n v="9900"/>
    <s v="Y"/>
    <n v="1000"/>
    <n v="7500"/>
    <n v="900"/>
    <m/>
    <m/>
    <n v="500"/>
    <m/>
    <m/>
    <m/>
    <m/>
    <m/>
    <m/>
    <m/>
    <n v="80000"/>
    <m/>
    <n v="180000"/>
    <m/>
    <m/>
    <m/>
    <x v="176"/>
    <s v="N"/>
    <m/>
    <m/>
    <m/>
    <m/>
    <n v="2799"/>
    <m/>
    <m/>
    <m/>
    <m/>
    <m/>
    <m/>
    <m/>
    <s v="Y"/>
    <m/>
    <m/>
    <m/>
    <m/>
    <s v="CASH: $100,000 to Federation appeal. SUPPLIES: $80,000 in relief supplies from PADRU."/>
  </r>
  <r>
    <s v="OT-2010-000113-KGZ"/>
    <n v="247"/>
    <x v="237"/>
    <x v="127"/>
    <x v="14"/>
    <x v="23"/>
    <s v="Q4"/>
    <n v="2010"/>
    <n v="8"/>
    <x v="3"/>
    <x v="114"/>
    <m/>
    <s v="Conflict"/>
    <m/>
    <m/>
    <n v="375000"/>
    <s v="Y"/>
    <s v="ICRC /IFRC"/>
    <s v="8800000 +1166159"/>
    <s v="MDRUZ002"/>
    <m/>
    <m/>
    <s v="Y"/>
    <n v="269348"/>
    <n v="124000"/>
    <m/>
    <m/>
    <n v="1"/>
    <n v="50000"/>
    <n v="50000"/>
    <m/>
    <m/>
    <n v="100000"/>
    <m/>
    <m/>
    <m/>
    <m/>
    <m/>
    <m/>
    <m/>
    <m/>
    <m/>
    <m/>
    <m/>
    <m/>
    <m/>
    <m/>
    <m/>
    <m/>
    <m/>
    <m/>
    <m/>
    <m/>
    <n v="100000"/>
    <m/>
    <m/>
    <m/>
    <x v="5"/>
    <s v="Y"/>
    <m/>
    <m/>
    <m/>
    <m/>
    <s v="2955/2799"/>
    <m/>
    <m/>
    <m/>
    <m/>
    <m/>
    <m/>
    <m/>
    <s v="Y"/>
    <m/>
    <m/>
    <m/>
    <m/>
    <s v="CASH: $50,000 to ICRC Kyrgyzstan appeal; $50,000 to IFRC Kyrgyzstan appeal; $100,000 to IFRC Uzbekistan appeal (this amount from GM donation). "/>
  </r>
  <r>
    <s v="OT-2010-000113-KGZ"/>
    <n v="247"/>
    <x v="237"/>
    <x v="127"/>
    <x v="14"/>
    <x v="23"/>
    <s v="Q4"/>
    <n v="2010"/>
    <n v="8"/>
    <x v="3"/>
    <x v="48"/>
    <m/>
    <s v="Conflict"/>
    <m/>
    <m/>
    <m/>
    <s v="Y"/>
    <s v="IFRC"/>
    <n v="911836"/>
    <s v="MDRKG007"/>
    <n v="0.10966884395878206"/>
    <m/>
    <m/>
    <m/>
    <n v="5265"/>
    <m/>
    <m/>
    <n v="1"/>
    <n v="100000"/>
    <m/>
    <m/>
    <m/>
    <n v="100000"/>
    <m/>
    <m/>
    <m/>
    <m/>
    <m/>
    <m/>
    <m/>
    <m/>
    <m/>
    <m/>
    <m/>
    <m/>
    <m/>
    <m/>
    <m/>
    <m/>
    <m/>
    <m/>
    <m/>
    <m/>
    <n v="100000"/>
    <m/>
    <m/>
    <m/>
    <x v="5"/>
    <s v="Y"/>
    <m/>
    <m/>
    <m/>
    <m/>
    <s v="2955/2799"/>
    <m/>
    <m/>
    <m/>
    <m/>
    <m/>
    <m/>
    <m/>
    <s v="Y"/>
    <m/>
    <m/>
    <m/>
    <m/>
    <s v="see above"/>
  </r>
  <r>
    <s v="FL-2010-00141-PAK"/>
    <n v="248"/>
    <x v="238"/>
    <x v="128"/>
    <x v="15"/>
    <x v="1"/>
    <s v="Q1"/>
    <n v="2010"/>
    <n v="9"/>
    <x v="3"/>
    <x v="47"/>
    <m/>
    <s v="Floods"/>
    <m/>
    <m/>
    <n v="20000000"/>
    <s v="Y"/>
    <s v="IFRC &amp; ICRC"/>
    <n v="148500000"/>
    <s v="MDRPK006"/>
    <n v="2.7609427609427608E-2"/>
    <m/>
    <s v="Y"/>
    <n v="239406"/>
    <n v="2600000"/>
    <m/>
    <m/>
    <n v="1"/>
    <n v="4100000"/>
    <m/>
    <m/>
    <m/>
    <n v="4850000"/>
    <n v="2"/>
    <m/>
    <n v="2"/>
    <n v="99900"/>
    <s v="Y"/>
    <m/>
    <n v="35000"/>
    <n v="15000"/>
    <n v="3650"/>
    <m/>
    <n v="10000"/>
    <m/>
    <n v="20000"/>
    <m/>
    <n v="10000"/>
    <m/>
    <n v="6250"/>
    <m/>
    <n v="824977"/>
    <m/>
    <n v="5674977"/>
    <n v="2525023"/>
    <m/>
    <m/>
    <x v="177"/>
    <s v="Y"/>
    <m/>
    <m/>
    <m/>
    <m/>
    <s v="2799/ 2699"/>
    <m/>
    <m/>
    <m/>
    <m/>
    <m/>
    <m/>
    <m/>
    <s v="Y"/>
    <m/>
    <m/>
    <m/>
    <m/>
    <s v="CASH: $100,000 PMN to Federation Appeal from AP2799/RRF - not to be replenished; $3,000,000 ($3M) PMN to Federation Appeal from AP2699 earmarked for relief &amp; emergency shelter;  $300,000 PMN to Federation Appeal from AP 2699 earmarked for relief &amp; emergency shelter; $700,000 PMN to Federation Appeal from AP2699 earmarked for relief; $1,000,000 allocated to contribution to the Measles Initiative, recipient organization TBD._x000a_SUPPLIES: Relief supplies from both KL and Dubai warehouses - emptied both - approx $1M total including transport; PEOPLE: Robin Younger and Christophe Lobry-Boulanger deployed fro Relief coordination cell to PRCS support. Raj Zafar was used from Federation Delegation for surge support for  Federation in Islamabad._x000a_$8.2M raised - remainder put into 'early recovery' column"/>
  </r>
  <r>
    <m/>
    <n v="249"/>
    <x v="6"/>
    <x v="129"/>
    <x v="15"/>
    <x v="2"/>
    <s v="Q2"/>
    <n v="2010"/>
    <n v="10"/>
    <x v="2"/>
    <x v="2"/>
    <m/>
    <s v="Floods"/>
    <m/>
    <m/>
    <n v="500000"/>
    <s v="N"/>
    <m/>
    <m/>
    <m/>
    <m/>
    <m/>
    <s v="N"/>
    <m/>
    <m/>
    <s v="Y"/>
    <n v="50000"/>
    <m/>
    <m/>
    <m/>
    <n v="200000"/>
    <m/>
    <n v="200000"/>
    <m/>
    <m/>
    <m/>
    <m/>
    <m/>
    <m/>
    <m/>
    <m/>
    <m/>
    <m/>
    <m/>
    <m/>
    <m/>
    <m/>
    <m/>
    <m/>
    <m/>
    <m/>
    <m/>
    <m/>
    <n v="200000"/>
    <m/>
    <m/>
    <m/>
    <x v="121"/>
    <s v="Y"/>
    <m/>
    <m/>
    <m/>
    <m/>
    <n v="2869"/>
    <m/>
    <m/>
    <m/>
    <m/>
    <m/>
    <s v="Y"/>
    <m/>
    <s v="N"/>
    <m/>
    <s v="ARCT funds - $200,000"/>
    <s v="ARCT"/>
    <m/>
    <s v="CASH: $200,000 bilateral contribution/grant letter to Mexican Red Cross for relief - paid by ARCT funds."/>
  </r>
  <r>
    <s v="FL-2010-00194-VNM"/>
    <n v="250"/>
    <x v="21"/>
    <x v="130"/>
    <x v="15"/>
    <x v="3"/>
    <s v="Q2"/>
    <n v="2010"/>
    <n v="11"/>
    <x v="3"/>
    <x v="16"/>
    <m/>
    <s v="Floods"/>
    <m/>
    <m/>
    <n v="660000"/>
    <s v="Y"/>
    <s v="IFRC"/>
    <n v="1080000"/>
    <s v="MDRVN007"/>
    <n v="2.7777777777777776E-2"/>
    <m/>
    <s v="Y"/>
    <n v="160853"/>
    <n v="120000"/>
    <m/>
    <m/>
    <m/>
    <n v="30000"/>
    <m/>
    <m/>
    <m/>
    <n v="30000"/>
    <m/>
    <m/>
    <m/>
    <m/>
    <m/>
    <m/>
    <m/>
    <m/>
    <m/>
    <m/>
    <m/>
    <m/>
    <m/>
    <m/>
    <m/>
    <m/>
    <m/>
    <m/>
    <m/>
    <m/>
    <n v="30000"/>
    <m/>
    <m/>
    <m/>
    <x v="162"/>
    <s v="N"/>
    <m/>
    <m/>
    <m/>
    <m/>
    <n v="2799"/>
    <m/>
    <m/>
    <m/>
    <m/>
    <m/>
    <m/>
    <m/>
    <s v="Y"/>
    <m/>
    <m/>
    <m/>
    <m/>
    <s v="CASH: $30,000 PMN to Federation Appeal from 2799 (RRF) earmarked for relief."/>
  </r>
  <r>
    <s v="EP-2010-000210-HTI"/>
    <n v="251"/>
    <x v="239"/>
    <x v="131"/>
    <x v="15"/>
    <x v="4"/>
    <s v="Q2"/>
    <n v="2010"/>
    <n v="12"/>
    <x v="2"/>
    <x v="115"/>
    <m/>
    <s v="Epidemic"/>
    <m/>
    <m/>
    <m/>
    <s v="Y"/>
    <s v="IFRC"/>
    <n v="6000000"/>
    <s v="MDR49007"/>
    <n v="0.36102216666666664"/>
    <m/>
    <s v="Y"/>
    <n v="80618"/>
    <n v="1500000"/>
    <m/>
    <m/>
    <n v="1"/>
    <n v="2166133"/>
    <m/>
    <m/>
    <m/>
    <n v="2320081"/>
    <m/>
    <m/>
    <m/>
    <m/>
    <m/>
    <m/>
    <m/>
    <m/>
    <m/>
    <m/>
    <m/>
    <m/>
    <m/>
    <m/>
    <m/>
    <m/>
    <m/>
    <m/>
    <n v="694910"/>
    <m/>
    <n v="16068357"/>
    <m/>
    <m/>
    <m/>
    <x v="178"/>
    <s v="Y"/>
    <m/>
    <m/>
    <m/>
    <m/>
    <n v="2888"/>
    <m/>
    <m/>
    <m/>
    <m/>
    <m/>
    <m/>
    <m/>
    <s v="N"/>
    <m/>
    <m/>
    <m/>
    <m/>
    <s v="Spent figure directly from HAP as of May 2011. ARC committed to spend $14 million on Cholera. See HAP for additional details._x000a_CASH: $566,133 PMN to Federation Appeal: $537,500 earmarked for Haiti AP2888; $28,634 earmarked for Dominican Republic from AP2884; $1.6 million PMN for relief supplies; Funding transportation/flights of supplies for Partners in Health etc. Funding supplies, etc._x000a_SUPPLIES:Hygiene promotion, soap, oral rehydration salts, water tablets and chlorine for water purification, 5,000 Cots for medical facilities, Transport of medical supplies, vehicle for Haitian Red Cross. _x000a_PEOPLE: 6 ARC Haiti staff deployed for Red Cross Emergency Response Teams for Cholera outbreak in northern Haiti. _x000a_See latest response report and RAP for full details of items provided. "/>
  </r>
  <r>
    <s v="TC-2010-000205-PHL"/>
    <n v="252"/>
    <x v="240"/>
    <x v="132"/>
    <x v="15"/>
    <x v="5"/>
    <s v="Q2"/>
    <n v="2010"/>
    <n v="13"/>
    <x v="3"/>
    <x v="89"/>
    <m/>
    <s v="Tropical Storm"/>
    <m/>
    <m/>
    <n v="2000000"/>
    <s v="Y"/>
    <s v="IFRC"/>
    <n v="4310000"/>
    <s v="MDRPH006"/>
    <n v="6.9605568445475635E-3"/>
    <m/>
    <s v="Y"/>
    <n v="214855"/>
    <n v="60000"/>
    <m/>
    <m/>
    <m/>
    <n v="30000"/>
    <m/>
    <m/>
    <m/>
    <n v="30000"/>
    <m/>
    <m/>
    <m/>
    <m/>
    <m/>
    <m/>
    <m/>
    <m/>
    <m/>
    <m/>
    <m/>
    <m/>
    <m/>
    <m/>
    <m/>
    <m/>
    <m/>
    <m/>
    <m/>
    <m/>
    <n v="30000"/>
    <m/>
    <m/>
    <m/>
    <x v="162"/>
    <s v="Y"/>
    <m/>
    <m/>
    <m/>
    <m/>
    <n v="2032"/>
    <m/>
    <m/>
    <m/>
    <m/>
    <m/>
    <m/>
    <m/>
    <s v="N"/>
    <m/>
    <m/>
    <m/>
    <m/>
    <s v="CASH: $30,000 PMN to Federation Appeal from 2032 earmarked for relief distribution."/>
  </r>
  <r>
    <s v="EQ-2010-000213-IDN &amp; VO-2010-000214-IDN"/>
    <n v="253"/>
    <x v="241"/>
    <x v="133"/>
    <x v="15"/>
    <x v="6"/>
    <s v="Q2"/>
    <n v="2010"/>
    <n v="14"/>
    <x v="3"/>
    <x v="27"/>
    <m/>
    <s v="Tsunami &amp; Volcanic Eruption"/>
    <m/>
    <m/>
    <n v="215000"/>
    <s v="Y"/>
    <s v="IFRC"/>
    <n v="2865860"/>
    <s v="MDRID006"/>
    <n v="1.7446769905019786E-2"/>
    <m/>
    <s v="Y"/>
    <m/>
    <n v="25000"/>
    <m/>
    <m/>
    <n v="1"/>
    <n v="50000"/>
    <m/>
    <m/>
    <m/>
    <n v="50000"/>
    <m/>
    <m/>
    <m/>
    <m/>
    <m/>
    <m/>
    <m/>
    <m/>
    <m/>
    <m/>
    <m/>
    <m/>
    <m/>
    <m/>
    <m/>
    <m/>
    <m/>
    <m/>
    <m/>
    <m/>
    <n v="50000"/>
    <m/>
    <m/>
    <m/>
    <x v="16"/>
    <s v="N"/>
    <m/>
    <m/>
    <m/>
    <m/>
    <n v="2799"/>
    <m/>
    <m/>
    <m/>
    <m/>
    <m/>
    <m/>
    <m/>
    <s v="Y"/>
    <m/>
    <m/>
    <m/>
    <m/>
    <s v="CASH: $50,000 PMN to Federation Appeal from 2799 earmarked for relief."/>
  </r>
  <r>
    <s v="TC-2010-000216-BRB/LCA/VCT"/>
    <n v="254"/>
    <x v="242"/>
    <x v="134"/>
    <x v="15"/>
    <x v="7"/>
    <s v="Q2"/>
    <n v="2010"/>
    <n v="15"/>
    <x v="2"/>
    <x v="116"/>
    <m/>
    <s v="Tropical Storm"/>
    <m/>
    <m/>
    <n v="9500"/>
    <s v="Y"/>
    <s v="IFRC"/>
    <n v="622109"/>
    <s v="MDR49006"/>
    <n v="0.23307812618046034"/>
    <m/>
    <m/>
    <m/>
    <n v="7500"/>
    <m/>
    <m/>
    <n v="1"/>
    <n v="145000"/>
    <m/>
    <m/>
    <m/>
    <n v="145000"/>
    <n v="6"/>
    <m/>
    <n v="6"/>
    <m/>
    <m/>
    <m/>
    <m/>
    <m/>
    <m/>
    <m/>
    <m/>
    <m/>
    <m/>
    <m/>
    <m/>
    <m/>
    <m/>
    <m/>
    <m/>
    <m/>
    <n v="145000"/>
    <m/>
    <m/>
    <m/>
    <x v="175"/>
    <s v="N"/>
    <m/>
    <m/>
    <m/>
    <m/>
    <n v="2799"/>
    <m/>
    <m/>
    <m/>
    <m/>
    <m/>
    <m/>
    <m/>
    <s v="Y"/>
    <m/>
    <m/>
    <m/>
    <m/>
    <s v="CASH: $75,000 PMN to Federation Appeal from 2799 earmarked for relief. $70,000 PMN to Federation appeal earmarked for relief supplies for St. Lucia (see RAP). PEOPLE: Six bilateral staff from ARC Haiti office deployed on Federation Emergency Response Teams."/>
  </r>
  <r>
    <m/>
    <n v="255"/>
    <x v="243"/>
    <x v="135"/>
    <x v="15"/>
    <x v="8"/>
    <s v="Q2"/>
    <n v="2010"/>
    <n v="16"/>
    <x v="2"/>
    <x v="28"/>
    <m/>
    <s v="Tropical Storm"/>
    <m/>
    <m/>
    <m/>
    <s v="N"/>
    <m/>
    <m/>
    <s v="MDRBZ002"/>
    <m/>
    <m/>
    <s v="Y"/>
    <n v="56303"/>
    <m/>
    <m/>
    <n v="4639"/>
    <m/>
    <m/>
    <m/>
    <n v="80000"/>
    <m/>
    <n v="80000"/>
    <n v="1"/>
    <m/>
    <n v="1"/>
    <m/>
    <m/>
    <m/>
    <m/>
    <m/>
    <m/>
    <m/>
    <m/>
    <m/>
    <m/>
    <m/>
    <m/>
    <m/>
    <m/>
    <m/>
    <m/>
    <m/>
    <n v="80000"/>
    <m/>
    <m/>
    <m/>
    <x v="9"/>
    <s v="N"/>
    <m/>
    <m/>
    <m/>
    <m/>
    <n v="2799"/>
    <m/>
    <m/>
    <m/>
    <m/>
    <m/>
    <m/>
    <m/>
    <s v="Y"/>
    <m/>
    <m/>
    <m/>
    <m/>
    <s v="CASH: $80,000 bilateral contribution by grant letter to Belize Red Cross earmarked for emergency shelter. _x000a_PEOPLE: Laura Havesi deployed for emergency shelter support and cash voucher program."/>
  </r>
  <r>
    <s v="EQ-2010-000251-CRI"/>
    <n v="256"/>
    <x v="7"/>
    <x v="136"/>
    <x v="15"/>
    <x v="9"/>
    <s v="Q2"/>
    <n v="2010"/>
    <n v="17"/>
    <x v="2"/>
    <x v="3"/>
    <m/>
    <s v="Floods"/>
    <m/>
    <m/>
    <n v="13500"/>
    <s v="N"/>
    <m/>
    <m/>
    <m/>
    <m/>
    <m/>
    <s v="Y"/>
    <n v="123611"/>
    <n v="1000"/>
    <s v="Y"/>
    <m/>
    <m/>
    <m/>
    <m/>
    <n v="322330"/>
    <m/>
    <n v="322330"/>
    <m/>
    <m/>
    <m/>
    <m/>
    <m/>
    <m/>
    <m/>
    <m/>
    <m/>
    <m/>
    <m/>
    <m/>
    <m/>
    <m/>
    <m/>
    <m/>
    <m/>
    <m/>
    <m/>
    <m/>
    <n v="322330"/>
    <m/>
    <m/>
    <m/>
    <x v="179"/>
    <s v="Y"/>
    <m/>
    <m/>
    <m/>
    <m/>
    <s v="2760 OFDA "/>
    <m/>
    <m/>
    <m/>
    <m/>
    <m/>
    <m/>
    <s v="Y"/>
    <s v="N"/>
    <m/>
    <s v="OFDA"/>
    <m/>
    <m/>
    <s v="CASH: OFDA grant for $322,330 for distribution of relief supplies; small cash transfer program; disaster risk reduction workshops  "/>
  </r>
  <r>
    <s v="FL-2010-000076-COL"/>
    <n v="257"/>
    <x v="244"/>
    <x v="137"/>
    <x v="15"/>
    <x v="10"/>
    <s v="Q2"/>
    <n v="2010"/>
    <n v="18"/>
    <x v="2"/>
    <x v="87"/>
    <m/>
    <s v="Floods"/>
    <m/>
    <m/>
    <n v="1500000"/>
    <s v="Y"/>
    <s v="IFRC"/>
    <n v="1109939"/>
    <s v="MDRCO008"/>
    <n v="7.207603300721932E-2"/>
    <m/>
    <s v="Y"/>
    <n v="64807"/>
    <n v="71500"/>
    <m/>
    <n v="1500"/>
    <n v="1"/>
    <n v="80000"/>
    <m/>
    <n v="120000"/>
    <m/>
    <n v="200000"/>
    <m/>
    <m/>
    <m/>
    <n v="6000"/>
    <s v="Y"/>
    <m/>
    <m/>
    <m/>
    <m/>
    <m/>
    <m/>
    <m/>
    <n v="6000"/>
    <m/>
    <m/>
    <m/>
    <m/>
    <m/>
    <n v="40000"/>
    <m/>
    <n v="240000"/>
    <m/>
    <m/>
    <m/>
    <x v="180"/>
    <s v="Y"/>
    <m/>
    <m/>
    <m/>
    <m/>
    <s v="2799 /2025"/>
    <m/>
    <m/>
    <m/>
    <m/>
    <m/>
    <m/>
    <m/>
    <s v="N"/>
    <m/>
    <m/>
    <m/>
    <m/>
    <s v="SUPPLIES: IFRC mob table contribution: 6,000 mosquito nets @ $40,000; CASH: $80,000 cash pledge to Federation appeal - MDRCO008 earmarked for NFIs for relief distribution; Bilateral $120,000 bilateral contribution for health and DRR programming. "/>
  </r>
  <r>
    <s v="FL-2010-000225-PAN"/>
    <n v="258"/>
    <x v="80"/>
    <x v="138"/>
    <x v="15"/>
    <x v="11"/>
    <s v="Q2"/>
    <n v="2010"/>
    <n v="19"/>
    <x v="2"/>
    <x v="57"/>
    <m/>
    <s v="Floods"/>
    <m/>
    <m/>
    <n v="6200"/>
    <s v="Y"/>
    <s v="IFRC"/>
    <n v="364732"/>
    <s v="MDRPA007"/>
    <m/>
    <m/>
    <s v="Y"/>
    <n v="82608"/>
    <n v="10225"/>
    <m/>
    <n v="300"/>
    <m/>
    <m/>
    <m/>
    <m/>
    <m/>
    <m/>
    <m/>
    <m/>
    <m/>
    <n v="1714"/>
    <s v="Y"/>
    <n v="214"/>
    <n v="1500"/>
    <m/>
    <m/>
    <m/>
    <m/>
    <m/>
    <m/>
    <m/>
    <m/>
    <m/>
    <m/>
    <m/>
    <n v="9812"/>
    <m/>
    <n v="9812"/>
    <m/>
    <m/>
    <m/>
    <x v="181"/>
    <s v="N"/>
    <m/>
    <m/>
    <m/>
    <m/>
    <n v="2799"/>
    <m/>
    <m/>
    <m/>
    <m/>
    <m/>
    <m/>
    <m/>
    <s v="Y"/>
    <m/>
    <m/>
    <m/>
    <m/>
    <s v="SUPPPLIES: 1,500 blankets and 214 hygiene kits at $9,812 from PADRU."/>
  </r>
</pivotCacheRecords>
</file>

<file path=xl/pivotCache/pivotCacheRecords10.xml><?xml version="1.0" encoding="utf-8"?>
<pivotCacheRecords xmlns="http://schemas.openxmlformats.org/spreadsheetml/2006/main" xmlns:r="http://schemas.openxmlformats.org/officeDocument/2006/relationships" count="351">
  <r>
    <m/>
    <s v="a"/>
    <x v="0"/>
    <d v="1985-09-01T00:00:00"/>
    <x v="0"/>
    <m/>
    <m/>
    <x v="0"/>
    <m/>
    <x v="0"/>
    <m/>
    <m/>
    <x v="0"/>
    <m/>
    <m/>
    <x v="0"/>
    <x v="0"/>
    <m/>
    <m/>
    <m/>
    <m/>
    <m/>
    <m/>
    <m/>
    <m/>
    <x v="0"/>
    <m/>
    <m/>
    <m/>
    <m/>
    <m/>
    <m/>
    <m/>
    <m/>
    <m/>
    <m/>
    <m/>
    <m/>
    <m/>
    <m/>
    <m/>
    <m/>
    <m/>
    <m/>
    <m/>
    <m/>
    <m/>
    <m/>
    <m/>
    <m/>
    <m/>
    <m/>
    <m/>
    <m/>
    <m/>
    <m/>
    <m/>
    <x v="0"/>
    <x v="0"/>
    <m/>
    <m/>
    <m/>
    <m/>
    <m/>
    <m/>
    <m/>
    <m/>
    <m/>
    <m/>
    <m/>
    <m/>
    <m/>
    <m/>
    <m/>
    <m/>
    <m/>
    <m/>
  </r>
  <r>
    <m/>
    <s v="b"/>
    <x v="1"/>
    <d v="1988-12-01T00:00:00"/>
    <x v="1"/>
    <m/>
    <m/>
    <x v="1"/>
    <m/>
    <x v="0"/>
    <m/>
    <m/>
    <x v="0"/>
    <m/>
    <m/>
    <x v="0"/>
    <x v="0"/>
    <m/>
    <m/>
    <m/>
    <m/>
    <m/>
    <m/>
    <m/>
    <m/>
    <x v="0"/>
    <m/>
    <m/>
    <m/>
    <m/>
    <m/>
    <m/>
    <m/>
    <m/>
    <m/>
    <m/>
    <m/>
    <m/>
    <m/>
    <m/>
    <m/>
    <m/>
    <m/>
    <m/>
    <m/>
    <m/>
    <m/>
    <m/>
    <m/>
    <m/>
    <m/>
    <m/>
    <m/>
    <m/>
    <m/>
    <m/>
    <m/>
    <x v="1"/>
    <x v="0"/>
    <m/>
    <m/>
    <m/>
    <m/>
    <m/>
    <m/>
    <m/>
    <m/>
    <m/>
    <m/>
    <m/>
    <m/>
    <m/>
    <m/>
    <m/>
    <m/>
    <m/>
    <m/>
  </r>
  <r>
    <m/>
    <s v="c"/>
    <x v="2"/>
    <d v="1994-06-01T00:00:00"/>
    <x v="2"/>
    <m/>
    <m/>
    <x v="2"/>
    <m/>
    <x v="0"/>
    <m/>
    <m/>
    <x v="0"/>
    <m/>
    <m/>
    <x v="0"/>
    <x v="0"/>
    <m/>
    <m/>
    <m/>
    <m/>
    <m/>
    <m/>
    <m/>
    <m/>
    <x v="0"/>
    <m/>
    <m/>
    <m/>
    <m/>
    <m/>
    <m/>
    <m/>
    <m/>
    <m/>
    <m/>
    <m/>
    <m/>
    <m/>
    <m/>
    <m/>
    <m/>
    <m/>
    <m/>
    <m/>
    <m/>
    <m/>
    <m/>
    <m/>
    <m/>
    <m/>
    <m/>
    <m/>
    <m/>
    <m/>
    <m/>
    <m/>
    <x v="2"/>
    <x v="0"/>
    <m/>
    <m/>
    <m/>
    <m/>
    <m/>
    <m/>
    <m/>
    <m/>
    <m/>
    <m/>
    <m/>
    <m/>
    <m/>
    <m/>
    <m/>
    <m/>
    <m/>
    <m/>
  </r>
  <r>
    <m/>
    <s v="d"/>
    <x v="3"/>
    <d v="1998-10-01T00:00:00"/>
    <x v="3"/>
    <m/>
    <m/>
    <x v="3"/>
    <m/>
    <x v="0"/>
    <m/>
    <m/>
    <x v="0"/>
    <m/>
    <m/>
    <x v="1"/>
    <x v="0"/>
    <m/>
    <m/>
    <m/>
    <m/>
    <m/>
    <m/>
    <m/>
    <m/>
    <x v="0"/>
    <m/>
    <m/>
    <m/>
    <m/>
    <m/>
    <m/>
    <m/>
    <m/>
    <m/>
    <m/>
    <m/>
    <m/>
    <m/>
    <m/>
    <m/>
    <m/>
    <m/>
    <m/>
    <m/>
    <m/>
    <m/>
    <m/>
    <m/>
    <m/>
    <m/>
    <m/>
    <m/>
    <m/>
    <m/>
    <m/>
    <m/>
    <x v="3"/>
    <x v="0"/>
    <m/>
    <m/>
    <m/>
    <m/>
    <m/>
    <m/>
    <m/>
    <m/>
    <m/>
    <m/>
    <m/>
    <m/>
    <m/>
    <m/>
    <m/>
    <m/>
    <m/>
    <m/>
  </r>
  <r>
    <m/>
    <s v="e"/>
    <x v="4"/>
    <d v="1999-03-01T00:00:00"/>
    <x v="3"/>
    <m/>
    <m/>
    <x v="4"/>
    <m/>
    <x v="0"/>
    <m/>
    <m/>
    <x v="0"/>
    <m/>
    <m/>
    <x v="0"/>
    <x v="0"/>
    <m/>
    <m/>
    <m/>
    <m/>
    <m/>
    <m/>
    <m/>
    <m/>
    <x v="0"/>
    <m/>
    <m/>
    <m/>
    <m/>
    <m/>
    <m/>
    <m/>
    <m/>
    <m/>
    <m/>
    <m/>
    <m/>
    <m/>
    <m/>
    <m/>
    <m/>
    <m/>
    <m/>
    <m/>
    <m/>
    <m/>
    <m/>
    <m/>
    <m/>
    <m/>
    <m/>
    <m/>
    <m/>
    <m/>
    <m/>
    <m/>
    <x v="4"/>
    <x v="0"/>
    <m/>
    <m/>
    <m/>
    <m/>
    <m/>
    <m/>
    <m/>
    <m/>
    <m/>
    <m/>
    <m/>
    <m/>
    <m/>
    <m/>
    <m/>
    <m/>
    <m/>
    <m/>
  </r>
  <r>
    <m/>
    <n v="1"/>
    <x v="5"/>
    <d v="1999-06-01T00:00:00"/>
    <x v="3"/>
    <n v="1"/>
    <m/>
    <x v="4"/>
    <n v="1"/>
    <x v="1"/>
    <s v="Ethiopia"/>
    <m/>
    <x v="1"/>
    <s v="Drought"/>
    <s v="Drought"/>
    <x v="0"/>
    <x v="0"/>
    <m/>
    <m/>
    <m/>
    <m/>
    <m/>
    <m/>
    <m/>
    <m/>
    <x v="0"/>
    <m/>
    <n v="1"/>
    <n v="100000"/>
    <m/>
    <m/>
    <m/>
    <n v="100000"/>
    <n v="0"/>
    <m/>
    <m/>
    <m/>
    <m/>
    <m/>
    <m/>
    <m/>
    <m/>
    <m/>
    <m/>
    <m/>
    <m/>
    <m/>
    <m/>
    <m/>
    <m/>
    <m/>
    <m/>
    <m/>
    <n v="100000"/>
    <m/>
    <m/>
    <n v="7159.297959242117"/>
    <x v="5"/>
    <x v="1"/>
    <m/>
    <m/>
    <m/>
    <m/>
    <n v="2898"/>
    <m/>
    <m/>
    <m/>
    <m/>
    <m/>
    <m/>
    <m/>
    <m/>
    <m/>
    <m/>
    <m/>
    <m/>
    <s v="Region response"/>
  </r>
  <r>
    <m/>
    <n v="2"/>
    <x v="6"/>
    <d v="1999-06-01T00:00:00"/>
    <x v="3"/>
    <n v="2"/>
    <m/>
    <x v="4"/>
    <n v="2"/>
    <x v="2"/>
    <s v="Mexico"/>
    <m/>
    <x v="2"/>
    <s v="General Floods"/>
    <s v="General Floods"/>
    <x v="0"/>
    <x v="0"/>
    <m/>
    <m/>
    <m/>
    <m/>
    <m/>
    <m/>
    <m/>
    <m/>
    <x v="0"/>
    <m/>
    <m/>
    <m/>
    <m/>
    <n v="100000"/>
    <m/>
    <n v="100000"/>
    <n v="1"/>
    <m/>
    <m/>
    <m/>
    <m/>
    <m/>
    <m/>
    <m/>
    <m/>
    <m/>
    <m/>
    <m/>
    <m/>
    <m/>
    <m/>
    <m/>
    <m/>
    <m/>
    <m/>
    <m/>
    <n v="100000"/>
    <m/>
    <m/>
    <n v="34050"/>
    <x v="5"/>
    <x v="1"/>
    <m/>
    <m/>
    <m/>
    <m/>
    <n v="2898"/>
    <m/>
    <m/>
    <m/>
    <m/>
    <m/>
    <m/>
    <m/>
    <m/>
    <m/>
    <m/>
    <m/>
    <m/>
    <m/>
  </r>
  <r>
    <m/>
    <n v="3"/>
    <x v="7"/>
    <d v="1999-06-01T00:00:00"/>
    <x v="3"/>
    <n v="3"/>
    <m/>
    <x v="4"/>
    <n v="3"/>
    <x v="2"/>
    <s v="Costa Rica"/>
    <m/>
    <x v="2"/>
    <s v="General Floods"/>
    <s v="General Floods"/>
    <x v="0"/>
    <x v="0"/>
    <m/>
    <m/>
    <m/>
    <m/>
    <m/>
    <m/>
    <m/>
    <m/>
    <x v="0"/>
    <m/>
    <n v="0"/>
    <n v="10000"/>
    <m/>
    <m/>
    <m/>
    <n v="10000"/>
    <n v="0"/>
    <m/>
    <m/>
    <m/>
    <m/>
    <m/>
    <m/>
    <m/>
    <m/>
    <m/>
    <m/>
    <m/>
    <m/>
    <m/>
    <m/>
    <m/>
    <m/>
    <m/>
    <m/>
    <m/>
    <n v="10000"/>
    <m/>
    <m/>
    <n v="1000"/>
    <x v="6"/>
    <x v="1"/>
    <m/>
    <m/>
    <m/>
    <m/>
    <n v="2898"/>
    <m/>
    <m/>
    <m/>
    <m/>
    <m/>
    <m/>
    <m/>
    <m/>
    <m/>
    <m/>
    <m/>
    <m/>
    <s v="Region response"/>
  </r>
  <r>
    <m/>
    <n v="4"/>
    <x v="8"/>
    <d v="1999-08-01T00:00:00"/>
    <x v="4"/>
    <n v="1"/>
    <m/>
    <x v="4"/>
    <n v="4"/>
    <x v="3"/>
    <s v="China"/>
    <m/>
    <x v="2"/>
    <s v="General Floods"/>
    <s v="General Floods"/>
    <x v="0"/>
    <x v="0"/>
    <m/>
    <m/>
    <m/>
    <m/>
    <m/>
    <m/>
    <m/>
    <m/>
    <x v="0"/>
    <m/>
    <n v="1"/>
    <n v="100000"/>
    <m/>
    <m/>
    <m/>
    <n v="100000"/>
    <n v="0"/>
    <m/>
    <m/>
    <m/>
    <m/>
    <m/>
    <m/>
    <m/>
    <m/>
    <m/>
    <m/>
    <m/>
    <m/>
    <m/>
    <m/>
    <m/>
    <m/>
    <m/>
    <m/>
    <m/>
    <n v="100000"/>
    <m/>
    <m/>
    <n v="15080.681646810435"/>
    <x v="5"/>
    <x v="1"/>
    <m/>
    <m/>
    <m/>
    <m/>
    <n v="2060"/>
    <m/>
    <m/>
    <m/>
    <m/>
    <m/>
    <m/>
    <m/>
    <m/>
    <m/>
    <m/>
    <m/>
    <m/>
    <s v="Region response"/>
  </r>
  <r>
    <m/>
    <n v="5"/>
    <x v="9"/>
    <d v="1999-08-01T00:00:00"/>
    <x v="4"/>
    <n v="2"/>
    <m/>
    <x v="4"/>
    <n v="5"/>
    <x v="3"/>
    <s v="Turkey"/>
    <m/>
    <x v="3"/>
    <s v="Earthquake"/>
    <s v="Earthquake"/>
    <x v="0"/>
    <x v="0"/>
    <m/>
    <m/>
    <m/>
    <m/>
    <m/>
    <m/>
    <m/>
    <m/>
    <x v="0"/>
    <m/>
    <m/>
    <m/>
    <m/>
    <m/>
    <m/>
    <n v="0"/>
    <n v="20"/>
    <m/>
    <m/>
    <m/>
    <m/>
    <m/>
    <m/>
    <m/>
    <m/>
    <m/>
    <m/>
    <m/>
    <m/>
    <m/>
    <m/>
    <m/>
    <m/>
    <m/>
    <n v="0"/>
    <n v="0"/>
    <n v="0"/>
    <m/>
    <m/>
    <m/>
    <x v="7"/>
    <x v="1"/>
    <m/>
    <m/>
    <m/>
    <m/>
    <n v="2814"/>
    <m/>
    <m/>
    <m/>
    <m/>
    <m/>
    <m/>
    <m/>
    <m/>
    <m/>
    <m/>
    <m/>
    <m/>
    <s v="Total expenses combined with (#19, below)"/>
  </r>
  <r>
    <m/>
    <n v="6"/>
    <x v="10"/>
    <d v="1999-08-01T00:00:00"/>
    <x v="4"/>
    <n v="3"/>
    <m/>
    <x v="4"/>
    <n v="6"/>
    <x v="2"/>
    <s v="Nicaragua"/>
    <m/>
    <x v="4"/>
    <s v="Volcanic Eruption"/>
    <s v="Volcanic Eruption"/>
    <x v="0"/>
    <x v="0"/>
    <m/>
    <m/>
    <m/>
    <m/>
    <m/>
    <m/>
    <m/>
    <m/>
    <x v="0"/>
    <m/>
    <m/>
    <m/>
    <m/>
    <n v="10000"/>
    <m/>
    <n v="10000"/>
    <n v="2"/>
    <m/>
    <m/>
    <m/>
    <m/>
    <m/>
    <m/>
    <m/>
    <m/>
    <m/>
    <m/>
    <m/>
    <m/>
    <m/>
    <m/>
    <m/>
    <m/>
    <m/>
    <m/>
    <m/>
    <n v="10000"/>
    <m/>
    <m/>
    <n v="1000"/>
    <x v="6"/>
    <x v="1"/>
    <m/>
    <m/>
    <m/>
    <m/>
    <n v="2898"/>
    <m/>
    <m/>
    <m/>
    <m/>
    <m/>
    <m/>
    <m/>
    <m/>
    <m/>
    <m/>
    <m/>
    <m/>
    <s v="Gisla Dewey and Carol Schimke sent to assist and observe"/>
  </r>
  <r>
    <m/>
    <n v="7"/>
    <x v="11"/>
    <d v="1999-08-01T00:00:00"/>
    <x v="4"/>
    <n v="4"/>
    <m/>
    <x v="4"/>
    <n v="7"/>
    <x v="3"/>
    <s v="Cambodia"/>
    <m/>
    <x v="2"/>
    <s v="General Floods"/>
    <s v="General Floods"/>
    <x v="0"/>
    <x v="0"/>
    <m/>
    <m/>
    <m/>
    <m/>
    <m/>
    <m/>
    <m/>
    <m/>
    <x v="0"/>
    <m/>
    <n v="0"/>
    <n v="25000"/>
    <m/>
    <m/>
    <m/>
    <n v="25000"/>
    <n v="0"/>
    <m/>
    <m/>
    <m/>
    <m/>
    <m/>
    <m/>
    <m/>
    <m/>
    <m/>
    <m/>
    <m/>
    <m/>
    <m/>
    <m/>
    <m/>
    <m/>
    <m/>
    <m/>
    <m/>
    <n v="25000"/>
    <m/>
    <m/>
    <n v="1321.7075933422946"/>
    <x v="8"/>
    <x v="1"/>
    <m/>
    <m/>
    <m/>
    <m/>
    <n v="2898"/>
    <m/>
    <m/>
    <m/>
    <m/>
    <m/>
    <m/>
    <m/>
    <m/>
    <m/>
    <m/>
    <m/>
    <m/>
    <s v="Region response"/>
  </r>
  <r>
    <m/>
    <n v="8"/>
    <x v="12"/>
    <d v="1999-09-01T00:00:00"/>
    <x v="4"/>
    <n v="5"/>
    <m/>
    <x v="4"/>
    <n v="8"/>
    <x v="3"/>
    <s v="Greece"/>
    <m/>
    <x v="3"/>
    <s v="Earthquake"/>
    <s v="Earthquake"/>
    <x v="0"/>
    <x v="0"/>
    <m/>
    <m/>
    <m/>
    <m/>
    <m/>
    <m/>
    <m/>
    <m/>
    <x v="0"/>
    <m/>
    <n v="1"/>
    <n v="80000"/>
    <m/>
    <m/>
    <m/>
    <n v="80000"/>
    <n v="0"/>
    <m/>
    <m/>
    <m/>
    <m/>
    <m/>
    <m/>
    <m/>
    <m/>
    <m/>
    <m/>
    <m/>
    <m/>
    <m/>
    <m/>
    <m/>
    <m/>
    <m/>
    <m/>
    <m/>
    <n v="80000"/>
    <m/>
    <m/>
    <n v="2580.0991790124413"/>
    <x v="9"/>
    <x v="1"/>
    <m/>
    <m/>
    <m/>
    <m/>
    <n v="2898"/>
    <m/>
    <m/>
    <m/>
    <m/>
    <m/>
    <m/>
    <m/>
    <m/>
    <m/>
    <m/>
    <m/>
    <m/>
    <m/>
  </r>
  <r>
    <m/>
    <n v="9"/>
    <x v="13"/>
    <d v="1999-09-01T00:00:00"/>
    <x v="4"/>
    <n v="6"/>
    <m/>
    <x v="4"/>
    <n v="9"/>
    <x v="2"/>
    <s v="Bahamas"/>
    <m/>
    <x v="5"/>
    <s v="Tropical Cyclone"/>
    <s v="Hurricane"/>
    <x v="0"/>
    <x v="0"/>
    <m/>
    <m/>
    <m/>
    <m/>
    <m/>
    <m/>
    <m/>
    <m/>
    <x v="0"/>
    <m/>
    <m/>
    <m/>
    <m/>
    <n v="25000"/>
    <m/>
    <n v="25000"/>
    <n v="3"/>
    <m/>
    <m/>
    <m/>
    <m/>
    <m/>
    <m/>
    <m/>
    <m/>
    <m/>
    <m/>
    <m/>
    <m/>
    <m/>
    <m/>
    <m/>
    <m/>
    <m/>
    <n v="97443"/>
    <n v="9750"/>
    <n v="132193"/>
    <m/>
    <m/>
    <n v="12383.247348462506"/>
    <x v="10"/>
    <x v="1"/>
    <m/>
    <m/>
    <m/>
    <m/>
    <n v="2898"/>
    <m/>
    <m/>
    <m/>
    <m/>
    <m/>
    <m/>
    <m/>
    <m/>
    <m/>
    <m/>
    <m/>
    <s v="Floyd"/>
    <s v="Hygiene kits, plastic sheeting, flashlights,batteries, bedsheets, and tents"/>
  </r>
  <r>
    <m/>
    <n v="10"/>
    <x v="14"/>
    <d v="1999-09-01T00:00:00"/>
    <x v="4"/>
    <n v="7"/>
    <m/>
    <x v="4"/>
    <n v="10"/>
    <x v="3"/>
    <s v="Taiwan"/>
    <m/>
    <x v="3"/>
    <s v="Earthquake"/>
    <s v="Earthquake"/>
    <x v="0"/>
    <x v="0"/>
    <m/>
    <m/>
    <m/>
    <m/>
    <m/>
    <m/>
    <m/>
    <m/>
    <x v="0"/>
    <m/>
    <n v="1"/>
    <n v="1200000"/>
    <m/>
    <m/>
    <m/>
    <n v="1200000"/>
    <n v="0"/>
    <m/>
    <m/>
    <m/>
    <m/>
    <m/>
    <m/>
    <m/>
    <m/>
    <m/>
    <m/>
    <m/>
    <m/>
    <m/>
    <m/>
    <m/>
    <m/>
    <m/>
    <m/>
    <m/>
    <n v="1200000"/>
    <m/>
    <m/>
    <n v="54838.842352037951"/>
    <x v="11"/>
    <x v="1"/>
    <m/>
    <m/>
    <m/>
    <m/>
    <n v="2824"/>
    <m/>
    <m/>
    <m/>
    <m/>
    <m/>
    <m/>
    <m/>
    <m/>
    <m/>
    <m/>
    <m/>
    <m/>
    <s v="Money sent to Federation"/>
  </r>
  <r>
    <m/>
    <n v="11"/>
    <x v="15"/>
    <d v="1999-09-01T00:00:00"/>
    <x v="4"/>
    <n v="8"/>
    <m/>
    <x v="4"/>
    <n v="11"/>
    <x v="3"/>
    <s v="Japan"/>
    <m/>
    <x v="6"/>
    <s v="Radiation"/>
    <s v="Radiation"/>
    <x v="0"/>
    <x v="0"/>
    <m/>
    <m/>
    <m/>
    <m/>
    <m/>
    <m/>
    <m/>
    <m/>
    <x v="0"/>
    <m/>
    <m/>
    <m/>
    <m/>
    <m/>
    <m/>
    <n v="0"/>
    <n v="0"/>
    <m/>
    <m/>
    <m/>
    <m/>
    <m/>
    <m/>
    <m/>
    <m/>
    <m/>
    <m/>
    <m/>
    <m/>
    <m/>
    <m/>
    <m/>
    <m/>
    <m/>
    <n v="200"/>
    <m/>
    <n v="200"/>
    <m/>
    <m/>
    <m/>
    <x v="12"/>
    <x v="1"/>
    <m/>
    <m/>
    <m/>
    <m/>
    <n v="2898"/>
    <m/>
    <m/>
    <m/>
    <m/>
    <m/>
    <m/>
    <m/>
    <m/>
    <m/>
    <m/>
    <m/>
    <s v="Nuclear Power Plant"/>
    <s v="Manuals related to Nuclear disasters sent to JRCS"/>
  </r>
  <r>
    <m/>
    <n v="12"/>
    <x v="0"/>
    <d v="1999-09-01T00:00:00"/>
    <x v="4"/>
    <n v="9"/>
    <m/>
    <x v="4"/>
    <n v="12"/>
    <x v="2"/>
    <s v="Mexico"/>
    <m/>
    <x v="3"/>
    <s v="Earthquake"/>
    <s v="Earthquake"/>
    <x v="0"/>
    <x v="0"/>
    <m/>
    <m/>
    <m/>
    <m/>
    <m/>
    <m/>
    <m/>
    <m/>
    <x v="0"/>
    <m/>
    <m/>
    <m/>
    <m/>
    <n v="150000"/>
    <m/>
    <n v="150000"/>
    <n v="3"/>
    <m/>
    <m/>
    <m/>
    <m/>
    <m/>
    <m/>
    <m/>
    <m/>
    <m/>
    <m/>
    <m/>
    <m/>
    <m/>
    <m/>
    <m/>
    <m/>
    <m/>
    <m/>
    <m/>
    <n v="150000"/>
    <m/>
    <m/>
    <m/>
    <x v="13"/>
    <x v="1"/>
    <m/>
    <m/>
    <m/>
    <m/>
    <n v="2020"/>
    <m/>
    <m/>
    <m/>
    <m/>
    <m/>
    <m/>
    <m/>
    <m/>
    <m/>
    <m/>
    <m/>
    <m/>
    <m/>
  </r>
  <r>
    <m/>
    <n v="13"/>
    <x v="16"/>
    <d v="1999-10-01T00:00:00"/>
    <x v="4"/>
    <n v="10"/>
    <m/>
    <x v="4"/>
    <n v="13"/>
    <x v="2"/>
    <s v="Mexico"/>
    <m/>
    <x v="7"/>
    <s v="General Floods"/>
    <s v="General Floods"/>
    <x v="0"/>
    <x v="0"/>
    <m/>
    <m/>
    <m/>
    <m/>
    <m/>
    <m/>
    <m/>
    <m/>
    <x v="0"/>
    <m/>
    <m/>
    <m/>
    <m/>
    <n v="200000"/>
    <m/>
    <n v="200000"/>
    <n v="4"/>
    <m/>
    <m/>
    <m/>
    <m/>
    <m/>
    <m/>
    <m/>
    <m/>
    <m/>
    <m/>
    <m/>
    <m/>
    <m/>
    <m/>
    <m/>
    <m/>
    <m/>
    <m/>
    <n v="5000"/>
    <n v="205000"/>
    <m/>
    <m/>
    <n v="12000"/>
    <x v="14"/>
    <x v="1"/>
    <m/>
    <m/>
    <m/>
    <m/>
    <n v="2020"/>
    <m/>
    <m/>
    <m/>
    <m/>
    <m/>
    <m/>
    <m/>
    <m/>
    <m/>
    <m/>
    <m/>
    <m/>
    <m/>
  </r>
  <r>
    <m/>
    <n v="14"/>
    <x v="17"/>
    <d v="1999-10-01T00:00:00"/>
    <x v="4"/>
    <n v="11"/>
    <m/>
    <x v="4"/>
    <n v="14"/>
    <x v="3"/>
    <s v="Russian Fed."/>
    <m/>
    <x v="8"/>
    <s v="Conflict"/>
    <s v="Conflict"/>
    <x v="0"/>
    <x v="0"/>
    <m/>
    <m/>
    <m/>
    <m/>
    <m/>
    <m/>
    <m/>
    <m/>
    <x v="0"/>
    <m/>
    <m/>
    <m/>
    <m/>
    <n v="75000"/>
    <m/>
    <n v="75000"/>
    <n v="0"/>
    <m/>
    <m/>
    <n v="76700"/>
    <m/>
    <n v="11200"/>
    <n v="55000"/>
    <n v="10500"/>
    <m/>
    <m/>
    <m/>
    <m/>
    <m/>
    <m/>
    <m/>
    <m/>
    <m/>
    <m/>
    <n v="535134"/>
    <m/>
    <n v="610134"/>
    <m/>
    <m/>
    <n v="55000"/>
    <x v="15"/>
    <x v="1"/>
    <m/>
    <m/>
    <m/>
    <m/>
    <n v="2045"/>
    <m/>
    <m/>
    <m/>
    <m/>
    <m/>
    <m/>
    <m/>
    <m/>
    <m/>
    <m/>
    <m/>
    <s v="Chechnya"/>
    <s v="Chechnya:  Response handled by Regional desk, winter clothing for 3,000 people, 55,000 blankets, 10,500 Jerry cans, 11,200 hygiene parcels."/>
  </r>
  <r>
    <m/>
    <n v="15"/>
    <x v="18"/>
    <d v="1999-10-01T00:00:00"/>
    <x v="4"/>
    <n v="12"/>
    <m/>
    <x v="4"/>
    <n v="15"/>
    <x v="3"/>
    <s v="Timor-Leste"/>
    <m/>
    <x v="8"/>
    <s v="Conflict"/>
    <s v="Conflict"/>
    <x v="0"/>
    <x v="0"/>
    <m/>
    <m/>
    <m/>
    <m/>
    <m/>
    <m/>
    <m/>
    <m/>
    <x v="0"/>
    <m/>
    <m/>
    <m/>
    <m/>
    <n v="10000"/>
    <m/>
    <n v="10000"/>
    <n v="1"/>
    <m/>
    <m/>
    <m/>
    <m/>
    <m/>
    <m/>
    <m/>
    <m/>
    <m/>
    <m/>
    <m/>
    <m/>
    <m/>
    <m/>
    <m/>
    <m/>
    <m/>
    <m/>
    <m/>
    <n v="10000"/>
    <m/>
    <m/>
    <m/>
    <x v="6"/>
    <x v="1"/>
    <m/>
    <m/>
    <m/>
    <m/>
    <n v="2898"/>
    <m/>
    <m/>
    <m/>
    <m/>
    <m/>
    <m/>
    <m/>
    <m/>
    <m/>
    <m/>
    <m/>
    <s v="Referendum"/>
    <s v="Kevin Kelley sent."/>
  </r>
  <r>
    <m/>
    <n v="16"/>
    <x v="19"/>
    <d v="1999-10-01T00:00:00"/>
    <x v="4"/>
    <n v="13"/>
    <m/>
    <x v="4"/>
    <n v="16"/>
    <x v="3"/>
    <s v="Bangladesh"/>
    <m/>
    <x v="2"/>
    <s v="General Floods"/>
    <s v="General Floods"/>
    <x v="0"/>
    <x v="0"/>
    <m/>
    <m/>
    <m/>
    <m/>
    <m/>
    <m/>
    <m/>
    <m/>
    <x v="0"/>
    <m/>
    <n v="0"/>
    <n v="25000"/>
    <m/>
    <m/>
    <m/>
    <n v="25000"/>
    <n v="0"/>
    <m/>
    <m/>
    <m/>
    <m/>
    <m/>
    <m/>
    <m/>
    <m/>
    <m/>
    <m/>
    <m/>
    <m/>
    <m/>
    <m/>
    <m/>
    <m/>
    <m/>
    <m/>
    <m/>
    <n v="25000"/>
    <m/>
    <m/>
    <n v="2500"/>
    <x v="8"/>
    <x v="1"/>
    <m/>
    <m/>
    <m/>
    <m/>
    <n v="2898"/>
    <m/>
    <m/>
    <m/>
    <m/>
    <m/>
    <m/>
    <m/>
    <m/>
    <m/>
    <m/>
    <m/>
    <m/>
    <m/>
  </r>
  <r>
    <m/>
    <n v="17"/>
    <x v="20"/>
    <d v="1999-11-01T00:00:00"/>
    <x v="4"/>
    <n v="14"/>
    <m/>
    <x v="4"/>
    <n v="17"/>
    <x v="3"/>
    <s v="India"/>
    <m/>
    <x v="5"/>
    <s v="Tropical Cyclone"/>
    <s v="Cyclone"/>
    <x v="0"/>
    <x v="0"/>
    <m/>
    <m/>
    <m/>
    <m/>
    <m/>
    <m/>
    <m/>
    <m/>
    <x v="0"/>
    <m/>
    <n v="1"/>
    <n v="50000"/>
    <m/>
    <m/>
    <m/>
    <n v="50000"/>
    <n v="0"/>
    <m/>
    <m/>
    <m/>
    <m/>
    <m/>
    <m/>
    <m/>
    <m/>
    <m/>
    <m/>
    <m/>
    <m/>
    <m/>
    <m/>
    <m/>
    <m/>
    <m/>
    <m/>
    <m/>
    <n v="50000"/>
    <m/>
    <m/>
    <n v="5000"/>
    <x v="16"/>
    <x v="1"/>
    <m/>
    <m/>
    <m/>
    <m/>
    <n v="2898"/>
    <m/>
    <m/>
    <m/>
    <m/>
    <m/>
    <m/>
    <m/>
    <m/>
    <m/>
    <m/>
    <m/>
    <m/>
    <s v="Federation handled funds"/>
  </r>
  <r>
    <m/>
    <n v="18"/>
    <x v="21"/>
    <d v="1999-11-01T00:00:00"/>
    <x v="4"/>
    <n v="15"/>
    <m/>
    <x v="4"/>
    <n v="18"/>
    <x v="3"/>
    <s v="Vietnam"/>
    <m/>
    <x v="2"/>
    <s v="General Floods"/>
    <s v="General Floods"/>
    <x v="0"/>
    <x v="0"/>
    <m/>
    <m/>
    <m/>
    <m/>
    <m/>
    <m/>
    <m/>
    <m/>
    <x v="0"/>
    <m/>
    <m/>
    <m/>
    <m/>
    <n v="50000"/>
    <m/>
    <n v="50000"/>
    <n v="0"/>
    <m/>
    <m/>
    <m/>
    <m/>
    <m/>
    <m/>
    <m/>
    <m/>
    <m/>
    <m/>
    <m/>
    <m/>
    <m/>
    <m/>
    <m/>
    <m/>
    <m/>
    <m/>
    <m/>
    <n v="50000"/>
    <m/>
    <m/>
    <m/>
    <x v="16"/>
    <x v="1"/>
    <m/>
    <m/>
    <m/>
    <m/>
    <n v="2870"/>
    <m/>
    <m/>
    <m/>
    <m/>
    <m/>
    <m/>
    <m/>
    <m/>
    <m/>
    <m/>
    <m/>
    <m/>
    <s v="Reference Regional Desk information."/>
  </r>
  <r>
    <m/>
    <n v="19"/>
    <x v="9"/>
    <d v="1999-11-01T00:00:00"/>
    <x v="4"/>
    <n v="16"/>
    <m/>
    <x v="4"/>
    <n v="19"/>
    <x v="3"/>
    <s v="Turkey"/>
    <m/>
    <x v="3"/>
    <s v="Earthquake"/>
    <s v="Earthquake"/>
    <x v="0"/>
    <x v="0"/>
    <m/>
    <m/>
    <m/>
    <m/>
    <m/>
    <m/>
    <m/>
    <m/>
    <x v="0"/>
    <m/>
    <n v="1"/>
    <n v="2504221.9900000002"/>
    <m/>
    <n v="1360000"/>
    <m/>
    <n v="3864221.99"/>
    <n v="10"/>
    <m/>
    <m/>
    <m/>
    <m/>
    <m/>
    <m/>
    <m/>
    <m/>
    <m/>
    <m/>
    <m/>
    <m/>
    <m/>
    <m/>
    <m/>
    <m/>
    <m/>
    <n v="816758.16"/>
    <n v="472203.99"/>
    <n v="5153184.1400000006"/>
    <m/>
    <m/>
    <n v="52000"/>
    <x v="17"/>
    <x v="1"/>
    <m/>
    <m/>
    <m/>
    <m/>
    <n v="2814"/>
    <m/>
    <m/>
    <m/>
    <m/>
    <m/>
    <m/>
    <m/>
    <m/>
    <m/>
    <m/>
    <m/>
    <m/>
    <s v="Total expenditures based off expenses from August-Jan for both earthquakes affecting Turkey."/>
  </r>
  <r>
    <m/>
    <n v="20"/>
    <x v="22"/>
    <d v="1999-11-01T00:00:00"/>
    <x v="4"/>
    <n v="17"/>
    <m/>
    <x v="4"/>
    <n v="20"/>
    <x v="2"/>
    <s v="Dominica"/>
    <m/>
    <x v="5"/>
    <s v="Tropical Cyclone"/>
    <s v="Hurricane"/>
    <x v="0"/>
    <x v="0"/>
    <m/>
    <m/>
    <m/>
    <m/>
    <m/>
    <m/>
    <m/>
    <m/>
    <x v="0"/>
    <m/>
    <m/>
    <m/>
    <m/>
    <n v="15000"/>
    <m/>
    <n v="15000"/>
    <n v="1"/>
    <m/>
    <m/>
    <m/>
    <m/>
    <m/>
    <m/>
    <m/>
    <m/>
    <m/>
    <m/>
    <m/>
    <m/>
    <m/>
    <m/>
    <m/>
    <m/>
    <m/>
    <m/>
    <m/>
    <n v="15000"/>
    <m/>
    <m/>
    <n v="1500"/>
    <x v="18"/>
    <x v="1"/>
    <m/>
    <m/>
    <m/>
    <m/>
    <n v="2898"/>
    <m/>
    <m/>
    <m/>
    <m/>
    <m/>
    <m/>
    <m/>
    <m/>
    <m/>
    <m/>
    <m/>
    <s v="Lenny"/>
    <s v="Transferred directly to DRCS for household items, supplementary food to 100 families, tents &amp; hygiene kits. "/>
  </r>
  <r>
    <m/>
    <n v="20"/>
    <x v="23"/>
    <d v="1999-11-01T00:00:00"/>
    <x v="4"/>
    <n v="17"/>
    <m/>
    <x v="4"/>
    <n v="20"/>
    <x v="2"/>
    <s v="St. Kitts &amp; Nevis"/>
    <m/>
    <x v="5"/>
    <s v="Tropical Cyclone"/>
    <s v="Hurricane"/>
    <x v="0"/>
    <x v="0"/>
    <m/>
    <m/>
    <m/>
    <m/>
    <m/>
    <m/>
    <m/>
    <m/>
    <x v="0"/>
    <m/>
    <m/>
    <m/>
    <m/>
    <n v="15000"/>
    <m/>
    <n v="15000"/>
    <n v="2"/>
    <m/>
    <m/>
    <m/>
    <m/>
    <m/>
    <m/>
    <m/>
    <m/>
    <m/>
    <m/>
    <m/>
    <m/>
    <m/>
    <m/>
    <m/>
    <m/>
    <m/>
    <m/>
    <m/>
    <n v="15000"/>
    <m/>
    <m/>
    <n v="1500"/>
    <x v="18"/>
    <x v="1"/>
    <m/>
    <m/>
    <m/>
    <m/>
    <n v="2898"/>
    <m/>
    <m/>
    <m/>
    <m/>
    <m/>
    <m/>
    <m/>
    <m/>
    <m/>
    <m/>
    <m/>
    <s v="Lenny"/>
    <s v="Transferred directly to SKNRC for hygiene kits, food packages and bedding "/>
  </r>
  <r>
    <m/>
    <n v="20"/>
    <x v="24"/>
    <d v="1999-11-01T00:00:00"/>
    <x v="4"/>
    <n v="17"/>
    <m/>
    <x v="4"/>
    <n v="20"/>
    <x v="2"/>
    <s v="Antigua"/>
    <m/>
    <x v="5"/>
    <s v="Tropical Cyclone"/>
    <s v="Hurricane"/>
    <x v="0"/>
    <x v="0"/>
    <m/>
    <m/>
    <m/>
    <m/>
    <m/>
    <m/>
    <m/>
    <m/>
    <x v="0"/>
    <m/>
    <m/>
    <m/>
    <m/>
    <n v="15000"/>
    <m/>
    <n v="15000"/>
    <n v="1"/>
    <m/>
    <m/>
    <m/>
    <m/>
    <m/>
    <m/>
    <m/>
    <m/>
    <m/>
    <m/>
    <m/>
    <m/>
    <m/>
    <m/>
    <m/>
    <m/>
    <m/>
    <m/>
    <m/>
    <n v="15000"/>
    <m/>
    <m/>
    <n v="1500"/>
    <x v="18"/>
    <x v="1"/>
    <m/>
    <m/>
    <m/>
    <m/>
    <n v="2898"/>
    <m/>
    <m/>
    <m/>
    <m/>
    <m/>
    <m/>
    <m/>
    <m/>
    <m/>
    <m/>
    <m/>
    <s v="Lenny"/>
    <s v="$15,000 for mattresses, first aid supplies, and roofing .     "/>
  </r>
  <r>
    <m/>
    <n v="20"/>
    <x v="25"/>
    <d v="1999-11-01T00:00:00"/>
    <x v="4"/>
    <n v="17"/>
    <m/>
    <x v="4"/>
    <n v="20"/>
    <x v="2"/>
    <s v="Grenada"/>
    <m/>
    <x v="5"/>
    <s v="Tropical Cyclone"/>
    <s v="Hurricane"/>
    <x v="0"/>
    <x v="0"/>
    <m/>
    <m/>
    <m/>
    <m/>
    <m/>
    <m/>
    <m/>
    <m/>
    <x v="0"/>
    <m/>
    <m/>
    <m/>
    <m/>
    <n v="9000"/>
    <m/>
    <n v="9000"/>
    <n v="1"/>
    <m/>
    <m/>
    <m/>
    <m/>
    <m/>
    <m/>
    <m/>
    <m/>
    <m/>
    <m/>
    <m/>
    <m/>
    <m/>
    <m/>
    <m/>
    <m/>
    <m/>
    <m/>
    <m/>
    <n v="9000"/>
    <m/>
    <m/>
    <n v="900"/>
    <x v="19"/>
    <x v="1"/>
    <m/>
    <m/>
    <m/>
    <m/>
    <n v="2898"/>
    <m/>
    <m/>
    <m/>
    <m/>
    <m/>
    <m/>
    <m/>
    <m/>
    <m/>
    <m/>
    <m/>
    <s v="Lenny"/>
    <m/>
  </r>
  <r>
    <m/>
    <n v="20"/>
    <x v="26"/>
    <d v="1999-11-01T00:00:00"/>
    <x v="4"/>
    <n v="17"/>
    <m/>
    <x v="4"/>
    <n v="20"/>
    <x v="2"/>
    <s v="St. Maartens"/>
    <m/>
    <x v="5"/>
    <s v="Tropical Cyclone"/>
    <s v="Hurricane"/>
    <x v="0"/>
    <x v="0"/>
    <m/>
    <m/>
    <m/>
    <m/>
    <m/>
    <m/>
    <m/>
    <m/>
    <x v="0"/>
    <m/>
    <m/>
    <m/>
    <m/>
    <n v="9000"/>
    <m/>
    <n v="9000"/>
    <m/>
    <m/>
    <m/>
    <m/>
    <m/>
    <m/>
    <m/>
    <m/>
    <m/>
    <m/>
    <m/>
    <m/>
    <m/>
    <m/>
    <m/>
    <m/>
    <m/>
    <m/>
    <m/>
    <m/>
    <n v="9000"/>
    <m/>
    <m/>
    <n v="900"/>
    <x v="19"/>
    <x v="1"/>
    <m/>
    <m/>
    <m/>
    <m/>
    <n v="2898"/>
    <m/>
    <m/>
    <m/>
    <m/>
    <m/>
    <m/>
    <m/>
    <m/>
    <m/>
    <m/>
    <m/>
    <s v="Lenny"/>
    <m/>
  </r>
  <r>
    <m/>
    <n v="21"/>
    <x v="27"/>
    <d v="1999-12-01T00:00:00"/>
    <x v="4"/>
    <n v="18"/>
    <m/>
    <x v="4"/>
    <n v="21"/>
    <x v="2"/>
    <s v="Venezuela"/>
    <m/>
    <x v="2"/>
    <s v="General Floods"/>
    <s v="General Floods"/>
    <x v="0"/>
    <x v="0"/>
    <m/>
    <m/>
    <m/>
    <m/>
    <m/>
    <m/>
    <m/>
    <m/>
    <x v="0"/>
    <m/>
    <m/>
    <m/>
    <m/>
    <n v="50000"/>
    <m/>
    <n v="50000"/>
    <n v="23"/>
    <m/>
    <m/>
    <n v="55532"/>
    <m/>
    <n v="2200"/>
    <n v="4625"/>
    <n v="2550"/>
    <m/>
    <n v="36"/>
    <m/>
    <n v="6120"/>
    <m/>
    <n v="40000"/>
    <m/>
    <n v="7"/>
    <m/>
    <m/>
    <n v="506000"/>
    <n v="500000"/>
    <n v="1056000"/>
    <m/>
    <m/>
    <n v="120000"/>
    <x v="20"/>
    <x v="1"/>
    <m/>
    <m/>
    <m/>
    <m/>
    <n v="2912"/>
    <m/>
    <m/>
    <m/>
    <m/>
    <m/>
    <m/>
    <m/>
    <m/>
    <m/>
    <m/>
    <m/>
    <m/>
    <s v="2,550 collapsible water containers. Purchased and shipped 7 Ford trucks, ($182,000),  13 MT calcium hypochloride ($30,000)"/>
  </r>
  <r>
    <m/>
    <n v="22"/>
    <x v="28"/>
    <d v="2000-02-01T00:00:00"/>
    <x v="4"/>
    <n v="19"/>
    <m/>
    <x v="5"/>
    <n v="1"/>
    <x v="1"/>
    <s v="South Africa"/>
    <m/>
    <x v="2"/>
    <s v="General Floods"/>
    <s v="General Floods"/>
    <x v="0"/>
    <x v="0"/>
    <m/>
    <m/>
    <m/>
    <m/>
    <m/>
    <m/>
    <m/>
    <m/>
    <x v="0"/>
    <m/>
    <n v="0"/>
    <n v="23333.333333333332"/>
    <m/>
    <m/>
    <m/>
    <n v="23333.333333333332"/>
    <n v="0"/>
    <m/>
    <m/>
    <m/>
    <m/>
    <m/>
    <m/>
    <m/>
    <m/>
    <m/>
    <m/>
    <m/>
    <m/>
    <m/>
    <m/>
    <m/>
    <m/>
    <m/>
    <m/>
    <m/>
    <n v="23333.333333333332"/>
    <m/>
    <m/>
    <n v="2300"/>
    <x v="21"/>
    <x v="1"/>
    <m/>
    <m/>
    <m/>
    <m/>
    <n v="2898"/>
    <m/>
    <m/>
    <m/>
    <m/>
    <m/>
    <m/>
    <m/>
    <m/>
    <m/>
    <m/>
    <m/>
    <m/>
    <s v="Federation handled funds ($70,000 total)"/>
  </r>
  <r>
    <m/>
    <n v="22"/>
    <x v="29"/>
    <d v="2000-02-01T00:00:00"/>
    <x v="4"/>
    <n v="19"/>
    <m/>
    <x v="5"/>
    <n v="1"/>
    <x v="1"/>
    <s v="Botswana"/>
    <m/>
    <x v="2"/>
    <s v="General Floods"/>
    <s v="General Floods"/>
    <x v="0"/>
    <x v="0"/>
    <m/>
    <m/>
    <m/>
    <m/>
    <m/>
    <m/>
    <m/>
    <m/>
    <x v="0"/>
    <m/>
    <n v="0"/>
    <n v="23333.333333333332"/>
    <m/>
    <m/>
    <m/>
    <n v="23333.333333333332"/>
    <m/>
    <m/>
    <m/>
    <m/>
    <m/>
    <m/>
    <m/>
    <m/>
    <m/>
    <m/>
    <m/>
    <m/>
    <m/>
    <m/>
    <m/>
    <m/>
    <m/>
    <m/>
    <m/>
    <m/>
    <n v="23333.333333333332"/>
    <m/>
    <m/>
    <n v="2300"/>
    <x v="21"/>
    <x v="1"/>
    <m/>
    <m/>
    <m/>
    <m/>
    <n v="2898"/>
    <m/>
    <m/>
    <m/>
    <m/>
    <m/>
    <m/>
    <m/>
    <m/>
    <m/>
    <m/>
    <m/>
    <m/>
    <s v="Federation handled funds ($70,000 total)"/>
  </r>
  <r>
    <m/>
    <n v="22"/>
    <x v="30"/>
    <d v="2000-02-01T00:00:00"/>
    <x v="4"/>
    <n v="19"/>
    <m/>
    <x v="5"/>
    <n v="1"/>
    <x v="1"/>
    <s v="Zimbabwe"/>
    <m/>
    <x v="2"/>
    <s v="General Floods"/>
    <s v="General Floods"/>
    <x v="0"/>
    <x v="0"/>
    <m/>
    <m/>
    <m/>
    <m/>
    <m/>
    <m/>
    <m/>
    <m/>
    <x v="0"/>
    <m/>
    <n v="0"/>
    <n v="23333.343333333331"/>
    <m/>
    <m/>
    <m/>
    <n v="23333.343333333331"/>
    <m/>
    <m/>
    <m/>
    <m/>
    <m/>
    <m/>
    <m/>
    <m/>
    <m/>
    <m/>
    <m/>
    <m/>
    <m/>
    <m/>
    <m/>
    <m/>
    <m/>
    <m/>
    <m/>
    <m/>
    <n v="23333.343333333331"/>
    <m/>
    <m/>
    <n v="2300"/>
    <x v="22"/>
    <x v="1"/>
    <m/>
    <m/>
    <m/>
    <m/>
    <n v="2898"/>
    <m/>
    <m/>
    <m/>
    <m/>
    <m/>
    <m/>
    <m/>
    <m/>
    <m/>
    <m/>
    <m/>
    <m/>
    <s v="Federation handled funds ($70,000 total)"/>
  </r>
  <r>
    <m/>
    <n v="23"/>
    <x v="31"/>
    <d v="2000-03-01T00:00:00"/>
    <x v="4"/>
    <n v="21"/>
    <m/>
    <x v="5"/>
    <n v="3"/>
    <x v="1"/>
    <s v="Madagascar"/>
    <m/>
    <x v="2"/>
    <s v="General Floods"/>
    <s v="General Floods"/>
    <x v="0"/>
    <x v="0"/>
    <m/>
    <m/>
    <m/>
    <m/>
    <m/>
    <m/>
    <m/>
    <m/>
    <x v="0"/>
    <m/>
    <n v="0"/>
    <n v="25000"/>
    <m/>
    <m/>
    <m/>
    <n v="25000"/>
    <n v="0"/>
    <m/>
    <m/>
    <m/>
    <m/>
    <m/>
    <m/>
    <m/>
    <m/>
    <m/>
    <m/>
    <m/>
    <m/>
    <m/>
    <m/>
    <m/>
    <m/>
    <m/>
    <m/>
    <m/>
    <n v="25000"/>
    <m/>
    <m/>
    <n v="2500"/>
    <x v="8"/>
    <x v="1"/>
    <m/>
    <m/>
    <m/>
    <m/>
    <n v="2898"/>
    <m/>
    <m/>
    <m/>
    <m/>
    <m/>
    <m/>
    <m/>
    <m/>
    <m/>
    <m/>
    <m/>
    <m/>
    <s v="Federation handled funds"/>
  </r>
  <r>
    <m/>
    <n v="24"/>
    <x v="5"/>
    <d v="2000-04-01T00:00:00"/>
    <x v="4"/>
    <n v="22"/>
    <m/>
    <x v="5"/>
    <n v="4"/>
    <x v="1"/>
    <s v="Ethiopia"/>
    <m/>
    <x v="1"/>
    <s v="Drought"/>
    <s v="Drought"/>
    <x v="0"/>
    <x v="0"/>
    <m/>
    <m/>
    <m/>
    <m/>
    <m/>
    <m/>
    <m/>
    <m/>
    <x v="0"/>
    <m/>
    <n v="1"/>
    <n v="100000"/>
    <m/>
    <m/>
    <m/>
    <n v="100000"/>
    <n v="0"/>
    <m/>
    <m/>
    <m/>
    <m/>
    <m/>
    <m/>
    <m/>
    <m/>
    <m/>
    <m/>
    <m/>
    <m/>
    <m/>
    <m/>
    <m/>
    <m/>
    <m/>
    <m/>
    <m/>
    <n v="100000"/>
    <m/>
    <m/>
    <n v="2376.7346201502733"/>
    <x v="5"/>
    <x v="1"/>
    <m/>
    <m/>
    <m/>
    <m/>
    <n v="2898"/>
    <m/>
    <m/>
    <m/>
    <m/>
    <m/>
    <m/>
    <m/>
    <m/>
    <m/>
    <m/>
    <m/>
    <m/>
    <m/>
  </r>
  <r>
    <m/>
    <n v="25"/>
    <x v="32"/>
    <d v="2000-06-01T00:00:00"/>
    <x v="4"/>
    <n v="23"/>
    <m/>
    <x v="5"/>
    <n v="5"/>
    <x v="3"/>
    <s v="Indonesia"/>
    <m/>
    <x v="3"/>
    <s v="Earthquake"/>
    <s v="Earthquake"/>
    <x v="0"/>
    <x v="0"/>
    <m/>
    <m/>
    <m/>
    <m/>
    <m/>
    <m/>
    <m/>
    <m/>
    <x v="0"/>
    <m/>
    <n v="1"/>
    <n v="50000"/>
    <m/>
    <m/>
    <m/>
    <n v="50000"/>
    <n v="2"/>
    <m/>
    <m/>
    <m/>
    <m/>
    <m/>
    <m/>
    <m/>
    <m/>
    <m/>
    <m/>
    <m/>
    <m/>
    <m/>
    <m/>
    <m/>
    <m/>
    <m/>
    <m/>
    <m/>
    <n v="50000"/>
    <m/>
    <m/>
    <n v="3300"/>
    <x v="16"/>
    <x v="1"/>
    <m/>
    <m/>
    <m/>
    <m/>
    <n v="2898"/>
    <m/>
    <m/>
    <m/>
    <m/>
    <m/>
    <m/>
    <m/>
    <m/>
    <m/>
    <m/>
    <m/>
    <m/>
    <s v="625 family kits"/>
  </r>
  <r>
    <m/>
    <n v="26"/>
    <x v="33"/>
    <d v="2000-08-01T00:00:00"/>
    <x v="5"/>
    <n v="1"/>
    <m/>
    <x v="5"/>
    <n v="6"/>
    <x v="3"/>
    <s v="India"/>
    <m/>
    <x v="2"/>
    <s v="General Floods"/>
    <s v="General Floods"/>
    <x v="0"/>
    <x v="0"/>
    <m/>
    <m/>
    <m/>
    <m/>
    <m/>
    <m/>
    <m/>
    <m/>
    <x v="0"/>
    <m/>
    <m/>
    <m/>
    <m/>
    <m/>
    <m/>
    <n v="0"/>
    <n v="9"/>
    <m/>
    <m/>
    <n v="5000"/>
    <m/>
    <m/>
    <m/>
    <m/>
    <m/>
    <m/>
    <m/>
    <m/>
    <m/>
    <n v="5000"/>
    <m/>
    <n v="5"/>
    <m/>
    <m/>
    <n v="199200"/>
    <n v="190065"/>
    <n v="389265"/>
    <m/>
    <m/>
    <n v="25000"/>
    <x v="23"/>
    <x v="1"/>
    <m/>
    <m/>
    <m/>
    <m/>
    <n v="4901"/>
    <m/>
    <m/>
    <m/>
    <m/>
    <m/>
    <m/>
    <m/>
    <m/>
    <m/>
    <m/>
    <m/>
    <m/>
    <s v="5,000 relief/food parcels and 5 trucks"/>
  </r>
  <r>
    <m/>
    <n v="27"/>
    <x v="19"/>
    <d v="2000-08-01T00:00:00"/>
    <x v="5"/>
    <n v="2"/>
    <m/>
    <x v="5"/>
    <n v="7"/>
    <x v="3"/>
    <s v="Bangladesh"/>
    <m/>
    <x v="2"/>
    <s v="General Floods"/>
    <s v="General Floods"/>
    <x v="0"/>
    <x v="0"/>
    <m/>
    <m/>
    <m/>
    <m/>
    <m/>
    <m/>
    <m/>
    <m/>
    <x v="0"/>
    <m/>
    <m/>
    <m/>
    <m/>
    <n v="25000"/>
    <m/>
    <n v="25000"/>
    <n v="0"/>
    <m/>
    <m/>
    <m/>
    <m/>
    <m/>
    <m/>
    <m/>
    <m/>
    <m/>
    <m/>
    <m/>
    <m/>
    <m/>
    <m/>
    <m/>
    <m/>
    <m/>
    <m/>
    <m/>
    <n v="25000"/>
    <m/>
    <m/>
    <n v="2500"/>
    <x v="8"/>
    <x v="1"/>
    <m/>
    <m/>
    <m/>
    <m/>
    <n v="2898"/>
    <m/>
    <m/>
    <m/>
    <m/>
    <m/>
    <m/>
    <m/>
    <m/>
    <m/>
    <m/>
    <m/>
    <m/>
    <s v="via Japanese Red Cross for relief supplies"/>
  </r>
  <r>
    <m/>
    <n v="28"/>
    <x v="11"/>
    <d v="2000-09-01T00:00:00"/>
    <x v="5"/>
    <n v="3"/>
    <m/>
    <x v="5"/>
    <n v="8"/>
    <x v="3"/>
    <s v="Cambodia"/>
    <m/>
    <x v="2"/>
    <s v="Storm Surge"/>
    <s v="Storm Surge"/>
    <x v="0"/>
    <x v="0"/>
    <m/>
    <m/>
    <m/>
    <m/>
    <m/>
    <m/>
    <m/>
    <m/>
    <x v="0"/>
    <m/>
    <m/>
    <m/>
    <m/>
    <n v="352704"/>
    <m/>
    <n v="352704"/>
    <n v="0"/>
    <m/>
    <m/>
    <m/>
    <m/>
    <m/>
    <m/>
    <m/>
    <m/>
    <m/>
    <m/>
    <m/>
    <m/>
    <m/>
    <m/>
    <m/>
    <m/>
    <m/>
    <m/>
    <m/>
    <n v="352704"/>
    <m/>
    <m/>
    <n v="32645"/>
    <x v="24"/>
    <x v="1"/>
    <m/>
    <m/>
    <m/>
    <m/>
    <s v="OFDA"/>
    <m/>
    <m/>
    <m/>
    <m/>
    <m/>
    <m/>
    <m/>
    <m/>
    <m/>
    <m/>
    <m/>
    <s v="TS Wukong"/>
    <s v="Three grants from OFDA (two @ $25,000 each and 1 @ $302,704) for emergency household kits"/>
  </r>
  <r>
    <m/>
    <n v="29"/>
    <x v="21"/>
    <d v="2000-09-01T00:00:00"/>
    <x v="5"/>
    <n v="4"/>
    <m/>
    <x v="5"/>
    <n v="9"/>
    <x v="3"/>
    <s v="Vietnam"/>
    <m/>
    <x v="2"/>
    <s v="Storm Surge"/>
    <s v="Storm Surge"/>
    <x v="0"/>
    <x v="0"/>
    <m/>
    <m/>
    <m/>
    <m/>
    <m/>
    <m/>
    <m/>
    <m/>
    <x v="0"/>
    <m/>
    <m/>
    <m/>
    <m/>
    <m/>
    <m/>
    <n v="0"/>
    <n v="0"/>
    <m/>
    <m/>
    <n v="1000"/>
    <m/>
    <m/>
    <m/>
    <m/>
    <m/>
    <m/>
    <m/>
    <m/>
    <m/>
    <m/>
    <m/>
    <m/>
    <m/>
    <m/>
    <n v="20000"/>
    <m/>
    <n v="20000"/>
    <m/>
    <m/>
    <n v="3500"/>
    <x v="25"/>
    <x v="1"/>
    <m/>
    <m/>
    <m/>
    <m/>
    <n v="2898"/>
    <m/>
    <m/>
    <m/>
    <m/>
    <m/>
    <m/>
    <m/>
    <m/>
    <m/>
    <m/>
    <m/>
    <s v="TS Wukong"/>
    <s v="1,000 Relief kits. (blankets, mosquito nets and cooking sets)"/>
  </r>
  <r>
    <m/>
    <n v="30"/>
    <x v="34"/>
    <d v="2000-10-01T00:00:00"/>
    <x v="5"/>
    <n v="5"/>
    <m/>
    <x v="5"/>
    <n v="10"/>
    <x v="2"/>
    <s v="Belize"/>
    <m/>
    <x v="5"/>
    <s v="Tropical Cyclone"/>
    <s v="Hurricane"/>
    <x v="0"/>
    <x v="0"/>
    <m/>
    <m/>
    <m/>
    <m/>
    <m/>
    <m/>
    <m/>
    <m/>
    <x v="0"/>
    <m/>
    <m/>
    <m/>
    <m/>
    <n v="28500"/>
    <m/>
    <n v="28500"/>
    <n v="5"/>
    <m/>
    <m/>
    <m/>
    <m/>
    <m/>
    <m/>
    <m/>
    <m/>
    <m/>
    <m/>
    <m/>
    <m/>
    <n v="2600"/>
    <m/>
    <m/>
    <m/>
    <m/>
    <n v="90000"/>
    <m/>
    <n v="118500"/>
    <m/>
    <m/>
    <n v="13000"/>
    <x v="26"/>
    <x v="1"/>
    <m/>
    <m/>
    <m/>
    <m/>
    <n v="4903"/>
    <m/>
    <m/>
    <m/>
    <m/>
    <m/>
    <m/>
    <m/>
    <m/>
    <m/>
    <m/>
    <m/>
    <s v="Keith"/>
    <s v="2,600 LDS food parcels + $30,000 for local procurement"/>
  </r>
  <r>
    <m/>
    <n v="32"/>
    <x v="35"/>
    <d v="2000-10-01T00:00:00"/>
    <x v="5"/>
    <n v="6"/>
    <m/>
    <x v="5"/>
    <n v="11"/>
    <x v="3"/>
    <s v="Israel"/>
    <m/>
    <x v="8"/>
    <s v="Conflict"/>
    <s v="Conflict"/>
    <x v="0"/>
    <x v="0"/>
    <m/>
    <m/>
    <m/>
    <m/>
    <m/>
    <m/>
    <m/>
    <m/>
    <x v="0"/>
    <m/>
    <m/>
    <m/>
    <m/>
    <n v="40000"/>
    <m/>
    <n v="40000"/>
    <m/>
    <m/>
    <m/>
    <m/>
    <m/>
    <m/>
    <m/>
    <m/>
    <m/>
    <m/>
    <m/>
    <m/>
    <m/>
    <m/>
    <m/>
    <m/>
    <m/>
    <m/>
    <n v="0"/>
    <m/>
    <n v="40000"/>
    <m/>
    <m/>
    <m/>
    <x v="27"/>
    <x v="1"/>
    <m/>
    <m/>
    <m/>
    <m/>
    <n v="2898"/>
    <m/>
    <m/>
    <m/>
    <m/>
    <m/>
    <m/>
    <m/>
    <m/>
    <m/>
    <m/>
    <m/>
    <m/>
    <s v="CASH"/>
  </r>
  <r>
    <m/>
    <n v="32"/>
    <x v="36"/>
    <d v="2000-10-01T00:00:00"/>
    <x v="5"/>
    <n v="6"/>
    <m/>
    <x v="5"/>
    <n v="11"/>
    <x v="3"/>
    <s v="Jordan"/>
    <m/>
    <x v="8"/>
    <s v="Conflict"/>
    <s v="Conflict"/>
    <x v="0"/>
    <x v="0"/>
    <m/>
    <m/>
    <m/>
    <m/>
    <m/>
    <m/>
    <m/>
    <m/>
    <x v="0"/>
    <m/>
    <m/>
    <m/>
    <m/>
    <m/>
    <m/>
    <n v="0"/>
    <m/>
    <m/>
    <m/>
    <m/>
    <m/>
    <m/>
    <m/>
    <m/>
    <m/>
    <m/>
    <m/>
    <m/>
    <m/>
    <m/>
    <m/>
    <n v="1"/>
    <m/>
    <m/>
    <n v="172000"/>
    <m/>
    <n v="172000"/>
    <m/>
    <m/>
    <m/>
    <x v="28"/>
    <x v="1"/>
    <m/>
    <m/>
    <m/>
    <m/>
    <n v="2898"/>
    <m/>
    <m/>
    <m/>
    <m/>
    <m/>
    <m/>
    <m/>
    <m/>
    <m/>
    <m/>
    <m/>
    <m/>
    <s v="1 ambulance, 1 generator, various med supp/equip"/>
  </r>
  <r>
    <m/>
    <n v="32"/>
    <x v="37"/>
    <d v="2000-10-01T00:00:00"/>
    <x v="5"/>
    <n v="6"/>
    <m/>
    <x v="5"/>
    <n v="11"/>
    <x v="3"/>
    <s v="Palestine"/>
    <m/>
    <x v="8"/>
    <s v="Conflict"/>
    <s v="Conflict"/>
    <x v="0"/>
    <x v="0"/>
    <m/>
    <m/>
    <m/>
    <m/>
    <m/>
    <m/>
    <m/>
    <m/>
    <x v="0"/>
    <m/>
    <m/>
    <m/>
    <m/>
    <m/>
    <m/>
    <n v="0"/>
    <n v="0"/>
    <m/>
    <m/>
    <m/>
    <m/>
    <m/>
    <m/>
    <m/>
    <m/>
    <m/>
    <m/>
    <m/>
    <m/>
    <m/>
    <m/>
    <n v="2"/>
    <m/>
    <m/>
    <n v="90000"/>
    <m/>
    <n v="90000"/>
    <m/>
    <m/>
    <n v="10000"/>
    <x v="29"/>
    <x v="1"/>
    <m/>
    <m/>
    <m/>
    <m/>
    <n v="2898"/>
    <m/>
    <m/>
    <m/>
    <m/>
    <m/>
    <m/>
    <m/>
    <m/>
    <m/>
    <m/>
    <m/>
    <m/>
    <s v="2 ambulances, 1 New Emergency Health Kit"/>
  </r>
  <r>
    <m/>
    <n v="33"/>
    <x v="38"/>
    <d v="2000-11-01T00:00:00"/>
    <x v="5"/>
    <n v="7"/>
    <m/>
    <x v="5"/>
    <n v="12"/>
    <x v="3"/>
    <s v="Taiwan"/>
    <m/>
    <x v="9"/>
    <s v="Air"/>
    <s v="Air"/>
    <x v="0"/>
    <x v="0"/>
    <m/>
    <m/>
    <m/>
    <m/>
    <m/>
    <m/>
    <m/>
    <m/>
    <x v="0"/>
    <m/>
    <m/>
    <m/>
    <m/>
    <m/>
    <m/>
    <n v="0"/>
    <n v="1"/>
    <m/>
    <m/>
    <m/>
    <m/>
    <m/>
    <m/>
    <m/>
    <m/>
    <m/>
    <m/>
    <m/>
    <m/>
    <m/>
    <m/>
    <m/>
    <m/>
    <m/>
    <m/>
    <n v="7500"/>
    <n v="7500"/>
    <m/>
    <m/>
    <n v="300"/>
    <x v="30"/>
    <x v="1"/>
    <m/>
    <m/>
    <m/>
    <m/>
    <n v="2898"/>
    <m/>
    <m/>
    <m/>
    <m/>
    <m/>
    <m/>
    <m/>
    <m/>
    <m/>
    <m/>
    <m/>
    <s v="Singapore Airlines 006"/>
    <s v="liaison on AIR Team"/>
  </r>
  <r>
    <m/>
    <n v="34"/>
    <x v="39"/>
    <d v="2000-11-01T00:00:00"/>
    <x v="5"/>
    <n v="8"/>
    <m/>
    <x v="5"/>
    <n v="13"/>
    <x v="3"/>
    <s v="Austria"/>
    <m/>
    <x v="10"/>
    <s v="Fire"/>
    <s v="Fire"/>
    <x v="0"/>
    <x v="0"/>
    <m/>
    <m/>
    <m/>
    <m/>
    <m/>
    <m/>
    <m/>
    <m/>
    <x v="0"/>
    <m/>
    <m/>
    <m/>
    <m/>
    <m/>
    <m/>
    <n v="0"/>
    <n v="0"/>
    <m/>
    <m/>
    <m/>
    <m/>
    <m/>
    <m/>
    <m/>
    <m/>
    <m/>
    <m/>
    <m/>
    <m/>
    <m/>
    <m/>
    <m/>
    <m/>
    <m/>
    <m/>
    <n v="2577.8000000000002"/>
    <n v="2577.8000000000002"/>
    <m/>
    <m/>
    <n v="3"/>
    <x v="31"/>
    <x v="1"/>
    <m/>
    <m/>
    <m/>
    <m/>
    <n v="2898"/>
    <m/>
    <m/>
    <m/>
    <m/>
    <m/>
    <m/>
    <m/>
    <m/>
    <m/>
    <m/>
    <m/>
    <s v="Cable Car Fire"/>
    <s v="plane tickets for family members via AFES"/>
  </r>
  <r>
    <m/>
    <n v="35"/>
    <x v="40"/>
    <d v="2000-11-01T00:00:00"/>
    <x v="5"/>
    <n v="9"/>
    <m/>
    <x v="5"/>
    <n v="14"/>
    <x v="3"/>
    <s v="Azerbaijan"/>
    <m/>
    <x v="3"/>
    <s v="Earthquake"/>
    <s v="Earthquake"/>
    <x v="0"/>
    <x v="0"/>
    <m/>
    <m/>
    <m/>
    <m/>
    <m/>
    <m/>
    <m/>
    <m/>
    <x v="0"/>
    <m/>
    <m/>
    <m/>
    <m/>
    <m/>
    <m/>
    <n v="0"/>
    <n v="1"/>
    <m/>
    <m/>
    <m/>
    <m/>
    <m/>
    <m/>
    <m/>
    <m/>
    <m/>
    <m/>
    <m/>
    <m/>
    <m/>
    <m/>
    <m/>
    <m/>
    <m/>
    <n v="25000"/>
    <n v="5500"/>
    <n v="30500"/>
    <m/>
    <m/>
    <n v="3050"/>
    <x v="32"/>
    <x v="1"/>
    <m/>
    <m/>
    <m/>
    <m/>
    <n v="2898"/>
    <m/>
    <m/>
    <m/>
    <m/>
    <m/>
    <m/>
    <m/>
    <m/>
    <m/>
    <m/>
    <m/>
    <m/>
    <s v="10 generators, tents &amp; cooking sets. Delegate from Armenia deployed"/>
  </r>
  <r>
    <m/>
    <n v="36"/>
    <x v="41"/>
    <d v="2000-12-01T00:00:00"/>
    <x v="5"/>
    <n v="10"/>
    <m/>
    <x v="5"/>
    <n v="15"/>
    <x v="3"/>
    <s v="Sri Lanka"/>
    <m/>
    <x v="5"/>
    <s v="Tropical Cyclone"/>
    <s v="Cyclone"/>
    <x v="0"/>
    <x v="0"/>
    <m/>
    <m/>
    <m/>
    <m/>
    <m/>
    <m/>
    <m/>
    <m/>
    <x v="0"/>
    <m/>
    <m/>
    <m/>
    <m/>
    <m/>
    <m/>
    <n v="0"/>
    <n v="0"/>
    <m/>
    <m/>
    <m/>
    <m/>
    <m/>
    <m/>
    <m/>
    <m/>
    <m/>
    <m/>
    <m/>
    <m/>
    <m/>
    <m/>
    <m/>
    <m/>
    <m/>
    <n v="20000"/>
    <m/>
    <n v="20000"/>
    <m/>
    <m/>
    <n v="3000"/>
    <x v="25"/>
    <x v="1"/>
    <m/>
    <m/>
    <m/>
    <m/>
    <n v="2898"/>
    <m/>
    <m/>
    <m/>
    <m/>
    <m/>
    <m/>
    <m/>
    <m/>
    <m/>
    <m/>
    <m/>
    <s v="Cyclone 04B"/>
    <s v="Bedsheets and kitchen sets"/>
  </r>
  <r>
    <m/>
    <n v="37"/>
    <x v="42"/>
    <d v="2001-01-01T00:00:00"/>
    <x v="5"/>
    <n v="11"/>
    <m/>
    <x v="6"/>
    <n v="1"/>
    <x v="1"/>
    <s v="South Africa"/>
    <m/>
    <x v="11"/>
    <s v="Bacterial"/>
    <s v="Bacterial"/>
    <x v="0"/>
    <x v="0"/>
    <m/>
    <m/>
    <m/>
    <m/>
    <m/>
    <m/>
    <m/>
    <m/>
    <x v="0"/>
    <m/>
    <n v="0"/>
    <n v="25000"/>
    <m/>
    <m/>
    <m/>
    <n v="25000"/>
    <n v="0"/>
    <m/>
    <m/>
    <m/>
    <m/>
    <m/>
    <m/>
    <m/>
    <m/>
    <m/>
    <m/>
    <m/>
    <m/>
    <m/>
    <m/>
    <m/>
    <m/>
    <m/>
    <m/>
    <m/>
    <n v="25000"/>
    <m/>
    <m/>
    <n v="5000"/>
    <x v="8"/>
    <x v="1"/>
    <m/>
    <m/>
    <m/>
    <m/>
    <n v="2898"/>
    <m/>
    <m/>
    <m/>
    <m/>
    <m/>
    <m/>
    <m/>
    <m/>
    <m/>
    <m/>
    <m/>
    <s v="Cholera Outbreak"/>
    <s v="Federation Appeal 32/00"/>
  </r>
  <r>
    <m/>
    <n v="38"/>
    <x v="43"/>
    <d v="2001-01-01T00:00:00"/>
    <x v="5"/>
    <n v="12"/>
    <m/>
    <x v="6"/>
    <n v="2"/>
    <x v="2"/>
    <s v="El Salvador"/>
    <m/>
    <x v="3"/>
    <s v="Earthquake"/>
    <s v="Earthquake"/>
    <x v="0"/>
    <x v="0"/>
    <m/>
    <m/>
    <m/>
    <m/>
    <m/>
    <m/>
    <m/>
    <m/>
    <x v="0"/>
    <m/>
    <m/>
    <m/>
    <m/>
    <n v="77500"/>
    <m/>
    <n v="77500"/>
    <n v="12"/>
    <m/>
    <m/>
    <m/>
    <m/>
    <m/>
    <m/>
    <m/>
    <m/>
    <m/>
    <m/>
    <m/>
    <m/>
    <m/>
    <m/>
    <m/>
    <m/>
    <m/>
    <n v="150000"/>
    <m/>
    <n v="227500"/>
    <m/>
    <m/>
    <m/>
    <x v="33"/>
    <x v="1"/>
    <m/>
    <m/>
    <m/>
    <m/>
    <n v="2953"/>
    <m/>
    <m/>
    <m/>
    <m/>
    <m/>
    <m/>
    <m/>
    <m/>
    <m/>
    <m/>
    <m/>
    <m/>
    <s v="Cash sent to ARC Delegation in region. Supplies from Regional Warehouses.   Total expenditures as of February 2001, post 2.01 expenditures were rolled into the second El Salvador earthquake."/>
  </r>
  <r>
    <m/>
    <n v="39"/>
    <x v="44"/>
    <d v="2001-01-01T00:00:00"/>
    <x v="5"/>
    <n v="13"/>
    <m/>
    <x v="6"/>
    <n v="3"/>
    <x v="3"/>
    <s v="China"/>
    <m/>
    <x v="5"/>
    <s v="Winter Storm"/>
    <s v="Snowstorm"/>
    <x v="0"/>
    <x v="0"/>
    <m/>
    <m/>
    <m/>
    <m/>
    <m/>
    <m/>
    <m/>
    <m/>
    <x v="0"/>
    <m/>
    <m/>
    <m/>
    <m/>
    <n v="50000"/>
    <m/>
    <n v="50000"/>
    <n v="0"/>
    <m/>
    <m/>
    <m/>
    <m/>
    <m/>
    <m/>
    <m/>
    <m/>
    <m/>
    <m/>
    <m/>
    <m/>
    <m/>
    <m/>
    <m/>
    <m/>
    <m/>
    <m/>
    <m/>
    <n v="50000"/>
    <m/>
    <m/>
    <n v="5000"/>
    <x v="16"/>
    <x v="1"/>
    <m/>
    <m/>
    <m/>
    <m/>
    <n v="2060"/>
    <m/>
    <m/>
    <m/>
    <m/>
    <m/>
    <m/>
    <m/>
    <m/>
    <m/>
    <m/>
    <m/>
    <s v="Inner Mongolia"/>
    <s v="fund to purchase food (wheat), winter clothes and cotton quilts"/>
  </r>
  <r>
    <m/>
    <n v="40"/>
    <x v="45"/>
    <d v="2001-01-01T00:00:00"/>
    <x v="5"/>
    <n v="14"/>
    <m/>
    <x v="6"/>
    <n v="4"/>
    <x v="3"/>
    <s v="India"/>
    <m/>
    <x v="3"/>
    <s v="Earthquake"/>
    <s v="Earthquake"/>
    <x v="2"/>
    <x v="0"/>
    <m/>
    <m/>
    <m/>
    <m/>
    <m/>
    <m/>
    <m/>
    <m/>
    <x v="0"/>
    <m/>
    <n v="1"/>
    <n v="100000"/>
    <m/>
    <n v="25000"/>
    <m/>
    <n v="125000"/>
    <n v="19"/>
    <m/>
    <m/>
    <m/>
    <m/>
    <m/>
    <m/>
    <m/>
    <m/>
    <m/>
    <m/>
    <m/>
    <m/>
    <m/>
    <m/>
    <m/>
    <m/>
    <m/>
    <n v="1371479"/>
    <n v="366481.13"/>
    <n v="1862960.13"/>
    <m/>
    <m/>
    <n v="324495"/>
    <x v="1"/>
    <x v="1"/>
    <m/>
    <m/>
    <m/>
    <m/>
    <n v="2954"/>
    <m/>
    <m/>
    <m/>
    <m/>
    <m/>
    <m/>
    <m/>
    <m/>
    <m/>
    <m/>
    <m/>
    <m/>
    <s v="ARC also served an additional 190,185 beneficiaries by  distributing inputs from other NS.  Total expenditures as of May 2001."/>
  </r>
  <r>
    <m/>
    <n v="41"/>
    <x v="43"/>
    <d v="2001-02-01T00:00:00"/>
    <x v="5"/>
    <n v="15"/>
    <m/>
    <x v="6"/>
    <n v="5"/>
    <x v="2"/>
    <s v="El Salvador"/>
    <m/>
    <x v="3"/>
    <s v="Earthquake"/>
    <s v="Earthquake"/>
    <x v="0"/>
    <x v="0"/>
    <m/>
    <m/>
    <m/>
    <m/>
    <m/>
    <m/>
    <m/>
    <m/>
    <x v="0"/>
    <m/>
    <m/>
    <m/>
    <m/>
    <n v="70000"/>
    <m/>
    <n v="70000"/>
    <n v="8"/>
    <m/>
    <m/>
    <m/>
    <m/>
    <m/>
    <m/>
    <m/>
    <m/>
    <m/>
    <m/>
    <m/>
    <m/>
    <m/>
    <m/>
    <m/>
    <m/>
    <m/>
    <n v="620000"/>
    <m/>
    <n v="690000"/>
    <m/>
    <m/>
    <n v="41628.709446663277"/>
    <x v="34"/>
    <x v="1"/>
    <m/>
    <m/>
    <m/>
    <m/>
    <n v="2953"/>
    <m/>
    <m/>
    <m/>
    <m/>
    <m/>
    <m/>
    <m/>
    <m/>
    <m/>
    <m/>
    <m/>
    <m/>
    <s v="To Purchase Warm cloths, footwear, blankets sheets and left over for food. Total expenditures for both earthquakes in El Salvador through May 2001."/>
  </r>
  <r>
    <m/>
    <n v="42"/>
    <x v="46"/>
    <d v="2001-02-01T00:00:00"/>
    <x v="5"/>
    <n v="16"/>
    <m/>
    <x v="6"/>
    <n v="6"/>
    <x v="1"/>
    <s v="Mozambique"/>
    <m/>
    <x v="2"/>
    <s v="General Floods"/>
    <s v="General Floods"/>
    <x v="0"/>
    <x v="0"/>
    <m/>
    <m/>
    <m/>
    <m/>
    <m/>
    <m/>
    <m/>
    <m/>
    <x v="0"/>
    <m/>
    <m/>
    <m/>
    <m/>
    <m/>
    <m/>
    <n v="0"/>
    <n v="1"/>
    <m/>
    <m/>
    <m/>
    <m/>
    <m/>
    <m/>
    <m/>
    <m/>
    <m/>
    <m/>
    <m/>
    <m/>
    <m/>
    <m/>
    <m/>
    <m/>
    <m/>
    <m/>
    <n v="250000"/>
    <n v="250000"/>
    <m/>
    <m/>
    <n v="75000"/>
    <x v="35"/>
    <x v="1"/>
    <m/>
    <m/>
    <m/>
    <m/>
    <n v="2675"/>
    <m/>
    <m/>
    <m/>
    <m/>
    <m/>
    <m/>
    <m/>
    <m/>
    <m/>
    <m/>
    <m/>
    <m/>
    <s v="Fed Appeal 10/2001;  Includes regional supply purchase; one delegate.  Total expenditure also includes Malawi expense."/>
  </r>
  <r>
    <m/>
    <n v="43"/>
    <x v="47"/>
    <d v="2001-02-01T00:00:00"/>
    <x v="5"/>
    <n v="17"/>
    <m/>
    <x v="6"/>
    <n v="7"/>
    <x v="1"/>
    <s v="Malawi"/>
    <m/>
    <x v="2"/>
    <s v="General Floods"/>
    <s v="General Floods"/>
    <x v="0"/>
    <x v="0"/>
    <m/>
    <m/>
    <m/>
    <m/>
    <m/>
    <m/>
    <m/>
    <m/>
    <x v="0"/>
    <m/>
    <m/>
    <m/>
    <m/>
    <n v="25000"/>
    <m/>
    <n v="25000"/>
    <n v="2"/>
    <m/>
    <m/>
    <m/>
    <m/>
    <m/>
    <m/>
    <m/>
    <m/>
    <m/>
    <m/>
    <m/>
    <m/>
    <m/>
    <m/>
    <m/>
    <m/>
    <m/>
    <n v="149000"/>
    <m/>
    <n v="174000"/>
    <m/>
    <m/>
    <n v="22452"/>
    <x v="36"/>
    <x v="1"/>
    <m/>
    <m/>
    <m/>
    <m/>
    <n v="2675"/>
    <m/>
    <m/>
    <m/>
    <m/>
    <m/>
    <m/>
    <m/>
    <m/>
    <m/>
    <m/>
    <m/>
    <m/>
    <s v="Fed Appeal 9/2001;  49,000 from CCC seeds, tools and water supply.  See Mozambique Total Expenditure (they are combined.)"/>
  </r>
  <r>
    <m/>
    <n v="44"/>
    <x v="48"/>
    <d v="2001-03-01T00:00:00"/>
    <x v="5"/>
    <n v="18"/>
    <m/>
    <x v="6"/>
    <n v="8"/>
    <x v="2"/>
    <s v="Bolivia"/>
    <m/>
    <x v="2"/>
    <s v="General Floods"/>
    <s v="General Floods"/>
    <x v="0"/>
    <x v="0"/>
    <m/>
    <m/>
    <m/>
    <m/>
    <m/>
    <m/>
    <m/>
    <m/>
    <x v="0"/>
    <m/>
    <m/>
    <m/>
    <m/>
    <n v="15000"/>
    <m/>
    <n v="15000"/>
    <n v="0"/>
    <m/>
    <m/>
    <m/>
    <m/>
    <m/>
    <m/>
    <m/>
    <m/>
    <m/>
    <m/>
    <m/>
    <m/>
    <m/>
    <m/>
    <m/>
    <m/>
    <m/>
    <m/>
    <m/>
    <n v="15000"/>
    <m/>
    <m/>
    <n v="1500"/>
    <x v="18"/>
    <x v="1"/>
    <m/>
    <m/>
    <m/>
    <m/>
    <n v="2898"/>
    <m/>
    <m/>
    <m/>
    <m/>
    <m/>
    <m/>
    <m/>
    <m/>
    <m/>
    <m/>
    <m/>
    <m/>
    <s v="Fed Appeal 5/2001"/>
  </r>
  <r>
    <m/>
    <n v="45"/>
    <x v="49"/>
    <d v="2001-03-01T00:00:00"/>
    <x v="5"/>
    <n v="19"/>
    <m/>
    <x v="6"/>
    <n v="9"/>
    <x v="2"/>
    <s v="Peru"/>
    <m/>
    <x v="2"/>
    <s v="General Floods"/>
    <s v="General Floods"/>
    <x v="0"/>
    <x v="0"/>
    <m/>
    <m/>
    <m/>
    <m/>
    <m/>
    <m/>
    <m/>
    <m/>
    <x v="0"/>
    <m/>
    <m/>
    <m/>
    <m/>
    <n v="15000"/>
    <m/>
    <n v="15000"/>
    <n v="0"/>
    <m/>
    <m/>
    <n v="6111"/>
    <m/>
    <m/>
    <n v="5100"/>
    <m/>
    <m/>
    <n v="761"/>
    <m/>
    <m/>
    <m/>
    <m/>
    <n v="250"/>
    <m/>
    <m/>
    <m/>
    <n v="0"/>
    <n v="0"/>
    <n v="15000"/>
    <m/>
    <m/>
    <n v="24805"/>
    <x v="18"/>
    <x v="1"/>
    <m/>
    <m/>
    <m/>
    <m/>
    <n v="2898"/>
    <m/>
    <m/>
    <m/>
    <m/>
    <m/>
    <m/>
    <m/>
    <m/>
    <m/>
    <m/>
    <m/>
    <m/>
    <m/>
  </r>
  <r>
    <m/>
    <n v="46"/>
    <x v="50"/>
    <d v="2001-04-01T00:00:00"/>
    <x v="5"/>
    <n v="20"/>
    <m/>
    <x v="6"/>
    <n v="10"/>
    <x v="4"/>
    <s v="Canada"/>
    <m/>
    <x v="9"/>
    <s v="Road"/>
    <s v="Road"/>
    <x v="0"/>
    <x v="0"/>
    <m/>
    <m/>
    <m/>
    <m/>
    <m/>
    <m/>
    <m/>
    <m/>
    <x v="0"/>
    <m/>
    <m/>
    <m/>
    <m/>
    <m/>
    <m/>
    <n v="0"/>
    <n v="2"/>
    <m/>
    <m/>
    <m/>
    <m/>
    <m/>
    <m/>
    <m/>
    <m/>
    <m/>
    <m/>
    <m/>
    <m/>
    <m/>
    <m/>
    <m/>
    <m/>
    <m/>
    <m/>
    <n v="1000"/>
    <n v="1000"/>
    <m/>
    <m/>
    <m/>
    <x v="37"/>
    <x v="1"/>
    <m/>
    <m/>
    <m/>
    <m/>
    <n v="2898"/>
    <m/>
    <m/>
    <m/>
    <m/>
    <m/>
    <m/>
    <m/>
    <m/>
    <m/>
    <m/>
    <m/>
    <s v="Bus Crash"/>
    <s v="American children survivors"/>
  </r>
  <r>
    <m/>
    <n v="47"/>
    <x v="51"/>
    <d v="2001-05-01T00:00:00"/>
    <x v="5"/>
    <n v="21"/>
    <m/>
    <x v="6"/>
    <n v="11"/>
    <x v="3"/>
    <s v="Russian Fed."/>
    <m/>
    <x v="2"/>
    <s v="General Floods"/>
    <s v="General Floods"/>
    <x v="0"/>
    <x v="0"/>
    <m/>
    <m/>
    <m/>
    <m/>
    <m/>
    <m/>
    <m/>
    <m/>
    <x v="0"/>
    <m/>
    <m/>
    <m/>
    <m/>
    <n v="25000"/>
    <m/>
    <n v="25000"/>
    <n v="0"/>
    <m/>
    <m/>
    <m/>
    <m/>
    <m/>
    <m/>
    <m/>
    <m/>
    <m/>
    <m/>
    <m/>
    <m/>
    <m/>
    <m/>
    <m/>
    <m/>
    <m/>
    <m/>
    <m/>
    <n v="25000"/>
    <m/>
    <m/>
    <n v="3000"/>
    <x v="8"/>
    <x v="1"/>
    <m/>
    <m/>
    <m/>
    <m/>
    <n v="2898"/>
    <m/>
    <m/>
    <m/>
    <m/>
    <m/>
    <m/>
    <m/>
    <m/>
    <m/>
    <m/>
    <m/>
    <m/>
    <s v="Siberia: Procurement of warm cloths, footwear, blankets sheets &amp; food. "/>
  </r>
  <r>
    <m/>
    <n v="48"/>
    <x v="52"/>
    <d v="2001-06-01T00:00:00"/>
    <x v="5"/>
    <n v="22"/>
    <m/>
    <x v="6"/>
    <n v="12"/>
    <x v="3"/>
    <s v="Macedonia"/>
    <m/>
    <x v="8"/>
    <s v="Conflict"/>
    <s v="Conflict"/>
    <x v="0"/>
    <x v="0"/>
    <m/>
    <m/>
    <m/>
    <m/>
    <m/>
    <m/>
    <m/>
    <m/>
    <x v="0"/>
    <m/>
    <m/>
    <m/>
    <m/>
    <m/>
    <m/>
    <n v="0"/>
    <n v="0"/>
    <m/>
    <m/>
    <n v="10000"/>
    <m/>
    <m/>
    <m/>
    <m/>
    <m/>
    <m/>
    <m/>
    <m/>
    <m/>
    <m/>
    <m/>
    <m/>
    <m/>
    <m/>
    <n v="20700"/>
    <m/>
    <n v="20700"/>
    <m/>
    <m/>
    <n v="40000"/>
    <x v="38"/>
    <x v="1"/>
    <m/>
    <m/>
    <m/>
    <m/>
    <n v="2898"/>
    <m/>
    <m/>
    <m/>
    <m/>
    <m/>
    <m/>
    <m/>
    <m/>
    <m/>
    <m/>
    <m/>
    <m/>
    <s v="10,000 family  packets (Currently only 2,300) a family is 4 persons"/>
  </r>
  <r>
    <m/>
    <n v="49"/>
    <x v="53"/>
    <d v="2001-06-01T00:00:00"/>
    <x v="5"/>
    <n v="23"/>
    <m/>
    <x v="6"/>
    <n v="13"/>
    <x v="3"/>
    <s v="Bosnia"/>
    <m/>
    <x v="2"/>
    <s v="General Floods"/>
    <s v="General Floods"/>
    <x v="0"/>
    <x v="0"/>
    <m/>
    <m/>
    <m/>
    <m/>
    <m/>
    <m/>
    <m/>
    <m/>
    <x v="0"/>
    <m/>
    <m/>
    <m/>
    <m/>
    <m/>
    <m/>
    <n v="0"/>
    <n v="0"/>
    <m/>
    <m/>
    <n v="6000"/>
    <m/>
    <m/>
    <n v="6000"/>
    <m/>
    <m/>
    <m/>
    <m/>
    <m/>
    <m/>
    <m/>
    <m/>
    <m/>
    <m/>
    <m/>
    <n v="18000"/>
    <m/>
    <n v="18000"/>
    <m/>
    <m/>
    <n v="6000"/>
    <x v="39"/>
    <x v="1"/>
    <m/>
    <m/>
    <m/>
    <m/>
    <n v="2898"/>
    <m/>
    <m/>
    <m/>
    <m/>
    <m/>
    <m/>
    <m/>
    <m/>
    <m/>
    <m/>
    <m/>
    <m/>
    <s v="Bulgaria stocks"/>
  </r>
  <r>
    <m/>
    <n v="50"/>
    <x v="54"/>
    <d v="2001-06-01T00:00:00"/>
    <x v="5"/>
    <n v="24"/>
    <m/>
    <x v="6"/>
    <n v="14"/>
    <x v="2"/>
    <s v="Peru"/>
    <m/>
    <x v="3"/>
    <s v="Earthquake"/>
    <s v="Earthquake"/>
    <x v="0"/>
    <x v="0"/>
    <m/>
    <m/>
    <m/>
    <m/>
    <m/>
    <m/>
    <m/>
    <m/>
    <x v="0"/>
    <m/>
    <m/>
    <m/>
    <m/>
    <n v="24420"/>
    <m/>
    <n v="24420"/>
    <n v="3"/>
    <m/>
    <m/>
    <n v="6107"/>
    <m/>
    <m/>
    <n v="5100"/>
    <m/>
    <m/>
    <n v="757"/>
    <m/>
    <m/>
    <m/>
    <m/>
    <n v="250"/>
    <m/>
    <m/>
    <m/>
    <n v="361260"/>
    <n v="313450"/>
    <n v="699130"/>
    <m/>
    <m/>
    <n v="15000"/>
    <x v="40"/>
    <x v="1"/>
    <m/>
    <m/>
    <m/>
    <m/>
    <n v="2676"/>
    <m/>
    <m/>
    <m/>
    <m/>
    <m/>
    <m/>
    <m/>
    <m/>
    <m/>
    <m/>
    <m/>
    <m/>
    <s v="plastic sheeting ($81,250), blankets ($12,240), tents ($78,637). Total $271,627 (incl. transport).    tents ($147,706): Total $150,706 (incl. transport).  Replenishment of supplies $50,000"/>
  </r>
  <r>
    <m/>
    <n v="51"/>
    <x v="33"/>
    <d v="2001-07-01T00:00:00"/>
    <x v="6"/>
    <n v="1"/>
    <m/>
    <x v="6"/>
    <n v="15"/>
    <x v="3"/>
    <s v="India"/>
    <m/>
    <x v="2"/>
    <s v="General Floods"/>
    <s v="General Floods"/>
    <x v="3"/>
    <x v="0"/>
    <m/>
    <m/>
    <m/>
    <m/>
    <m/>
    <m/>
    <m/>
    <m/>
    <x v="0"/>
    <m/>
    <m/>
    <m/>
    <m/>
    <m/>
    <m/>
    <n v="0"/>
    <n v="0"/>
    <m/>
    <m/>
    <m/>
    <m/>
    <m/>
    <m/>
    <m/>
    <m/>
    <m/>
    <m/>
    <m/>
    <m/>
    <m/>
    <m/>
    <m/>
    <m/>
    <m/>
    <n v="100000"/>
    <m/>
    <n v="100000"/>
    <m/>
    <m/>
    <n v="10000"/>
    <x v="5"/>
    <x v="1"/>
    <m/>
    <m/>
    <m/>
    <m/>
    <n v="2954"/>
    <m/>
    <m/>
    <m/>
    <m/>
    <m/>
    <m/>
    <m/>
    <m/>
    <m/>
    <m/>
    <m/>
    <m/>
    <m/>
  </r>
  <r>
    <m/>
    <n v="52"/>
    <x v="55"/>
    <d v="2001-08-01T00:00:00"/>
    <x v="6"/>
    <n v="2"/>
    <m/>
    <x v="6"/>
    <n v="16"/>
    <x v="2"/>
    <s v="El Salvador"/>
    <m/>
    <x v="1"/>
    <s v="Drought"/>
    <s v="Drought"/>
    <x v="0"/>
    <x v="0"/>
    <m/>
    <m/>
    <m/>
    <m/>
    <m/>
    <m/>
    <m/>
    <m/>
    <x v="0"/>
    <m/>
    <m/>
    <m/>
    <m/>
    <n v="25000"/>
    <m/>
    <n v="25000"/>
    <n v="5"/>
    <m/>
    <m/>
    <m/>
    <m/>
    <m/>
    <m/>
    <m/>
    <m/>
    <m/>
    <m/>
    <m/>
    <m/>
    <m/>
    <m/>
    <m/>
    <m/>
    <m/>
    <m/>
    <m/>
    <n v="25000"/>
    <m/>
    <m/>
    <n v="5000"/>
    <x v="8"/>
    <x v="1"/>
    <m/>
    <m/>
    <m/>
    <m/>
    <n v="2837"/>
    <m/>
    <m/>
    <m/>
    <m/>
    <m/>
    <m/>
    <m/>
    <m/>
    <m/>
    <m/>
    <m/>
    <m/>
    <s v="$25,000 allocated to each national society to be implemented thr ARC delegations through $12,500 donation to the field delegation and $12,500 matched by the field.  Total expenditures through December 2001."/>
  </r>
  <r>
    <m/>
    <n v="52"/>
    <x v="56"/>
    <d v="2001-08-01T00:00:00"/>
    <x v="6"/>
    <n v="2"/>
    <m/>
    <x v="6"/>
    <n v="16"/>
    <x v="2"/>
    <s v="Honduras"/>
    <m/>
    <x v="1"/>
    <s v="Drought"/>
    <s v="Drought"/>
    <x v="0"/>
    <x v="0"/>
    <m/>
    <m/>
    <m/>
    <m/>
    <m/>
    <m/>
    <m/>
    <m/>
    <x v="0"/>
    <m/>
    <m/>
    <m/>
    <m/>
    <m/>
    <m/>
    <n v="0"/>
    <m/>
    <m/>
    <m/>
    <m/>
    <m/>
    <m/>
    <m/>
    <m/>
    <m/>
    <m/>
    <m/>
    <m/>
    <m/>
    <m/>
    <m/>
    <m/>
    <m/>
    <m/>
    <m/>
    <m/>
    <n v="0"/>
    <m/>
    <m/>
    <m/>
    <x v="7"/>
    <x v="1"/>
    <m/>
    <m/>
    <m/>
    <m/>
    <n v="2837"/>
    <m/>
    <m/>
    <m/>
    <m/>
    <m/>
    <m/>
    <m/>
    <m/>
    <m/>
    <m/>
    <m/>
    <m/>
    <m/>
  </r>
  <r>
    <m/>
    <n v="52"/>
    <x v="57"/>
    <d v="2001-08-01T00:00:00"/>
    <x v="6"/>
    <n v="2"/>
    <m/>
    <x v="6"/>
    <n v="16"/>
    <x v="2"/>
    <s v="Nicaragua"/>
    <m/>
    <x v="1"/>
    <s v="Drought"/>
    <s v="Drought"/>
    <x v="0"/>
    <x v="0"/>
    <m/>
    <m/>
    <m/>
    <m/>
    <m/>
    <m/>
    <m/>
    <m/>
    <x v="0"/>
    <m/>
    <m/>
    <m/>
    <m/>
    <m/>
    <m/>
    <n v="0"/>
    <m/>
    <m/>
    <m/>
    <m/>
    <m/>
    <m/>
    <m/>
    <m/>
    <m/>
    <m/>
    <m/>
    <m/>
    <m/>
    <m/>
    <m/>
    <m/>
    <m/>
    <m/>
    <m/>
    <m/>
    <n v="0"/>
    <m/>
    <m/>
    <m/>
    <x v="7"/>
    <x v="1"/>
    <m/>
    <m/>
    <m/>
    <m/>
    <n v="2837"/>
    <m/>
    <m/>
    <m/>
    <m/>
    <m/>
    <m/>
    <m/>
    <m/>
    <m/>
    <m/>
    <m/>
    <m/>
    <m/>
  </r>
  <r>
    <m/>
    <n v="52"/>
    <x v="58"/>
    <d v="2001-08-01T00:00:00"/>
    <x v="6"/>
    <n v="2"/>
    <m/>
    <x v="6"/>
    <n v="16"/>
    <x v="2"/>
    <s v="Guatemala"/>
    <m/>
    <x v="1"/>
    <s v="Drought"/>
    <s v="Drought"/>
    <x v="0"/>
    <x v="0"/>
    <m/>
    <m/>
    <m/>
    <m/>
    <m/>
    <m/>
    <m/>
    <m/>
    <x v="0"/>
    <m/>
    <m/>
    <m/>
    <m/>
    <m/>
    <m/>
    <n v="0"/>
    <m/>
    <m/>
    <m/>
    <m/>
    <m/>
    <m/>
    <m/>
    <m/>
    <m/>
    <m/>
    <m/>
    <m/>
    <m/>
    <m/>
    <m/>
    <m/>
    <m/>
    <m/>
    <m/>
    <m/>
    <n v="0"/>
    <m/>
    <m/>
    <m/>
    <x v="7"/>
    <x v="1"/>
    <m/>
    <m/>
    <m/>
    <m/>
    <n v="2837"/>
    <m/>
    <m/>
    <m/>
    <m/>
    <m/>
    <m/>
    <m/>
    <m/>
    <m/>
    <m/>
    <m/>
    <m/>
    <m/>
  </r>
  <r>
    <m/>
    <n v="53"/>
    <x v="59"/>
    <d v="2001-09-01T00:00:00"/>
    <x v="6"/>
    <n v="3"/>
    <m/>
    <x v="6"/>
    <n v="17"/>
    <x v="2"/>
    <s v="Ecuador"/>
    <m/>
    <x v="4"/>
    <s v="Volcanic Eruption"/>
    <s v="Volcanic Eruption"/>
    <x v="0"/>
    <x v="0"/>
    <m/>
    <m/>
    <m/>
    <m/>
    <m/>
    <m/>
    <m/>
    <m/>
    <x v="0"/>
    <m/>
    <m/>
    <m/>
    <m/>
    <n v="10000"/>
    <m/>
    <n v="10000"/>
    <m/>
    <m/>
    <m/>
    <m/>
    <m/>
    <m/>
    <m/>
    <m/>
    <m/>
    <m/>
    <m/>
    <m/>
    <m/>
    <m/>
    <m/>
    <m/>
    <m/>
    <m/>
    <m/>
    <m/>
    <n v="10000"/>
    <m/>
    <m/>
    <n v="1000"/>
    <x v="6"/>
    <x v="1"/>
    <m/>
    <m/>
    <m/>
    <m/>
    <n v="2898"/>
    <m/>
    <m/>
    <m/>
    <m/>
    <m/>
    <m/>
    <m/>
    <m/>
    <m/>
    <m/>
    <m/>
    <m/>
    <s v="$10,000 from IDRU in addition to $10,000 from the Americas Region to the Ecuador Red Cross for the Tungurahua Volcano Ash Fall "/>
  </r>
  <r>
    <m/>
    <n v="54"/>
    <x v="60"/>
    <d v="2001-09-01T00:00:00"/>
    <x v="6"/>
    <n v="4"/>
    <m/>
    <x v="6"/>
    <n v="18"/>
    <x v="3"/>
    <s v="Afghanistan"/>
    <m/>
    <x v="8"/>
    <s v="Conflict"/>
    <s v="Conflict"/>
    <x v="0"/>
    <x v="0"/>
    <m/>
    <m/>
    <m/>
    <m/>
    <m/>
    <m/>
    <m/>
    <m/>
    <x v="0"/>
    <m/>
    <m/>
    <m/>
    <m/>
    <m/>
    <m/>
    <n v="0"/>
    <n v="12"/>
    <m/>
    <m/>
    <m/>
    <m/>
    <m/>
    <m/>
    <m/>
    <m/>
    <m/>
    <m/>
    <m/>
    <m/>
    <m/>
    <m/>
    <m/>
    <m/>
    <m/>
    <n v="2032231"/>
    <n v="200000"/>
    <n v="2232231"/>
    <n v="9767769"/>
    <m/>
    <n v="380000"/>
    <x v="41"/>
    <x v="1"/>
    <m/>
    <m/>
    <m/>
    <m/>
    <n v="2677"/>
    <m/>
    <m/>
    <m/>
    <m/>
    <m/>
    <m/>
    <m/>
    <m/>
    <m/>
    <m/>
    <m/>
    <m/>
    <s v="AFAC is a partnership with the White House.  Final report issued in August 2006."/>
  </r>
  <r>
    <m/>
    <n v="54"/>
    <x v="61"/>
    <d v="2001-09-01T00:00:00"/>
    <x v="6"/>
    <n v="4"/>
    <m/>
    <x v="6"/>
    <n v="18"/>
    <x v="3"/>
    <s v="Pakistan"/>
    <m/>
    <x v="8"/>
    <s v="Conflict"/>
    <s v="Conflict"/>
    <x v="0"/>
    <x v="0"/>
    <m/>
    <m/>
    <m/>
    <m/>
    <m/>
    <m/>
    <m/>
    <m/>
    <x v="0"/>
    <m/>
    <m/>
    <m/>
    <m/>
    <m/>
    <m/>
    <n v="0"/>
    <m/>
    <m/>
    <m/>
    <m/>
    <m/>
    <m/>
    <m/>
    <m/>
    <m/>
    <m/>
    <m/>
    <m/>
    <m/>
    <m/>
    <m/>
    <m/>
    <m/>
    <m/>
    <m/>
    <m/>
    <n v="0"/>
    <m/>
    <m/>
    <m/>
    <x v="7"/>
    <x v="1"/>
    <m/>
    <m/>
    <m/>
    <m/>
    <n v="2677"/>
    <m/>
    <m/>
    <m/>
    <m/>
    <m/>
    <m/>
    <m/>
    <m/>
    <m/>
    <m/>
    <m/>
    <m/>
    <m/>
  </r>
  <r>
    <m/>
    <n v="54"/>
    <x v="62"/>
    <d v="2001-09-01T00:00:00"/>
    <x v="6"/>
    <n v="4"/>
    <m/>
    <x v="6"/>
    <n v="18"/>
    <x v="3"/>
    <s v="Uzbekistan"/>
    <m/>
    <x v="8"/>
    <s v="Conflict"/>
    <s v="Conflict"/>
    <x v="0"/>
    <x v="0"/>
    <m/>
    <m/>
    <m/>
    <m/>
    <m/>
    <m/>
    <m/>
    <m/>
    <x v="0"/>
    <m/>
    <m/>
    <m/>
    <m/>
    <m/>
    <m/>
    <n v="0"/>
    <m/>
    <m/>
    <m/>
    <m/>
    <m/>
    <m/>
    <m/>
    <m/>
    <m/>
    <m/>
    <m/>
    <m/>
    <m/>
    <m/>
    <m/>
    <m/>
    <m/>
    <m/>
    <m/>
    <m/>
    <n v="0"/>
    <m/>
    <m/>
    <m/>
    <x v="7"/>
    <x v="1"/>
    <m/>
    <m/>
    <m/>
    <m/>
    <n v="2677"/>
    <m/>
    <m/>
    <m/>
    <m/>
    <m/>
    <m/>
    <m/>
    <m/>
    <m/>
    <m/>
    <m/>
    <m/>
    <m/>
  </r>
  <r>
    <m/>
    <n v="54"/>
    <x v="63"/>
    <d v="2001-09-01T00:00:00"/>
    <x v="6"/>
    <n v="4"/>
    <m/>
    <x v="6"/>
    <n v="18"/>
    <x v="3"/>
    <s v="Iran"/>
    <m/>
    <x v="8"/>
    <s v="Conflict"/>
    <s v="Conflict"/>
    <x v="0"/>
    <x v="0"/>
    <m/>
    <m/>
    <m/>
    <m/>
    <m/>
    <m/>
    <m/>
    <m/>
    <x v="0"/>
    <m/>
    <m/>
    <m/>
    <m/>
    <m/>
    <m/>
    <n v="0"/>
    <m/>
    <m/>
    <m/>
    <m/>
    <m/>
    <m/>
    <m/>
    <m/>
    <m/>
    <m/>
    <m/>
    <m/>
    <m/>
    <m/>
    <m/>
    <m/>
    <m/>
    <m/>
    <m/>
    <m/>
    <n v="0"/>
    <m/>
    <m/>
    <m/>
    <x v="7"/>
    <x v="1"/>
    <m/>
    <m/>
    <m/>
    <m/>
    <n v="2677"/>
    <m/>
    <m/>
    <m/>
    <m/>
    <m/>
    <m/>
    <m/>
    <m/>
    <m/>
    <m/>
    <m/>
    <m/>
    <m/>
  </r>
  <r>
    <m/>
    <n v="54"/>
    <x v="64"/>
    <d v="2001-09-01T00:00:00"/>
    <x v="6"/>
    <n v="4"/>
    <m/>
    <x v="6"/>
    <n v="18"/>
    <x v="3"/>
    <s v="Turkmenistan"/>
    <m/>
    <x v="8"/>
    <s v="Conflict"/>
    <s v="Conflict"/>
    <x v="0"/>
    <x v="0"/>
    <m/>
    <m/>
    <m/>
    <m/>
    <m/>
    <m/>
    <m/>
    <m/>
    <x v="0"/>
    <m/>
    <m/>
    <m/>
    <m/>
    <m/>
    <m/>
    <n v="0"/>
    <m/>
    <m/>
    <m/>
    <m/>
    <m/>
    <m/>
    <m/>
    <m/>
    <m/>
    <m/>
    <m/>
    <m/>
    <m/>
    <m/>
    <m/>
    <m/>
    <m/>
    <m/>
    <m/>
    <m/>
    <n v="0"/>
    <m/>
    <m/>
    <m/>
    <x v="7"/>
    <x v="1"/>
    <m/>
    <m/>
    <m/>
    <m/>
    <n v="2677"/>
    <m/>
    <m/>
    <m/>
    <m/>
    <m/>
    <m/>
    <m/>
    <m/>
    <m/>
    <m/>
    <m/>
    <m/>
    <m/>
  </r>
  <r>
    <m/>
    <n v="55"/>
    <x v="65"/>
    <d v="2001-09-01T00:00:00"/>
    <x v="6"/>
    <n v="5"/>
    <m/>
    <x v="6"/>
    <n v="19"/>
    <x v="4"/>
    <s v="US"/>
    <m/>
    <x v="12"/>
    <s v="Terrorism"/>
    <s v="Terrorism"/>
    <x v="0"/>
    <x v="0"/>
    <m/>
    <m/>
    <m/>
    <m/>
    <m/>
    <m/>
    <m/>
    <m/>
    <x v="0"/>
    <m/>
    <m/>
    <m/>
    <m/>
    <n v="3257775.37"/>
    <m/>
    <n v="3257775.37"/>
    <n v="30"/>
    <m/>
    <m/>
    <m/>
    <m/>
    <m/>
    <m/>
    <m/>
    <m/>
    <m/>
    <m/>
    <m/>
    <m/>
    <m/>
    <m/>
    <m/>
    <m/>
    <m/>
    <n v="0"/>
    <n v="257704"/>
    <n v="3515479.37"/>
    <m/>
    <m/>
    <n v="2622"/>
    <x v="42"/>
    <x v="1"/>
    <m/>
    <m/>
    <m/>
    <m/>
    <n v="4949"/>
    <m/>
    <m/>
    <m/>
    <m/>
    <m/>
    <m/>
    <m/>
    <m/>
    <m/>
    <m/>
    <m/>
    <d v="2008-09-11T00:00:00"/>
    <s v="The $3,084,914.31 distributed was to international families of victims of the terrorist attacks.   Beneficiaries: 6 members per each family assisted."/>
  </r>
  <r>
    <m/>
    <n v="56"/>
    <x v="66"/>
    <d v="2001-09-01T00:00:00"/>
    <x v="6"/>
    <n v="6"/>
    <m/>
    <x v="6"/>
    <n v="20"/>
    <x v="2"/>
    <s v="Mexico"/>
    <m/>
    <x v="9"/>
    <s v="Air"/>
    <s v="Air"/>
    <x v="0"/>
    <x v="0"/>
    <m/>
    <m/>
    <m/>
    <m/>
    <m/>
    <m/>
    <m/>
    <m/>
    <x v="0"/>
    <m/>
    <m/>
    <m/>
    <m/>
    <m/>
    <m/>
    <n v="0"/>
    <n v="4"/>
    <m/>
    <m/>
    <m/>
    <m/>
    <m/>
    <m/>
    <m/>
    <m/>
    <m/>
    <m/>
    <m/>
    <m/>
    <m/>
    <m/>
    <m/>
    <m/>
    <m/>
    <n v="0"/>
    <n v="15000"/>
    <n v="15000"/>
    <m/>
    <m/>
    <n v="95"/>
    <x v="18"/>
    <x v="1"/>
    <m/>
    <m/>
    <m/>
    <m/>
    <n v="2679"/>
    <m/>
    <m/>
    <m/>
    <m/>
    <m/>
    <m/>
    <m/>
    <m/>
    <m/>
    <m/>
    <m/>
    <s v="Plane Crash"/>
    <s v="Financial contribution made to memorial; beneficiaries: 5 members per each family assisted."/>
  </r>
  <r>
    <m/>
    <n v="57"/>
    <x v="67"/>
    <d v="2001-10-01T00:00:00"/>
    <x v="6"/>
    <n v="7"/>
    <m/>
    <x v="6"/>
    <n v="21"/>
    <x v="2"/>
    <s v="Mexico"/>
    <m/>
    <x v="5"/>
    <s v="Tropical Cyclone"/>
    <s v="Hurricane"/>
    <x v="0"/>
    <x v="0"/>
    <m/>
    <m/>
    <m/>
    <m/>
    <m/>
    <m/>
    <m/>
    <m/>
    <x v="0"/>
    <m/>
    <m/>
    <m/>
    <m/>
    <n v="25000"/>
    <m/>
    <n v="25000"/>
    <n v="1"/>
    <m/>
    <m/>
    <m/>
    <m/>
    <m/>
    <m/>
    <m/>
    <m/>
    <m/>
    <m/>
    <m/>
    <m/>
    <m/>
    <m/>
    <m/>
    <m/>
    <m/>
    <m/>
    <m/>
    <n v="25000"/>
    <m/>
    <m/>
    <n v="5000"/>
    <x v="8"/>
    <x v="1"/>
    <m/>
    <m/>
    <m/>
    <m/>
    <n v="2898"/>
    <m/>
    <m/>
    <m/>
    <m/>
    <m/>
    <m/>
    <m/>
    <m/>
    <m/>
    <m/>
    <m/>
    <s v="Juliette"/>
    <s v="Financial contribution designated for relief supplies.  Beneficiaries: 5 members per each family assisted."/>
  </r>
  <r>
    <m/>
    <n v="58"/>
    <x v="68"/>
    <d v="2001-10-01T00:00:00"/>
    <x v="6"/>
    <n v="8"/>
    <m/>
    <x v="6"/>
    <n v="22"/>
    <x v="2"/>
    <s v="Belize"/>
    <m/>
    <x v="13"/>
    <s v="Tropical Cyclone"/>
    <s v="Hurricane"/>
    <x v="0"/>
    <x v="0"/>
    <m/>
    <m/>
    <m/>
    <m/>
    <m/>
    <m/>
    <m/>
    <m/>
    <x v="0"/>
    <m/>
    <m/>
    <m/>
    <m/>
    <n v="25000"/>
    <m/>
    <n v="25000"/>
    <n v="3"/>
    <m/>
    <m/>
    <m/>
    <m/>
    <m/>
    <m/>
    <m/>
    <m/>
    <m/>
    <m/>
    <m/>
    <m/>
    <m/>
    <m/>
    <m/>
    <m/>
    <m/>
    <n v="69000"/>
    <n v="3982"/>
    <n v="97982"/>
    <m/>
    <m/>
    <n v="5000"/>
    <x v="43"/>
    <x v="1"/>
    <m/>
    <m/>
    <m/>
    <m/>
    <n v="2678"/>
    <m/>
    <m/>
    <m/>
    <m/>
    <m/>
    <m/>
    <m/>
    <m/>
    <m/>
    <m/>
    <m/>
    <s v="Iris"/>
    <s v="$20,000 for hygiene kits; $19,000 given to Guatemala ARC delegation for hygiene kits and $50,000 in relief supplies to BRC."/>
  </r>
  <r>
    <m/>
    <n v="59"/>
    <x v="69"/>
    <d v="2001-10-01T00:00:00"/>
    <x v="6"/>
    <n v="9"/>
    <m/>
    <x v="6"/>
    <n v="23"/>
    <x v="2"/>
    <s v="Belize"/>
    <m/>
    <x v="9"/>
    <s v="Water"/>
    <s v="Water"/>
    <x v="0"/>
    <x v="0"/>
    <m/>
    <m/>
    <m/>
    <m/>
    <m/>
    <m/>
    <m/>
    <m/>
    <x v="0"/>
    <m/>
    <m/>
    <m/>
    <m/>
    <m/>
    <m/>
    <n v="0"/>
    <n v="2"/>
    <m/>
    <m/>
    <m/>
    <m/>
    <m/>
    <m/>
    <m/>
    <m/>
    <m/>
    <m/>
    <m/>
    <m/>
    <m/>
    <m/>
    <m/>
    <m/>
    <m/>
    <n v="0"/>
    <n v="4400"/>
    <n v="4400"/>
    <m/>
    <m/>
    <n v="135"/>
    <x v="44"/>
    <x v="1"/>
    <m/>
    <m/>
    <m/>
    <m/>
    <n v="2898"/>
    <m/>
    <m/>
    <m/>
    <m/>
    <m/>
    <m/>
    <m/>
    <m/>
    <m/>
    <m/>
    <m/>
    <s v="Boat Crash"/>
    <s v="Beneficiaries calculated at 5 family members per each 27 families assisted."/>
  </r>
  <r>
    <m/>
    <n v="60"/>
    <x v="70"/>
    <d v="2001-10-01T00:00:00"/>
    <x v="6"/>
    <n v="10"/>
    <m/>
    <x v="6"/>
    <n v="24"/>
    <x v="2"/>
    <s v="Honduras"/>
    <m/>
    <x v="5"/>
    <s v="Tropical Cyclone"/>
    <s v="Tropical Storm"/>
    <x v="0"/>
    <x v="0"/>
    <m/>
    <m/>
    <m/>
    <m/>
    <m/>
    <m/>
    <m/>
    <m/>
    <x v="0"/>
    <m/>
    <m/>
    <m/>
    <m/>
    <m/>
    <m/>
    <n v="0"/>
    <m/>
    <m/>
    <m/>
    <m/>
    <m/>
    <m/>
    <m/>
    <m/>
    <m/>
    <m/>
    <m/>
    <m/>
    <m/>
    <m/>
    <m/>
    <m/>
    <m/>
    <m/>
    <m/>
    <m/>
    <n v="0"/>
    <m/>
    <m/>
    <m/>
    <x v="7"/>
    <x v="1"/>
    <m/>
    <m/>
    <m/>
    <m/>
    <n v="2898"/>
    <m/>
    <m/>
    <m/>
    <m/>
    <m/>
    <m/>
    <m/>
    <m/>
    <m/>
    <m/>
    <m/>
    <s v="Michelle"/>
    <m/>
  </r>
  <r>
    <m/>
    <n v="60"/>
    <x v="71"/>
    <d v="2001-11-01T00:00:00"/>
    <x v="6"/>
    <n v="10"/>
    <m/>
    <x v="6"/>
    <n v="24"/>
    <x v="2"/>
    <s v="Nicaragua"/>
    <m/>
    <x v="5"/>
    <s v="Tropical Cyclone"/>
    <s v="Tropical Storm"/>
    <x v="0"/>
    <x v="0"/>
    <m/>
    <m/>
    <m/>
    <m/>
    <m/>
    <m/>
    <m/>
    <m/>
    <x v="0"/>
    <m/>
    <m/>
    <m/>
    <m/>
    <m/>
    <m/>
    <n v="0"/>
    <m/>
    <m/>
    <m/>
    <m/>
    <m/>
    <m/>
    <m/>
    <m/>
    <m/>
    <m/>
    <m/>
    <m/>
    <m/>
    <m/>
    <m/>
    <m/>
    <m/>
    <m/>
    <m/>
    <n v="60000"/>
    <n v="60000"/>
    <m/>
    <m/>
    <n v="5000"/>
    <x v="45"/>
    <x v="1"/>
    <m/>
    <m/>
    <m/>
    <m/>
    <n v="2898"/>
    <m/>
    <m/>
    <m/>
    <m/>
    <m/>
    <m/>
    <m/>
    <m/>
    <m/>
    <m/>
    <m/>
    <s v="Michelle"/>
    <s v="$10,000 from Nicaragua delegation for procurement of relief supplies.  $50,000 from OFDA for Honduras. (The 1,000 families assisted were in Honduras through the Emergency Food Rations) "/>
  </r>
  <r>
    <m/>
    <n v="60"/>
    <x v="72"/>
    <d v="2001-11-01T00:00:00"/>
    <x v="6"/>
    <n v="10"/>
    <m/>
    <x v="6"/>
    <n v="24"/>
    <x v="2"/>
    <s v="Cuba"/>
    <m/>
    <x v="5"/>
    <s v="Tropical Cyclone"/>
    <s v="Tropical Storm"/>
    <x v="0"/>
    <x v="0"/>
    <m/>
    <m/>
    <m/>
    <m/>
    <m/>
    <m/>
    <m/>
    <m/>
    <x v="0"/>
    <m/>
    <m/>
    <m/>
    <m/>
    <m/>
    <m/>
    <n v="0"/>
    <m/>
    <m/>
    <m/>
    <m/>
    <m/>
    <m/>
    <m/>
    <m/>
    <m/>
    <m/>
    <m/>
    <m/>
    <m/>
    <m/>
    <m/>
    <m/>
    <m/>
    <m/>
    <m/>
    <m/>
    <n v="0"/>
    <m/>
    <m/>
    <m/>
    <x v="7"/>
    <x v="1"/>
    <m/>
    <m/>
    <m/>
    <m/>
    <n v="2898"/>
    <m/>
    <m/>
    <m/>
    <m/>
    <m/>
    <m/>
    <m/>
    <m/>
    <m/>
    <m/>
    <m/>
    <s v="Michelle"/>
    <m/>
  </r>
  <r>
    <m/>
    <n v="60"/>
    <x v="73"/>
    <d v="2001-11-01T00:00:00"/>
    <x v="6"/>
    <n v="10"/>
    <m/>
    <x v="6"/>
    <n v="24"/>
    <x v="2"/>
    <s v="Jamaica"/>
    <m/>
    <x v="5"/>
    <s v="Tropical Cyclone"/>
    <s v="Tropical Storm"/>
    <x v="0"/>
    <x v="0"/>
    <m/>
    <m/>
    <m/>
    <m/>
    <m/>
    <m/>
    <m/>
    <m/>
    <x v="0"/>
    <m/>
    <m/>
    <m/>
    <m/>
    <n v="5000"/>
    <m/>
    <n v="5000"/>
    <m/>
    <m/>
    <m/>
    <m/>
    <m/>
    <m/>
    <m/>
    <m/>
    <m/>
    <m/>
    <m/>
    <m/>
    <m/>
    <m/>
    <m/>
    <m/>
    <m/>
    <m/>
    <m/>
    <m/>
    <n v="5000"/>
    <m/>
    <m/>
    <m/>
    <x v="46"/>
    <x v="1"/>
    <m/>
    <m/>
    <m/>
    <m/>
    <n v="2898"/>
    <m/>
    <m/>
    <m/>
    <m/>
    <m/>
    <m/>
    <m/>
    <m/>
    <m/>
    <m/>
    <m/>
    <s v="Michelle"/>
    <m/>
  </r>
  <r>
    <m/>
    <n v="61"/>
    <x v="13"/>
    <d v="2001-11-01T00:00:00"/>
    <x v="6"/>
    <n v="11"/>
    <m/>
    <x v="6"/>
    <n v="25"/>
    <x v="2"/>
    <s v="Bahamas"/>
    <m/>
    <x v="5"/>
    <s v="Tropical Cyclone"/>
    <s v="Tropical Storm"/>
    <x v="0"/>
    <x v="0"/>
    <m/>
    <m/>
    <m/>
    <m/>
    <m/>
    <m/>
    <m/>
    <m/>
    <x v="0"/>
    <m/>
    <m/>
    <m/>
    <m/>
    <n v="5000"/>
    <m/>
    <n v="5000"/>
    <n v="0"/>
    <m/>
    <m/>
    <m/>
    <m/>
    <m/>
    <m/>
    <m/>
    <m/>
    <m/>
    <m/>
    <m/>
    <m/>
    <m/>
    <m/>
    <m/>
    <m/>
    <m/>
    <m/>
    <m/>
    <n v="5000"/>
    <m/>
    <m/>
    <m/>
    <x v="46"/>
    <x v="1"/>
    <m/>
    <m/>
    <m/>
    <m/>
    <n v="2898"/>
    <m/>
    <m/>
    <m/>
    <m/>
    <m/>
    <m/>
    <m/>
    <m/>
    <m/>
    <m/>
    <m/>
    <s v="Michelle"/>
    <m/>
  </r>
  <r>
    <m/>
    <n v="62"/>
    <x v="74"/>
    <d v="2001-11-01T00:00:00"/>
    <x v="6"/>
    <n v="12"/>
    <m/>
    <x v="6"/>
    <n v="26"/>
    <x v="4"/>
    <s v="US"/>
    <m/>
    <x v="9"/>
    <s v="Air"/>
    <s v="Air"/>
    <x v="0"/>
    <x v="0"/>
    <m/>
    <m/>
    <m/>
    <m/>
    <m/>
    <m/>
    <m/>
    <m/>
    <x v="0"/>
    <m/>
    <m/>
    <m/>
    <m/>
    <m/>
    <m/>
    <n v="0"/>
    <n v="5"/>
    <m/>
    <m/>
    <m/>
    <m/>
    <m/>
    <m/>
    <m/>
    <m/>
    <m/>
    <m/>
    <m/>
    <m/>
    <m/>
    <m/>
    <m/>
    <m/>
    <m/>
    <n v="0"/>
    <n v="500"/>
    <n v="500"/>
    <m/>
    <m/>
    <m/>
    <x v="47"/>
    <x v="1"/>
    <m/>
    <m/>
    <m/>
    <m/>
    <n v="2680"/>
    <m/>
    <m/>
    <m/>
    <m/>
    <m/>
    <m/>
    <m/>
    <m/>
    <m/>
    <m/>
    <m/>
    <s v="AA #587"/>
    <s v="Crash of AA 587 to D.R.  Beneficiaries calculated at 5 family members per each 260 families assisted."/>
  </r>
  <r>
    <m/>
    <n v="63"/>
    <x v="75"/>
    <d v="2002-01-01T00:00:00"/>
    <x v="6"/>
    <n v="13"/>
    <m/>
    <x v="7"/>
    <n v="1"/>
    <x v="3"/>
    <s v="Cambodia"/>
    <m/>
    <x v="10"/>
    <s v="Fire"/>
    <s v="Urban Fire"/>
    <x v="0"/>
    <x v="0"/>
    <m/>
    <m/>
    <m/>
    <m/>
    <m/>
    <m/>
    <m/>
    <m/>
    <x v="0"/>
    <m/>
    <m/>
    <m/>
    <m/>
    <m/>
    <m/>
    <n v="0"/>
    <m/>
    <m/>
    <m/>
    <m/>
    <m/>
    <m/>
    <m/>
    <m/>
    <m/>
    <m/>
    <m/>
    <m/>
    <m/>
    <m/>
    <m/>
    <m/>
    <m/>
    <m/>
    <n v="10000"/>
    <m/>
    <n v="10000"/>
    <m/>
    <m/>
    <n v="2079"/>
    <x v="6"/>
    <x v="1"/>
    <m/>
    <m/>
    <m/>
    <m/>
    <n v="2898"/>
    <m/>
    <m/>
    <m/>
    <m/>
    <m/>
    <m/>
    <m/>
    <m/>
    <m/>
    <m/>
    <m/>
    <s v="Phnom Penh"/>
    <m/>
  </r>
  <r>
    <m/>
    <n v="64"/>
    <x v="76"/>
    <d v="2002-01-01T00:00:00"/>
    <x v="6"/>
    <n v="14"/>
    <m/>
    <x v="7"/>
    <n v="2"/>
    <x v="3"/>
    <s v="Albania"/>
    <m/>
    <x v="5"/>
    <s v="Winter Emergency"/>
    <m/>
    <x v="0"/>
    <x v="0"/>
    <m/>
    <m/>
    <m/>
    <m/>
    <m/>
    <m/>
    <m/>
    <m/>
    <x v="0"/>
    <m/>
    <m/>
    <m/>
    <m/>
    <m/>
    <m/>
    <n v="0"/>
    <n v="1"/>
    <m/>
    <m/>
    <m/>
    <m/>
    <m/>
    <m/>
    <m/>
    <m/>
    <m/>
    <m/>
    <m/>
    <m/>
    <m/>
    <m/>
    <m/>
    <m/>
    <m/>
    <n v="71832"/>
    <m/>
    <n v="71832"/>
    <m/>
    <m/>
    <n v="20000"/>
    <x v="48"/>
    <x v="1"/>
    <m/>
    <m/>
    <m/>
    <m/>
    <n v="2898"/>
    <m/>
    <m/>
    <m/>
    <m/>
    <m/>
    <m/>
    <m/>
    <m/>
    <m/>
    <m/>
    <m/>
    <m/>
    <s v="Beneficiaries calculated at 5 family members per the 4,000 families assisted."/>
  </r>
  <r>
    <m/>
    <n v="65"/>
    <x v="77"/>
    <d v="2002-01-01T00:00:00"/>
    <x v="6"/>
    <n v="15"/>
    <m/>
    <x v="7"/>
    <n v="3"/>
    <x v="1"/>
    <s v="DR Congo"/>
    <m/>
    <x v="4"/>
    <s v="Volcanic Eruption"/>
    <s v="Volcanic Eruption"/>
    <x v="0"/>
    <x v="0"/>
    <m/>
    <m/>
    <m/>
    <m/>
    <m/>
    <m/>
    <m/>
    <m/>
    <x v="0"/>
    <m/>
    <n v="0"/>
    <n v="25000"/>
    <m/>
    <m/>
    <m/>
    <n v="25000"/>
    <m/>
    <m/>
    <m/>
    <m/>
    <m/>
    <m/>
    <m/>
    <m/>
    <m/>
    <m/>
    <m/>
    <m/>
    <m/>
    <m/>
    <m/>
    <m/>
    <m/>
    <m/>
    <n v="20000"/>
    <m/>
    <n v="45000"/>
    <m/>
    <m/>
    <n v="30000"/>
    <x v="49"/>
    <x v="1"/>
    <m/>
    <m/>
    <m/>
    <m/>
    <n v="2681"/>
    <m/>
    <m/>
    <m/>
    <m/>
    <m/>
    <m/>
    <m/>
    <m/>
    <m/>
    <m/>
    <m/>
    <s v="North Kivu"/>
    <s v="3 NEHK (approx. value $20,000 incl. transport) = 30,000 people for 3 months."/>
  </r>
  <r>
    <m/>
    <n v="66"/>
    <x v="78"/>
    <d v="2002-01-01T00:00:00"/>
    <x v="6"/>
    <n v="17"/>
    <m/>
    <x v="7"/>
    <n v="5"/>
    <x v="1"/>
    <s v="Nigeria"/>
    <m/>
    <x v="6"/>
    <s v="Explosion"/>
    <s v="Explosion"/>
    <x v="0"/>
    <x v="0"/>
    <m/>
    <m/>
    <m/>
    <m/>
    <m/>
    <m/>
    <m/>
    <m/>
    <x v="0"/>
    <m/>
    <n v="0"/>
    <n v="21612.23"/>
    <m/>
    <m/>
    <m/>
    <n v="21612.23"/>
    <m/>
    <m/>
    <m/>
    <m/>
    <m/>
    <m/>
    <m/>
    <m/>
    <m/>
    <m/>
    <m/>
    <m/>
    <m/>
    <m/>
    <m/>
    <m/>
    <m/>
    <m/>
    <m/>
    <m/>
    <n v="21612.23"/>
    <m/>
    <m/>
    <n v="677.77942515832501"/>
    <x v="50"/>
    <x v="1"/>
    <m/>
    <m/>
    <m/>
    <m/>
    <n v="2682"/>
    <m/>
    <m/>
    <m/>
    <m/>
    <m/>
    <m/>
    <m/>
    <m/>
    <m/>
    <m/>
    <m/>
    <s v="Munitions Explosion"/>
    <s v="$20,000 Citicorp donation; $1,612.23 PMN sent to Federation 22 August 03"/>
  </r>
  <r>
    <m/>
    <n v="67"/>
    <x v="9"/>
    <d v="2002-02-01T00:00:00"/>
    <x v="6"/>
    <n v="16"/>
    <m/>
    <x v="7"/>
    <n v="4"/>
    <x v="3"/>
    <s v="Turkey"/>
    <m/>
    <x v="3"/>
    <s v="Earthquake"/>
    <s v="Earthquake"/>
    <x v="0"/>
    <x v="0"/>
    <m/>
    <m/>
    <m/>
    <m/>
    <m/>
    <m/>
    <m/>
    <m/>
    <x v="0"/>
    <m/>
    <m/>
    <m/>
    <m/>
    <m/>
    <m/>
    <n v="0"/>
    <n v="1"/>
    <m/>
    <m/>
    <m/>
    <m/>
    <m/>
    <m/>
    <m/>
    <m/>
    <m/>
    <m/>
    <m/>
    <m/>
    <m/>
    <m/>
    <m/>
    <m/>
    <m/>
    <n v="350424.24"/>
    <m/>
    <n v="350424.24"/>
    <m/>
    <m/>
    <n v="49315"/>
    <x v="51"/>
    <x v="1"/>
    <m/>
    <m/>
    <m/>
    <m/>
    <n v="2814"/>
    <m/>
    <m/>
    <m/>
    <m/>
    <m/>
    <m/>
    <m/>
    <m/>
    <m/>
    <m/>
    <m/>
    <m/>
    <m/>
  </r>
  <r>
    <m/>
    <n v="68"/>
    <x v="48"/>
    <d v="2002-03-01T00:00:00"/>
    <x v="6"/>
    <n v="18"/>
    <m/>
    <x v="7"/>
    <n v="6"/>
    <x v="2"/>
    <s v="Bolivia"/>
    <m/>
    <x v="2"/>
    <s v="General Floods"/>
    <s v="General Floods"/>
    <x v="0"/>
    <x v="0"/>
    <m/>
    <m/>
    <m/>
    <m/>
    <m/>
    <m/>
    <m/>
    <m/>
    <x v="0"/>
    <m/>
    <m/>
    <m/>
    <m/>
    <n v="11700"/>
    <m/>
    <n v="11700"/>
    <m/>
    <m/>
    <m/>
    <m/>
    <m/>
    <m/>
    <m/>
    <m/>
    <m/>
    <m/>
    <m/>
    <m/>
    <m/>
    <m/>
    <m/>
    <m/>
    <m/>
    <m/>
    <m/>
    <m/>
    <n v="11700"/>
    <m/>
    <m/>
    <n v="300"/>
    <x v="52"/>
    <x v="1"/>
    <m/>
    <m/>
    <m/>
    <m/>
    <n v="2898"/>
    <m/>
    <m/>
    <m/>
    <m/>
    <m/>
    <m/>
    <m/>
    <m/>
    <m/>
    <m/>
    <m/>
    <m/>
    <m/>
  </r>
  <r>
    <m/>
    <n v="69"/>
    <x v="79"/>
    <d v="2002-03-01T00:00:00"/>
    <x v="6"/>
    <n v="19"/>
    <m/>
    <x v="7"/>
    <n v="7"/>
    <x v="3"/>
    <s v="Afghanistan"/>
    <m/>
    <x v="3"/>
    <s v="Earthquake"/>
    <s v="Earthquake"/>
    <x v="0"/>
    <x v="0"/>
    <m/>
    <m/>
    <m/>
    <m/>
    <m/>
    <m/>
    <m/>
    <m/>
    <x v="0"/>
    <m/>
    <m/>
    <m/>
    <n v="104805"/>
    <m/>
    <m/>
    <n v="104805"/>
    <n v="2"/>
    <m/>
    <m/>
    <m/>
    <m/>
    <m/>
    <m/>
    <m/>
    <m/>
    <m/>
    <m/>
    <m/>
    <m/>
    <m/>
    <m/>
    <m/>
    <m/>
    <m/>
    <m/>
    <m/>
    <n v="104805"/>
    <m/>
    <m/>
    <n v="19678.7"/>
    <x v="53"/>
    <x v="1"/>
    <m/>
    <m/>
    <m/>
    <m/>
    <n v="2876"/>
    <m/>
    <m/>
    <m/>
    <m/>
    <m/>
    <m/>
    <m/>
    <m/>
    <m/>
    <m/>
    <m/>
    <m/>
    <s v="NEHK for Mazar e Sharif "/>
  </r>
  <r>
    <m/>
    <n v="70"/>
    <x v="36"/>
    <d v="2002-04-01T00:00:00"/>
    <x v="6"/>
    <n v="20"/>
    <m/>
    <x v="7"/>
    <n v="8"/>
    <x v="3"/>
    <s v="Jordan"/>
    <m/>
    <x v="8"/>
    <s v="Conflict"/>
    <s v="Conflict"/>
    <x v="0"/>
    <x v="0"/>
    <m/>
    <m/>
    <m/>
    <m/>
    <m/>
    <m/>
    <m/>
    <m/>
    <x v="0"/>
    <m/>
    <n v="0"/>
    <n v="25000"/>
    <m/>
    <n v="200000"/>
    <m/>
    <n v="225000"/>
    <n v="1"/>
    <m/>
    <m/>
    <m/>
    <m/>
    <m/>
    <m/>
    <m/>
    <m/>
    <m/>
    <m/>
    <m/>
    <m/>
    <m/>
    <m/>
    <m/>
    <m/>
    <m/>
    <m/>
    <m/>
    <n v="225000"/>
    <m/>
    <m/>
    <m/>
    <x v="54"/>
    <x v="1"/>
    <m/>
    <m/>
    <m/>
    <m/>
    <n v="2898"/>
    <m/>
    <m/>
    <m/>
    <m/>
    <m/>
    <m/>
    <m/>
    <m/>
    <m/>
    <m/>
    <m/>
    <m/>
    <s v="Second Installment for ICU sent in Nov 2002"/>
  </r>
  <r>
    <m/>
    <n v="71"/>
    <x v="80"/>
    <d v="2002-05-01T00:00:00"/>
    <x v="6"/>
    <n v="21"/>
    <m/>
    <x v="7"/>
    <n v="9"/>
    <x v="2"/>
    <s v="Panama"/>
    <m/>
    <x v="2"/>
    <s v="General Floods"/>
    <s v="General Floods"/>
    <x v="0"/>
    <x v="0"/>
    <m/>
    <m/>
    <m/>
    <m/>
    <m/>
    <m/>
    <m/>
    <m/>
    <x v="0"/>
    <m/>
    <m/>
    <m/>
    <m/>
    <n v="2000"/>
    <m/>
    <n v="2000"/>
    <m/>
    <m/>
    <m/>
    <m/>
    <m/>
    <m/>
    <m/>
    <m/>
    <m/>
    <m/>
    <m/>
    <m/>
    <m/>
    <m/>
    <m/>
    <m/>
    <m/>
    <m/>
    <m/>
    <m/>
    <n v="2000"/>
    <m/>
    <m/>
    <m/>
    <x v="55"/>
    <x v="1"/>
    <m/>
    <m/>
    <m/>
    <m/>
    <n v="2898"/>
    <m/>
    <m/>
    <m/>
    <m/>
    <m/>
    <m/>
    <m/>
    <m/>
    <m/>
    <m/>
    <m/>
    <m/>
    <m/>
  </r>
  <r>
    <m/>
    <n v="71"/>
    <x v="7"/>
    <d v="2002-05-01T00:00:00"/>
    <x v="6"/>
    <n v="21"/>
    <m/>
    <x v="7"/>
    <n v="9"/>
    <x v="2"/>
    <s v="Costa Rica"/>
    <m/>
    <x v="2"/>
    <s v="General Floods"/>
    <s v="General Floods"/>
    <x v="0"/>
    <x v="0"/>
    <m/>
    <m/>
    <m/>
    <m/>
    <m/>
    <m/>
    <m/>
    <m/>
    <x v="0"/>
    <m/>
    <m/>
    <m/>
    <m/>
    <n v="2000"/>
    <m/>
    <n v="2000"/>
    <m/>
    <m/>
    <m/>
    <m/>
    <m/>
    <m/>
    <m/>
    <m/>
    <m/>
    <m/>
    <m/>
    <m/>
    <m/>
    <m/>
    <m/>
    <m/>
    <m/>
    <m/>
    <m/>
    <m/>
    <n v="2000"/>
    <m/>
    <m/>
    <n v="0"/>
    <x v="55"/>
    <x v="1"/>
    <m/>
    <m/>
    <m/>
    <m/>
    <n v="2898"/>
    <m/>
    <m/>
    <m/>
    <m/>
    <m/>
    <m/>
    <m/>
    <m/>
    <m/>
    <m/>
    <m/>
    <m/>
    <m/>
  </r>
  <r>
    <m/>
    <n v="72"/>
    <x v="81"/>
    <d v="2002-05-01T00:00:00"/>
    <x v="6"/>
    <n v="22"/>
    <m/>
    <x v="7"/>
    <n v="10"/>
    <x v="1"/>
    <s v="Kenya"/>
    <m/>
    <x v="2"/>
    <s v="General Floods"/>
    <s v="General Floods"/>
    <x v="0"/>
    <x v="0"/>
    <m/>
    <m/>
    <m/>
    <m/>
    <m/>
    <m/>
    <m/>
    <m/>
    <x v="0"/>
    <m/>
    <n v="0"/>
    <n v="10000"/>
    <m/>
    <m/>
    <m/>
    <n v="10000"/>
    <m/>
    <m/>
    <m/>
    <m/>
    <m/>
    <m/>
    <m/>
    <m/>
    <m/>
    <m/>
    <m/>
    <m/>
    <m/>
    <m/>
    <m/>
    <m/>
    <m/>
    <m/>
    <m/>
    <m/>
    <n v="10000"/>
    <m/>
    <m/>
    <n v="1160.6960462049883"/>
    <x v="6"/>
    <x v="1"/>
    <m/>
    <m/>
    <m/>
    <m/>
    <n v="2898"/>
    <m/>
    <m/>
    <m/>
    <m/>
    <m/>
    <m/>
    <m/>
    <m/>
    <m/>
    <m/>
    <m/>
    <m/>
    <m/>
  </r>
  <r>
    <m/>
    <n v="73"/>
    <x v="82"/>
    <d v="2002-05-01T00:00:00"/>
    <x v="6"/>
    <n v="23"/>
    <m/>
    <x v="7"/>
    <n v="11"/>
    <x v="1"/>
    <s v="Malawi"/>
    <m/>
    <x v="14"/>
    <s v="Food Insecurity"/>
    <s v="Food Insecurity"/>
    <x v="0"/>
    <x v="0"/>
    <m/>
    <m/>
    <m/>
    <m/>
    <m/>
    <m/>
    <m/>
    <m/>
    <x v="0"/>
    <m/>
    <m/>
    <m/>
    <m/>
    <m/>
    <m/>
    <n v="0"/>
    <n v="3"/>
    <m/>
    <m/>
    <m/>
    <m/>
    <m/>
    <m/>
    <m/>
    <m/>
    <m/>
    <m/>
    <m/>
    <m/>
    <m/>
    <m/>
    <m/>
    <m/>
    <m/>
    <m/>
    <n v="100000"/>
    <n v="100000"/>
    <m/>
    <m/>
    <n v="96000"/>
    <x v="5"/>
    <x v="1"/>
    <m/>
    <m/>
    <m/>
    <m/>
    <n v="2683"/>
    <m/>
    <m/>
    <m/>
    <m/>
    <m/>
    <m/>
    <m/>
    <m/>
    <m/>
    <m/>
    <m/>
    <m/>
    <m/>
  </r>
  <r>
    <m/>
    <n v="74"/>
    <x v="83"/>
    <d v="2002-06-01T00:00:00"/>
    <x v="6"/>
    <n v="24"/>
    <m/>
    <x v="7"/>
    <n v="12"/>
    <x v="2"/>
    <s v="Nicaragua"/>
    <m/>
    <x v="2"/>
    <s v="General Floods"/>
    <s v="General Floods"/>
    <x v="0"/>
    <x v="0"/>
    <m/>
    <m/>
    <m/>
    <m/>
    <m/>
    <m/>
    <m/>
    <m/>
    <x v="0"/>
    <m/>
    <m/>
    <m/>
    <m/>
    <m/>
    <m/>
    <n v="0"/>
    <n v="1"/>
    <m/>
    <m/>
    <m/>
    <m/>
    <m/>
    <m/>
    <m/>
    <m/>
    <m/>
    <m/>
    <m/>
    <m/>
    <m/>
    <m/>
    <m/>
    <m/>
    <m/>
    <m/>
    <m/>
    <n v="0"/>
    <m/>
    <m/>
    <n v="0"/>
    <x v="7"/>
    <x v="1"/>
    <m/>
    <m/>
    <m/>
    <m/>
    <n v="2821"/>
    <m/>
    <m/>
    <m/>
    <m/>
    <m/>
    <m/>
    <m/>
    <m/>
    <m/>
    <m/>
    <m/>
    <m/>
    <s v="supervised dist. of $50,000 of supplies given to NRC by USAID"/>
  </r>
  <r>
    <m/>
    <n v="75"/>
    <x v="84"/>
    <d v="2002-06-01T00:00:00"/>
    <x v="6"/>
    <n v="25"/>
    <m/>
    <x v="7"/>
    <n v="13"/>
    <x v="3"/>
    <s v="Syria"/>
    <m/>
    <x v="10"/>
    <s v="Collapse"/>
    <s v="Collapse"/>
    <x v="0"/>
    <x v="0"/>
    <m/>
    <m/>
    <m/>
    <m/>
    <m/>
    <m/>
    <m/>
    <m/>
    <x v="0"/>
    <m/>
    <n v="0"/>
    <n v="10000"/>
    <m/>
    <m/>
    <m/>
    <n v="10000"/>
    <m/>
    <m/>
    <m/>
    <m/>
    <m/>
    <m/>
    <m/>
    <m/>
    <m/>
    <m/>
    <m/>
    <m/>
    <m/>
    <m/>
    <m/>
    <m/>
    <m/>
    <m/>
    <m/>
    <m/>
    <n v="10000"/>
    <m/>
    <m/>
    <n v="216.21621621621622"/>
    <x v="6"/>
    <x v="1"/>
    <m/>
    <m/>
    <m/>
    <m/>
    <n v="2898"/>
    <m/>
    <m/>
    <m/>
    <m/>
    <m/>
    <m/>
    <m/>
    <m/>
    <m/>
    <m/>
    <m/>
    <s v="Dam Burst"/>
    <s v="Federation appeal15/2002 - Zeyzoun Dam Collapse"/>
  </r>
  <r>
    <m/>
    <n v="76"/>
    <x v="8"/>
    <d v="2002-06-01T00:00:00"/>
    <x v="6"/>
    <n v="26"/>
    <m/>
    <x v="7"/>
    <n v="14"/>
    <x v="3"/>
    <s v="China"/>
    <m/>
    <x v="2"/>
    <s v="General Floods"/>
    <s v="General Floods"/>
    <x v="0"/>
    <x v="0"/>
    <m/>
    <m/>
    <m/>
    <m/>
    <m/>
    <m/>
    <m/>
    <m/>
    <x v="0"/>
    <m/>
    <m/>
    <m/>
    <m/>
    <n v="75000"/>
    <m/>
    <n v="75000"/>
    <m/>
    <m/>
    <m/>
    <m/>
    <m/>
    <m/>
    <m/>
    <m/>
    <m/>
    <m/>
    <m/>
    <m/>
    <m/>
    <m/>
    <m/>
    <m/>
    <m/>
    <m/>
    <m/>
    <m/>
    <n v="75000"/>
    <m/>
    <m/>
    <n v="2243.493867783428"/>
    <x v="56"/>
    <x v="1"/>
    <m/>
    <m/>
    <m/>
    <m/>
    <n v="2060"/>
    <m/>
    <m/>
    <m/>
    <m/>
    <m/>
    <m/>
    <m/>
    <m/>
    <m/>
    <m/>
    <m/>
    <m/>
    <s v="Federation appeal 16/2002; $75,000 from Region"/>
  </r>
  <r>
    <m/>
    <n v="76"/>
    <x v="8"/>
    <d v="2002-06-01T00:00:00"/>
    <x v="6"/>
    <n v="26"/>
    <m/>
    <x v="7"/>
    <n v="14"/>
    <x v="3"/>
    <s v="China"/>
    <m/>
    <x v="2"/>
    <s v="General Floods"/>
    <s v="General Floods"/>
    <x v="0"/>
    <x v="0"/>
    <m/>
    <m/>
    <m/>
    <m/>
    <m/>
    <m/>
    <m/>
    <m/>
    <x v="0"/>
    <m/>
    <m/>
    <m/>
    <m/>
    <n v="25000"/>
    <m/>
    <n v="25000"/>
    <m/>
    <m/>
    <m/>
    <m/>
    <m/>
    <m/>
    <m/>
    <m/>
    <m/>
    <m/>
    <m/>
    <m/>
    <m/>
    <m/>
    <m/>
    <m/>
    <m/>
    <m/>
    <m/>
    <m/>
    <n v="25000"/>
    <m/>
    <m/>
    <m/>
    <x v="8"/>
    <x v="1"/>
    <m/>
    <m/>
    <m/>
    <m/>
    <n v="2898"/>
    <m/>
    <m/>
    <m/>
    <m/>
    <m/>
    <m/>
    <m/>
    <m/>
    <m/>
    <m/>
    <m/>
    <m/>
    <m/>
  </r>
  <r>
    <m/>
    <n v="76"/>
    <x v="8"/>
    <d v="2002-06-01T00:00:00"/>
    <x v="6"/>
    <n v="26"/>
    <m/>
    <x v="7"/>
    <n v="14"/>
    <x v="3"/>
    <s v="China"/>
    <m/>
    <x v="2"/>
    <s v="General Floods"/>
    <s v="General Floods"/>
    <x v="0"/>
    <x v="0"/>
    <m/>
    <m/>
    <m/>
    <m/>
    <m/>
    <m/>
    <m/>
    <m/>
    <x v="0"/>
    <m/>
    <m/>
    <m/>
    <m/>
    <n v="100000"/>
    <m/>
    <n v="100000"/>
    <m/>
    <m/>
    <m/>
    <m/>
    <m/>
    <m/>
    <m/>
    <m/>
    <m/>
    <m/>
    <m/>
    <m/>
    <m/>
    <m/>
    <m/>
    <m/>
    <m/>
    <m/>
    <m/>
    <m/>
    <n v="100000"/>
    <m/>
    <m/>
    <m/>
    <x v="5"/>
    <x v="2"/>
    <m/>
    <m/>
    <m/>
    <m/>
    <n v="2099"/>
    <m/>
    <m/>
    <m/>
    <m/>
    <m/>
    <m/>
    <m/>
    <m/>
    <m/>
    <m/>
    <m/>
    <m/>
    <s v="$100,000 from Phillip Morris (AP 2099) in October 2002"/>
  </r>
  <r>
    <m/>
    <n v="77"/>
    <x v="51"/>
    <d v="2002-07-01T00:00:00"/>
    <x v="7"/>
    <n v="1"/>
    <m/>
    <x v="7"/>
    <n v="15"/>
    <x v="3"/>
    <s v="Russian Fed."/>
    <m/>
    <x v="2"/>
    <s v="General Floods"/>
    <s v="General Floods"/>
    <x v="0"/>
    <x v="0"/>
    <m/>
    <m/>
    <m/>
    <m/>
    <m/>
    <m/>
    <m/>
    <m/>
    <x v="0"/>
    <m/>
    <m/>
    <m/>
    <m/>
    <n v="50000"/>
    <m/>
    <n v="50000"/>
    <n v="1"/>
    <m/>
    <m/>
    <m/>
    <m/>
    <m/>
    <m/>
    <m/>
    <m/>
    <m/>
    <m/>
    <m/>
    <m/>
    <m/>
    <m/>
    <m/>
    <m/>
    <m/>
    <m/>
    <m/>
    <n v="50000"/>
    <m/>
    <m/>
    <n v="5000"/>
    <x v="16"/>
    <x v="1"/>
    <m/>
    <m/>
    <m/>
    <m/>
    <n v="2664"/>
    <m/>
    <m/>
    <m/>
    <m/>
    <m/>
    <m/>
    <m/>
    <m/>
    <m/>
    <m/>
    <m/>
    <m/>
    <s v="Dagestan:  IRT Ramsey Rayyis; Federation Appeal 20/2002; grant from US Embassy in Moscow"/>
  </r>
  <r>
    <m/>
    <n v="78"/>
    <x v="85"/>
    <d v="2002-07-01T00:00:00"/>
    <x v="7"/>
    <n v="2"/>
    <m/>
    <x v="7"/>
    <n v="16"/>
    <x v="3"/>
    <s v="FS Micronesia"/>
    <m/>
    <x v="5"/>
    <s v="Tropical Cyclone"/>
    <s v="Typhoon"/>
    <x v="0"/>
    <x v="0"/>
    <m/>
    <m/>
    <m/>
    <m/>
    <m/>
    <m/>
    <m/>
    <m/>
    <x v="0"/>
    <m/>
    <m/>
    <m/>
    <m/>
    <m/>
    <m/>
    <n v="0"/>
    <m/>
    <m/>
    <m/>
    <m/>
    <m/>
    <m/>
    <m/>
    <m/>
    <m/>
    <m/>
    <m/>
    <m/>
    <m/>
    <m/>
    <m/>
    <m/>
    <m/>
    <m/>
    <n v="10000"/>
    <m/>
    <n v="10000"/>
    <m/>
    <m/>
    <n v="1000"/>
    <x v="6"/>
    <x v="1"/>
    <m/>
    <m/>
    <m/>
    <m/>
    <n v="2898"/>
    <m/>
    <m/>
    <m/>
    <m/>
    <m/>
    <m/>
    <m/>
    <m/>
    <m/>
    <m/>
    <m/>
    <s v="Chata'an"/>
    <s v="Replenished Supplies sent from ARC/Saipan"/>
  </r>
  <r>
    <m/>
    <n v="79"/>
    <x v="86"/>
    <d v="2002-07-01T00:00:00"/>
    <x v="7"/>
    <n v="3"/>
    <m/>
    <x v="7"/>
    <n v="17"/>
    <x v="2"/>
    <s v="Peru"/>
    <m/>
    <x v="5"/>
    <s v="Winter Storm"/>
    <s v="Snowstorm"/>
    <x v="0"/>
    <x v="0"/>
    <m/>
    <m/>
    <m/>
    <m/>
    <m/>
    <m/>
    <m/>
    <m/>
    <x v="0"/>
    <m/>
    <n v="0"/>
    <n v="5000"/>
    <m/>
    <m/>
    <m/>
    <n v="5000"/>
    <m/>
    <m/>
    <m/>
    <m/>
    <m/>
    <m/>
    <m/>
    <m/>
    <m/>
    <m/>
    <m/>
    <m/>
    <m/>
    <m/>
    <m/>
    <m/>
    <m/>
    <m/>
    <m/>
    <m/>
    <n v="5000"/>
    <m/>
    <m/>
    <m/>
    <x v="46"/>
    <x v="1"/>
    <m/>
    <m/>
    <m/>
    <m/>
    <n v="2898"/>
    <m/>
    <m/>
    <m/>
    <m/>
    <m/>
    <m/>
    <m/>
    <m/>
    <m/>
    <m/>
    <m/>
    <m/>
    <s v="DREF Replenishment"/>
  </r>
  <r>
    <m/>
    <n v="80"/>
    <x v="87"/>
    <d v="2002-07-01T00:00:00"/>
    <x v="7"/>
    <n v="4"/>
    <m/>
    <x v="7"/>
    <n v="18"/>
    <x v="2"/>
    <s v="Bolivia"/>
    <m/>
    <x v="5"/>
    <s v="Winter Storm"/>
    <s v="Snowstorm"/>
    <x v="0"/>
    <x v="0"/>
    <m/>
    <m/>
    <m/>
    <m/>
    <m/>
    <m/>
    <m/>
    <m/>
    <x v="0"/>
    <m/>
    <n v="0"/>
    <n v="5000"/>
    <m/>
    <m/>
    <m/>
    <n v="5000"/>
    <m/>
    <m/>
    <m/>
    <m/>
    <m/>
    <m/>
    <m/>
    <m/>
    <m/>
    <m/>
    <m/>
    <m/>
    <m/>
    <m/>
    <m/>
    <m/>
    <m/>
    <m/>
    <m/>
    <m/>
    <n v="5000"/>
    <m/>
    <m/>
    <m/>
    <x v="46"/>
    <x v="1"/>
    <m/>
    <m/>
    <m/>
    <m/>
    <n v="2898"/>
    <m/>
    <m/>
    <m/>
    <m/>
    <m/>
    <m/>
    <m/>
    <m/>
    <m/>
    <m/>
    <m/>
    <m/>
    <s v="DREF Replenishment"/>
  </r>
  <r>
    <m/>
    <n v="81"/>
    <x v="27"/>
    <d v="2002-07-01T00:00:00"/>
    <x v="7"/>
    <n v="5"/>
    <m/>
    <x v="7"/>
    <n v="19"/>
    <x v="2"/>
    <s v="Venezuela"/>
    <m/>
    <x v="2"/>
    <s v="General Floods"/>
    <s v="General Floods"/>
    <x v="0"/>
    <x v="0"/>
    <m/>
    <m/>
    <m/>
    <m/>
    <m/>
    <m/>
    <m/>
    <m/>
    <x v="0"/>
    <m/>
    <m/>
    <m/>
    <m/>
    <n v="50000"/>
    <m/>
    <n v="50000"/>
    <n v="1"/>
    <m/>
    <m/>
    <m/>
    <m/>
    <m/>
    <m/>
    <m/>
    <m/>
    <m/>
    <m/>
    <m/>
    <m/>
    <m/>
    <m/>
    <m/>
    <m/>
    <m/>
    <m/>
    <m/>
    <n v="50000"/>
    <m/>
    <m/>
    <n v="3840"/>
    <x v="16"/>
    <x v="1"/>
    <m/>
    <m/>
    <m/>
    <m/>
    <n v="2912"/>
    <m/>
    <m/>
    <m/>
    <m/>
    <m/>
    <m/>
    <m/>
    <m/>
    <m/>
    <m/>
    <m/>
    <m/>
    <s v="Funds provided by US Embassy; program implemented by Delegates/IRT members based in Caracas"/>
  </r>
  <r>
    <m/>
    <n v="82"/>
    <x v="33"/>
    <d v="2002-08-01T00:00:00"/>
    <x v="7"/>
    <n v="6"/>
    <m/>
    <x v="7"/>
    <n v="20"/>
    <x v="3"/>
    <s v="India"/>
    <m/>
    <x v="2"/>
    <s v="General Floods"/>
    <s v="General Floods"/>
    <x v="0"/>
    <x v="0"/>
    <m/>
    <m/>
    <m/>
    <m/>
    <m/>
    <m/>
    <m/>
    <m/>
    <x v="0"/>
    <m/>
    <n v="1"/>
    <n v="66918.959999999992"/>
    <m/>
    <m/>
    <m/>
    <n v="66918.959999999992"/>
    <n v="7"/>
    <m/>
    <m/>
    <n v="2900"/>
    <m/>
    <m/>
    <m/>
    <m/>
    <m/>
    <m/>
    <m/>
    <m/>
    <m/>
    <m/>
    <m/>
    <m/>
    <m/>
    <m/>
    <n v="122911.16"/>
    <n v="42422.75"/>
    <n v="232252.87"/>
    <m/>
    <m/>
    <n v="36500"/>
    <x v="57"/>
    <x v="1"/>
    <m/>
    <m/>
    <m/>
    <m/>
    <n v="2954"/>
    <m/>
    <m/>
    <m/>
    <m/>
    <m/>
    <m/>
    <m/>
    <m/>
    <m/>
    <m/>
    <m/>
    <m/>
    <s v="2,900 Family Kits @ $35.88 each; 2 WHO NEHK; 2 WHO Cholera Kits; Flood Mitigation in Assam and Bihar thru Appeal."/>
  </r>
  <r>
    <m/>
    <n v="83"/>
    <x v="88"/>
    <d v="2002-08-01T00:00:00"/>
    <x v="7"/>
    <n v="7"/>
    <m/>
    <x v="7"/>
    <n v="21"/>
    <x v="3"/>
    <s v="Romania"/>
    <m/>
    <x v="2"/>
    <s v="General Floods"/>
    <s v="General Floods"/>
    <x v="0"/>
    <x v="0"/>
    <m/>
    <m/>
    <m/>
    <m/>
    <m/>
    <m/>
    <m/>
    <m/>
    <x v="0"/>
    <m/>
    <m/>
    <m/>
    <m/>
    <m/>
    <m/>
    <n v="0"/>
    <n v="3"/>
    <m/>
    <m/>
    <n v="14500"/>
    <m/>
    <m/>
    <m/>
    <m/>
    <m/>
    <m/>
    <m/>
    <m/>
    <m/>
    <n v="14500"/>
    <m/>
    <m/>
    <m/>
    <m/>
    <n v="102950"/>
    <n v="12189.84"/>
    <n v="115139.84"/>
    <m/>
    <m/>
    <n v="58000"/>
    <x v="58"/>
    <x v="1"/>
    <m/>
    <m/>
    <m/>
    <m/>
    <n v="2685"/>
    <m/>
    <m/>
    <m/>
    <m/>
    <m/>
    <m/>
    <m/>
    <m/>
    <m/>
    <m/>
    <m/>
    <m/>
    <s v="ex Sofia"/>
  </r>
  <r>
    <m/>
    <n v="83"/>
    <x v="89"/>
    <d v="2002-08-01T00:00:00"/>
    <x v="7"/>
    <n v="7"/>
    <m/>
    <x v="7"/>
    <n v="21"/>
    <x v="3"/>
    <s v="Germany"/>
    <m/>
    <x v="2"/>
    <s v="General Floods"/>
    <s v="General Floods"/>
    <x v="0"/>
    <x v="0"/>
    <m/>
    <m/>
    <m/>
    <m/>
    <m/>
    <m/>
    <m/>
    <m/>
    <x v="0"/>
    <m/>
    <m/>
    <m/>
    <m/>
    <n v="75000"/>
    <m/>
    <n v="75000"/>
    <m/>
    <m/>
    <m/>
    <m/>
    <m/>
    <m/>
    <m/>
    <m/>
    <m/>
    <m/>
    <m/>
    <m/>
    <m/>
    <m/>
    <m/>
    <m/>
    <m/>
    <m/>
    <m/>
    <m/>
    <n v="75000"/>
    <m/>
    <m/>
    <n v="7500"/>
    <x v="56"/>
    <x v="2"/>
    <m/>
    <m/>
    <m/>
    <m/>
    <n v="2099"/>
    <m/>
    <m/>
    <m/>
    <m/>
    <m/>
    <m/>
    <m/>
    <m/>
    <m/>
    <m/>
    <m/>
    <m/>
    <s v="Pass throughs from  Alcoa, AmEx, Citigroup, Levi Strauss"/>
  </r>
  <r>
    <m/>
    <n v="83"/>
    <x v="90"/>
    <d v="2002-08-01T00:00:00"/>
    <x v="7"/>
    <n v="7"/>
    <m/>
    <x v="7"/>
    <n v="21"/>
    <x v="3"/>
    <s v="Czech Republic"/>
    <m/>
    <x v="2"/>
    <s v="General Floods"/>
    <s v="General Floods"/>
    <x v="0"/>
    <x v="0"/>
    <m/>
    <m/>
    <m/>
    <m/>
    <m/>
    <m/>
    <m/>
    <m/>
    <x v="0"/>
    <m/>
    <m/>
    <m/>
    <m/>
    <n v="90000"/>
    <m/>
    <n v="90000"/>
    <m/>
    <m/>
    <m/>
    <m/>
    <m/>
    <m/>
    <m/>
    <m/>
    <m/>
    <m/>
    <m/>
    <m/>
    <m/>
    <m/>
    <m/>
    <m/>
    <m/>
    <m/>
    <m/>
    <m/>
    <n v="90000"/>
    <m/>
    <m/>
    <n v="9000"/>
    <x v="29"/>
    <x v="2"/>
    <m/>
    <m/>
    <m/>
    <m/>
    <n v="2099"/>
    <m/>
    <m/>
    <m/>
    <m/>
    <m/>
    <m/>
    <m/>
    <m/>
    <m/>
    <m/>
    <m/>
    <m/>
    <s v="Pass throughs from  AmEx (2099), Levi Strauss (2099) and JP Morgan (2608)"/>
  </r>
  <r>
    <m/>
    <n v="83"/>
    <x v="91"/>
    <d v="2002-08-01T00:00:00"/>
    <x v="7"/>
    <n v="7"/>
    <m/>
    <x v="7"/>
    <n v="21"/>
    <x v="3"/>
    <s v="Slovakia"/>
    <m/>
    <x v="2"/>
    <s v="General Floods"/>
    <s v="General Floods"/>
    <x v="0"/>
    <x v="0"/>
    <m/>
    <m/>
    <m/>
    <m/>
    <m/>
    <m/>
    <m/>
    <m/>
    <x v="0"/>
    <m/>
    <m/>
    <m/>
    <m/>
    <n v="10000"/>
    <m/>
    <n v="10000"/>
    <m/>
    <m/>
    <m/>
    <m/>
    <m/>
    <m/>
    <m/>
    <m/>
    <m/>
    <m/>
    <m/>
    <m/>
    <m/>
    <m/>
    <m/>
    <m/>
    <m/>
    <m/>
    <m/>
    <m/>
    <n v="10000"/>
    <m/>
    <m/>
    <n v="1000"/>
    <x v="6"/>
    <x v="1"/>
    <m/>
    <m/>
    <m/>
    <m/>
    <n v="2608"/>
    <m/>
    <m/>
    <m/>
    <m/>
    <m/>
    <m/>
    <m/>
    <m/>
    <m/>
    <m/>
    <m/>
    <m/>
    <s v="Pass through from JP Morgan / Chase"/>
  </r>
  <r>
    <m/>
    <n v="83"/>
    <x v="92"/>
    <d v="2002-08-01T00:00:00"/>
    <x v="7"/>
    <n v="7"/>
    <m/>
    <x v="7"/>
    <n v="21"/>
    <x v="3"/>
    <s v="Hungary"/>
    <m/>
    <x v="2"/>
    <s v="General Floods"/>
    <s v="General Floods"/>
    <x v="0"/>
    <x v="0"/>
    <m/>
    <m/>
    <m/>
    <m/>
    <m/>
    <m/>
    <m/>
    <m/>
    <x v="0"/>
    <m/>
    <m/>
    <m/>
    <m/>
    <n v="35000"/>
    <m/>
    <n v="35000"/>
    <m/>
    <m/>
    <m/>
    <m/>
    <m/>
    <m/>
    <m/>
    <m/>
    <m/>
    <m/>
    <m/>
    <m/>
    <m/>
    <m/>
    <m/>
    <m/>
    <m/>
    <m/>
    <m/>
    <m/>
    <n v="35000"/>
    <m/>
    <m/>
    <n v="3500"/>
    <x v="59"/>
    <x v="2"/>
    <m/>
    <m/>
    <m/>
    <m/>
    <n v="2099"/>
    <m/>
    <m/>
    <m/>
    <m/>
    <m/>
    <m/>
    <m/>
    <m/>
    <m/>
    <m/>
    <m/>
    <m/>
    <s v="Pass through from  Citigroup (2099) &amp; JP Morgan (2608)"/>
  </r>
  <r>
    <m/>
    <n v="83"/>
    <x v="93"/>
    <d v="2002-08-01T00:00:00"/>
    <x v="7"/>
    <n v="7"/>
    <m/>
    <x v="7"/>
    <n v="21"/>
    <x v="3"/>
    <s v="Austria"/>
    <m/>
    <x v="2"/>
    <s v="General Floods"/>
    <s v="General Floods"/>
    <x v="0"/>
    <x v="0"/>
    <m/>
    <m/>
    <m/>
    <m/>
    <m/>
    <m/>
    <m/>
    <m/>
    <x v="0"/>
    <m/>
    <m/>
    <m/>
    <m/>
    <n v="25000"/>
    <m/>
    <n v="25000"/>
    <m/>
    <m/>
    <m/>
    <m/>
    <m/>
    <m/>
    <m/>
    <m/>
    <m/>
    <m/>
    <m/>
    <m/>
    <m/>
    <m/>
    <m/>
    <m/>
    <m/>
    <m/>
    <m/>
    <m/>
    <n v="25000"/>
    <m/>
    <m/>
    <n v="2500"/>
    <x v="8"/>
    <x v="1"/>
    <m/>
    <m/>
    <m/>
    <m/>
    <n v="2608"/>
    <m/>
    <m/>
    <m/>
    <m/>
    <m/>
    <m/>
    <m/>
    <m/>
    <m/>
    <m/>
    <m/>
    <m/>
    <s v="AMEX re-directed funds from their ADGP"/>
  </r>
  <r>
    <m/>
    <n v="84"/>
    <x v="67"/>
    <d v="2002-09-01T00:00:00"/>
    <x v="7"/>
    <n v="8"/>
    <m/>
    <x v="7"/>
    <n v="22"/>
    <x v="2"/>
    <s v="Mexico"/>
    <m/>
    <x v="5"/>
    <s v="Tropical Cyclone"/>
    <s v="Hurricane"/>
    <x v="0"/>
    <x v="0"/>
    <m/>
    <m/>
    <m/>
    <m/>
    <m/>
    <m/>
    <m/>
    <m/>
    <x v="0"/>
    <m/>
    <m/>
    <m/>
    <m/>
    <m/>
    <m/>
    <n v="0"/>
    <n v="2"/>
    <m/>
    <m/>
    <m/>
    <m/>
    <m/>
    <m/>
    <m/>
    <m/>
    <m/>
    <m/>
    <m/>
    <m/>
    <m/>
    <m/>
    <m/>
    <m/>
    <m/>
    <m/>
    <n v="60000"/>
    <n v="60000"/>
    <m/>
    <m/>
    <n v="20000"/>
    <x v="45"/>
    <x v="1"/>
    <m/>
    <m/>
    <m/>
    <m/>
    <n v="2687"/>
    <m/>
    <m/>
    <m/>
    <m/>
    <m/>
    <m/>
    <m/>
    <m/>
    <m/>
    <m/>
    <m/>
    <s v="Isidore"/>
    <s v="$50,000 from OFDA; 4,000 hygiene parcels"/>
  </r>
  <r>
    <m/>
    <n v="85"/>
    <x v="94"/>
    <d v="2002-10-01T00:00:00"/>
    <x v="7"/>
    <n v="9"/>
    <m/>
    <x v="7"/>
    <n v="23"/>
    <x v="2"/>
    <s v="Paraguay"/>
    <m/>
    <x v="1"/>
    <s v="Drought"/>
    <s v="Drought"/>
    <x v="0"/>
    <x v="0"/>
    <m/>
    <m/>
    <m/>
    <m/>
    <m/>
    <m/>
    <m/>
    <m/>
    <x v="0"/>
    <m/>
    <m/>
    <m/>
    <m/>
    <m/>
    <m/>
    <n v="0"/>
    <n v="2"/>
    <m/>
    <m/>
    <m/>
    <m/>
    <m/>
    <m/>
    <m/>
    <m/>
    <m/>
    <m/>
    <m/>
    <m/>
    <m/>
    <m/>
    <m/>
    <m/>
    <m/>
    <m/>
    <m/>
    <n v="0"/>
    <m/>
    <m/>
    <n v="8165"/>
    <x v="7"/>
    <x v="1"/>
    <m/>
    <m/>
    <m/>
    <m/>
    <n v="2898"/>
    <m/>
    <m/>
    <m/>
    <m/>
    <m/>
    <m/>
    <m/>
    <m/>
    <m/>
    <m/>
    <m/>
    <m/>
    <s v="$50,000 from OFDA money given directly to the Paraguay RC for relief food distributions"/>
  </r>
  <r>
    <m/>
    <n v="86"/>
    <x v="67"/>
    <d v="2002-10-01T00:00:00"/>
    <x v="7"/>
    <n v="10"/>
    <m/>
    <x v="7"/>
    <n v="24"/>
    <x v="2"/>
    <s v="Mexico"/>
    <m/>
    <x v="5"/>
    <s v="Tropical Cyclone"/>
    <s v="Hurricane"/>
    <x v="0"/>
    <x v="0"/>
    <m/>
    <m/>
    <m/>
    <m/>
    <m/>
    <m/>
    <m/>
    <m/>
    <x v="0"/>
    <m/>
    <m/>
    <m/>
    <m/>
    <m/>
    <m/>
    <n v="0"/>
    <n v="1"/>
    <m/>
    <m/>
    <m/>
    <m/>
    <m/>
    <m/>
    <m/>
    <m/>
    <m/>
    <m/>
    <m/>
    <m/>
    <m/>
    <m/>
    <m/>
    <m/>
    <m/>
    <m/>
    <m/>
    <n v="0"/>
    <m/>
    <m/>
    <m/>
    <x v="7"/>
    <x v="1"/>
    <m/>
    <m/>
    <m/>
    <m/>
    <n v="2688"/>
    <m/>
    <m/>
    <m/>
    <m/>
    <m/>
    <m/>
    <m/>
    <m/>
    <m/>
    <m/>
    <m/>
    <s v="Kenna"/>
    <m/>
  </r>
  <r>
    <m/>
    <n v="87"/>
    <x v="95"/>
    <d v="2002-10-01T00:00:00"/>
    <x v="7"/>
    <n v="11"/>
    <m/>
    <x v="7"/>
    <n v="25"/>
    <x v="3"/>
    <s v="South Korea"/>
    <m/>
    <x v="5"/>
    <s v="Tropical Cyclone"/>
    <s v="Typhoon"/>
    <x v="0"/>
    <x v="0"/>
    <m/>
    <m/>
    <m/>
    <m/>
    <m/>
    <m/>
    <m/>
    <m/>
    <x v="0"/>
    <m/>
    <m/>
    <m/>
    <m/>
    <n v="120000"/>
    <m/>
    <n v="120000"/>
    <m/>
    <m/>
    <m/>
    <m/>
    <m/>
    <m/>
    <m/>
    <m/>
    <m/>
    <m/>
    <m/>
    <m/>
    <m/>
    <m/>
    <m/>
    <m/>
    <m/>
    <m/>
    <m/>
    <n v="10000"/>
    <n v="130000"/>
    <m/>
    <m/>
    <n v="5775"/>
    <x v="60"/>
    <x v="1"/>
    <m/>
    <m/>
    <m/>
    <m/>
    <n v="2686"/>
    <m/>
    <m/>
    <m/>
    <m/>
    <m/>
    <m/>
    <m/>
    <m/>
    <m/>
    <m/>
    <m/>
    <s v="Rusa"/>
    <s v="$10,000 from Alcoa for winter clothing in donor-specified province; $110,000 from CISCO &amp; Lucent for DPP training."/>
  </r>
  <r>
    <m/>
    <n v="88"/>
    <x v="96"/>
    <d v="2002-10-01T00:00:00"/>
    <x v="7"/>
    <n v="12"/>
    <m/>
    <x v="7"/>
    <n v="26"/>
    <x v="3"/>
    <s v="Italy"/>
    <m/>
    <x v="3"/>
    <s v="Earthquake"/>
    <s v="Earthquake"/>
    <x v="0"/>
    <x v="0"/>
    <m/>
    <m/>
    <m/>
    <m/>
    <m/>
    <m/>
    <m/>
    <m/>
    <x v="0"/>
    <m/>
    <m/>
    <m/>
    <m/>
    <n v="10000"/>
    <m/>
    <n v="10000"/>
    <m/>
    <m/>
    <m/>
    <m/>
    <m/>
    <m/>
    <m/>
    <m/>
    <m/>
    <m/>
    <m/>
    <m/>
    <m/>
    <m/>
    <m/>
    <m/>
    <m/>
    <m/>
    <m/>
    <m/>
    <n v="10000"/>
    <m/>
    <m/>
    <m/>
    <x v="6"/>
    <x v="1"/>
    <m/>
    <m/>
    <m/>
    <m/>
    <n v="2608"/>
    <m/>
    <m/>
    <m/>
    <m/>
    <m/>
    <m/>
    <m/>
    <m/>
    <m/>
    <m/>
    <m/>
    <m/>
    <s v="Verizon Pass through"/>
  </r>
  <r>
    <m/>
    <n v="89"/>
    <x v="97"/>
    <d v="2002-10-01T00:00:00"/>
    <x v="7"/>
    <n v="13"/>
    <m/>
    <x v="7"/>
    <n v="27"/>
    <x v="3"/>
    <s v="Indonesia"/>
    <m/>
    <x v="12"/>
    <s v="Terrorism"/>
    <s v="Terrorism"/>
    <x v="0"/>
    <x v="0"/>
    <m/>
    <m/>
    <m/>
    <m/>
    <m/>
    <m/>
    <m/>
    <m/>
    <x v="0"/>
    <m/>
    <m/>
    <m/>
    <m/>
    <n v="46670"/>
    <m/>
    <n v="46670"/>
    <m/>
    <m/>
    <m/>
    <m/>
    <m/>
    <m/>
    <m/>
    <m/>
    <m/>
    <m/>
    <m/>
    <m/>
    <m/>
    <m/>
    <m/>
    <m/>
    <m/>
    <m/>
    <m/>
    <m/>
    <n v="46670"/>
    <m/>
    <m/>
    <m/>
    <x v="61"/>
    <x v="1"/>
    <m/>
    <m/>
    <m/>
    <m/>
    <n v="2613"/>
    <m/>
    <m/>
    <m/>
    <m/>
    <m/>
    <m/>
    <m/>
    <m/>
    <m/>
    <m/>
    <m/>
    <s v="Bali"/>
    <s v="Exxon/Mobil provided  $30,000 for Indonesia (to be programmed by AusCross); Citigroup provided $10,000 (2099), G.E provided $5,000 (2898) and Assoc. of Chartered Accountants provided $1,670"/>
  </r>
  <r>
    <m/>
    <n v="89"/>
    <x v="98"/>
    <d v="2002-10-01T00:00:00"/>
    <x v="7"/>
    <n v="13"/>
    <m/>
    <x v="7"/>
    <n v="27"/>
    <x v="3"/>
    <s v="Australia"/>
    <m/>
    <x v="12"/>
    <s v="Terrorism"/>
    <s v="Terrorism"/>
    <x v="0"/>
    <x v="0"/>
    <m/>
    <m/>
    <m/>
    <m/>
    <m/>
    <m/>
    <m/>
    <m/>
    <x v="0"/>
    <m/>
    <m/>
    <m/>
    <m/>
    <n v="237898.78"/>
    <m/>
    <n v="237898.78"/>
    <n v="1"/>
    <m/>
    <m/>
    <m/>
    <m/>
    <m/>
    <m/>
    <m/>
    <m/>
    <m/>
    <m/>
    <m/>
    <m/>
    <m/>
    <m/>
    <m/>
    <m/>
    <m/>
    <m/>
    <m/>
    <n v="237898.78"/>
    <m/>
    <m/>
    <m/>
    <x v="62"/>
    <x v="1"/>
    <m/>
    <m/>
    <m/>
    <m/>
    <n v="2613"/>
    <m/>
    <m/>
    <m/>
    <m/>
    <m/>
    <m/>
    <m/>
    <m/>
    <m/>
    <m/>
    <m/>
    <s v="Bali"/>
    <s v="includes $151,228.89 from AP 2613 (estab. Oct 2002). Exxon/Mobil provided  $70,000; Anne Bike sent to Australia."/>
  </r>
  <r>
    <m/>
    <n v="90"/>
    <x v="99"/>
    <d v="2002-10-01T00:00:00"/>
    <x v="7"/>
    <n v="14"/>
    <m/>
    <x v="7"/>
    <n v="28"/>
    <x v="3"/>
    <s v="Vietnam"/>
    <m/>
    <x v="10"/>
    <s v="Fire"/>
    <s v="Urban Fire"/>
    <x v="0"/>
    <x v="0"/>
    <m/>
    <m/>
    <m/>
    <m/>
    <m/>
    <m/>
    <m/>
    <m/>
    <x v="0"/>
    <m/>
    <m/>
    <m/>
    <m/>
    <n v="100000"/>
    <m/>
    <n v="100000"/>
    <m/>
    <m/>
    <m/>
    <m/>
    <m/>
    <m/>
    <m/>
    <m/>
    <m/>
    <m/>
    <m/>
    <m/>
    <m/>
    <m/>
    <m/>
    <m/>
    <m/>
    <m/>
    <m/>
    <m/>
    <n v="100000"/>
    <m/>
    <m/>
    <n v="1000"/>
    <x v="5"/>
    <x v="1"/>
    <m/>
    <m/>
    <m/>
    <m/>
    <n v="2608"/>
    <m/>
    <m/>
    <m/>
    <m/>
    <m/>
    <m/>
    <m/>
    <m/>
    <m/>
    <m/>
    <m/>
    <s v="International Trade Center - HCM City"/>
    <s v="SDP developed for Starr Foundation contribution for $100,000"/>
  </r>
  <r>
    <m/>
    <n v="91"/>
    <x v="72"/>
    <d v="2002-10-01T00:00:00"/>
    <x v="7"/>
    <n v="15"/>
    <m/>
    <x v="7"/>
    <n v="29"/>
    <x v="2"/>
    <s v="Cuba"/>
    <m/>
    <x v="5"/>
    <s v="Tropical Cyclone"/>
    <s v="Hurricane"/>
    <x v="0"/>
    <x v="0"/>
    <m/>
    <m/>
    <m/>
    <m/>
    <m/>
    <m/>
    <m/>
    <m/>
    <x v="0"/>
    <m/>
    <n v="0"/>
    <n v="10000"/>
    <m/>
    <m/>
    <m/>
    <n v="10000"/>
    <m/>
    <m/>
    <m/>
    <m/>
    <m/>
    <m/>
    <m/>
    <m/>
    <m/>
    <m/>
    <m/>
    <m/>
    <m/>
    <m/>
    <m/>
    <m/>
    <m/>
    <m/>
    <m/>
    <m/>
    <n v="10000"/>
    <m/>
    <m/>
    <n v="1000"/>
    <x v="6"/>
    <x v="1"/>
    <m/>
    <m/>
    <m/>
    <m/>
    <n v="2898"/>
    <m/>
    <m/>
    <m/>
    <m/>
    <m/>
    <m/>
    <m/>
    <m/>
    <m/>
    <m/>
    <m/>
    <s v="Isidore / Lili"/>
    <s v="Toward the Federation Appeal"/>
  </r>
  <r>
    <m/>
    <n v="92"/>
    <x v="100"/>
    <d v="2002-10-01T00:00:00"/>
    <x v="7"/>
    <n v="16"/>
    <m/>
    <x v="7"/>
    <n v="30"/>
    <x v="1"/>
    <s v="Lesotho"/>
    <m/>
    <x v="14"/>
    <s v="Food Insecurity"/>
    <s v="Food Insecurity"/>
    <x v="0"/>
    <x v="0"/>
    <m/>
    <m/>
    <m/>
    <m/>
    <m/>
    <m/>
    <m/>
    <m/>
    <x v="0"/>
    <m/>
    <n v="0"/>
    <n v="25000"/>
    <m/>
    <m/>
    <m/>
    <n v="25000"/>
    <m/>
    <m/>
    <m/>
    <m/>
    <m/>
    <m/>
    <m/>
    <m/>
    <m/>
    <m/>
    <m/>
    <m/>
    <m/>
    <m/>
    <m/>
    <m/>
    <m/>
    <m/>
    <m/>
    <m/>
    <n v="25000"/>
    <m/>
    <m/>
    <n v="2500"/>
    <x v="8"/>
    <x v="1"/>
    <m/>
    <m/>
    <m/>
    <m/>
    <n v="2898"/>
    <m/>
    <m/>
    <m/>
    <m/>
    <m/>
    <m/>
    <m/>
    <m/>
    <m/>
    <m/>
    <m/>
    <m/>
    <s v="Toward the Federation Appeal for Southern Africa"/>
  </r>
  <r>
    <m/>
    <n v="93"/>
    <x v="7"/>
    <d v="2002-12-01T00:00:00"/>
    <x v="7"/>
    <n v="17"/>
    <m/>
    <x v="7"/>
    <n v="31"/>
    <x v="2"/>
    <s v="Costa Rica"/>
    <m/>
    <x v="2"/>
    <s v="General Floods"/>
    <s v="General Floods"/>
    <x v="0"/>
    <x v="0"/>
    <m/>
    <m/>
    <m/>
    <m/>
    <m/>
    <m/>
    <m/>
    <m/>
    <x v="0"/>
    <m/>
    <m/>
    <m/>
    <m/>
    <n v="1000"/>
    <m/>
    <n v="1000"/>
    <m/>
    <m/>
    <m/>
    <m/>
    <m/>
    <m/>
    <m/>
    <m/>
    <m/>
    <m/>
    <m/>
    <m/>
    <m/>
    <m/>
    <m/>
    <m/>
    <m/>
    <m/>
    <m/>
    <m/>
    <n v="1000"/>
    <m/>
    <m/>
    <m/>
    <x v="37"/>
    <x v="1"/>
    <m/>
    <m/>
    <m/>
    <m/>
    <n v="2898"/>
    <m/>
    <m/>
    <m/>
    <m/>
    <m/>
    <m/>
    <m/>
    <m/>
    <m/>
    <m/>
    <m/>
    <m/>
    <s v="Cash donation to National Society"/>
  </r>
  <r>
    <m/>
    <n v="94"/>
    <x v="80"/>
    <d v="2002-12-01T00:00:00"/>
    <x v="7"/>
    <n v="18"/>
    <m/>
    <x v="7"/>
    <n v="32"/>
    <x v="2"/>
    <s v="Panama"/>
    <m/>
    <x v="2"/>
    <s v="General Floods"/>
    <s v="General Floods"/>
    <x v="0"/>
    <x v="0"/>
    <m/>
    <m/>
    <m/>
    <m/>
    <m/>
    <m/>
    <m/>
    <m/>
    <x v="0"/>
    <m/>
    <m/>
    <m/>
    <m/>
    <n v="1345"/>
    <m/>
    <n v="1345"/>
    <m/>
    <m/>
    <m/>
    <n v="675"/>
    <m/>
    <m/>
    <m/>
    <m/>
    <m/>
    <m/>
    <m/>
    <m/>
    <m/>
    <m/>
    <m/>
    <m/>
    <m/>
    <m/>
    <m/>
    <m/>
    <n v="1345"/>
    <m/>
    <m/>
    <n v="675"/>
    <x v="63"/>
    <x v="1"/>
    <m/>
    <m/>
    <m/>
    <m/>
    <n v="2898"/>
    <m/>
    <m/>
    <m/>
    <m/>
    <m/>
    <m/>
    <m/>
    <m/>
    <m/>
    <m/>
    <m/>
    <m/>
    <s v="675 jerry cans from pre-positioned stocks"/>
  </r>
  <r>
    <m/>
    <n v="95"/>
    <x v="101"/>
    <d v="2002-12-01T00:00:00"/>
    <x v="7"/>
    <n v="19"/>
    <m/>
    <x v="7"/>
    <n v="33"/>
    <x v="1"/>
    <s v="Kenya"/>
    <m/>
    <x v="11"/>
    <s v="Parasitic"/>
    <s v="Parasitic"/>
    <x v="0"/>
    <x v="0"/>
    <m/>
    <m/>
    <m/>
    <m/>
    <m/>
    <m/>
    <m/>
    <m/>
    <x v="0"/>
    <m/>
    <m/>
    <m/>
    <m/>
    <n v="5000"/>
    <m/>
    <n v="5000"/>
    <m/>
    <m/>
    <m/>
    <m/>
    <m/>
    <m/>
    <m/>
    <m/>
    <m/>
    <m/>
    <m/>
    <m/>
    <m/>
    <m/>
    <m/>
    <m/>
    <m/>
    <m/>
    <m/>
    <m/>
    <n v="5000"/>
    <m/>
    <m/>
    <n v="500"/>
    <x v="46"/>
    <x v="1"/>
    <m/>
    <m/>
    <m/>
    <m/>
    <n v="2898"/>
    <m/>
    <m/>
    <m/>
    <m/>
    <m/>
    <m/>
    <m/>
    <m/>
    <m/>
    <m/>
    <m/>
    <s v="Malaria"/>
    <s v="Africa Region also donated $5,000 to KRC for a total of $10,000"/>
  </r>
  <r>
    <m/>
    <n v="96"/>
    <x v="102"/>
    <d v="2003-01-01T00:00:00"/>
    <x v="7"/>
    <n v="20"/>
    <m/>
    <x v="8"/>
    <n v="1"/>
    <x v="3"/>
    <s v="Solomon Islands"/>
    <m/>
    <x v="5"/>
    <s v="Tropical Cyclone"/>
    <s v="Cyclone"/>
    <x v="0"/>
    <x v="0"/>
    <m/>
    <m/>
    <m/>
    <m/>
    <m/>
    <m/>
    <m/>
    <m/>
    <x v="0"/>
    <m/>
    <n v="0"/>
    <n v="7242.1372799999999"/>
    <m/>
    <m/>
    <m/>
    <n v="7242.1372799999999"/>
    <m/>
    <m/>
    <m/>
    <m/>
    <m/>
    <m/>
    <m/>
    <m/>
    <m/>
    <m/>
    <m/>
    <m/>
    <m/>
    <m/>
    <m/>
    <m/>
    <m/>
    <m/>
    <m/>
    <m/>
    <n v="7242.1372799999999"/>
    <m/>
    <m/>
    <m/>
    <x v="64"/>
    <x v="1"/>
    <m/>
    <m/>
    <m/>
    <m/>
    <n v="2881"/>
    <m/>
    <m/>
    <m/>
    <m/>
    <m/>
    <m/>
    <m/>
    <m/>
    <m/>
    <m/>
    <m/>
    <s v="Zoe"/>
    <s v="FJD 14,369.32 for re-stocking Solomon Islands RC"/>
  </r>
  <r>
    <m/>
    <n v="97"/>
    <x v="0"/>
    <d v="2003-01-01T00:00:00"/>
    <x v="7"/>
    <n v="21"/>
    <m/>
    <x v="8"/>
    <n v="2"/>
    <x v="2"/>
    <s v="Mexico"/>
    <m/>
    <x v="3"/>
    <s v="Earthquake"/>
    <s v="Earthquake"/>
    <x v="0"/>
    <x v="0"/>
    <m/>
    <m/>
    <m/>
    <m/>
    <m/>
    <m/>
    <m/>
    <m/>
    <x v="0"/>
    <m/>
    <m/>
    <m/>
    <m/>
    <n v="350000"/>
    <m/>
    <n v="350000"/>
    <n v="3"/>
    <m/>
    <m/>
    <m/>
    <m/>
    <m/>
    <m/>
    <m/>
    <m/>
    <m/>
    <m/>
    <m/>
    <m/>
    <m/>
    <m/>
    <m/>
    <m/>
    <m/>
    <m/>
    <m/>
    <n v="350000"/>
    <m/>
    <m/>
    <n v="2000"/>
    <x v="65"/>
    <x v="1"/>
    <m/>
    <m/>
    <m/>
    <m/>
    <n v="2690"/>
    <m/>
    <m/>
    <m/>
    <m/>
    <m/>
    <m/>
    <m/>
    <m/>
    <m/>
    <m/>
    <m/>
    <m/>
    <s v="$100,000 donation from Wells Fargo was programmed by ARC in partnership with Mexican Red Cross (MRC). Steve McAndrew responded and 2 IRT members (Jerry Lisenby and M-C Brien) were subsequently deployed to manage the operation. Toyota donated $250,000 to the relief effort as a strict pass-through to the Mexican Red Cross."/>
  </r>
  <r>
    <m/>
    <n v="97"/>
    <x v="0"/>
    <d v="2003-01-01T00:00:00"/>
    <x v="7"/>
    <n v="21"/>
    <m/>
    <x v="8"/>
    <n v="2"/>
    <x v="2"/>
    <s v="Mexico"/>
    <m/>
    <x v="3"/>
    <s v="Earthquake"/>
    <s v="Earthquake"/>
    <x v="0"/>
    <x v="0"/>
    <m/>
    <m/>
    <m/>
    <m/>
    <m/>
    <m/>
    <m/>
    <m/>
    <x v="0"/>
    <m/>
    <m/>
    <m/>
    <m/>
    <n v="100000"/>
    <m/>
    <n v="100000"/>
    <m/>
    <m/>
    <m/>
    <m/>
    <m/>
    <m/>
    <m/>
    <m/>
    <m/>
    <m/>
    <m/>
    <m/>
    <m/>
    <m/>
    <m/>
    <m/>
    <m/>
    <m/>
    <m/>
    <m/>
    <n v="100000"/>
    <m/>
    <m/>
    <m/>
    <x v="5"/>
    <x v="1"/>
    <m/>
    <m/>
    <m/>
    <m/>
    <n v="2642"/>
    <m/>
    <m/>
    <m/>
    <m/>
    <m/>
    <m/>
    <m/>
    <m/>
    <m/>
    <m/>
    <m/>
    <m/>
    <s v="$100,000 from OFDA was programmed by ARC in partnership with Mexican Red Cross (MRC)."/>
  </r>
  <r>
    <m/>
    <n v="98"/>
    <x v="103"/>
    <d v="2003-02-01T00:00:00"/>
    <x v="7"/>
    <n v="22"/>
    <m/>
    <x v="8"/>
    <n v="3"/>
    <x v="3"/>
    <s v="South Korea"/>
    <m/>
    <x v="9"/>
    <s v="Rail"/>
    <s v="Fire"/>
    <x v="0"/>
    <x v="0"/>
    <m/>
    <m/>
    <m/>
    <m/>
    <m/>
    <m/>
    <m/>
    <m/>
    <x v="0"/>
    <m/>
    <m/>
    <m/>
    <m/>
    <n v="10000"/>
    <m/>
    <n v="10000"/>
    <m/>
    <m/>
    <m/>
    <m/>
    <m/>
    <m/>
    <m/>
    <m/>
    <m/>
    <m/>
    <m/>
    <m/>
    <m/>
    <m/>
    <m/>
    <m/>
    <m/>
    <m/>
    <m/>
    <m/>
    <n v="10000"/>
    <m/>
    <m/>
    <n v="1000"/>
    <x v="6"/>
    <x v="1"/>
    <m/>
    <m/>
    <m/>
    <m/>
    <n v="2608"/>
    <m/>
    <m/>
    <m/>
    <m/>
    <m/>
    <m/>
    <m/>
    <m/>
    <m/>
    <m/>
    <m/>
    <s v="Taegu Subway fire"/>
    <s v="Alcoa passthrough"/>
  </r>
  <r>
    <m/>
    <n v="99"/>
    <x v="104"/>
    <d v="2003-02-01T00:00:00"/>
    <x v="7"/>
    <n v="23"/>
    <m/>
    <x v="8"/>
    <n v="4"/>
    <x v="3"/>
    <s v="China"/>
    <m/>
    <x v="3"/>
    <s v="Earthquake"/>
    <s v="Earthquake"/>
    <x v="0"/>
    <x v="0"/>
    <m/>
    <m/>
    <m/>
    <m/>
    <m/>
    <m/>
    <m/>
    <m/>
    <x v="0"/>
    <m/>
    <m/>
    <m/>
    <m/>
    <n v="50000"/>
    <m/>
    <n v="50000"/>
    <m/>
    <m/>
    <m/>
    <m/>
    <m/>
    <m/>
    <m/>
    <m/>
    <m/>
    <m/>
    <m/>
    <m/>
    <m/>
    <m/>
    <m/>
    <m/>
    <m/>
    <m/>
    <m/>
    <m/>
    <n v="50000"/>
    <m/>
    <m/>
    <n v="1350"/>
    <x v="16"/>
    <x v="1"/>
    <m/>
    <m/>
    <m/>
    <m/>
    <s v="0000"/>
    <m/>
    <m/>
    <m/>
    <m/>
    <m/>
    <m/>
    <m/>
    <m/>
    <m/>
    <m/>
    <m/>
    <m/>
    <s v="Altria passthrough"/>
  </r>
  <r>
    <m/>
    <n v="100"/>
    <x v="105"/>
    <d v="2003-03-01T00:00:00"/>
    <x v="7"/>
    <n v="24"/>
    <m/>
    <x v="8"/>
    <n v="5"/>
    <x v="3"/>
    <s v="Iraq"/>
    <m/>
    <x v="8"/>
    <s v="Conflict"/>
    <s v="Conflict"/>
    <x v="0"/>
    <x v="0"/>
    <m/>
    <m/>
    <m/>
    <m/>
    <m/>
    <m/>
    <m/>
    <m/>
    <x v="0"/>
    <m/>
    <n v="1"/>
    <n v="100000"/>
    <n v="100000"/>
    <m/>
    <m/>
    <n v="200000"/>
    <m/>
    <m/>
    <m/>
    <n v="64200"/>
    <m/>
    <m/>
    <n v="34200"/>
    <n v="30000"/>
    <m/>
    <m/>
    <m/>
    <m/>
    <m/>
    <m/>
    <m/>
    <m/>
    <m/>
    <m/>
    <n v="221694"/>
    <m/>
    <n v="421694"/>
    <m/>
    <m/>
    <n v="54200"/>
    <x v="66"/>
    <x v="1"/>
    <m/>
    <m/>
    <m/>
    <m/>
    <n v="2689"/>
    <m/>
    <m/>
    <m/>
    <m/>
    <m/>
    <m/>
    <m/>
    <m/>
    <m/>
    <m/>
    <m/>
    <s v="Iraq"/>
    <m/>
  </r>
  <r>
    <m/>
    <n v="100"/>
    <x v="106"/>
    <d v="2003-03-01T00:00:00"/>
    <x v="7"/>
    <n v="24"/>
    <m/>
    <x v="8"/>
    <n v="5"/>
    <x v="3"/>
    <s v="Syria"/>
    <m/>
    <x v="8"/>
    <s v="Conflict"/>
    <s v="Conflict"/>
    <x v="0"/>
    <x v="0"/>
    <m/>
    <m/>
    <m/>
    <m/>
    <m/>
    <m/>
    <m/>
    <m/>
    <x v="0"/>
    <m/>
    <m/>
    <m/>
    <m/>
    <n v="15000"/>
    <m/>
    <n v="15000"/>
    <m/>
    <m/>
    <m/>
    <m/>
    <m/>
    <m/>
    <m/>
    <m/>
    <m/>
    <m/>
    <m/>
    <m/>
    <m/>
    <m/>
    <m/>
    <m/>
    <m/>
    <m/>
    <m/>
    <m/>
    <n v="15000"/>
    <m/>
    <m/>
    <n v="1000"/>
    <x v="18"/>
    <x v="1"/>
    <m/>
    <m/>
    <m/>
    <m/>
    <n v="2689"/>
    <m/>
    <m/>
    <m/>
    <m/>
    <m/>
    <m/>
    <m/>
    <m/>
    <m/>
    <m/>
    <m/>
    <s v="Iraq"/>
    <s v="PMN for SARC"/>
  </r>
  <r>
    <m/>
    <n v="100"/>
    <x v="36"/>
    <d v="2003-03-01T00:00:00"/>
    <x v="7"/>
    <n v="24"/>
    <m/>
    <x v="8"/>
    <n v="5"/>
    <x v="3"/>
    <s v="Jordan"/>
    <m/>
    <x v="8"/>
    <s v="Conflict"/>
    <s v="Conflict"/>
    <x v="0"/>
    <x v="0"/>
    <m/>
    <m/>
    <m/>
    <m/>
    <m/>
    <m/>
    <m/>
    <m/>
    <x v="0"/>
    <m/>
    <m/>
    <m/>
    <m/>
    <n v="15000"/>
    <m/>
    <n v="15000"/>
    <n v="2"/>
    <m/>
    <m/>
    <m/>
    <m/>
    <m/>
    <m/>
    <m/>
    <m/>
    <m/>
    <m/>
    <m/>
    <m/>
    <m/>
    <m/>
    <m/>
    <m/>
    <m/>
    <m/>
    <n v="17812"/>
    <n v="32812"/>
    <m/>
    <m/>
    <n v="1000"/>
    <x v="67"/>
    <x v="1"/>
    <m/>
    <m/>
    <m/>
    <m/>
    <n v="2689"/>
    <m/>
    <m/>
    <m/>
    <m/>
    <m/>
    <m/>
    <m/>
    <m/>
    <m/>
    <m/>
    <m/>
    <s v="Iraq"/>
    <s v="PMN for JRCS; Jensen &amp; Dmitryuk in Amman"/>
  </r>
  <r>
    <m/>
    <n v="100"/>
    <x v="107"/>
    <d v="2003-03-01T00:00:00"/>
    <x v="7"/>
    <n v="24"/>
    <m/>
    <x v="8"/>
    <n v="5"/>
    <x v="3"/>
    <s v="Turkey"/>
    <m/>
    <x v="8"/>
    <s v="Conflict"/>
    <s v="Conflict"/>
    <x v="0"/>
    <x v="0"/>
    <m/>
    <m/>
    <m/>
    <m/>
    <m/>
    <m/>
    <m/>
    <m/>
    <x v="0"/>
    <m/>
    <m/>
    <m/>
    <m/>
    <m/>
    <m/>
    <n v="0"/>
    <n v="1"/>
    <m/>
    <m/>
    <m/>
    <m/>
    <m/>
    <m/>
    <m/>
    <m/>
    <m/>
    <m/>
    <m/>
    <m/>
    <m/>
    <m/>
    <m/>
    <m/>
    <m/>
    <m/>
    <n v="17812"/>
    <n v="17812"/>
    <m/>
    <m/>
    <m/>
    <x v="68"/>
    <x v="1"/>
    <m/>
    <m/>
    <m/>
    <m/>
    <n v="2689"/>
    <m/>
    <m/>
    <m/>
    <m/>
    <m/>
    <m/>
    <m/>
    <m/>
    <m/>
    <m/>
    <m/>
    <s v="Iraq"/>
    <s v="McAndrew in Ankara"/>
  </r>
  <r>
    <m/>
    <n v="101"/>
    <x v="108"/>
    <d v="2003-05-01T00:00:00"/>
    <x v="7"/>
    <n v="25"/>
    <m/>
    <x v="8"/>
    <n v="6"/>
    <x v="2"/>
    <s v="Argentina"/>
    <m/>
    <x v="2"/>
    <s v="General Floods"/>
    <s v="General Floods"/>
    <x v="0"/>
    <x v="0"/>
    <m/>
    <m/>
    <m/>
    <m/>
    <m/>
    <m/>
    <m/>
    <m/>
    <x v="0"/>
    <m/>
    <n v="0"/>
    <n v="15000"/>
    <m/>
    <m/>
    <m/>
    <n v="15000"/>
    <n v="1"/>
    <m/>
    <m/>
    <m/>
    <m/>
    <m/>
    <m/>
    <m/>
    <m/>
    <m/>
    <m/>
    <m/>
    <m/>
    <m/>
    <m/>
    <m/>
    <m/>
    <m/>
    <m/>
    <m/>
    <n v="15000"/>
    <m/>
    <m/>
    <n v="1500"/>
    <x v="18"/>
    <x v="1"/>
    <m/>
    <m/>
    <m/>
    <m/>
    <n v="2898"/>
    <m/>
    <m/>
    <m/>
    <m/>
    <m/>
    <m/>
    <m/>
    <m/>
    <m/>
    <m/>
    <m/>
    <m/>
    <s v="Rob McKenney from PADRU"/>
  </r>
  <r>
    <m/>
    <n v="102"/>
    <x v="9"/>
    <d v="2003-05-01T00:00:00"/>
    <x v="7"/>
    <n v="26"/>
    <m/>
    <x v="8"/>
    <n v="7"/>
    <x v="3"/>
    <s v="Turkey"/>
    <m/>
    <x v="3"/>
    <s v="Earthquake"/>
    <s v="Earthquake"/>
    <x v="0"/>
    <x v="0"/>
    <m/>
    <m/>
    <m/>
    <m/>
    <m/>
    <m/>
    <m/>
    <m/>
    <x v="0"/>
    <m/>
    <m/>
    <m/>
    <m/>
    <m/>
    <m/>
    <n v="0"/>
    <n v="2"/>
    <m/>
    <m/>
    <n v="9000"/>
    <m/>
    <m/>
    <m/>
    <m/>
    <m/>
    <m/>
    <m/>
    <m/>
    <m/>
    <n v="9000"/>
    <m/>
    <m/>
    <m/>
    <m/>
    <n v="331380"/>
    <m/>
    <n v="331380"/>
    <m/>
    <m/>
    <n v="45000"/>
    <x v="69"/>
    <x v="1"/>
    <m/>
    <m/>
    <m/>
    <m/>
    <n v="2898"/>
    <m/>
    <m/>
    <m/>
    <m/>
    <m/>
    <m/>
    <m/>
    <m/>
    <m/>
    <m/>
    <m/>
    <s v="Bingol"/>
    <s v="Food Parcels paid for by Region; IRT Kelly Hurd sent to support TRCS distribution; IRT R. Chapman deployed to support TRCS"/>
  </r>
  <r>
    <m/>
    <n v="103"/>
    <x v="109"/>
    <d v="2003-05-01T00:00:00"/>
    <x v="7"/>
    <n v="27"/>
    <m/>
    <x v="8"/>
    <n v="8"/>
    <x v="3"/>
    <s v="China"/>
    <m/>
    <x v="11"/>
    <s v="Viral"/>
    <s v="Viral"/>
    <x v="0"/>
    <x v="0"/>
    <m/>
    <m/>
    <m/>
    <m/>
    <m/>
    <m/>
    <m/>
    <m/>
    <x v="0"/>
    <m/>
    <m/>
    <m/>
    <m/>
    <n v="32500"/>
    <m/>
    <n v="32500"/>
    <m/>
    <m/>
    <m/>
    <m/>
    <m/>
    <m/>
    <m/>
    <m/>
    <m/>
    <m/>
    <m/>
    <m/>
    <m/>
    <m/>
    <m/>
    <m/>
    <m/>
    <m/>
    <m/>
    <m/>
    <n v="32500"/>
    <m/>
    <m/>
    <n v="59000"/>
    <x v="70"/>
    <x v="1"/>
    <m/>
    <m/>
    <m/>
    <m/>
    <n v="2691"/>
    <m/>
    <m/>
    <m/>
    <m/>
    <m/>
    <m/>
    <m/>
    <m/>
    <m/>
    <m/>
    <m/>
    <s v="SARS"/>
    <s v="AMEX: $25,000 + $7,500"/>
  </r>
  <r>
    <m/>
    <n v="103"/>
    <x v="109"/>
    <d v="2003-05-01T00:00:00"/>
    <x v="7"/>
    <n v="27"/>
    <m/>
    <x v="8"/>
    <n v="8"/>
    <x v="3"/>
    <s v="China"/>
    <m/>
    <x v="11"/>
    <s v="Viral"/>
    <s v="Viral"/>
    <x v="0"/>
    <x v="0"/>
    <m/>
    <m/>
    <m/>
    <m/>
    <m/>
    <m/>
    <m/>
    <m/>
    <x v="0"/>
    <m/>
    <m/>
    <m/>
    <m/>
    <n v="370642"/>
    <m/>
    <n v="370642"/>
    <m/>
    <m/>
    <m/>
    <m/>
    <m/>
    <m/>
    <m/>
    <m/>
    <m/>
    <m/>
    <m/>
    <m/>
    <m/>
    <m/>
    <m/>
    <m/>
    <m/>
    <m/>
    <m/>
    <m/>
    <n v="370642"/>
    <m/>
    <m/>
    <n v="15000"/>
    <x v="71"/>
    <x v="1"/>
    <m/>
    <m/>
    <m/>
    <m/>
    <s v="0000"/>
    <m/>
    <m/>
    <m/>
    <m/>
    <m/>
    <m/>
    <m/>
    <m/>
    <m/>
    <m/>
    <m/>
    <s v="SARS"/>
    <s v="Pfizer: $200,000; JP Morgan/Chase: $128,000; Microsoft: $42,642"/>
  </r>
  <r>
    <m/>
    <n v="103"/>
    <x v="110"/>
    <d v="2003-05-01T00:00:00"/>
    <x v="7"/>
    <n v="27"/>
    <m/>
    <x v="8"/>
    <n v="8"/>
    <x v="3"/>
    <s v="Hong Kong"/>
    <m/>
    <x v="11"/>
    <s v="Viral"/>
    <s v="Viral"/>
    <x v="0"/>
    <x v="0"/>
    <m/>
    <m/>
    <m/>
    <m/>
    <m/>
    <m/>
    <m/>
    <m/>
    <x v="0"/>
    <m/>
    <m/>
    <m/>
    <m/>
    <n v="60000"/>
    <m/>
    <n v="60000"/>
    <m/>
    <m/>
    <m/>
    <m/>
    <m/>
    <m/>
    <m/>
    <m/>
    <m/>
    <m/>
    <m/>
    <m/>
    <m/>
    <m/>
    <m/>
    <m/>
    <m/>
    <m/>
    <m/>
    <m/>
    <n v="60000"/>
    <m/>
    <m/>
    <n v="72500"/>
    <x v="45"/>
    <x v="1"/>
    <m/>
    <m/>
    <m/>
    <m/>
    <n v="2060"/>
    <m/>
    <m/>
    <m/>
    <m/>
    <m/>
    <m/>
    <m/>
    <m/>
    <m/>
    <m/>
    <m/>
    <s v="SARS"/>
    <s v="$25,000 from AMEX and $35,000 from JP Morgan Chase (both) programmed against total invoice of $97,923.15 for 1.2 million alcohol swabs and 435,000 surgical masks"/>
  </r>
  <r>
    <m/>
    <n v="104"/>
    <x v="111"/>
    <d v="2003-05-01T00:00:00"/>
    <x v="7"/>
    <n v="28"/>
    <m/>
    <x v="8"/>
    <n v="9"/>
    <x v="3"/>
    <s v="Sri Lanka"/>
    <m/>
    <x v="2"/>
    <s v="General Floods"/>
    <s v="General Floods"/>
    <x v="0"/>
    <x v="0"/>
    <m/>
    <m/>
    <m/>
    <m/>
    <m/>
    <m/>
    <m/>
    <m/>
    <x v="0"/>
    <m/>
    <n v="0"/>
    <n v="21400"/>
    <m/>
    <m/>
    <m/>
    <n v="21400"/>
    <m/>
    <m/>
    <m/>
    <m/>
    <m/>
    <m/>
    <m/>
    <m/>
    <m/>
    <m/>
    <m/>
    <m/>
    <m/>
    <m/>
    <m/>
    <m/>
    <m/>
    <m/>
    <m/>
    <m/>
    <n v="21400"/>
    <m/>
    <m/>
    <n v="2862.1931568439049"/>
    <x v="72"/>
    <x v="1"/>
    <m/>
    <m/>
    <m/>
    <m/>
    <n v="2692"/>
    <m/>
    <m/>
    <m/>
    <m/>
    <m/>
    <m/>
    <m/>
    <m/>
    <m/>
    <m/>
    <m/>
    <m/>
    <s v="Funds provided through Citigroup's ADGP; Federation Appeal for $934,598 / 125,000 beneficiaries / 3 months"/>
  </r>
  <r>
    <m/>
    <n v="105"/>
    <x v="80"/>
    <d v="2003-07-01T00:00:00"/>
    <x v="8"/>
    <n v="1"/>
    <m/>
    <x v="8"/>
    <n v="10"/>
    <x v="2"/>
    <s v="Panama"/>
    <m/>
    <x v="2"/>
    <s v="General Floods"/>
    <s v="General Floods"/>
    <x v="0"/>
    <x v="0"/>
    <m/>
    <m/>
    <m/>
    <m/>
    <m/>
    <m/>
    <m/>
    <m/>
    <x v="0"/>
    <m/>
    <m/>
    <m/>
    <m/>
    <m/>
    <m/>
    <n v="0"/>
    <n v="1"/>
    <m/>
    <m/>
    <n v="6500"/>
    <m/>
    <n v="500"/>
    <m/>
    <m/>
    <m/>
    <m/>
    <m/>
    <n v="6000"/>
    <m/>
    <m/>
    <m/>
    <m/>
    <m/>
    <m/>
    <n v="16700"/>
    <m/>
    <n v="16700"/>
    <m/>
    <m/>
    <n v="3000"/>
    <x v="73"/>
    <x v="1"/>
    <m/>
    <m/>
    <m/>
    <m/>
    <n v="2898"/>
    <m/>
    <m/>
    <m/>
    <m/>
    <m/>
    <m/>
    <m/>
    <m/>
    <m/>
    <m/>
    <m/>
    <m/>
    <s v="hygiene kits (value $1,770) and bedsheets (500 packets of 12 at a total value of $15,000) from PADRU as part of a joint ARC/Federation/Panamanian Red Cross operation. Steve McAndrew was deployed from PADRU to oversee the distributions"/>
  </r>
  <r>
    <m/>
    <n v="106"/>
    <x v="112"/>
    <d v="2003-09-01T00:00:00"/>
    <x v="8"/>
    <n v="2"/>
    <m/>
    <x v="8"/>
    <n v="11"/>
    <x v="4"/>
    <s v="Canada"/>
    <m/>
    <x v="15"/>
    <s v="Forest Fire"/>
    <s v="Fire"/>
    <x v="0"/>
    <x v="0"/>
    <m/>
    <m/>
    <m/>
    <m/>
    <m/>
    <m/>
    <m/>
    <m/>
    <x v="0"/>
    <m/>
    <m/>
    <m/>
    <m/>
    <n v="10000"/>
    <m/>
    <n v="10000"/>
    <m/>
    <m/>
    <m/>
    <m/>
    <m/>
    <m/>
    <m/>
    <m/>
    <m/>
    <m/>
    <m/>
    <m/>
    <m/>
    <m/>
    <m/>
    <m/>
    <m/>
    <m/>
    <m/>
    <m/>
    <n v="10000"/>
    <m/>
    <m/>
    <n v="250"/>
    <x v="6"/>
    <x v="2"/>
    <m/>
    <m/>
    <m/>
    <m/>
    <n v="2099"/>
    <m/>
    <m/>
    <m/>
    <m/>
    <m/>
    <m/>
    <m/>
    <m/>
    <m/>
    <m/>
    <m/>
    <m/>
    <s v="$10,000 donation from Citigroup for forest fires in British Columbia (Citigroup $ kept in 2099 per a prior agreement)"/>
  </r>
  <r>
    <m/>
    <n v="107"/>
    <x v="113"/>
    <d v="2003-10-01T00:00:00"/>
    <x v="8"/>
    <n v="3"/>
    <m/>
    <x v="8"/>
    <n v="12"/>
    <x v="2"/>
    <s v="Dominican Republic"/>
    <m/>
    <x v="3"/>
    <s v="Earthquake"/>
    <s v="Earthquake"/>
    <x v="0"/>
    <x v="0"/>
    <m/>
    <m/>
    <m/>
    <m/>
    <m/>
    <m/>
    <m/>
    <m/>
    <x v="0"/>
    <m/>
    <m/>
    <m/>
    <m/>
    <m/>
    <m/>
    <n v="0"/>
    <m/>
    <m/>
    <m/>
    <m/>
    <m/>
    <m/>
    <m/>
    <m/>
    <m/>
    <m/>
    <m/>
    <m/>
    <m/>
    <m/>
    <m/>
    <m/>
    <m/>
    <m/>
    <n v="25000"/>
    <m/>
    <n v="25000"/>
    <m/>
    <m/>
    <n v="100"/>
    <x v="8"/>
    <x v="1"/>
    <m/>
    <m/>
    <m/>
    <m/>
    <n v="2694"/>
    <m/>
    <m/>
    <m/>
    <m/>
    <m/>
    <m/>
    <m/>
    <m/>
    <m/>
    <m/>
    <m/>
    <s v="Puerto Plata"/>
    <s v="$25,000 from Verizon (AP is shared with November 2003 floods in Cibao / Montecristi)"/>
  </r>
  <r>
    <m/>
    <n v="108"/>
    <x v="114"/>
    <d v="2003-05-01T00:00:00"/>
    <x v="8"/>
    <n v="4"/>
    <m/>
    <x v="8"/>
    <n v="13"/>
    <x v="1"/>
    <s v="Algeria"/>
    <m/>
    <x v="3"/>
    <s v="Earthquake"/>
    <s v="Earthquake"/>
    <x v="0"/>
    <x v="0"/>
    <m/>
    <m/>
    <m/>
    <m/>
    <m/>
    <m/>
    <m/>
    <m/>
    <x v="0"/>
    <m/>
    <m/>
    <m/>
    <m/>
    <m/>
    <m/>
    <n v="0"/>
    <m/>
    <m/>
    <m/>
    <n v="10000"/>
    <m/>
    <n v="10000"/>
    <m/>
    <m/>
    <m/>
    <m/>
    <m/>
    <m/>
    <m/>
    <m/>
    <m/>
    <m/>
    <m/>
    <m/>
    <n v="37200"/>
    <n v="28670"/>
    <n v="65870"/>
    <m/>
    <m/>
    <n v="50000"/>
    <x v="74"/>
    <x v="1"/>
    <m/>
    <m/>
    <m/>
    <m/>
    <n v="2693"/>
    <m/>
    <m/>
    <m/>
    <m/>
    <m/>
    <m/>
    <m/>
    <m/>
    <m/>
    <m/>
    <m/>
    <s v="RESPONSE IN FY 04"/>
    <s v="hygiene kits ($3.72 each) ex Bulgaria; $8,470 for transport, $1,200 demurrage, $19,000 to remove washing powder in Greece"/>
  </r>
  <r>
    <m/>
    <n v="109"/>
    <x v="115"/>
    <d v="2003-08-01T00:00:00"/>
    <x v="8"/>
    <n v="5"/>
    <m/>
    <x v="8"/>
    <n v="14"/>
    <x v="1"/>
    <s v="Liberia"/>
    <m/>
    <x v="8"/>
    <s v="Conflict"/>
    <s v="Conflict"/>
    <x v="0"/>
    <x v="0"/>
    <m/>
    <m/>
    <m/>
    <m/>
    <m/>
    <m/>
    <m/>
    <m/>
    <x v="0"/>
    <m/>
    <n v="0"/>
    <n v="35027"/>
    <m/>
    <m/>
    <m/>
    <n v="35027"/>
    <m/>
    <m/>
    <m/>
    <m/>
    <m/>
    <m/>
    <m/>
    <m/>
    <m/>
    <m/>
    <m/>
    <m/>
    <m/>
    <m/>
    <m/>
    <m/>
    <m/>
    <m/>
    <m/>
    <m/>
    <n v="35027"/>
    <m/>
    <m/>
    <n v="2500"/>
    <x v="75"/>
    <x v="1"/>
    <m/>
    <m/>
    <m/>
    <m/>
    <n v="2631"/>
    <m/>
    <m/>
    <m/>
    <m/>
    <m/>
    <m/>
    <m/>
    <m/>
    <m/>
    <m/>
    <m/>
    <m/>
    <s v="Funds from Region's budget previously sent to Geneva re-allocated  - signed PMN returned to IDRU in October 2003"/>
  </r>
  <r>
    <m/>
    <n v="110"/>
    <x v="6"/>
    <d v="2003-09-01T00:00:00"/>
    <x v="8"/>
    <n v="6"/>
    <m/>
    <x v="8"/>
    <n v="15"/>
    <x v="2"/>
    <s v="Mexico"/>
    <m/>
    <x v="2"/>
    <s v="General Floods"/>
    <s v="General Floods"/>
    <x v="0"/>
    <x v="0"/>
    <m/>
    <m/>
    <m/>
    <m/>
    <m/>
    <m/>
    <m/>
    <m/>
    <x v="0"/>
    <m/>
    <m/>
    <m/>
    <m/>
    <n v="10500"/>
    <m/>
    <n v="10500"/>
    <n v="2"/>
    <m/>
    <m/>
    <m/>
    <m/>
    <m/>
    <m/>
    <m/>
    <m/>
    <m/>
    <m/>
    <m/>
    <m/>
    <m/>
    <m/>
    <m/>
    <m/>
    <m/>
    <m/>
    <m/>
    <n v="10500"/>
    <m/>
    <m/>
    <n v="3000"/>
    <x v="76"/>
    <x v="1"/>
    <m/>
    <m/>
    <m/>
    <m/>
    <n v="2688"/>
    <m/>
    <m/>
    <m/>
    <m/>
    <m/>
    <m/>
    <m/>
    <m/>
    <m/>
    <m/>
    <m/>
    <m/>
    <s v="Hurricane Kenna funds ($11,636.16 minus 11.15%); Christine Strater and Nate Cooper deployed 5 October 2003"/>
  </r>
  <r>
    <m/>
    <n v="111"/>
    <x v="95"/>
    <d v="2003-10-01T00:00:00"/>
    <x v="8"/>
    <n v="7"/>
    <m/>
    <x v="8"/>
    <n v="16"/>
    <x v="3"/>
    <s v="South Korea"/>
    <m/>
    <x v="5"/>
    <s v="Tropical Cyclone"/>
    <s v="Typhoon"/>
    <x v="0"/>
    <x v="0"/>
    <m/>
    <m/>
    <m/>
    <m/>
    <m/>
    <m/>
    <m/>
    <m/>
    <x v="0"/>
    <m/>
    <m/>
    <m/>
    <m/>
    <n v="10000"/>
    <m/>
    <n v="10000"/>
    <m/>
    <m/>
    <m/>
    <m/>
    <m/>
    <m/>
    <m/>
    <m/>
    <m/>
    <m/>
    <m/>
    <m/>
    <m/>
    <m/>
    <m/>
    <m/>
    <m/>
    <m/>
    <m/>
    <m/>
    <n v="10000"/>
    <m/>
    <m/>
    <m/>
    <x v="6"/>
    <x v="1"/>
    <m/>
    <m/>
    <m/>
    <m/>
    <n v="2647"/>
    <m/>
    <m/>
    <m/>
    <m/>
    <m/>
    <m/>
    <m/>
    <m/>
    <m/>
    <m/>
    <m/>
    <s v="Maemi"/>
    <s v="Alcoa funds for re-stocking KNRC warehouse"/>
  </r>
  <r>
    <m/>
    <n v="112"/>
    <x v="116"/>
    <d v="2003-11-01T00:00:00"/>
    <x v="8"/>
    <n v="8"/>
    <m/>
    <x v="8"/>
    <n v="17"/>
    <x v="2"/>
    <s v="Dominican Republic"/>
    <m/>
    <x v="2"/>
    <s v="General Floods"/>
    <s v="General Floods"/>
    <x v="0"/>
    <x v="0"/>
    <m/>
    <m/>
    <m/>
    <m/>
    <m/>
    <m/>
    <m/>
    <m/>
    <x v="0"/>
    <m/>
    <m/>
    <m/>
    <m/>
    <m/>
    <m/>
    <n v="0"/>
    <n v="3"/>
    <s v="Relief ERU"/>
    <m/>
    <m/>
    <m/>
    <m/>
    <m/>
    <m/>
    <m/>
    <m/>
    <m/>
    <m/>
    <m/>
    <m/>
    <m/>
    <m/>
    <m/>
    <m/>
    <n v="50000"/>
    <m/>
    <n v="50000"/>
    <m/>
    <m/>
    <n v="500"/>
    <x v="16"/>
    <x v="1"/>
    <m/>
    <m/>
    <m/>
    <m/>
    <n v="2618"/>
    <m/>
    <m/>
    <m/>
    <m/>
    <m/>
    <m/>
    <m/>
    <m/>
    <m/>
    <m/>
    <m/>
    <s v="Cibao / Montecristi"/>
    <s v="$50,000 from OFDA; Greenhalgh, McAndrew and Chapman deployed in November 2003 on Relief ERU Pilot"/>
  </r>
  <r>
    <m/>
    <n v="112"/>
    <x v="116"/>
    <d v="2003-11-01T00:00:00"/>
    <x v="8"/>
    <n v="8"/>
    <m/>
    <x v="8"/>
    <n v="17"/>
    <x v="2"/>
    <s v="Dominican Republic"/>
    <m/>
    <x v="2"/>
    <s v="General Floods"/>
    <s v="General Floods"/>
    <x v="0"/>
    <x v="0"/>
    <m/>
    <m/>
    <m/>
    <m/>
    <m/>
    <m/>
    <m/>
    <m/>
    <x v="0"/>
    <m/>
    <m/>
    <m/>
    <m/>
    <m/>
    <m/>
    <n v="0"/>
    <m/>
    <m/>
    <m/>
    <m/>
    <m/>
    <m/>
    <m/>
    <m/>
    <m/>
    <m/>
    <m/>
    <m/>
    <m/>
    <m/>
    <m/>
    <m/>
    <m/>
    <m/>
    <m/>
    <m/>
    <n v="0"/>
    <m/>
    <m/>
    <m/>
    <x v="7"/>
    <x v="1"/>
    <m/>
    <m/>
    <m/>
    <m/>
    <n v="2694"/>
    <m/>
    <m/>
    <m/>
    <m/>
    <m/>
    <m/>
    <m/>
    <m/>
    <m/>
    <m/>
    <m/>
    <s v="Cibao / Montecristi"/>
    <s v="(AP is shared with October 2003 Earthquake in Puerto Plata)"/>
  </r>
  <r>
    <m/>
    <n v="113"/>
    <x v="117"/>
    <d v="2003-12-01T00:00:00"/>
    <x v="8"/>
    <n v="9"/>
    <m/>
    <x v="8"/>
    <n v="18"/>
    <x v="3"/>
    <s v="Iran"/>
    <m/>
    <x v="3"/>
    <s v="Earthquake"/>
    <s v="Earthquake"/>
    <x v="0"/>
    <x v="0"/>
    <m/>
    <m/>
    <m/>
    <m/>
    <m/>
    <m/>
    <m/>
    <m/>
    <x v="0"/>
    <m/>
    <n v="1"/>
    <n v="200000"/>
    <m/>
    <m/>
    <m/>
    <n v="200000"/>
    <n v="6"/>
    <s v="Relief ERU"/>
    <m/>
    <n v="115560"/>
    <m/>
    <n v="45000"/>
    <n v="27000"/>
    <m/>
    <m/>
    <n v="490"/>
    <m/>
    <m/>
    <m/>
    <m/>
    <m/>
    <m/>
    <m/>
    <m/>
    <n v="825763"/>
    <n v="150038.97999999998"/>
    <n v="1175801.98"/>
    <m/>
    <m/>
    <n v="225000"/>
    <x v="77"/>
    <x v="1"/>
    <m/>
    <m/>
    <m/>
    <m/>
    <n v="2019"/>
    <m/>
    <m/>
    <m/>
    <m/>
    <m/>
    <m/>
    <m/>
    <m/>
    <m/>
    <m/>
    <m/>
    <s v="Bam"/>
    <s v="Relief ERU deployed: McAndrew (TL), Stephenson, Stops, Parry, Strater &amp; Swadzka.  $200,000 PMN sent to Federation; Commodities provide: 10,000 towels and 20,000 nail clippers"/>
  </r>
  <r>
    <m/>
    <n v="113"/>
    <x v="117"/>
    <d v="2003-12-01T00:00:00"/>
    <x v="8"/>
    <n v="9"/>
    <m/>
    <x v="8"/>
    <n v="18"/>
    <x v="3"/>
    <s v="Iran"/>
    <m/>
    <x v="3"/>
    <s v="Earthquake"/>
    <s v="Earthquake"/>
    <x v="0"/>
    <x v="0"/>
    <m/>
    <m/>
    <m/>
    <m/>
    <m/>
    <m/>
    <m/>
    <m/>
    <x v="0"/>
    <m/>
    <m/>
    <m/>
    <m/>
    <m/>
    <m/>
    <n v="0"/>
    <m/>
    <m/>
    <m/>
    <n v="11"/>
    <m/>
    <m/>
    <m/>
    <m/>
    <m/>
    <n v="11"/>
    <m/>
    <m/>
    <m/>
    <m/>
    <m/>
    <m/>
    <m/>
    <m/>
    <n v="19975"/>
    <m/>
    <n v="19975"/>
    <m/>
    <m/>
    <n v="440"/>
    <x v="78"/>
    <x v="1"/>
    <m/>
    <m/>
    <m/>
    <m/>
    <n v="2616"/>
    <m/>
    <m/>
    <m/>
    <m/>
    <m/>
    <m/>
    <m/>
    <m/>
    <m/>
    <m/>
    <m/>
    <s v="Bam"/>
    <s v="Grant from Reuters / AlertNet"/>
  </r>
  <r>
    <m/>
    <n v="113"/>
    <x v="117"/>
    <d v="2003-12-01T00:00:00"/>
    <x v="8"/>
    <n v="9"/>
    <m/>
    <x v="8"/>
    <n v="18"/>
    <x v="3"/>
    <s v="Iran"/>
    <m/>
    <x v="3"/>
    <s v="Earthquake"/>
    <s v="Earthquake"/>
    <x v="0"/>
    <x v="0"/>
    <m/>
    <m/>
    <m/>
    <m/>
    <m/>
    <m/>
    <m/>
    <m/>
    <x v="0"/>
    <m/>
    <m/>
    <m/>
    <m/>
    <m/>
    <m/>
    <n v="0"/>
    <m/>
    <m/>
    <m/>
    <m/>
    <m/>
    <m/>
    <m/>
    <m/>
    <m/>
    <m/>
    <m/>
    <m/>
    <m/>
    <m/>
    <m/>
    <m/>
    <m/>
    <m/>
    <n v="60000"/>
    <m/>
    <n v="60000"/>
    <m/>
    <m/>
    <m/>
    <x v="45"/>
    <x v="1"/>
    <m/>
    <m/>
    <m/>
    <m/>
    <n v="2793"/>
    <m/>
    <m/>
    <m/>
    <m/>
    <m/>
    <m/>
    <m/>
    <m/>
    <m/>
    <m/>
    <m/>
    <s v="Bam"/>
    <s v="Grant from Semnani Foundation."/>
  </r>
  <r>
    <m/>
    <n v="114"/>
    <x v="118"/>
    <d v="2003-12-01T00:00:00"/>
    <x v="8"/>
    <n v="10"/>
    <m/>
    <x v="8"/>
    <n v="19"/>
    <x v="2"/>
    <s v="Panama"/>
    <m/>
    <x v="3"/>
    <s v="Earthquake"/>
    <s v="Earthquake"/>
    <x v="0"/>
    <x v="0"/>
    <m/>
    <m/>
    <m/>
    <m/>
    <m/>
    <m/>
    <m/>
    <m/>
    <x v="0"/>
    <m/>
    <m/>
    <m/>
    <m/>
    <m/>
    <m/>
    <n v="0"/>
    <m/>
    <m/>
    <m/>
    <n v="2300"/>
    <m/>
    <m/>
    <n v="1000"/>
    <m/>
    <m/>
    <m/>
    <m/>
    <n v="1100"/>
    <m/>
    <m/>
    <m/>
    <m/>
    <m/>
    <m/>
    <n v="6178"/>
    <m/>
    <n v="6178"/>
    <m/>
    <m/>
    <n v="550"/>
    <x v="79"/>
    <x v="1"/>
    <m/>
    <m/>
    <m/>
    <m/>
    <n v="2898"/>
    <m/>
    <m/>
    <m/>
    <m/>
    <m/>
    <m/>
    <m/>
    <m/>
    <m/>
    <m/>
    <m/>
    <m/>
    <s v="Supplies to Panama RC"/>
  </r>
  <r>
    <m/>
    <n v="115"/>
    <x v="119"/>
    <d v="2004-04-01T00:00:00"/>
    <x v="8"/>
    <n v="11"/>
    <m/>
    <x v="9"/>
    <n v="1"/>
    <x v="3"/>
    <s v="DPRK/North Korea"/>
    <m/>
    <x v="9"/>
    <s v="Rail"/>
    <s v="Explosion"/>
    <x v="0"/>
    <x v="0"/>
    <m/>
    <m/>
    <m/>
    <m/>
    <m/>
    <m/>
    <m/>
    <m/>
    <x v="0"/>
    <m/>
    <n v="1"/>
    <n v="110000"/>
    <m/>
    <m/>
    <m/>
    <n v="110000"/>
    <m/>
    <m/>
    <m/>
    <m/>
    <m/>
    <m/>
    <m/>
    <m/>
    <m/>
    <m/>
    <m/>
    <m/>
    <m/>
    <m/>
    <m/>
    <m/>
    <m/>
    <m/>
    <m/>
    <m/>
    <n v="110000"/>
    <m/>
    <m/>
    <n v="3300"/>
    <x v="80"/>
    <x v="1"/>
    <m/>
    <m/>
    <m/>
    <m/>
    <s v="2861 / 2790"/>
    <m/>
    <m/>
    <m/>
    <m/>
    <m/>
    <m/>
    <m/>
    <m/>
    <m/>
    <m/>
    <m/>
    <s v="Ryongchon"/>
    <s v="CASH: $10,000  from 2861 funds from Asia Region ; $100,000 from OFDA / 2790;"/>
  </r>
  <r>
    <m/>
    <n v="116"/>
    <x v="116"/>
    <d v="2004-05-01T00:00:00"/>
    <x v="8"/>
    <n v="12"/>
    <m/>
    <x v="9"/>
    <n v="2"/>
    <x v="2"/>
    <s v="Dominican Republic"/>
    <m/>
    <x v="2"/>
    <s v="General Floods"/>
    <s v="General Floods"/>
    <x v="0"/>
    <x v="0"/>
    <m/>
    <m/>
    <m/>
    <m/>
    <m/>
    <m/>
    <m/>
    <m/>
    <x v="0"/>
    <m/>
    <m/>
    <m/>
    <m/>
    <m/>
    <m/>
    <n v="0"/>
    <n v="1"/>
    <m/>
    <m/>
    <n v="10930"/>
    <m/>
    <m/>
    <m/>
    <n v="2350"/>
    <m/>
    <n v="150"/>
    <m/>
    <n v="5000"/>
    <m/>
    <m/>
    <n v="1000"/>
    <m/>
    <m/>
    <m/>
    <n v="205334.81245"/>
    <n v="14800"/>
    <n v="220134.81245"/>
    <m/>
    <m/>
    <n v="2500"/>
    <x v="81"/>
    <x v="1"/>
    <m/>
    <m/>
    <m/>
    <m/>
    <n v="2694"/>
    <m/>
    <m/>
    <m/>
    <m/>
    <m/>
    <m/>
    <m/>
    <m/>
    <m/>
    <m/>
    <m/>
    <s v="Jimani &amp; Duarte"/>
    <s v="Nate Cooper deployed to DR with PADRU; stocks deployed ($74,526.50) from PADRU includes 2,430 school kits; $89,000 worth of generators"/>
  </r>
  <r>
    <m/>
    <n v="116"/>
    <x v="120"/>
    <d v="2004-05-01T00:00:00"/>
    <x v="8"/>
    <n v="12"/>
    <m/>
    <x v="9"/>
    <n v="2"/>
    <x v="2"/>
    <s v="Haiti"/>
    <m/>
    <x v="2"/>
    <s v="General Floods"/>
    <s v="General Floods"/>
    <x v="0"/>
    <x v="0"/>
    <m/>
    <m/>
    <m/>
    <m/>
    <m/>
    <m/>
    <m/>
    <m/>
    <x v="0"/>
    <m/>
    <n v="0"/>
    <n v="20007"/>
    <m/>
    <m/>
    <m/>
    <n v="20007"/>
    <m/>
    <m/>
    <m/>
    <m/>
    <m/>
    <m/>
    <m/>
    <m/>
    <m/>
    <m/>
    <m/>
    <m/>
    <m/>
    <m/>
    <m/>
    <n v="2"/>
    <m/>
    <m/>
    <n v="16885.856"/>
    <n v="7665"/>
    <n v="44557.856"/>
    <m/>
    <m/>
    <n v="3000"/>
    <x v="82"/>
    <x v="1"/>
    <m/>
    <m/>
    <m/>
    <m/>
    <n v="2614"/>
    <m/>
    <m/>
    <m/>
    <m/>
    <m/>
    <m/>
    <m/>
    <m/>
    <m/>
    <m/>
    <m/>
    <s v="Eastern"/>
    <s v="PMN 0407052 ($18,000 + PSR) dated 7 July 2004; rental of two vehicles to be used in Haiti for 3 months each"/>
  </r>
  <r>
    <m/>
    <n v="116"/>
    <x v="121"/>
    <d v="2004-05-01T00:00:00"/>
    <x v="8"/>
    <n v="13"/>
    <m/>
    <x v="9"/>
    <n v="3"/>
    <x v="1"/>
    <s v="Malawi"/>
    <m/>
    <x v="11"/>
    <s v="Viral"/>
    <s v="Viral"/>
    <x v="0"/>
    <x v="0"/>
    <m/>
    <m/>
    <m/>
    <m/>
    <m/>
    <m/>
    <m/>
    <m/>
    <x v="0"/>
    <m/>
    <m/>
    <m/>
    <m/>
    <m/>
    <m/>
    <n v="0"/>
    <m/>
    <m/>
    <m/>
    <n v="12380"/>
    <m/>
    <m/>
    <m/>
    <m/>
    <m/>
    <m/>
    <m/>
    <n v="12360"/>
    <m/>
    <m/>
    <n v="20"/>
    <m/>
    <m/>
    <m/>
    <n v="61220"/>
    <m/>
    <n v="61220"/>
    <m/>
    <m/>
    <n v="6180"/>
    <x v="83"/>
    <x v="1"/>
    <m/>
    <m/>
    <m/>
    <m/>
    <n v="2898"/>
    <m/>
    <m/>
    <m/>
    <m/>
    <m/>
    <m/>
    <m/>
    <m/>
    <m/>
    <m/>
    <m/>
    <s v="HIV/AIDS - Home Care"/>
    <s v="ex London"/>
  </r>
  <r>
    <m/>
    <n v="116"/>
    <x v="116"/>
    <d v="2004-07-01T00:00:00"/>
    <x v="8"/>
    <n v="12"/>
    <m/>
    <x v="9"/>
    <n v="2"/>
    <x v="2"/>
    <s v="Dominican Republic"/>
    <m/>
    <x v="2"/>
    <s v="General Floods"/>
    <s v="General Floods"/>
    <x v="0"/>
    <x v="0"/>
    <m/>
    <m/>
    <m/>
    <m/>
    <m/>
    <m/>
    <m/>
    <m/>
    <x v="0"/>
    <m/>
    <m/>
    <m/>
    <m/>
    <m/>
    <m/>
    <n v="0"/>
    <n v="1"/>
    <m/>
    <m/>
    <m/>
    <m/>
    <m/>
    <m/>
    <m/>
    <m/>
    <m/>
    <m/>
    <m/>
    <m/>
    <m/>
    <m/>
    <m/>
    <m/>
    <m/>
    <n v="110266.26"/>
    <m/>
    <n v="110266.26"/>
    <m/>
    <m/>
    <n v="2500"/>
    <x v="84"/>
    <x v="1"/>
    <m/>
    <m/>
    <m/>
    <m/>
    <n v="2788"/>
    <m/>
    <m/>
    <m/>
    <m/>
    <m/>
    <m/>
    <m/>
    <m/>
    <m/>
    <m/>
    <m/>
    <s v="Jimani &amp; Duarte"/>
    <s v="Ricardo Caivano - Gates Foundation funds ($233,780 - 11.15% = $207,713.53 available - - 60% for DR)"/>
  </r>
  <r>
    <m/>
    <n v="116"/>
    <x v="120"/>
    <d v="2004-07-01T00:00:00"/>
    <x v="8"/>
    <n v="12"/>
    <m/>
    <x v="9"/>
    <n v="2"/>
    <x v="2"/>
    <s v="Haiti"/>
    <m/>
    <x v="2"/>
    <s v="General Floods"/>
    <s v="General Floods"/>
    <x v="0"/>
    <x v="0"/>
    <m/>
    <m/>
    <m/>
    <m/>
    <m/>
    <m/>
    <m/>
    <m/>
    <x v="0"/>
    <m/>
    <m/>
    <m/>
    <m/>
    <m/>
    <m/>
    <n v="0"/>
    <m/>
    <m/>
    <m/>
    <m/>
    <m/>
    <m/>
    <m/>
    <m/>
    <m/>
    <m/>
    <m/>
    <m/>
    <m/>
    <m/>
    <m/>
    <m/>
    <m/>
    <m/>
    <n v="97442.48"/>
    <m/>
    <n v="97442.48"/>
    <m/>
    <m/>
    <n v="3000"/>
    <x v="85"/>
    <x v="1"/>
    <m/>
    <m/>
    <m/>
    <m/>
    <n v="2788"/>
    <m/>
    <m/>
    <m/>
    <m/>
    <m/>
    <m/>
    <m/>
    <m/>
    <m/>
    <m/>
    <m/>
    <s v="Eastern"/>
    <s v="Ricardo Caivano - Gates Foundation funds ($233,780 - 11.15% = $207,713.53 available - - 40% for Haiti)"/>
  </r>
  <r>
    <m/>
    <n v="117"/>
    <x v="122"/>
    <d v="2004-05-01T00:00:00"/>
    <x v="8"/>
    <n v="14"/>
    <m/>
    <x v="9"/>
    <n v="4"/>
    <x v="2"/>
    <s v="Jamaica"/>
    <m/>
    <x v="8"/>
    <s v="Conflict"/>
    <s v="Conflict"/>
    <x v="0"/>
    <x v="0"/>
    <m/>
    <m/>
    <m/>
    <m/>
    <m/>
    <m/>
    <m/>
    <m/>
    <x v="0"/>
    <m/>
    <m/>
    <m/>
    <m/>
    <m/>
    <m/>
    <n v="0"/>
    <n v="0"/>
    <m/>
    <m/>
    <n v="1000"/>
    <m/>
    <n v="500"/>
    <m/>
    <m/>
    <m/>
    <m/>
    <m/>
    <n v="500"/>
    <m/>
    <m/>
    <m/>
    <m/>
    <m/>
    <m/>
    <n v="3000"/>
    <m/>
    <n v="3000"/>
    <m/>
    <m/>
    <n v="500"/>
    <x v="86"/>
    <x v="1"/>
    <m/>
    <m/>
    <m/>
    <m/>
    <n v="2898"/>
    <m/>
    <m/>
    <m/>
    <m/>
    <m/>
    <m/>
    <m/>
    <m/>
    <m/>
    <m/>
    <m/>
    <s v="Haiti - Refugee"/>
    <s v="PADRU stocks"/>
  </r>
  <r>
    <m/>
    <n v="119"/>
    <x v="123"/>
    <d v="2004-08-01T00:00:00"/>
    <x v="9"/>
    <n v="1"/>
    <m/>
    <x v="9"/>
    <n v="5"/>
    <x v="2"/>
    <s v="Paraguay"/>
    <m/>
    <x v="10"/>
    <s v="Fire"/>
    <s v="Urban Fire"/>
    <x v="0"/>
    <x v="0"/>
    <m/>
    <m/>
    <m/>
    <m/>
    <m/>
    <m/>
    <m/>
    <m/>
    <x v="0"/>
    <m/>
    <m/>
    <m/>
    <m/>
    <n v="18675"/>
    <m/>
    <n v="18675"/>
    <m/>
    <m/>
    <m/>
    <m/>
    <m/>
    <m/>
    <m/>
    <m/>
    <m/>
    <m/>
    <m/>
    <m/>
    <m/>
    <m/>
    <m/>
    <m/>
    <m/>
    <m/>
    <m/>
    <m/>
    <n v="18675"/>
    <m/>
    <m/>
    <m/>
    <x v="87"/>
    <x v="1"/>
    <m/>
    <m/>
    <m/>
    <m/>
    <n v="2816"/>
    <m/>
    <m/>
    <m/>
    <m/>
    <m/>
    <m/>
    <m/>
    <m/>
    <m/>
    <m/>
    <m/>
    <s v="Asuncion Supermarket"/>
    <s v="World Bank Employees; money arrived Oct 2004"/>
  </r>
  <r>
    <m/>
    <n v="120"/>
    <x v="124"/>
    <d v="2004-08-01T00:00:00"/>
    <x v="9"/>
    <n v="2"/>
    <m/>
    <x v="9"/>
    <n v="6"/>
    <x v="1"/>
    <s v="Chad"/>
    <m/>
    <x v="8"/>
    <s v="Conflict"/>
    <s v="Conflict"/>
    <x v="0"/>
    <x v="0"/>
    <m/>
    <m/>
    <m/>
    <m/>
    <m/>
    <m/>
    <m/>
    <m/>
    <x v="0"/>
    <m/>
    <n v="1"/>
    <n v="100000"/>
    <m/>
    <m/>
    <m/>
    <n v="100000"/>
    <m/>
    <m/>
    <m/>
    <m/>
    <m/>
    <m/>
    <m/>
    <m/>
    <m/>
    <m/>
    <m/>
    <m/>
    <m/>
    <m/>
    <m/>
    <m/>
    <m/>
    <m/>
    <m/>
    <m/>
    <n v="100000"/>
    <m/>
    <m/>
    <m/>
    <x v="5"/>
    <x v="1"/>
    <m/>
    <m/>
    <m/>
    <m/>
    <n v="9306"/>
    <m/>
    <m/>
    <m/>
    <m/>
    <m/>
    <m/>
    <m/>
    <m/>
    <m/>
    <m/>
    <m/>
    <s v="Darfur / Sudan"/>
    <s v="PMN Contribution to support Fed Appeal - Chad: Sudanese Refugees (from LDS)"/>
  </r>
  <r>
    <m/>
    <n v="120"/>
    <x v="125"/>
    <d v="2004-08-01T00:00:00"/>
    <x v="9"/>
    <n v="2"/>
    <m/>
    <x v="9"/>
    <n v="6"/>
    <x v="1"/>
    <s v="Sudan"/>
    <m/>
    <x v="8"/>
    <s v="Conflict"/>
    <s v="Conflict"/>
    <x v="0"/>
    <x v="0"/>
    <m/>
    <m/>
    <m/>
    <m/>
    <m/>
    <m/>
    <m/>
    <m/>
    <x v="0"/>
    <m/>
    <m/>
    <m/>
    <n v="242000"/>
    <m/>
    <m/>
    <n v="242000"/>
    <n v="1"/>
    <m/>
    <m/>
    <m/>
    <m/>
    <m/>
    <m/>
    <m/>
    <m/>
    <m/>
    <m/>
    <m/>
    <m/>
    <m/>
    <m/>
    <m/>
    <m/>
    <m/>
    <m/>
    <n v="5400"/>
    <n v="247400"/>
    <m/>
    <m/>
    <m/>
    <x v="88"/>
    <x v="1"/>
    <m/>
    <m/>
    <m/>
    <m/>
    <n v="2802"/>
    <m/>
    <m/>
    <m/>
    <m/>
    <m/>
    <m/>
    <m/>
    <m/>
    <m/>
    <m/>
    <m/>
    <s v="Darfur / Sudan"/>
    <s v="1. 2004 - L. Greenhalgh seconded to Fed, expenses $5400 2. 2006 - Pledge to ICRC Sudan Appeal, $242,000"/>
  </r>
  <r>
    <m/>
    <n v="121"/>
    <x v="19"/>
    <d v="2004-08-01T00:00:00"/>
    <x v="9"/>
    <n v="3"/>
    <m/>
    <x v="9"/>
    <n v="7"/>
    <x v="3"/>
    <s v="Bangladesh"/>
    <m/>
    <x v="2"/>
    <s v="General Floods"/>
    <s v="General Floods"/>
    <x v="0"/>
    <x v="0"/>
    <m/>
    <m/>
    <m/>
    <m/>
    <m/>
    <m/>
    <m/>
    <m/>
    <x v="0"/>
    <m/>
    <n v="0"/>
    <n v="35975"/>
    <m/>
    <m/>
    <m/>
    <n v="35975"/>
    <m/>
    <m/>
    <m/>
    <m/>
    <m/>
    <m/>
    <m/>
    <m/>
    <m/>
    <m/>
    <m/>
    <m/>
    <m/>
    <m/>
    <m/>
    <m/>
    <m/>
    <m/>
    <m/>
    <m/>
    <n v="35975"/>
    <m/>
    <m/>
    <m/>
    <x v="89"/>
    <x v="1"/>
    <m/>
    <m/>
    <m/>
    <m/>
    <n v="2017"/>
    <m/>
    <m/>
    <m/>
    <m/>
    <m/>
    <m/>
    <m/>
    <m/>
    <m/>
    <m/>
    <m/>
    <s v="Country-wide"/>
    <s v="PMN: $15,975 from Citigroup and $20,000 from AMEX"/>
  </r>
  <r>
    <m/>
    <n v="122"/>
    <x v="126"/>
    <d v="2004-08-01T00:00:00"/>
    <x v="9"/>
    <n v="4"/>
    <m/>
    <x v="9"/>
    <n v="8"/>
    <x v="3"/>
    <s v="Taiwan"/>
    <m/>
    <x v="5"/>
    <s v="Tropical Cyclone"/>
    <s v="Typhoon"/>
    <x v="0"/>
    <x v="0"/>
    <m/>
    <m/>
    <m/>
    <m/>
    <m/>
    <m/>
    <m/>
    <m/>
    <x v="0"/>
    <m/>
    <m/>
    <m/>
    <m/>
    <n v="59896.536212325685"/>
    <m/>
    <n v="59896.536212325685"/>
    <m/>
    <m/>
    <m/>
    <m/>
    <m/>
    <m/>
    <m/>
    <m/>
    <m/>
    <m/>
    <m/>
    <m/>
    <m/>
    <m/>
    <m/>
    <m/>
    <m/>
    <m/>
    <m/>
    <m/>
    <n v="59896.536212325685"/>
    <m/>
    <m/>
    <m/>
    <x v="90"/>
    <x v="1"/>
    <m/>
    <m/>
    <m/>
    <m/>
    <n v="2824"/>
    <m/>
    <m/>
    <m/>
    <m/>
    <m/>
    <m/>
    <m/>
    <m/>
    <m/>
    <m/>
    <m/>
    <s v="Mindulle"/>
    <s v="Pass through from Intel ($50,000), Synopsys Community Foundation ($10,000 - 11.15%) and San Gabriel Valley Chapter ($1,000 - 11.15%)"/>
  </r>
  <r>
    <m/>
    <n v="123"/>
    <x v="25"/>
    <d v="2004-09-01T00:00:00"/>
    <x v="9"/>
    <n v="5"/>
    <m/>
    <x v="9"/>
    <n v="9"/>
    <x v="2"/>
    <s v="Grenada"/>
    <m/>
    <x v="5"/>
    <s v="Tropical Cyclone"/>
    <s v="Hurricane"/>
    <x v="0"/>
    <x v="0"/>
    <m/>
    <m/>
    <m/>
    <m/>
    <m/>
    <m/>
    <m/>
    <m/>
    <x v="0"/>
    <m/>
    <n v="1"/>
    <n v="300000"/>
    <m/>
    <m/>
    <m/>
    <n v="300000"/>
    <n v="2"/>
    <m/>
    <m/>
    <n v="486"/>
    <m/>
    <m/>
    <m/>
    <n v="481"/>
    <m/>
    <n v="5"/>
    <m/>
    <m/>
    <m/>
    <m/>
    <m/>
    <m/>
    <m/>
    <m/>
    <n v="2452.19"/>
    <m/>
    <n v="302452.19"/>
    <m/>
    <m/>
    <m/>
    <x v="91"/>
    <x v="1"/>
    <m/>
    <m/>
    <m/>
    <m/>
    <n v="2024"/>
    <m/>
    <m/>
    <m/>
    <m/>
    <m/>
    <m/>
    <m/>
    <m/>
    <m/>
    <m/>
    <m/>
    <s v="Ivan"/>
    <s v="PMN - March 05; N. Cooper deployed to Grenada and Bahamas w/ PADRU; T. Reines deployed to Grenada.  5 Tents @ $299 each; Jerry Cans @ $1.99 each"/>
  </r>
  <r>
    <m/>
    <n v="123"/>
    <x v="73"/>
    <d v="2004-09-01T00:00:00"/>
    <x v="9"/>
    <n v="5"/>
    <m/>
    <x v="9"/>
    <n v="9"/>
    <x v="2"/>
    <s v="Jamaica"/>
    <m/>
    <x v="5"/>
    <s v="Tropical Cyclone"/>
    <s v="Hurricane"/>
    <x v="0"/>
    <x v="0"/>
    <m/>
    <m/>
    <m/>
    <m/>
    <m/>
    <m/>
    <m/>
    <m/>
    <x v="0"/>
    <m/>
    <n v="1"/>
    <n v="100000"/>
    <m/>
    <m/>
    <m/>
    <n v="100000"/>
    <n v="1"/>
    <m/>
    <m/>
    <n v="7314"/>
    <m/>
    <m/>
    <n v="5000"/>
    <n v="802"/>
    <m/>
    <m/>
    <m/>
    <m/>
    <m/>
    <m/>
    <n v="1105"/>
    <m/>
    <m/>
    <m/>
    <n v="31046.879999999997"/>
    <m/>
    <n v="131046.88"/>
    <m/>
    <m/>
    <m/>
    <x v="92"/>
    <x v="1"/>
    <m/>
    <m/>
    <m/>
    <m/>
    <n v="2024"/>
    <m/>
    <m/>
    <m/>
    <m/>
    <m/>
    <m/>
    <m/>
    <m/>
    <m/>
    <m/>
    <m/>
    <s v="Ivan"/>
    <s v="PMN - March 05; M. Parry deployed with FACT; Jerry Cans @ $1.99 each, blankets @ $3.03 each, 407 flashlights @ $1.20 each,  tarpaulins @ $12.50 each"/>
  </r>
  <r>
    <m/>
    <n v="123"/>
    <x v="127"/>
    <d v="2004-09-01T00:00:00"/>
    <x v="9"/>
    <n v="5"/>
    <m/>
    <x v="9"/>
    <n v="9"/>
    <x v="2"/>
    <s v="Cayman Islands"/>
    <m/>
    <x v="5"/>
    <s v="Tropical Cyclone"/>
    <s v="Hurricane"/>
    <x v="0"/>
    <x v="0"/>
    <m/>
    <m/>
    <m/>
    <m/>
    <m/>
    <m/>
    <m/>
    <m/>
    <x v="0"/>
    <m/>
    <n v="1"/>
    <n v="100000"/>
    <m/>
    <m/>
    <m/>
    <n v="100000"/>
    <n v="1"/>
    <m/>
    <m/>
    <n v="2346"/>
    <m/>
    <n v="1000"/>
    <m/>
    <n v="321"/>
    <m/>
    <n v="25"/>
    <m/>
    <m/>
    <m/>
    <m/>
    <m/>
    <m/>
    <m/>
    <m/>
    <n v="12853.79"/>
    <m/>
    <n v="112853.79000000001"/>
    <m/>
    <m/>
    <m/>
    <x v="93"/>
    <x v="1"/>
    <m/>
    <m/>
    <m/>
    <m/>
    <n v="2024"/>
    <m/>
    <m/>
    <m/>
    <m/>
    <m/>
    <m/>
    <m/>
    <m/>
    <m/>
    <m/>
    <m/>
    <s v="Ivan"/>
    <s v="PMN - March 05; tents @ $299 each; Jerrry Cans @$1.99 each; 1,000 flashlights @ $1.20 each; Hygiene Kits @ $3.54 loaned to British Red Cross"/>
  </r>
  <r>
    <m/>
    <n v="123"/>
    <x v="13"/>
    <d v="2004-09-01T00:00:00"/>
    <x v="9"/>
    <n v="5"/>
    <m/>
    <x v="9"/>
    <n v="9"/>
    <x v="2"/>
    <s v="Bahamas "/>
    <m/>
    <x v="5"/>
    <s v="Tropical Cyclone"/>
    <s v="Hurricane"/>
    <x v="0"/>
    <x v="0"/>
    <m/>
    <m/>
    <m/>
    <m/>
    <m/>
    <m/>
    <m/>
    <m/>
    <x v="0"/>
    <m/>
    <n v="1"/>
    <n v="100000"/>
    <m/>
    <m/>
    <m/>
    <n v="100000"/>
    <n v="4"/>
    <m/>
    <m/>
    <m/>
    <m/>
    <m/>
    <m/>
    <m/>
    <m/>
    <m/>
    <m/>
    <m/>
    <m/>
    <m/>
    <m/>
    <m/>
    <m/>
    <m/>
    <m/>
    <m/>
    <n v="100000"/>
    <m/>
    <m/>
    <m/>
    <x v="5"/>
    <x v="1"/>
    <m/>
    <m/>
    <m/>
    <m/>
    <n v="2024"/>
    <m/>
    <m/>
    <m/>
    <m/>
    <m/>
    <m/>
    <m/>
    <m/>
    <m/>
    <m/>
    <m/>
    <s v="Ivan"/>
    <s v="PMN - Jan 05; C. Garrison, S. Schaefer deployed 1 month; N. Cooper deployed several times"/>
  </r>
  <r>
    <m/>
    <n v="124"/>
    <x v="120"/>
    <d v="2004-09-01T00:00:00"/>
    <x v="9"/>
    <n v="6"/>
    <m/>
    <x v="9"/>
    <n v="10"/>
    <x v="2"/>
    <s v="Haiti"/>
    <m/>
    <x v="2"/>
    <s v="Storm Surge"/>
    <s v="Storm Surge"/>
    <x v="0"/>
    <x v="0"/>
    <m/>
    <m/>
    <m/>
    <m/>
    <m/>
    <m/>
    <m/>
    <m/>
    <x v="0"/>
    <m/>
    <n v="1"/>
    <n v="400000"/>
    <m/>
    <m/>
    <m/>
    <n v="400000"/>
    <n v="1"/>
    <m/>
    <m/>
    <n v="110"/>
    <m/>
    <m/>
    <m/>
    <m/>
    <m/>
    <m/>
    <m/>
    <m/>
    <m/>
    <m/>
    <n v="110"/>
    <m/>
    <m/>
    <m/>
    <n v="1375"/>
    <m/>
    <n v="401375"/>
    <m/>
    <m/>
    <m/>
    <x v="94"/>
    <x v="1"/>
    <m/>
    <m/>
    <m/>
    <m/>
    <n v="2614"/>
    <m/>
    <m/>
    <m/>
    <m/>
    <m/>
    <m/>
    <m/>
    <m/>
    <m/>
    <m/>
    <m/>
    <s v="TS Jeanne"/>
    <s v="Brigitte Gallis deployed; tarpaulins @ $12.50 each; PMN 400K out of AP 2024 Jan 05"/>
  </r>
  <r>
    <m/>
    <n v="125"/>
    <x v="7"/>
    <d v="2004-11-01T00:00:00"/>
    <x v="9"/>
    <n v="7"/>
    <m/>
    <x v="9"/>
    <n v="11"/>
    <x v="2"/>
    <s v="Costa Rica"/>
    <m/>
    <x v="2"/>
    <s v="General Floods"/>
    <s v="General Floods"/>
    <x v="0"/>
    <x v="0"/>
    <m/>
    <m/>
    <m/>
    <m/>
    <m/>
    <m/>
    <m/>
    <m/>
    <x v="0"/>
    <m/>
    <m/>
    <m/>
    <m/>
    <m/>
    <m/>
    <n v="0"/>
    <m/>
    <m/>
    <m/>
    <n v="750"/>
    <m/>
    <n v="750"/>
    <m/>
    <m/>
    <m/>
    <m/>
    <m/>
    <m/>
    <m/>
    <m/>
    <m/>
    <m/>
    <m/>
    <m/>
    <n v="2655"/>
    <m/>
    <n v="2655"/>
    <m/>
    <m/>
    <m/>
    <x v="95"/>
    <x v="1"/>
    <m/>
    <m/>
    <m/>
    <m/>
    <n v="2898"/>
    <m/>
    <m/>
    <m/>
    <m/>
    <m/>
    <m/>
    <m/>
    <m/>
    <m/>
    <m/>
    <m/>
    <m/>
    <s v="from PADRU @ $3.54 each"/>
  </r>
  <r>
    <m/>
    <n v="126"/>
    <x v="80"/>
    <d v="2004-12-01T00:00:00"/>
    <x v="9"/>
    <n v="8"/>
    <m/>
    <x v="9"/>
    <n v="12"/>
    <x v="2"/>
    <s v="Panama"/>
    <s v="Hydrometerological"/>
    <x v="2"/>
    <s v="General Floods"/>
    <s v="General Floods"/>
    <x v="0"/>
    <x v="0"/>
    <m/>
    <m/>
    <m/>
    <m/>
    <m/>
    <m/>
    <m/>
    <m/>
    <x v="0"/>
    <m/>
    <m/>
    <m/>
    <m/>
    <m/>
    <m/>
    <n v="0"/>
    <m/>
    <m/>
    <m/>
    <m/>
    <m/>
    <m/>
    <m/>
    <m/>
    <m/>
    <m/>
    <m/>
    <m/>
    <m/>
    <m/>
    <m/>
    <m/>
    <m/>
    <m/>
    <m/>
    <m/>
    <n v="0"/>
    <m/>
    <m/>
    <m/>
    <x v="7"/>
    <x v="1"/>
    <m/>
    <m/>
    <m/>
    <m/>
    <n v="2898"/>
    <m/>
    <m/>
    <m/>
    <m/>
    <m/>
    <m/>
    <m/>
    <m/>
    <m/>
    <m/>
    <m/>
    <s v="Darien"/>
    <s v="CANCELLED: 100 cases of laundry soap (5,000 bars = $7,200) and 5,000 bars of bath soap ($1,475)"/>
  </r>
  <r>
    <m/>
    <n v="127"/>
    <x v="128"/>
    <d v="2004-12-01T00:00:00"/>
    <x v="9"/>
    <n v="9"/>
    <m/>
    <x v="9"/>
    <n v="13"/>
    <x v="3"/>
    <s v="Sri Lanka"/>
    <s v="Hydrometerological"/>
    <x v="16"/>
    <s v="Tsunami"/>
    <s v="Tsunami"/>
    <x v="0"/>
    <x v="0"/>
    <m/>
    <m/>
    <m/>
    <m/>
    <m/>
    <m/>
    <m/>
    <m/>
    <x v="0"/>
    <m/>
    <n v="1"/>
    <n v="1837066.6666666667"/>
    <m/>
    <m/>
    <m/>
    <n v="1837066.6666666667"/>
    <n v="17"/>
    <s v="Relief ERU"/>
    <m/>
    <m/>
    <m/>
    <m/>
    <m/>
    <m/>
    <m/>
    <m/>
    <m/>
    <m/>
    <m/>
    <m/>
    <m/>
    <m/>
    <m/>
    <m/>
    <n v="2011842.8599999999"/>
    <n v="100000000"/>
    <n v="103848909.52666667"/>
    <m/>
    <m/>
    <m/>
    <x v="96"/>
    <x v="1"/>
    <m/>
    <m/>
    <m/>
    <m/>
    <n v="2695"/>
    <m/>
    <m/>
    <m/>
    <m/>
    <m/>
    <m/>
    <m/>
    <m/>
    <m/>
    <m/>
    <m/>
    <s v="S &amp; E Provinces"/>
    <s v="Parry, Ragan, Courville, Matthews, Caivano, Blake, Garrison, Szwadzka, Hurd, Chinn, Gaver, Brien, Reines, Thornton, Cummings, deployed with Relief ERU. Stephenson and Cooper deployed with British RC; Hagos deployed for 2 weeks in Feb 2005; L. Wilkinson (DP)   $5 million PMN sent to Federation for Appeal / 100K for emerg phase"/>
  </r>
  <r>
    <m/>
    <n v="127"/>
    <x v="129"/>
    <d v="2004-12-01T00:00:00"/>
    <x v="9"/>
    <n v="9"/>
    <m/>
    <x v="9"/>
    <n v="13"/>
    <x v="3"/>
    <s v="Indonesia"/>
    <s v="Hydrometerological"/>
    <x v="16"/>
    <s v="Tsunami"/>
    <s v="Tsunami"/>
    <x v="0"/>
    <x v="0"/>
    <m/>
    <m/>
    <m/>
    <m/>
    <m/>
    <m/>
    <m/>
    <m/>
    <x v="0"/>
    <m/>
    <n v="1"/>
    <n v="1666666.6666666667"/>
    <m/>
    <m/>
    <m/>
    <n v="1666666.6666666667"/>
    <n v="5"/>
    <s v="Relief ERU"/>
    <m/>
    <m/>
    <m/>
    <m/>
    <m/>
    <m/>
    <m/>
    <m/>
    <m/>
    <m/>
    <m/>
    <m/>
    <m/>
    <m/>
    <m/>
    <m/>
    <n v="2300506.4"/>
    <m/>
    <n v="3967173.0666666664"/>
    <m/>
    <m/>
    <m/>
    <x v="97"/>
    <x v="1"/>
    <m/>
    <m/>
    <m/>
    <m/>
    <n v="2695"/>
    <m/>
    <m/>
    <m/>
    <m/>
    <m/>
    <m/>
    <m/>
    <m/>
    <m/>
    <m/>
    <m/>
    <s v="N. Sumatra"/>
    <s v="O'Donnell, Michaud and Card deployed as w/ Relief ERU in Northern Sumatra; Greenhalgh on FACT.   $5 million PMN sent to Federation for Appeal; Caivano transferred from Sri Lanka to Indo; Karnes deployed as IRT (logs/ops) "/>
  </r>
  <r>
    <m/>
    <n v="127"/>
    <x v="130"/>
    <d v="2004-12-01T00:00:00"/>
    <x v="9"/>
    <n v="9"/>
    <m/>
    <x v="9"/>
    <n v="13"/>
    <x v="3"/>
    <s v="Maldives"/>
    <s v="Hydrometerological"/>
    <x v="16"/>
    <s v="Tsunami"/>
    <s v="Tsunami"/>
    <x v="0"/>
    <x v="0"/>
    <m/>
    <m/>
    <m/>
    <m/>
    <m/>
    <m/>
    <m/>
    <m/>
    <x v="0"/>
    <m/>
    <n v="1"/>
    <n v="1666666.6666666667"/>
    <m/>
    <m/>
    <m/>
    <n v="1666666.6666666667"/>
    <n v="2"/>
    <m/>
    <m/>
    <m/>
    <m/>
    <m/>
    <m/>
    <m/>
    <m/>
    <m/>
    <m/>
    <m/>
    <m/>
    <m/>
    <m/>
    <m/>
    <m/>
    <m/>
    <n v="155600"/>
    <m/>
    <n v="1822266.6666666667"/>
    <m/>
    <m/>
    <m/>
    <x v="98"/>
    <x v="1"/>
    <m/>
    <m/>
    <m/>
    <m/>
    <n v="2695"/>
    <m/>
    <m/>
    <m/>
    <m/>
    <m/>
    <m/>
    <m/>
    <m/>
    <m/>
    <m/>
    <m/>
    <s v="Country-wide"/>
    <s v="Hagos on FACT; $5 million PMN sent to Federation for Appeal; Gould wat/san IRT"/>
  </r>
  <r>
    <m/>
    <n v="128"/>
    <x v="131"/>
    <d v="2005-01-01T00:00:00"/>
    <x v="9"/>
    <n v="10"/>
    <m/>
    <x v="10"/>
    <n v="1"/>
    <x v="2"/>
    <s v="Guyana"/>
    <s v="Hydrometerological"/>
    <x v="2"/>
    <s v="General Floods"/>
    <s v="General Floods"/>
    <x v="0"/>
    <x v="0"/>
    <m/>
    <m/>
    <m/>
    <m/>
    <m/>
    <m/>
    <m/>
    <m/>
    <x v="0"/>
    <m/>
    <m/>
    <m/>
    <m/>
    <m/>
    <m/>
    <n v="0"/>
    <n v="2"/>
    <m/>
    <m/>
    <m/>
    <m/>
    <m/>
    <m/>
    <m/>
    <m/>
    <m/>
    <m/>
    <m/>
    <m/>
    <m/>
    <m/>
    <m/>
    <m/>
    <m/>
    <n v="10000"/>
    <n v="3100"/>
    <n v="13100"/>
    <m/>
    <m/>
    <m/>
    <x v="99"/>
    <x v="1"/>
    <m/>
    <m/>
    <m/>
    <m/>
    <n v="2774"/>
    <m/>
    <m/>
    <m/>
    <m/>
    <m/>
    <m/>
    <m/>
    <m/>
    <m/>
    <m/>
    <m/>
    <s v="Georgetown"/>
    <s v="Jim Gould and Jeffery Weiss deployed and purchased and shipped to the GRC $10,000 worth of individual and family First Aid Kits."/>
  </r>
  <r>
    <m/>
    <n v="129"/>
    <x v="132"/>
    <d v="2005-06-01T00:00:00"/>
    <x v="9"/>
    <n v="11"/>
    <m/>
    <x v="10"/>
    <n v="2"/>
    <x v="4"/>
    <s v="Canada"/>
    <s v="Hydrometerological"/>
    <x v="2"/>
    <s v="General Floods"/>
    <s v="General Floods"/>
    <x v="0"/>
    <x v="0"/>
    <m/>
    <m/>
    <m/>
    <m/>
    <m/>
    <m/>
    <m/>
    <m/>
    <x v="0"/>
    <m/>
    <m/>
    <m/>
    <m/>
    <n v="5000"/>
    <m/>
    <n v="5000"/>
    <m/>
    <m/>
    <m/>
    <m/>
    <m/>
    <m/>
    <m/>
    <m/>
    <m/>
    <m/>
    <m/>
    <m/>
    <m/>
    <m/>
    <m/>
    <m/>
    <m/>
    <m/>
    <m/>
    <m/>
    <n v="5000"/>
    <m/>
    <m/>
    <m/>
    <x v="46"/>
    <x v="1"/>
    <m/>
    <m/>
    <m/>
    <m/>
    <s v="N/A"/>
    <m/>
    <m/>
    <m/>
    <m/>
    <m/>
    <m/>
    <m/>
    <m/>
    <m/>
    <m/>
    <m/>
    <s v="Alberta Floods"/>
    <s v="Contribution from AmEx for the Alberta Floods (GID direct to CRC)."/>
  </r>
  <r>
    <m/>
    <n v="130"/>
    <x v="133"/>
    <d v="2005-07-01T00:00:00"/>
    <x v="10"/>
    <n v="1"/>
    <m/>
    <x v="10"/>
    <n v="3"/>
    <x v="2"/>
    <s v="Jamaica"/>
    <s v="Hydrometerological"/>
    <x v="5"/>
    <s v="Tropical Cyclone"/>
    <s v="Hurricane"/>
    <x v="0"/>
    <x v="1"/>
    <s v="IFRC"/>
    <n v="587000"/>
    <s v="05EA14"/>
    <m/>
    <m/>
    <m/>
    <m/>
    <n v="35000"/>
    <x v="0"/>
    <m/>
    <n v="0"/>
    <n v="25000"/>
    <m/>
    <m/>
    <m/>
    <n v="25000"/>
    <m/>
    <m/>
    <m/>
    <n v="25"/>
    <m/>
    <m/>
    <m/>
    <m/>
    <m/>
    <n v="25"/>
    <m/>
    <m/>
    <m/>
    <m/>
    <m/>
    <m/>
    <m/>
    <m/>
    <n v="7475"/>
    <m/>
    <n v="32475"/>
    <m/>
    <m/>
    <n v="100"/>
    <x v="100"/>
    <x v="1"/>
    <m/>
    <m/>
    <m/>
    <m/>
    <n v="2024"/>
    <m/>
    <m/>
    <m/>
    <m/>
    <m/>
    <m/>
    <m/>
    <m/>
    <m/>
    <m/>
    <m/>
    <s v="Dennis / Emily"/>
    <s v="Ex PADRU"/>
  </r>
  <r>
    <m/>
    <n v="130"/>
    <x v="134"/>
    <d v="2005-07-01T00:00:00"/>
    <x v="10"/>
    <n v="1"/>
    <m/>
    <x v="10"/>
    <n v="3"/>
    <x v="2"/>
    <s v="Grenada"/>
    <s v="Hydrometerological"/>
    <x v="5"/>
    <s v="Tropical Cyclone"/>
    <s v="Hurricane"/>
    <x v="0"/>
    <x v="0"/>
    <m/>
    <m/>
    <m/>
    <m/>
    <m/>
    <m/>
    <m/>
    <m/>
    <x v="0"/>
    <m/>
    <n v="1"/>
    <n v="75000"/>
    <m/>
    <m/>
    <m/>
    <n v="75000"/>
    <m/>
    <m/>
    <m/>
    <m/>
    <m/>
    <m/>
    <m/>
    <m/>
    <m/>
    <m/>
    <m/>
    <m/>
    <m/>
    <m/>
    <m/>
    <m/>
    <m/>
    <m/>
    <m/>
    <m/>
    <n v="75000"/>
    <m/>
    <m/>
    <m/>
    <x v="56"/>
    <x v="1"/>
    <m/>
    <m/>
    <m/>
    <m/>
    <n v="2024"/>
    <m/>
    <m/>
    <m/>
    <m/>
    <m/>
    <m/>
    <m/>
    <m/>
    <m/>
    <m/>
    <m/>
    <s v="Dennis / Emily"/>
    <s v="$200,000 PMN sent: $100,000 to be divided between Jamaica and Grenada at Federation's discretion."/>
  </r>
  <r>
    <m/>
    <n v="130"/>
    <x v="135"/>
    <d v="2005-07-01T00:00:00"/>
    <x v="10"/>
    <n v="1"/>
    <m/>
    <x v="10"/>
    <n v="3"/>
    <x v="2"/>
    <s v="Haiti"/>
    <s v="Hydrometerological"/>
    <x v="5"/>
    <s v="Tropical Cyclone"/>
    <s v="Hurricane"/>
    <x v="0"/>
    <x v="0"/>
    <m/>
    <m/>
    <m/>
    <m/>
    <m/>
    <m/>
    <m/>
    <m/>
    <x v="0"/>
    <m/>
    <n v="1"/>
    <n v="100000"/>
    <m/>
    <m/>
    <m/>
    <n v="100000"/>
    <m/>
    <m/>
    <m/>
    <n v="9995"/>
    <m/>
    <m/>
    <m/>
    <m/>
    <m/>
    <m/>
    <m/>
    <m/>
    <m/>
    <m/>
    <m/>
    <m/>
    <m/>
    <m/>
    <n v="8693"/>
    <m/>
    <n v="108693"/>
    <m/>
    <m/>
    <m/>
    <x v="101"/>
    <x v="1"/>
    <m/>
    <m/>
    <m/>
    <m/>
    <n v="2614"/>
    <m/>
    <m/>
    <m/>
    <m/>
    <m/>
    <m/>
    <m/>
    <m/>
    <m/>
    <m/>
    <m/>
    <s v="Dennis / Emily"/>
    <s v="4,995 pcs laundry soap &amp; 5,000 pcs bath soap sent from PADRU; $200,000 PMN sent with $100,000 for Haiti"/>
  </r>
  <r>
    <m/>
    <n v="131"/>
    <x v="136"/>
    <d v="2005-07-01T00:00:00"/>
    <x v="10"/>
    <n v="2"/>
    <m/>
    <x v="10"/>
    <n v="4"/>
    <x v="1"/>
    <s v="Niger"/>
    <s v="Human Related"/>
    <x v="14"/>
    <s v="Food Insecurity"/>
    <s v="Food Insecurity"/>
    <x v="0"/>
    <x v="1"/>
    <s v="IFRC"/>
    <n v="14211607"/>
    <s v="05EA015"/>
    <m/>
    <m/>
    <m/>
    <m/>
    <n v="222000"/>
    <x v="0"/>
    <m/>
    <m/>
    <m/>
    <m/>
    <m/>
    <m/>
    <n v="0"/>
    <n v="3"/>
    <m/>
    <m/>
    <m/>
    <m/>
    <m/>
    <m/>
    <m/>
    <m/>
    <m/>
    <m/>
    <m/>
    <m/>
    <m/>
    <m/>
    <m/>
    <m/>
    <m/>
    <m/>
    <n v="36200"/>
    <n v="36200"/>
    <m/>
    <m/>
    <m/>
    <x v="102"/>
    <x v="1"/>
    <m/>
    <m/>
    <m/>
    <m/>
    <n v="2949"/>
    <m/>
    <m/>
    <m/>
    <m/>
    <m/>
    <m/>
    <m/>
    <m/>
    <m/>
    <m/>
    <m/>
    <s v="Sahel"/>
    <s v="Paying for secondments of Langdon Greenhalgh, Brigitte Gaillis and Tim Cummings to IFRC"/>
  </r>
  <r>
    <m/>
    <n v="132"/>
    <x v="137"/>
    <d v="2005-08-01T00:00:00"/>
    <x v="10"/>
    <n v="3"/>
    <m/>
    <x v="10"/>
    <n v="5"/>
    <x v="4"/>
    <s v="US"/>
    <s v="Hydrometerological"/>
    <x v="17"/>
    <s v="Tropical Cyclone"/>
    <s v="Hurricane"/>
    <x v="0"/>
    <x v="0"/>
    <m/>
    <m/>
    <m/>
    <m/>
    <m/>
    <m/>
    <m/>
    <m/>
    <x v="0"/>
    <m/>
    <m/>
    <m/>
    <m/>
    <m/>
    <m/>
    <n v="0"/>
    <n v="3"/>
    <m/>
    <m/>
    <m/>
    <m/>
    <m/>
    <m/>
    <m/>
    <m/>
    <m/>
    <m/>
    <m/>
    <m/>
    <m/>
    <m/>
    <m/>
    <m/>
    <m/>
    <m/>
    <m/>
    <n v="0"/>
    <m/>
    <m/>
    <m/>
    <x v="7"/>
    <x v="1"/>
    <m/>
    <m/>
    <m/>
    <m/>
    <m/>
    <m/>
    <m/>
    <m/>
    <m/>
    <m/>
    <m/>
    <m/>
    <m/>
    <m/>
    <m/>
    <m/>
    <s v="Katrina"/>
    <s v="Nate Cooper, Mark Smith and Lance Leverenz deployed to Mississippi, Lousiana and Alabama."/>
  </r>
  <r>
    <m/>
    <n v="133"/>
    <x v="138"/>
    <d v="2005-10-01T00:00:00"/>
    <x v="10"/>
    <n v="4"/>
    <m/>
    <x v="10"/>
    <n v="6"/>
    <x v="3"/>
    <s v="Pakistan"/>
    <s v="Geophysical"/>
    <x v="3"/>
    <s v="Earthquake"/>
    <s v="Earthquake"/>
    <x v="4"/>
    <x v="1"/>
    <s v="IFRC"/>
    <n v="117000000"/>
    <s v="05EA022"/>
    <m/>
    <m/>
    <m/>
    <m/>
    <n v="575000"/>
    <x v="0"/>
    <m/>
    <n v="1"/>
    <n v="6750000"/>
    <n v="1000000"/>
    <m/>
    <m/>
    <n v="7750000"/>
    <n v="4"/>
    <m/>
    <m/>
    <n v="325618"/>
    <m/>
    <n v="18000"/>
    <n v="222900"/>
    <m/>
    <n v="28000"/>
    <n v="5200"/>
    <n v="18000"/>
    <n v="30518"/>
    <m/>
    <m/>
    <n v="3000"/>
    <m/>
    <m/>
    <m/>
    <n v="4808310"/>
    <m/>
    <n v="12558310"/>
    <m/>
    <m/>
    <n v="120000"/>
    <x v="103"/>
    <x v="1"/>
    <m/>
    <m/>
    <m/>
    <m/>
    <s v="2897/2771/2769"/>
    <m/>
    <m/>
    <m/>
    <m/>
    <m/>
    <m/>
    <m/>
    <m/>
    <m/>
    <m/>
    <s v="y"/>
    <s v="North West Frontier Province (NWFP) and Pakistan Administered Kashmir (PAK)"/>
    <s v="CASH: Non-designated PMN to the Fed $1,850,000; PMN to the Fed designated for one month cost of helicopter relief operations for $400,000; PMN to the Fed designated for corrugated iron sheeting (~73,000 pc) for $1,500,000. SUPPLIES:  Shawls at $50,000. (Cost includes all inspection costs/ transporation costs as well as commodity cost); PEOPLE: Seconded John Manley to FACT team and Jim Stephenson to Fed relief/logistics team.(Cost includes all inspection costs/ transporation costs as well as commodity cost). ICRC - $1M 2006 - Winter Prep - PMN for 1.5 million (500k to household repair kits, 300k to CGI);   (Cost includes all inspection costs/ transporation costs as well as commodity cost); seconded C. Chaperon and N. Cooper to Fed for monitoring."/>
  </r>
  <r>
    <m/>
    <n v="134"/>
    <x v="139"/>
    <d v="2005-10-01T00:00:00"/>
    <x v="10"/>
    <n v="5"/>
    <m/>
    <x v="10"/>
    <n v="7"/>
    <x v="2"/>
    <s v="Guatemala"/>
    <s v="Hydrometerological"/>
    <x v="17"/>
    <s v="Tropical Cyclone"/>
    <s v="Hurricane"/>
    <x v="0"/>
    <x v="0"/>
    <m/>
    <m/>
    <m/>
    <m/>
    <m/>
    <m/>
    <m/>
    <m/>
    <x v="0"/>
    <m/>
    <n v="0"/>
    <n v="47581"/>
    <m/>
    <m/>
    <m/>
    <n v="47581"/>
    <m/>
    <m/>
    <m/>
    <m/>
    <m/>
    <m/>
    <m/>
    <m/>
    <m/>
    <m/>
    <m/>
    <m/>
    <m/>
    <m/>
    <m/>
    <m/>
    <m/>
    <m/>
    <m/>
    <m/>
    <n v="47581"/>
    <m/>
    <m/>
    <m/>
    <x v="104"/>
    <x v="1"/>
    <m/>
    <m/>
    <m/>
    <m/>
    <n v="2759"/>
    <m/>
    <m/>
    <m/>
    <m/>
    <m/>
    <m/>
    <m/>
    <m/>
    <m/>
    <m/>
    <m/>
    <s v="Stan"/>
    <s v="PMN contribution to support Federation's appeal relief operations."/>
  </r>
  <r>
    <m/>
    <n v="134"/>
    <x v="140"/>
    <d v="2005-10-01T00:00:00"/>
    <x v="10"/>
    <n v="5"/>
    <m/>
    <x v="10"/>
    <n v="7"/>
    <x v="2"/>
    <s v="Mexico"/>
    <s v="Hydrometerological"/>
    <x v="17"/>
    <s v="Tropical Cyclone"/>
    <s v="Hurricane"/>
    <x v="0"/>
    <x v="0"/>
    <m/>
    <m/>
    <m/>
    <m/>
    <m/>
    <m/>
    <m/>
    <m/>
    <x v="0"/>
    <m/>
    <n v="1"/>
    <n v="257378"/>
    <m/>
    <n v="85000"/>
    <m/>
    <n v="342378"/>
    <m/>
    <m/>
    <m/>
    <m/>
    <m/>
    <m/>
    <m/>
    <m/>
    <m/>
    <m/>
    <m/>
    <m/>
    <m/>
    <m/>
    <m/>
    <m/>
    <m/>
    <m/>
    <m/>
    <m/>
    <n v="342378"/>
    <m/>
    <m/>
    <m/>
    <x v="105"/>
    <x v="1"/>
    <m/>
    <m/>
    <m/>
    <m/>
    <n v="2020"/>
    <m/>
    <m/>
    <m/>
    <m/>
    <m/>
    <m/>
    <m/>
    <m/>
    <m/>
    <m/>
    <m/>
    <s v="Stan"/>
    <s v="CASH: Initial PMN contribution for $25,000 from IRF 2099 for Federation's Hurricane Stan Appeal.Additional PMN contribution for $83,568 from AP2760 for Federation's Hurricane Stan Appeal relief operations. Additional $124,453 PMN contribution from AP 2020 for Federation's Hurricane Stan Appeal relief operations in Mexico. $49,357 PMN contribution from AP2882  to support Federation's appeal relief operations.Cash to Mex RC: $35,000 from AP2760 for Initial direct contribution to the MRC to support their relief operation. Additional contribution of $50,000 from AP2020 to the MexRC to support their relief operation gift from Exxon Mobil and G&amp;E."/>
  </r>
  <r>
    <s v="TC-2005-000173-SLV"/>
    <n v="135"/>
    <x v="141"/>
    <d v="2005-10-01T00:00:00"/>
    <x v="10"/>
    <n v="6"/>
    <m/>
    <x v="10"/>
    <n v="8"/>
    <x v="2"/>
    <s v="El Salvador"/>
    <s v="Geophysical"/>
    <x v="4"/>
    <s v="Volcanic Eruption"/>
    <s v="Volcanic Eruption"/>
    <x v="0"/>
    <x v="0"/>
    <m/>
    <n v="1098045"/>
    <s v="05EA020"/>
    <m/>
    <m/>
    <m/>
    <m/>
    <n v="21000"/>
    <x v="0"/>
    <m/>
    <n v="0"/>
    <n v="7034"/>
    <m/>
    <m/>
    <m/>
    <n v="7034"/>
    <n v="1"/>
    <m/>
    <m/>
    <m/>
    <m/>
    <m/>
    <m/>
    <m/>
    <m/>
    <m/>
    <m/>
    <m/>
    <m/>
    <m/>
    <m/>
    <m/>
    <m/>
    <m/>
    <m/>
    <m/>
    <n v="7034"/>
    <m/>
    <m/>
    <m/>
    <x v="106"/>
    <x v="1"/>
    <m/>
    <m/>
    <m/>
    <m/>
    <n v="2690"/>
    <m/>
    <m/>
    <m/>
    <m/>
    <m/>
    <m/>
    <m/>
    <m/>
    <m/>
    <m/>
    <m/>
    <s v="Also: Floods"/>
    <s v="Nate Cooper deployed on PADRU team and PMN contribution to support Federation's appeal  relief operation in response of floods and volcanic eruption in El Salvador."/>
  </r>
  <r>
    <s v="TC-2005-000178-BHS"/>
    <n v="136"/>
    <x v="142"/>
    <d v="2005-10-01T00:00:00"/>
    <x v="10"/>
    <n v="7"/>
    <m/>
    <x v="10"/>
    <n v="9"/>
    <x v="2"/>
    <s v="Bahamas"/>
    <s v="Hydrometerological"/>
    <x v="5"/>
    <s v="Tropical Cyclone"/>
    <s v="Hurricane"/>
    <x v="0"/>
    <x v="0"/>
    <m/>
    <n v="1634707"/>
    <s v="05EA024"/>
    <m/>
    <m/>
    <m/>
    <m/>
    <m/>
    <x v="0"/>
    <m/>
    <m/>
    <m/>
    <m/>
    <m/>
    <m/>
    <n v="0"/>
    <m/>
    <m/>
    <m/>
    <n v="2371.9999999999995"/>
    <m/>
    <n v="2372"/>
    <m/>
    <m/>
    <m/>
    <m/>
    <m/>
    <m/>
    <m/>
    <m/>
    <m/>
    <m/>
    <m/>
    <m/>
    <n v="20597"/>
    <m/>
    <n v="20597"/>
    <m/>
    <m/>
    <n v="4000"/>
    <x v="107"/>
    <x v="1"/>
    <m/>
    <m/>
    <m/>
    <m/>
    <n v="2024"/>
    <m/>
    <m/>
    <m/>
    <m/>
    <m/>
    <m/>
    <m/>
    <m/>
    <m/>
    <m/>
    <m/>
    <s v="Wilma"/>
    <s v="$3.54 each + 6,200 (transport) = $14,596.88  plus shipping and handling"/>
  </r>
  <r>
    <s v="TC-2005-000178-MEX"/>
    <n v="136"/>
    <x v="143"/>
    <d v="2005-10-01T00:00:00"/>
    <x v="10"/>
    <n v="7"/>
    <m/>
    <x v="10"/>
    <n v="9"/>
    <x v="2"/>
    <s v="Mexico"/>
    <s v="Hydrometerological"/>
    <x v="5"/>
    <s v="Tropical Cyclone"/>
    <s v="Hurricane"/>
    <x v="5"/>
    <x v="0"/>
    <m/>
    <n v="1918000"/>
    <s v="05EA024"/>
    <m/>
    <m/>
    <m/>
    <m/>
    <m/>
    <x v="0"/>
    <m/>
    <n v="1"/>
    <n v="128869"/>
    <m/>
    <n v="325000"/>
    <m/>
    <n v="453869"/>
    <m/>
    <m/>
    <m/>
    <n v="4500"/>
    <m/>
    <n v="4500"/>
    <m/>
    <m/>
    <m/>
    <m/>
    <m/>
    <m/>
    <m/>
    <m/>
    <m/>
    <m/>
    <m/>
    <m/>
    <n v="43875"/>
    <m/>
    <n v="497744"/>
    <m/>
    <m/>
    <m/>
    <x v="108"/>
    <x v="1"/>
    <m/>
    <m/>
    <m/>
    <m/>
    <n v="2757"/>
    <m/>
    <m/>
    <m/>
    <m/>
    <m/>
    <m/>
    <m/>
    <m/>
    <m/>
    <m/>
    <m/>
    <s v="Wilma"/>
    <s v="CASH: $250,000 -Initital direct contribution from AP 2757 to the MexRC to support their relief operation in Cozumel, gift from Carnival Cruise Lines. 2) $75,000 additional direct contribution from AP 2020 to the MexRC to support their relief operations, gift from AmEx;.3) $100,000 PMN contribution from AP2758 to support Federation's appeal relief operations, 1. 62000 2. 38000 (10.06); 4) $28,869 PMN contribution from AP2757 to support Federation's appeal relief operations;    SUPPLIES: PADRU stocks valued at $43,875;"/>
  </r>
  <r>
    <m/>
    <n v="137"/>
    <x v="144"/>
    <d v="2005-10-01T00:00:00"/>
    <x v="10"/>
    <n v="8"/>
    <m/>
    <x v="10"/>
    <n v="10"/>
    <x v="3"/>
    <s v="Vietnam"/>
    <s v="Hydrometerological"/>
    <x v="5"/>
    <s v="Tropical Cyclone"/>
    <s v="Typhoon"/>
    <x v="0"/>
    <x v="1"/>
    <s v="IFRC"/>
    <n v="628813"/>
    <s v="05EA019"/>
    <n v="3.3504396378573595E-2"/>
    <m/>
    <m/>
    <m/>
    <n v="25000"/>
    <x v="0"/>
    <m/>
    <n v="0"/>
    <n v="21068"/>
    <m/>
    <m/>
    <m/>
    <n v="21068"/>
    <m/>
    <m/>
    <m/>
    <m/>
    <m/>
    <m/>
    <m/>
    <m/>
    <m/>
    <m/>
    <m/>
    <m/>
    <m/>
    <m/>
    <m/>
    <m/>
    <m/>
    <m/>
    <m/>
    <m/>
    <n v="21068"/>
    <m/>
    <m/>
    <m/>
    <x v="109"/>
    <x v="1"/>
    <m/>
    <m/>
    <m/>
    <m/>
    <n v="2870"/>
    <m/>
    <m/>
    <m/>
    <m/>
    <m/>
    <m/>
    <m/>
    <m/>
    <m/>
    <m/>
    <m/>
    <s v="Central Vietnam"/>
    <s v="PMN to the Federtion to support Vietnam: Typhoon Damrey Emergency Appeal. The funds were from Boejing and the PMN was handled by the region."/>
  </r>
  <r>
    <m/>
    <n v="138"/>
    <x v="145"/>
    <d v="2005-11-01T00:00:00"/>
    <x v="10"/>
    <n v="9"/>
    <m/>
    <x v="10"/>
    <n v="11"/>
    <x v="2"/>
    <s v="Colombia"/>
    <s v="Geophysical"/>
    <x v="4"/>
    <s v="Volcanic Eruption"/>
    <s v="Volcanic Eruption"/>
    <x v="0"/>
    <x v="0"/>
    <m/>
    <m/>
    <m/>
    <m/>
    <m/>
    <m/>
    <m/>
    <m/>
    <x v="0"/>
    <m/>
    <m/>
    <m/>
    <m/>
    <m/>
    <m/>
    <n v="0"/>
    <m/>
    <m/>
    <m/>
    <n v="45"/>
    <m/>
    <m/>
    <m/>
    <m/>
    <m/>
    <n v="45"/>
    <m/>
    <m/>
    <m/>
    <m/>
    <m/>
    <m/>
    <m/>
    <m/>
    <n v="17402"/>
    <m/>
    <n v="17402"/>
    <m/>
    <m/>
    <m/>
    <x v="110"/>
    <x v="1"/>
    <m/>
    <m/>
    <m/>
    <m/>
    <n v="2898"/>
    <m/>
    <m/>
    <m/>
    <m/>
    <m/>
    <m/>
    <m/>
    <m/>
    <m/>
    <m/>
    <m/>
    <s v="Galeras Volcano"/>
    <s v="tents to the CRC - cost of shipping charged to 2099."/>
  </r>
  <r>
    <m/>
    <n v="139"/>
    <x v="146"/>
    <d v="2006-01-01T00:00:00"/>
    <x v="10"/>
    <n v="10"/>
    <m/>
    <x v="11"/>
    <n v="1"/>
    <x v="1"/>
    <s v="Lesotho"/>
    <s v="Hydrometerological"/>
    <x v="1"/>
    <s v="Drought"/>
    <s v="Drought"/>
    <x v="0"/>
    <x v="1"/>
    <s v="IFRC"/>
    <m/>
    <s v="05EA023"/>
    <m/>
    <m/>
    <m/>
    <m/>
    <n v="1500000"/>
    <x v="0"/>
    <m/>
    <n v="1"/>
    <n v="100000"/>
    <m/>
    <m/>
    <m/>
    <n v="100000"/>
    <n v="3"/>
    <m/>
    <m/>
    <m/>
    <m/>
    <m/>
    <m/>
    <m/>
    <m/>
    <m/>
    <m/>
    <m/>
    <m/>
    <m/>
    <m/>
    <m/>
    <m/>
    <m/>
    <m/>
    <m/>
    <n v="100000"/>
    <m/>
    <m/>
    <m/>
    <x v="5"/>
    <x v="2"/>
    <m/>
    <m/>
    <m/>
    <m/>
    <n v="2099"/>
    <m/>
    <m/>
    <m/>
    <m/>
    <m/>
    <m/>
    <m/>
    <m/>
    <m/>
    <m/>
    <m/>
    <s v="Food Crisis"/>
    <s v="PMN contribution to support Federation's appeal relief operations in Lesotho."/>
  </r>
  <r>
    <m/>
    <n v="139"/>
    <x v="147"/>
    <d v="2006-01-01T00:00:00"/>
    <x v="10"/>
    <n v="10"/>
    <m/>
    <x v="11"/>
    <n v="1"/>
    <x v="1"/>
    <s v="Malawi"/>
    <s v="Hydrometerological"/>
    <x v="1"/>
    <s v="Drought"/>
    <s v="Drought"/>
    <x v="0"/>
    <x v="0"/>
    <m/>
    <m/>
    <s v="05EA023"/>
    <m/>
    <m/>
    <m/>
    <m/>
    <m/>
    <x v="0"/>
    <m/>
    <n v="1"/>
    <n v="150000"/>
    <m/>
    <m/>
    <m/>
    <n v="150000"/>
    <m/>
    <m/>
    <m/>
    <m/>
    <m/>
    <m/>
    <m/>
    <m/>
    <m/>
    <m/>
    <m/>
    <m/>
    <m/>
    <m/>
    <m/>
    <m/>
    <m/>
    <m/>
    <m/>
    <m/>
    <n v="150000"/>
    <m/>
    <m/>
    <m/>
    <x v="13"/>
    <x v="2"/>
    <m/>
    <m/>
    <m/>
    <m/>
    <n v="2099"/>
    <m/>
    <m/>
    <m/>
    <m/>
    <m/>
    <m/>
    <m/>
    <m/>
    <m/>
    <m/>
    <m/>
    <s v="Food Crisis"/>
    <s v="PMN contribution to support Federation's appeal earmarked for Community Base Health Care Program to leverage NLRC funding."/>
  </r>
  <r>
    <m/>
    <n v="139"/>
    <x v="148"/>
    <d v="2006-01-01T00:00:00"/>
    <x v="10"/>
    <n v="10"/>
    <m/>
    <x v="11"/>
    <n v="1"/>
    <x v="1"/>
    <s v="Zimbabwe"/>
    <s v="Hydrometerological"/>
    <x v="1"/>
    <s v="Drought"/>
    <s v="Drought"/>
    <x v="0"/>
    <x v="0"/>
    <m/>
    <m/>
    <s v="05EA023"/>
    <m/>
    <m/>
    <m/>
    <m/>
    <m/>
    <x v="0"/>
    <m/>
    <n v="1"/>
    <n v="250000"/>
    <m/>
    <m/>
    <m/>
    <n v="250000"/>
    <m/>
    <m/>
    <m/>
    <m/>
    <m/>
    <m/>
    <m/>
    <m/>
    <m/>
    <m/>
    <m/>
    <m/>
    <m/>
    <m/>
    <m/>
    <m/>
    <m/>
    <m/>
    <m/>
    <m/>
    <n v="250000"/>
    <m/>
    <m/>
    <m/>
    <x v="35"/>
    <x v="2"/>
    <m/>
    <m/>
    <m/>
    <m/>
    <n v="2099"/>
    <m/>
    <m/>
    <m/>
    <m/>
    <m/>
    <m/>
    <m/>
    <m/>
    <m/>
    <m/>
    <m/>
    <s v="Food Crisis"/>
    <s v="PMN contribution to support Federation's appeal relief operations in Zimbabwe."/>
  </r>
  <r>
    <m/>
    <n v="139"/>
    <x v="149"/>
    <d v="2006-01-01T00:00:00"/>
    <x v="10"/>
    <n v="10"/>
    <m/>
    <x v="11"/>
    <n v="1"/>
    <x v="1"/>
    <s v="Zambia"/>
    <s v="Hydrometerological"/>
    <x v="1"/>
    <s v="Drought"/>
    <s v="Drought"/>
    <x v="0"/>
    <x v="0"/>
    <m/>
    <s v="`"/>
    <s v="05EA023"/>
    <m/>
    <m/>
    <m/>
    <m/>
    <m/>
    <x v="0"/>
    <m/>
    <n v="1"/>
    <n v="400000"/>
    <m/>
    <m/>
    <m/>
    <n v="400000"/>
    <m/>
    <m/>
    <m/>
    <m/>
    <m/>
    <m/>
    <m/>
    <m/>
    <m/>
    <m/>
    <m/>
    <m/>
    <m/>
    <m/>
    <m/>
    <m/>
    <m/>
    <m/>
    <m/>
    <m/>
    <n v="400000"/>
    <m/>
    <m/>
    <m/>
    <x v="111"/>
    <x v="2"/>
    <m/>
    <m/>
    <m/>
    <m/>
    <n v="2099"/>
    <m/>
    <m/>
    <m/>
    <m/>
    <m/>
    <m/>
    <m/>
    <m/>
    <m/>
    <m/>
    <m/>
    <s v="Food Crisis"/>
    <s v="$400K &amp; $100K PMN contribution to support Federation's appeal relief operations in Zambia."/>
  </r>
  <r>
    <m/>
    <n v="140"/>
    <x v="150"/>
    <d v="2006-03-01T00:00:00"/>
    <x v="10"/>
    <n v="11"/>
    <m/>
    <x v="11"/>
    <n v="2"/>
    <x v="1"/>
    <s v="Kenya"/>
    <s v="Hydrometerological"/>
    <x v="1"/>
    <s v="Drought"/>
    <s v="Drought"/>
    <x v="0"/>
    <x v="1"/>
    <s v="IFRC"/>
    <n v="10500000"/>
    <s v="MDRKE001"/>
    <n v="1.4285714285714285E-2"/>
    <m/>
    <m/>
    <m/>
    <n v="329000"/>
    <x v="0"/>
    <m/>
    <n v="1"/>
    <n v="150000"/>
    <m/>
    <m/>
    <m/>
    <n v="150000"/>
    <m/>
    <m/>
    <m/>
    <m/>
    <m/>
    <m/>
    <m/>
    <m/>
    <m/>
    <m/>
    <m/>
    <m/>
    <m/>
    <m/>
    <m/>
    <m/>
    <m/>
    <m/>
    <m/>
    <m/>
    <n v="150000"/>
    <m/>
    <m/>
    <m/>
    <x v="13"/>
    <x v="2"/>
    <m/>
    <m/>
    <m/>
    <m/>
    <n v="2099"/>
    <m/>
    <m/>
    <m/>
    <m/>
    <m/>
    <m/>
    <m/>
    <m/>
    <m/>
    <m/>
    <m/>
    <s v="E. Africa Appeal"/>
    <s v="PMN contribution to support Federation's appeal relief operations."/>
  </r>
  <r>
    <m/>
    <n v="141"/>
    <x v="151"/>
    <d v="2006-03-01T00:00:00"/>
    <x v="10"/>
    <n v="12"/>
    <m/>
    <x v="11"/>
    <n v="3"/>
    <x v="3"/>
    <s v="Iraq"/>
    <s v="Human Related"/>
    <x v="8"/>
    <s v="Conflict"/>
    <s v="Conflict"/>
    <x v="0"/>
    <x v="1"/>
    <s v="IFRC/ ICRC"/>
    <m/>
    <s v="MDRIQ001 / 05EA026 / REX 07/346"/>
    <m/>
    <m/>
    <m/>
    <m/>
    <n v="455000"/>
    <x v="0"/>
    <m/>
    <n v="1"/>
    <n v="88443"/>
    <n v="100000"/>
    <m/>
    <m/>
    <n v="188443"/>
    <m/>
    <m/>
    <m/>
    <m/>
    <m/>
    <m/>
    <m/>
    <m/>
    <m/>
    <m/>
    <m/>
    <m/>
    <m/>
    <m/>
    <m/>
    <m/>
    <m/>
    <m/>
    <m/>
    <m/>
    <n v="188443"/>
    <m/>
    <m/>
    <n v="455000"/>
    <x v="112"/>
    <x v="1"/>
    <m/>
    <m/>
    <m/>
    <m/>
    <n v="2689"/>
    <m/>
    <m/>
    <m/>
    <m/>
    <m/>
    <m/>
    <m/>
    <m/>
    <m/>
    <m/>
    <m/>
    <s v="Humanitarian Emergency"/>
    <s v="19,170 PMN to IFRC Iraq: Floods Appeal No. MDRIQ001 for 25,000 beneficiaries; 69,272.96 PMN to IFRC Iraq: Humanitarian Emergency Appeal No. 05 EA026 for 350,000 beneficiaries; 100,000 Cash Contribution to ICRC's emergency appeal for Iraq activities related to wat/san for 80,000 beneficiaries."/>
  </r>
  <r>
    <s v="-2006-000022-TMP"/>
    <n v="142"/>
    <x v="152"/>
    <d v="2006-02-01T00:00:00"/>
    <x v="10"/>
    <n v="13"/>
    <m/>
    <x v="11"/>
    <n v="4"/>
    <x v="3"/>
    <s v="Timor-Leste"/>
    <s v="Hydrometerological"/>
    <x v="2"/>
    <s v="General Floods"/>
    <s v="General Floods"/>
    <x v="0"/>
    <x v="1"/>
    <s v="IFRC"/>
    <n v="485000"/>
    <s v="MDRTP001"/>
    <n v="0.10309278350515463"/>
    <m/>
    <m/>
    <m/>
    <n v="8400"/>
    <x v="0"/>
    <m/>
    <n v="1"/>
    <n v="50000"/>
    <m/>
    <m/>
    <m/>
    <n v="50000"/>
    <m/>
    <m/>
    <m/>
    <m/>
    <m/>
    <m/>
    <m/>
    <m/>
    <m/>
    <m/>
    <m/>
    <m/>
    <m/>
    <m/>
    <m/>
    <m/>
    <m/>
    <m/>
    <m/>
    <m/>
    <n v="50000"/>
    <m/>
    <m/>
    <n v="8400"/>
    <x v="16"/>
    <x v="2"/>
    <m/>
    <m/>
    <m/>
    <m/>
    <n v="2799"/>
    <m/>
    <m/>
    <m/>
    <m/>
    <m/>
    <m/>
    <m/>
    <m/>
    <m/>
    <m/>
    <m/>
    <s v="Oecusse, Ainaro, Viqueque, Bobonaro and Baucau Districts"/>
    <s v="PMN contribution to support the Federation's operation in response to the Timor-Leste: Storms and Floods Emergency Appeal No. MDRTP001."/>
  </r>
  <r>
    <s v="MS-2006-000179-PHL"/>
    <n v="143"/>
    <x v="153"/>
    <d v="2006-02-01T00:00:00"/>
    <x v="10"/>
    <n v="14"/>
    <m/>
    <x v="11"/>
    <n v="5"/>
    <x v="3"/>
    <s v="Philippines"/>
    <s v="Hydrometerological"/>
    <x v="18"/>
    <s v="Landslide"/>
    <s v="Mudslide"/>
    <x v="0"/>
    <x v="1"/>
    <s v="IFRC"/>
    <n v="2000000"/>
    <s v="MDRPH001"/>
    <n v="2.5000000000000001E-2"/>
    <m/>
    <m/>
    <m/>
    <n v="8000"/>
    <x v="0"/>
    <m/>
    <n v="1"/>
    <n v="50000"/>
    <m/>
    <n v="5000"/>
    <m/>
    <n v="55000"/>
    <m/>
    <m/>
    <m/>
    <m/>
    <m/>
    <m/>
    <m/>
    <m/>
    <m/>
    <m/>
    <m/>
    <m/>
    <m/>
    <m/>
    <m/>
    <m/>
    <m/>
    <m/>
    <m/>
    <m/>
    <n v="55000"/>
    <m/>
    <m/>
    <n v="8000"/>
    <x v="113"/>
    <x v="1"/>
    <m/>
    <m/>
    <m/>
    <m/>
    <n v="2032"/>
    <m/>
    <m/>
    <m/>
    <m/>
    <m/>
    <m/>
    <m/>
    <m/>
    <m/>
    <m/>
    <m/>
    <s v="Southern Leyte"/>
    <s v="PMN contribution to support the Federation's operation in the Philippines: Landslides and Floods Emergency Appeal No. MDRPH001 in the amount of 50,000 USD; Amex donation to Philippines National Red Cross for their emergency operations in the amount of 5,000 USD."/>
  </r>
  <r>
    <m/>
    <n v="144"/>
    <x v="154"/>
    <d v="2006-05-01T00:00:00"/>
    <x v="10"/>
    <n v="15"/>
    <m/>
    <x v="11"/>
    <n v="6"/>
    <x v="1"/>
    <s v="Angola"/>
    <s v="Biological"/>
    <x v="11"/>
    <s v="Bacterial"/>
    <s v="Bacterial"/>
    <x v="0"/>
    <x v="0"/>
    <m/>
    <m/>
    <m/>
    <m/>
    <m/>
    <m/>
    <m/>
    <m/>
    <x v="0"/>
    <m/>
    <m/>
    <m/>
    <m/>
    <m/>
    <m/>
    <n v="0"/>
    <n v="1"/>
    <m/>
    <m/>
    <m/>
    <m/>
    <m/>
    <m/>
    <m/>
    <m/>
    <m/>
    <m/>
    <m/>
    <m/>
    <m/>
    <m/>
    <m/>
    <m/>
    <m/>
    <m/>
    <n v="5000"/>
    <n v="5000"/>
    <m/>
    <m/>
    <m/>
    <x v="46"/>
    <x v="2"/>
    <m/>
    <m/>
    <m/>
    <m/>
    <n v="2799"/>
    <m/>
    <m/>
    <m/>
    <m/>
    <m/>
    <m/>
    <m/>
    <m/>
    <m/>
    <m/>
    <m/>
    <s v="Cholera Outbreak"/>
    <s v="J. Koepsell as FACT Health"/>
  </r>
  <r>
    <m/>
    <n v="145"/>
    <x v="5"/>
    <d v="2006-04-01T00:00:00"/>
    <x v="10"/>
    <n v="16"/>
    <m/>
    <x v="11"/>
    <n v="7"/>
    <x v="1"/>
    <s v="Ethiopia"/>
    <s v="Hydrometerological"/>
    <x v="1"/>
    <s v="Drought"/>
    <s v="Drought"/>
    <x v="0"/>
    <x v="1"/>
    <s v="IFRC"/>
    <n v="1129750"/>
    <s v="MDRET001"/>
    <n v="8.3612303606992691E-2"/>
    <m/>
    <m/>
    <m/>
    <n v="36341"/>
    <x v="0"/>
    <m/>
    <n v="1"/>
    <n v="94461"/>
    <m/>
    <m/>
    <m/>
    <n v="94461"/>
    <m/>
    <m/>
    <m/>
    <m/>
    <m/>
    <m/>
    <m/>
    <m/>
    <m/>
    <m/>
    <m/>
    <m/>
    <m/>
    <m/>
    <m/>
    <m/>
    <m/>
    <m/>
    <m/>
    <m/>
    <n v="94461"/>
    <m/>
    <m/>
    <m/>
    <x v="114"/>
    <x v="2"/>
    <m/>
    <m/>
    <m/>
    <m/>
    <n v="2099"/>
    <m/>
    <m/>
    <m/>
    <m/>
    <m/>
    <m/>
    <m/>
    <m/>
    <m/>
    <m/>
    <m/>
    <m/>
    <s v="PMN contribution to support Ethiopa: Drought Appeal"/>
  </r>
  <r>
    <m/>
    <n v="146"/>
    <x v="155"/>
    <d v="2006-04-01T00:00:00"/>
    <x v="10"/>
    <n v="17"/>
    <m/>
    <x v="11"/>
    <n v="8"/>
    <x v="1"/>
    <s v="Somalia"/>
    <s v="Hydrometerological"/>
    <x v="1"/>
    <s v="Drought"/>
    <s v="Drought"/>
    <x v="0"/>
    <x v="1"/>
    <s v="ICRC"/>
    <m/>
    <m/>
    <m/>
    <m/>
    <m/>
    <m/>
    <m/>
    <x v="0"/>
    <m/>
    <n v="1"/>
    <m/>
    <n v="250000"/>
    <m/>
    <m/>
    <n v="250000"/>
    <m/>
    <m/>
    <m/>
    <m/>
    <m/>
    <m/>
    <m/>
    <m/>
    <m/>
    <m/>
    <m/>
    <m/>
    <m/>
    <m/>
    <m/>
    <m/>
    <m/>
    <m/>
    <m/>
    <m/>
    <n v="250000"/>
    <m/>
    <m/>
    <m/>
    <x v="35"/>
    <x v="2"/>
    <m/>
    <m/>
    <m/>
    <m/>
    <n v="2099"/>
    <m/>
    <m/>
    <m/>
    <m/>
    <m/>
    <m/>
    <m/>
    <m/>
    <m/>
    <m/>
    <m/>
    <m/>
    <s v="Pledge Letter to ICRC for Somalia Emergency Appeal"/>
  </r>
  <r>
    <m/>
    <n v="147"/>
    <x v="156"/>
    <d v="2006-04-01T00:00:00"/>
    <x v="10"/>
    <n v="18"/>
    <m/>
    <x v="11"/>
    <n v="9"/>
    <x v="3"/>
    <s v="Spain"/>
    <s v="Human Related"/>
    <x v="12"/>
    <s v="Terrorism"/>
    <s v="Terrorism"/>
    <x v="0"/>
    <x v="0"/>
    <m/>
    <m/>
    <m/>
    <m/>
    <m/>
    <m/>
    <m/>
    <m/>
    <x v="0"/>
    <m/>
    <m/>
    <m/>
    <m/>
    <n v="20000"/>
    <m/>
    <n v="20000"/>
    <m/>
    <m/>
    <m/>
    <m/>
    <m/>
    <m/>
    <m/>
    <m/>
    <m/>
    <m/>
    <m/>
    <m/>
    <m/>
    <m/>
    <m/>
    <m/>
    <m/>
    <m/>
    <m/>
    <m/>
    <n v="20000"/>
    <m/>
    <m/>
    <m/>
    <x v="25"/>
    <x v="1"/>
    <m/>
    <m/>
    <m/>
    <m/>
    <n v="2903"/>
    <m/>
    <m/>
    <m/>
    <m/>
    <m/>
    <m/>
    <m/>
    <m/>
    <m/>
    <m/>
    <m/>
    <s v="April 2004 MadridTrain Bombing"/>
    <s v="Suspense acct contribution following April 2004 bombing. Grant to Spain RC for DPP"/>
  </r>
  <r>
    <m/>
    <n v="148"/>
    <x v="157"/>
    <d v="2006-05-01T00:00:00"/>
    <x v="10"/>
    <n v="19"/>
    <m/>
    <x v="11"/>
    <n v="10"/>
    <x v="2"/>
    <s v="Colombia"/>
    <s v="Hydrometerological"/>
    <x v="2"/>
    <s v="General Floods"/>
    <m/>
    <x v="0"/>
    <x v="0"/>
    <m/>
    <m/>
    <m/>
    <m/>
    <m/>
    <m/>
    <m/>
    <m/>
    <x v="0"/>
    <n v="2500"/>
    <m/>
    <m/>
    <m/>
    <n v="50000"/>
    <m/>
    <n v="50000"/>
    <m/>
    <m/>
    <m/>
    <m/>
    <m/>
    <m/>
    <m/>
    <m/>
    <m/>
    <m/>
    <m/>
    <m/>
    <m/>
    <m/>
    <m/>
    <m/>
    <m/>
    <m/>
    <m/>
    <m/>
    <n v="50000"/>
    <m/>
    <m/>
    <m/>
    <x v="16"/>
    <x v="2"/>
    <m/>
    <m/>
    <m/>
    <m/>
    <n v="2799"/>
    <m/>
    <m/>
    <m/>
    <m/>
    <m/>
    <m/>
    <m/>
    <m/>
    <m/>
    <m/>
    <m/>
    <m/>
    <s v="OFDA award in support of ARC's proposal &quot;Colombia Floods 2006&quot; to support CRC emergency relief response."/>
  </r>
  <r>
    <s v="EQ-2006-000064-IDN"/>
    <n v="149"/>
    <x v="158"/>
    <d v="2006-05-01T00:00:00"/>
    <x v="10"/>
    <n v="20"/>
    <m/>
    <x v="11"/>
    <n v="11"/>
    <x v="3"/>
    <s v="Indonesia"/>
    <s v="Geophysical"/>
    <x v="3"/>
    <s v="Earthquake"/>
    <s v="Earthquake"/>
    <x v="0"/>
    <x v="1"/>
    <s v="IFRC"/>
    <n v="31000000"/>
    <s v="MDRID001"/>
    <m/>
    <m/>
    <m/>
    <m/>
    <n v="325000"/>
    <x v="0"/>
    <m/>
    <n v="1"/>
    <n v="1398250"/>
    <m/>
    <m/>
    <m/>
    <n v="1398250"/>
    <n v="7"/>
    <s v="Relief ERU"/>
    <m/>
    <m/>
    <m/>
    <m/>
    <m/>
    <m/>
    <m/>
    <m/>
    <m/>
    <m/>
    <m/>
    <m/>
    <m/>
    <m/>
    <m/>
    <m/>
    <m/>
    <n v="87500"/>
    <n v="1485750"/>
    <m/>
    <m/>
    <n v="13000"/>
    <x v="115"/>
    <x v="1"/>
    <m/>
    <m/>
    <m/>
    <m/>
    <s v="2930 / 2799"/>
    <m/>
    <m/>
    <m/>
    <m/>
    <m/>
    <m/>
    <m/>
    <m/>
    <m/>
    <m/>
    <m/>
    <s v="Yogyakarta"/>
    <s v="CASH: 1. PMN to Fed 119,000 from AP2930  2. PMN to Fed 179,250 from AP2930 earmarked for 80K sleeping mats 3. PMN from AP2930 to Fed 1 million earmarked for tarps (600K), PSP (100K), DM (300K); PMN contribution to support Fed appeal relief operations - joint w/ 119,000 from AP 2930 4. PEOPLE: Relief ERU deployed with N. Cooper, C. Blake, S. Rahman, B. Riester, T. Betz, C. Chaperon. PA B. Gillespie, Health S. Shetty, PSP team"/>
  </r>
  <r>
    <m/>
    <n v="150"/>
    <x v="88"/>
    <d v="2006-07-01T00:00:00"/>
    <x v="11"/>
    <n v="1"/>
    <m/>
    <x v="11"/>
    <n v="12"/>
    <x v="3"/>
    <s v="Romania"/>
    <s v="Hydrometerological"/>
    <x v="2"/>
    <s v="General Floods"/>
    <s v="General Floods"/>
    <x v="0"/>
    <x v="1"/>
    <s v="IFRC"/>
    <n v="1900000"/>
    <s v="MDRRO001"/>
    <n v="2.631578947368421E-3"/>
    <m/>
    <m/>
    <m/>
    <n v="13000"/>
    <x v="0"/>
    <m/>
    <n v="0"/>
    <n v="5000"/>
    <m/>
    <m/>
    <m/>
    <n v="5000"/>
    <m/>
    <m/>
    <m/>
    <m/>
    <m/>
    <m/>
    <m/>
    <m/>
    <m/>
    <m/>
    <m/>
    <m/>
    <m/>
    <m/>
    <m/>
    <m/>
    <m/>
    <m/>
    <m/>
    <m/>
    <n v="5000"/>
    <m/>
    <m/>
    <m/>
    <x v="46"/>
    <x v="1"/>
    <m/>
    <m/>
    <m/>
    <m/>
    <n v="2685"/>
    <m/>
    <m/>
    <m/>
    <m/>
    <m/>
    <m/>
    <m/>
    <m/>
    <m/>
    <m/>
    <m/>
    <s v="Country-Wide"/>
    <s v="PMN contribution to support Federation's Emergency Appeal - AmEx contribution - from suspense acct"/>
  </r>
  <r>
    <m/>
    <n v="151"/>
    <x v="159"/>
    <d v="2006-07-01T00:00:00"/>
    <x v="11"/>
    <n v="2"/>
    <m/>
    <x v="11"/>
    <n v="13"/>
    <x v="3"/>
    <s v="Lebanon"/>
    <s v="Human Related"/>
    <x v="8"/>
    <s v="Conflict"/>
    <s v="Conflict"/>
    <x v="0"/>
    <x v="1"/>
    <s v="IFRC/ICRC"/>
    <n v="83131000"/>
    <s v="MDR81001 /REX 06/575"/>
    <m/>
    <m/>
    <m/>
    <m/>
    <n v="2000000"/>
    <x v="0"/>
    <m/>
    <n v="1"/>
    <n v="475000"/>
    <n v="1058600"/>
    <n v="356000"/>
    <m/>
    <n v="1889600"/>
    <m/>
    <m/>
    <m/>
    <m/>
    <m/>
    <m/>
    <m/>
    <m/>
    <m/>
    <m/>
    <m/>
    <m/>
    <m/>
    <m/>
    <m/>
    <m/>
    <m/>
    <m/>
    <m/>
    <m/>
    <n v="1889600"/>
    <m/>
    <m/>
    <m/>
    <x v="116"/>
    <x v="1"/>
    <m/>
    <m/>
    <m/>
    <m/>
    <s v="2099 /2649"/>
    <m/>
    <m/>
    <m/>
    <m/>
    <m/>
    <m/>
    <m/>
    <m/>
    <m/>
    <m/>
    <m/>
    <s v="Humanitarian Crisis"/>
    <s v="CASH: Contributions to ICRC - 1. $500,000 2. $150,000 3. $211,136 to MDA specifically from AP2099; Contributions to ICRC - 1. $150,000 2. 47,500 (Dow Chemical Com from AP2649 pany), Contribution to Fed $475,000 (Coca Cola) from AP2649; $200,000 grant to Palestinian Red Crescent for southern Lebanon; $156,000 grant to Lebanese Red Cross for ambulances"/>
  </r>
  <r>
    <m/>
    <n v="152"/>
    <x v="8"/>
    <d v="2006-08-01T00:00:00"/>
    <x v="11"/>
    <n v="3"/>
    <m/>
    <x v="11"/>
    <n v="14"/>
    <x v="3"/>
    <s v="China"/>
    <s v="Hydrometerological"/>
    <x v="2"/>
    <s v="General Floods"/>
    <s v="General Floods"/>
    <x v="0"/>
    <x v="1"/>
    <s v="IFRC"/>
    <n v="4825791"/>
    <s v="MDRCN001"/>
    <n v="1.036099574142353E-2"/>
    <m/>
    <m/>
    <m/>
    <n v="240000"/>
    <x v="0"/>
    <m/>
    <n v="1"/>
    <n v="50000"/>
    <m/>
    <m/>
    <m/>
    <n v="50000"/>
    <m/>
    <m/>
    <m/>
    <m/>
    <m/>
    <m/>
    <m/>
    <m/>
    <m/>
    <m/>
    <m/>
    <m/>
    <m/>
    <m/>
    <m/>
    <m/>
    <m/>
    <m/>
    <m/>
    <m/>
    <n v="50000"/>
    <m/>
    <m/>
    <m/>
    <x v="16"/>
    <x v="2"/>
    <m/>
    <m/>
    <m/>
    <m/>
    <n v="2799"/>
    <m/>
    <m/>
    <m/>
    <m/>
    <m/>
    <m/>
    <m/>
    <m/>
    <m/>
    <m/>
    <m/>
    <m/>
    <s v="PMN contribution earmarked for procurement of rice to support Fed's China: Floods Appeal"/>
  </r>
  <r>
    <s v="VO-2006-"/>
    <n v="153"/>
    <x v="160"/>
    <d v="2006-08-01T00:00:00"/>
    <x v="11"/>
    <n v="4"/>
    <m/>
    <x v="11"/>
    <n v="15"/>
    <x v="2"/>
    <s v="Ecuador"/>
    <s v="Geophysical"/>
    <x v="4"/>
    <s v="Volcanic Eruption"/>
    <s v="Volcanic Eruption"/>
    <x v="0"/>
    <x v="1"/>
    <s v="IFRC"/>
    <n v="514753"/>
    <s v="MDREC002"/>
    <n v="0"/>
    <n v="1"/>
    <m/>
    <m/>
    <n v="5475"/>
    <x v="0"/>
    <m/>
    <m/>
    <m/>
    <m/>
    <n v="50000"/>
    <m/>
    <n v="50000"/>
    <m/>
    <m/>
    <m/>
    <m/>
    <m/>
    <m/>
    <m/>
    <m/>
    <m/>
    <m/>
    <m/>
    <m/>
    <m/>
    <m/>
    <m/>
    <m/>
    <m/>
    <m/>
    <m/>
    <m/>
    <n v="50000"/>
    <m/>
    <m/>
    <m/>
    <x v="16"/>
    <x v="2"/>
    <m/>
    <m/>
    <m/>
    <m/>
    <n v="2799"/>
    <m/>
    <m/>
    <m/>
    <m/>
    <m/>
    <m/>
    <m/>
    <m/>
    <m/>
    <m/>
    <m/>
    <s v="Tungurahua"/>
    <s v="OFDA award in support of ARC's proposal &quot;Tungurahua Volcano eruption&quot; to support the ERC emergency relief response."/>
  </r>
  <r>
    <s v="FL-2006-000122-ETH"/>
    <n v="154"/>
    <x v="161"/>
    <d v="2006-08-01T00:00:00"/>
    <x v="11"/>
    <n v="5"/>
    <m/>
    <x v="11"/>
    <n v="16"/>
    <x v="1"/>
    <s v="Ethiopia"/>
    <s v="Hydrometerological"/>
    <x v="2"/>
    <s v="General Floods"/>
    <s v="General Floods"/>
    <x v="0"/>
    <x v="1"/>
    <s v="IFRC"/>
    <n v="4225070"/>
    <s v="MDRET003"/>
    <n v="2.0118009879126264E-2"/>
    <m/>
    <m/>
    <m/>
    <n v="25000"/>
    <x v="0"/>
    <m/>
    <n v="1"/>
    <n v="85000"/>
    <m/>
    <m/>
    <m/>
    <n v="85000"/>
    <n v="2"/>
    <m/>
    <m/>
    <m/>
    <m/>
    <m/>
    <m/>
    <m/>
    <m/>
    <m/>
    <m/>
    <m/>
    <m/>
    <m/>
    <m/>
    <m/>
    <m/>
    <m/>
    <m/>
    <m/>
    <n v="85000"/>
    <m/>
    <m/>
    <m/>
    <x v="117"/>
    <x v="1"/>
    <m/>
    <m/>
    <m/>
    <m/>
    <s v="2099 / 2648"/>
    <m/>
    <m/>
    <m/>
    <m/>
    <m/>
    <m/>
    <m/>
    <m/>
    <m/>
    <m/>
    <m/>
    <s v="Amhara"/>
    <s v="CASH: PMN from 2099 contribution to Fed Appeal earmarked for tarps, blankets, sleeping mats PEOPLE: Deployed J. Manley, Prog Coordinator, 2 mo. AND K.White, Prog Delegate, 2 mo. From AP 2648."/>
  </r>
  <r>
    <s v="FL-2006-000123-SDN"/>
    <n v="155"/>
    <x v="162"/>
    <d v="2006-09-01T00:00:00"/>
    <x v="11"/>
    <n v="6"/>
    <m/>
    <x v="11"/>
    <n v="17"/>
    <x v="1"/>
    <s v="Sudan"/>
    <s v="Hydrometerological"/>
    <x v="2"/>
    <s v="General Floods"/>
    <s v="General Floods"/>
    <x v="0"/>
    <x v="1"/>
    <s v="IFRC"/>
    <n v="492625"/>
    <s v="MDRSD002"/>
    <n v="2.0299416391778735E-2"/>
    <m/>
    <m/>
    <m/>
    <n v="15000"/>
    <x v="0"/>
    <m/>
    <n v="0"/>
    <n v="10000"/>
    <m/>
    <m/>
    <m/>
    <n v="10000"/>
    <m/>
    <m/>
    <m/>
    <n v="10000"/>
    <m/>
    <m/>
    <m/>
    <m/>
    <m/>
    <m/>
    <m/>
    <m/>
    <n v="10000"/>
    <m/>
    <m/>
    <m/>
    <m/>
    <m/>
    <n v="36900"/>
    <m/>
    <n v="46900"/>
    <m/>
    <m/>
    <m/>
    <x v="118"/>
    <x v="1"/>
    <m/>
    <m/>
    <m/>
    <m/>
    <n v="2802"/>
    <m/>
    <m/>
    <m/>
    <m/>
    <m/>
    <m/>
    <m/>
    <s v="N"/>
    <m/>
    <m/>
    <m/>
    <m/>
    <s v="Nets @ $3.69 each + $10,000 (transport) = $46,900"/>
  </r>
  <r>
    <s v="TC-2006-000175-PHL"/>
    <n v="156"/>
    <x v="163"/>
    <d v="2006-10-01T00:00:00"/>
    <x v="11"/>
    <n v="7"/>
    <m/>
    <x v="11"/>
    <n v="18"/>
    <x v="3"/>
    <s v="Philippines"/>
    <s v="Hydrometerological"/>
    <x v="5"/>
    <s v="Tropical Cyclone"/>
    <s v="Typhoon"/>
    <x v="0"/>
    <x v="1"/>
    <s v="IFRC"/>
    <n v="8637057"/>
    <s v="MDRPH002"/>
    <n v="9.1119000372464828E-2"/>
    <m/>
    <m/>
    <m/>
    <n v="1030000"/>
    <x v="0"/>
    <m/>
    <n v="1"/>
    <n v="787000"/>
    <m/>
    <m/>
    <m/>
    <n v="787000"/>
    <n v="2"/>
    <m/>
    <m/>
    <m/>
    <m/>
    <m/>
    <m/>
    <m/>
    <m/>
    <m/>
    <m/>
    <m/>
    <m/>
    <m/>
    <m/>
    <m/>
    <m/>
    <m/>
    <m/>
    <n v="6500"/>
    <n v="793500"/>
    <m/>
    <m/>
    <m/>
    <x v="119"/>
    <x v="1"/>
    <m/>
    <m/>
    <m/>
    <m/>
    <n v="2032"/>
    <m/>
    <m/>
    <m/>
    <m/>
    <m/>
    <m/>
    <m/>
    <s v="N"/>
    <m/>
    <m/>
    <m/>
    <s v="Xangsane / Durian"/>
    <s v="PEOPLE: Deployed B. Gaillis, Ops Coordinator, 5 wks; Deployed C. Blake, FACT Relief, 3 wks. CASH: 2. PMN Fed Philippines: Typhoons $237,000 from AP2032; PMN Fed Philippines: Typhoon Xangsane Appeal $200,000 from AP2099;  3. PMN Fed Philippines: Typhoons $350K earmarked for CGI from AP2032;"/>
  </r>
  <r>
    <s v="TC-2006-000144-VNM; TC-2006-000175-VNM"/>
    <n v="157"/>
    <x v="164"/>
    <d v="2006-10-01T00:00:00"/>
    <x v="11"/>
    <n v="8"/>
    <m/>
    <x v="11"/>
    <n v="19"/>
    <x v="3"/>
    <s v="Vietnam"/>
    <s v="Hydrometerological"/>
    <x v="5"/>
    <s v="Tropical Cyclone"/>
    <s v="Typhoon"/>
    <x v="0"/>
    <x v="1"/>
    <s v="IFRC"/>
    <n v="1340000"/>
    <s v="MDRVN001"/>
    <n v="4.7014925373134328E-2"/>
    <m/>
    <m/>
    <m/>
    <n v="60400"/>
    <x v="0"/>
    <m/>
    <n v="1"/>
    <n v="63000"/>
    <m/>
    <m/>
    <m/>
    <n v="63000"/>
    <m/>
    <m/>
    <m/>
    <m/>
    <m/>
    <m/>
    <m/>
    <m/>
    <m/>
    <m/>
    <m/>
    <m/>
    <m/>
    <m/>
    <m/>
    <m/>
    <m/>
    <m/>
    <m/>
    <m/>
    <n v="63000"/>
    <m/>
    <m/>
    <m/>
    <x v="120"/>
    <x v="2"/>
    <m/>
    <m/>
    <m/>
    <m/>
    <n v="2799"/>
    <m/>
    <m/>
    <m/>
    <m/>
    <m/>
    <m/>
    <m/>
    <s v="Y"/>
    <m/>
    <m/>
    <m/>
    <s v="Xangsane"/>
    <s v="PMN Fed Vietnam from AP2799: Typhoon Xangsane Appeal $25,000; PMN Fed Vietnam from AP2870: Typhoon Xangsane $38,000"/>
  </r>
  <r>
    <m/>
    <n v="158"/>
    <x v="165"/>
    <d v="2006-11-01T00:00:00"/>
    <x v="11"/>
    <n v="9"/>
    <m/>
    <x v="11"/>
    <n v="20"/>
    <x v="1"/>
    <s v="Somalia"/>
    <s v="Human Related"/>
    <x v="8"/>
    <s v="Conflict"/>
    <s v="Conflict"/>
    <x v="0"/>
    <x v="0"/>
    <m/>
    <m/>
    <m/>
    <m/>
    <m/>
    <m/>
    <m/>
    <m/>
    <x v="0"/>
    <m/>
    <m/>
    <m/>
    <n v="50000"/>
    <m/>
    <m/>
    <n v="50000"/>
    <m/>
    <m/>
    <m/>
    <m/>
    <m/>
    <m/>
    <m/>
    <m/>
    <m/>
    <m/>
    <m/>
    <m/>
    <m/>
    <m/>
    <m/>
    <m/>
    <m/>
    <m/>
    <m/>
    <m/>
    <n v="50000"/>
    <m/>
    <m/>
    <m/>
    <x v="16"/>
    <x v="2"/>
    <m/>
    <m/>
    <m/>
    <m/>
    <n v="2799"/>
    <m/>
    <m/>
    <m/>
    <m/>
    <m/>
    <m/>
    <m/>
    <s v="Y"/>
    <m/>
    <m/>
    <m/>
    <s v="IDP"/>
    <s v="Contribution to ICRC 2006 Somalia Emergency Appeal - spec IDPs"/>
  </r>
  <r>
    <s v="FL-2006-000159-KEN"/>
    <n v="159"/>
    <x v="81"/>
    <d v="2006-11-01T00:00:00"/>
    <x v="11"/>
    <n v="10"/>
    <m/>
    <x v="11"/>
    <n v="21"/>
    <x v="1"/>
    <s v="Kenya"/>
    <s v="Hydrometerological"/>
    <x v="2"/>
    <s v="General Floods"/>
    <s v="General Floods"/>
    <x v="0"/>
    <x v="1"/>
    <s v="IFRC"/>
    <n v="21832647"/>
    <s v="MDRKE003"/>
    <n v="2.290148326952751E-3"/>
    <m/>
    <m/>
    <m/>
    <n v="563000"/>
    <x v="0"/>
    <m/>
    <n v="1"/>
    <n v="50000"/>
    <m/>
    <n v="30000"/>
    <m/>
    <n v="80000"/>
    <m/>
    <m/>
    <m/>
    <n v="20000"/>
    <m/>
    <m/>
    <m/>
    <m/>
    <m/>
    <m/>
    <m/>
    <m/>
    <n v="20000"/>
    <m/>
    <m/>
    <m/>
    <m/>
    <m/>
    <n v="120000"/>
    <m/>
    <n v="200000"/>
    <m/>
    <m/>
    <m/>
    <x v="121"/>
    <x v="1"/>
    <m/>
    <m/>
    <m/>
    <m/>
    <s v="2925 / 2099"/>
    <m/>
    <m/>
    <m/>
    <m/>
    <m/>
    <m/>
    <m/>
    <s v="N"/>
    <m/>
    <m/>
    <m/>
    <m/>
    <s v="CASH: From AP2925: 30K - IDR/IP grant directly to Kenya Red Cross; PMN to Fed - 50k from LDS; SUPPLIES: 20,000 (mosquito nets) @ $4.44 each + PSR, etc + $20,000 (transport) = $120,000 from AP2099"/>
  </r>
  <r>
    <m/>
    <n v="160"/>
    <x v="166"/>
    <d v="2006-11-01T00:00:00"/>
    <x v="11"/>
    <n v="11"/>
    <m/>
    <x v="11"/>
    <n v="22"/>
    <x v="1"/>
    <s v="Somalia"/>
    <s v="Hydrometerological"/>
    <x v="2"/>
    <s v="General Floods"/>
    <s v="General Floods"/>
    <x v="0"/>
    <x v="1"/>
    <s v="ICRC"/>
    <n v="33508000"/>
    <s v="REX 06/813"/>
    <m/>
    <m/>
    <m/>
    <m/>
    <n v="324000"/>
    <x v="0"/>
    <m/>
    <m/>
    <m/>
    <n v="100000"/>
    <m/>
    <m/>
    <n v="100000"/>
    <m/>
    <m/>
    <m/>
    <m/>
    <m/>
    <m/>
    <m/>
    <m/>
    <m/>
    <m/>
    <m/>
    <m/>
    <m/>
    <m/>
    <m/>
    <m/>
    <m/>
    <m/>
    <m/>
    <m/>
    <n v="100000"/>
    <m/>
    <m/>
    <m/>
    <x v="5"/>
    <x v="2"/>
    <m/>
    <m/>
    <m/>
    <m/>
    <n v="2099"/>
    <m/>
    <m/>
    <m/>
    <m/>
    <m/>
    <m/>
    <m/>
    <s v="N"/>
    <m/>
    <m/>
    <m/>
    <m/>
    <s v="Contribution to ICRC 2006 Somalia Emergency Appeal - spec those affected by floods"/>
  </r>
  <r>
    <s v="FL-2006-000198-MOZ"/>
    <n v="161"/>
    <x v="46"/>
    <d v="2007-02-01T00:00:00"/>
    <x v="11"/>
    <n v="12"/>
    <m/>
    <x v="12"/>
    <n v="1"/>
    <x v="1"/>
    <s v="Mozambique"/>
    <s v="Hydrometerological"/>
    <x v="2"/>
    <s v="General Floods"/>
    <s v="General Floods"/>
    <x v="0"/>
    <x v="1"/>
    <s v="IFRC"/>
    <n v="5971938"/>
    <s v="MDRMZ002"/>
    <m/>
    <m/>
    <m/>
    <m/>
    <n v="100000"/>
    <x v="0"/>
    <m/>
    <m/>
    <m/>
    <m/>
    <m/>
    <m/>
    <n v="0"/>
    <n v="2"/>
    <s v="Relief ERU"/>
    <m/>
    <n v="26950"/>
    <m/>
    <m/>
    <n v="7050"/>
    <m/>
    <m/>
    <m/>
    <m/>
    <m/>
    <m/>
    <m/>
    <n v="3900"/>
    <m/>
    <m/>
    <m/>
    <n v="200000"/>
    <n v="45000"/>
    <n v="245000"/>
    <m/>
    <m/>
    <m/>
    <x v="122"/>
    <x v="1"/>
    <m/>
    <m/>
    <m/>
    <m/>
    <s v="2099 /2936"/>
    <m/>
    <m/>
    <m/>
    <m/>
    <m/>
    <m/>
    <m/>
    <s v="N"/>
    <m/>
    <m/>
    <m/>
    <s v="Caia"/>
    <s v="SUPPLIES: 7050 blankets @ $3.75, 3900 tarps @ $14.20, 16,000 sleeping mats @ $1.70; PEOPLE: Relief ERU deployment - T. Reines, G. Guinta, 1 month, 2nd team rotation from  AP2936"/>
  </r>
  <r>
    <s v="FL-2007-000012-BOL"/>
    <n v="162"/>
    <x v="48"/>
    <d v="2007-02-01T00:00:00"/>
    <x v="11"/>
    <n v="13"/>
    <m/>
    <x v="12"/>
    <n v="2"/>
    <x v="2"/>
    <s v="Bolivia"/>
    <s v="Hydrometerological"/>
    <x v="2"/>
    <s v="General Floods"/>
    <s v="General Floods"/>
    <x v="0"/>
    <x v="1"/>
    <s v="IFRC"/>
    <n v="484360"/>
    <s v="MDRBO002"/>
    <m/>
    <m/>
    <m/>
    <m/>
    <n v="35940"/>
    <x v="0"/>
    <m/>
    <n v="1"/>
    <n v="150000"/>
    <m/>
    <m/>
    <m/>
    <n v="150000"/>
    <m/>
    <m/>
    <m/>
    <m/>
    <m/>
    <m/>
    <m/>
    <m/>
    <m/>
    <m/>
    <m/>
    <m/>
    <m/>
    <m/>
    <m/>
    <m/>
    <m/>
    <m/>
    <m/>
    <m/>
    <n v="150000"/>
    <m/>
    <m/>
    <m/>
    <x v="13"/>
    <x v="1"/>
    <m/>
    <m/>
    <m/>
    <m/>
    <s v="2099 / 2666"/>
    <m/>
    <m/>
    <m/>
    <m/>
    <m/>
    <m/>
    <m/>
    <s v="N"/>
    <m/>
    <m/>
    <m/>
    <m/>
    <s v="$50,000 PMN to Fed - unearmarked from 2099; $100,000  from 2666 - OFDA grant to Fed via PMN. Earmarked for 1500 food parcels, 1500 tool kits and remaining goes to transport costs."/>
  </r>
  <r>
    <m/>
    <n v="163"/>
    <x v="167"/>
    <d v="2007-03-01T00:00:00"/>
    <x v="11"/>
    <n v="14"/>
    <m/>
    <x v="12"/>
    <n v="3"/>
    <x v="3"/>
    <s v="Sri Lanka"/>
    <s v="Human Related"/>
    <x v="8"/>
    <s v="Conflict"/>
    <s v="Conflict"/>
    <x v="0"/>
    <x v="1"/>
    <s v="ICRC"/>
    <n v="32018000"/>
    <s v="REX 07/376"/>
    <m/>
    <m/>
    <m/>
    <m/>
    <n v="150000"/>
    <x v="0"/>
    <m/>
    <m/>
    <m/>
    <n v="2000000"/>
    <m/>
    <m/>
    <n v="2000000"/>
    <m/>
    <m/>
    <m/>
    <m/>
    <m/>
    <m/>
    <m/>
    <m/>
    <m/>
    <m/>
    <m/>
    <m/>
    <m/>
    <m/>
    <m/>
    <m/>
    <m/>
    <m/>
    <m/>
    <m/>
    <n v="2000000"/>
    <m/>
    <m/>
    <m/>
    <x v="123"/>
    <x v="1"/>
    <m/>
    <m/>
    <m/>
    <m/>
    <s v="2695 /2692"/>
    <m/>
    <m/>
    <m/>
    <m/>
    <m/>
    <m/>
    <m/>
    <s v="N"/>
    <m/>
    <m/>
    <m/>
    <m/>
    <s v="Contribution to ICRC 2007 Sri Lanka Emergency Appeal - to build the capacity of the SLRCS in disaster relief, IHL and overall cooperation. $320K earmarked to support ICRC HQ ops"/>
  </r>
  <r>
    <m/>
    <n v="164"/>
    <x v="168"/>
    <d v="2007-03-01T00:00:00"/>
    <x v="11"/>
    <n v="15"/>
    <m/>
    <x v="12"/>
    <n v="4"/>
    <x v="1"/>
    <s v="Madagascar"/>
    <s v="Hydrometerological"/>
    <x v="5"/>
    <s v="Tropical Cyclone"/>
    <s v="Cyclone"/>
    <x v="0"/>
    <x v="1"/>
    <s v="IFRC"/>
    <n v="1649430"/>
    <s v="MDRMG002"/>
    <m/>
    <m/>
    <m/>
    <m/>
    <n v="60000"/>
    <x v="0"/>
    <m/>
    <m/>
    <m/>
    <m/>
    <m/>
    <m/>
    <n v="0"/>
    <n v="5"/>
    <s v="Relief ERU"/>
    <m/>
    <n v="10000"/>
    <m/>
    <m/>
    <m/>
    <m/>
    <m/>
    <m/>
    <m/>
    <m/>
    <n v="1000"/>
    <m/>
    <m/>
    <m/>
    <m/>
    <m/>
    <n v="74000"/>
    <n v="28000"/>
    <n v="102000"/>
    <m/>
    <m/>
    <m/>
    <x v="124"/>
    <x v="1"/>
    <m/>
    <m/>
    <m/>
    <m/>
    <s v="2936 / 2799"/>
    <m/>
    <m/>
    <m/>
    <m/>
    <m/>
    <m/>
    <m/>
    <s v="N"/>
    <m/>
    <m/>
    <m/>
    <s v="Indlala / Jaya"/>
    <s v="SUPPLIES: 1000 Mosquito Nets - $74,000 from 2799; PEOPLE: Deployed B. Gaillis, FACT, 3 wks; Deployed Relief ERU - C. Chaperon, G. Matthews 4 wks; Deployed 2nd rotation of Relief ERU - J. Manley, S. Hagerich, 4 wks - $18,000 cost from 2936"/>
  </r>
  <r>
    <s v="TS-2007-000042-SLB"/>
    <n v="165"/>
    <x v="169"/>
    <d v="2007-04-01T00:00:00"/>
    <x v="11"/>
    <n v="16"/>
    <m/>
    <x v="12"/>
    <n v="5"/>
    <x v="3"/>
    <s v="Solomon Islands"/>
    <s v="Geophysical"/>
    <x v="3"/>
    <s v="Tsunami"/>
    <s v="Tsunami"/>
    <x v="0"/>
    <x v="1"/>
    <s v="IFRC"/>
    <n v="1405645"/>
    <s v="MDRSB001"/>
    <m/>
    <m/>
    <m/>
    <m/>
    <n v="9000"/>
    <x v="0"/>
    <m/>
    <n v="1"/>
    <n v="50000"/>
    <m/>
    <m/>
    <m/>
    <n v="50000"/>
    <m/>
    <m/>
    <m/>
    <m/>
    <m/>
    <m/>
    <m/>
    <m/>
    <m/>
    <m/>
    <m/>
    <m/>
    <m/>
    <m/>
    <m/>
    <m/>
    <m/>
    <m/>
    <m/>
    <m/>
    <n v="50000"/>
    <m/>
    <m/>
    <m/>
    <x v="16"/>
    <x v="1"/>
    <m/>
    <m/>
    <m/>
    <m/>
    <n v="2881"/>
    <m/>
    <m/>
    <m/>
    <m/>
    <m/>
    <m/>
    <m/>
    <s v="N"/>
    <m/>
    <m/>
    <m/>
    <m/>
    <s v="PMN to Fed - unearmarked"/>
  </r>
  <r>
    <m/>
    <n v="166"/>
    <x v="170"/>
    <d v="2007-05-01T00:00:00"/>
    <x v="11"/>
    <n v="17"/>
    <m/>
    <x v="12"/>
    <n v="6"/>
    <x v="2"/>
    <s v="Colombia"/>
    <s v="Hydrometerological"/>
    <x v="2"/>
    <s v="General Floods"/>
    <s v="General Floods"/>
    <x v="0"/>
    <x v="0"/>
    <m/>
    <m/>
    <m/>
    <m/>
    <m/>
    <m/>
    <m/>
    <m/>
    <x v="0"/>
    <n v="3600"/>
    <m/>
    <m/>
    <m/>
    <n v="5000"/>
    <m/>
    <n v="5000"/>
    <m/>
    <m/>
    <m/>
    <m/>
    <m/>
    <m/>
    <m/>
    <m/>
    <m/>
    <m/>
    <m/>
    <m/>
    <m/>
    <m/>
    <m/>
    <m/>
    <m/>
    <m/>
    <m/>
    <m/>
    <n v="5000"/>
    <m/>
    <m/>
    <m/>
    <x v="46"/>
    <x v="2"/>
    <m/>
    <m/>
    <m/>
    <m/>
    <n v="2799"/>
    <m/>
    <m/>
    <m/>
    <m/>
    <m/>
    <m/>
    <m/>
    <s v="Y"/>
    <m/>
    <m/>
    <m/>
    <s v="Tolima"/>
    <s v="Grant to NS for NFIs, health team visits, general admin costs"/>
  </r>
  <r>
    <m/>
    <n v="167"/>
    <x v="171"/>
    <d v="2007-05-01T00:00:00"/>
    <x v="11"/>
    <n v="18"/>
    <m/>
    <x v="12"/>
    <n v="7"/>
    <x v="2"/>
    <s v="Mexico"/>
    <s v="Hydrometerological"/>
    <x v="5"/>
    <s v="Local Storm"/>
    <s v="Tornado"/>
    <x v="0"/>
    <x v="0"/>
    <s v="NS"/>
    <m/>
    <m/>
    <m/>
    <m/>
    <m/>
    <m/>
    <m/>
    <x v="0"/>
    <n v="3000"/>
    <m/>
    <m/>
    <m/>
    <n v="20000"/>
    <m/>
    <n v="20000"/>
    <m/>
    <m/>
    <m/>
    <m/>
    <m/>
    <m/>
    <m/>
    <m/>
    <m/>
    <m/>
    <m/>
    <m/>
    <m/>
    <m/>
    <m/>
    <m/>
    <m/>
    <m/>
    <m/>
    <m/>
    <n v="20000"/>
    <m/>
    <m/>
    <m/>
    <x v="25"/>
    <x v="1"/>
    <m/>
    <m/>
    <m/>
    <m/>
    <n v="2690"/>
    <m/>
    <m/>
    <m/>
    <m/>
    <m/>
    <m/>
    <m/>
    <s v="N"/>
    <m/>
    <m/>
    <m/>
    <s v="Coahuila"/>
    <s v="Grant to NS for NFIs - kitchen, hygiene, baby kits; laterns w/ radios"/>
  </r>
  <r>
    <m/>
    <n v="168"/>
    <x v="165"/>
    <d v="2007-06-01T00:00:00"/>
    <x v="11"/>
    <n v="19"/>
    <m/>
    <x v="12"/>
    <n v="8"/>
    <x v="1"/>
    <s v="Somalia"/>
    <s v="Human Related"/>
    <x v="8"/>
    <s v="Conflict"/>
    <s v="Conflict"/>
    <x v="0"/>
    <x v="1"/>
    <s v="ICRC"/>
    <n v="38292000"/>
    <s v="REX 07/347"/>
    <m/>
    <m/>
    <m/>
    <m/>
    <n v="612000"/>
    <x v="0"/>
    <m/>
    <n v="1"/>
    <m/>
    <n v="100000"/>
    <m/>
    <m/>
    <n v="100000"/>
    <m/>
    <m/>
    <m/>
    <m/>
    <m/>
    <m/>
    <m/>
    <m/>
    <m/>
    <m/>
    <m/>
    <m/>
    <m/>
    <m/>
    <m/>
    <m/>
    <m/>
    <m/>
    <m/>
    <m/>
    <n v="100000"/>
    <m/>
    <m/>
    <m/>
    <x v="5"/>
    <x v="1"/>
    <m/>
    <m/>
    <m/>
    <m/>
    <n v="2817"/>
    <m/>
    <m/>
    <m/>
    <m/>
    <m/>
    <m/>
    <m/>
    <s v="N"/>
    <m/>
    <m/>
    <m/>
    <m/>
    <s v="Contribution to ICRC 2007 Somalia Emergency Appeal: Budget Extension - support for capacity bldg."/>
  </r>
  <r>
    <m/>
    <n v="169"/>
    <x v="125"/>
    <d v="2007-06-01T00:00:00"/>
    <x v="11"/>
    <n v="20"/>
    <m/>
    <x v="12"/>
    <n v="9"/>
    <x v="1"/>
    <s v="Sudan"/>
    <s v="Human Related"/>
    <x v="8"/>
    <s v="Conflict"/>
    <s v="Conflict"/>
    <x v="0"/>
    <x v="1"/>
    <s v="ICRC"/>
    <n v="86239000"/>
    <s v="REX 07/207"/>
    <m/>
    <m/>
    <m/>
    <m/>
    <n v="125000"/>
    <x v="0"/>
    <m/>
    <m/>
    <m/>
    <n v="200000"/>
    <m/>
    <m/>
    <n v="200000"/>
    <m/>
    <m/>
    <m/>
    <m/>
    <m/>
    <m/>
    <m/>
    <m/>
    <m/>
    <m/>
    <m/>
    <m/>
    <m/>
    <m/>
    <m/>
    <m/>
    <m/>
    <m/>
    <m/>
    <m/>
    <n v="200000"/>
    <m/>
    <m/>
    <m/>
    <x v="121"/>
    <x v="1"/>
    <m/>
    <m/>
    <m/>
    <m/>
    <n v="2661"/>
    <m/>
    <m/>
    <m/>
    <m/>
    <m/>
    <m/>
    <m/>
    <s v="N"/>
    <m/>
    <m/>
    <m/>
    <m/>
    <s v="Contribution to ICRC 2007 Sudan Emergency Appeal: Budget Extension - support for capacity bldg."/>
  </r>
  <r>
    <s v="FF-2007-000082-PAK; and TC-2007-000084-PAK"/>
    <n v="170"/>
    <x v="172"/>
    <d v="2007-07-01T00:00:00"/>
    <x v="12"/>
    <n v="1"/>
    <m/>
    <x v="12"/>
    <n v="10"/>
    <x v="3"/>
    <s v="Pakistan"/>
    <s v="Hydrometerological"/>
    <x v="5"/>
    <s v="Tropical Cyclone"/>
    <s v="Cyclone"/>
    <x v="6"/>
    <x v="1"/>
    <s v="IFRC"/>
    <n v="17000000"/>
    <s v="MDRPK001"/>
    <m/>
    <m/>
    <m/>
    <m/>
    <n v="257500"/>
    <x v="0"/>
    <m/>
    <n v="1"/>
    <n v="285000"/>
    <m/>
    <m/>
    <m/>
    <n v="285000"/>
    <n v="1"/>
    <m/>
    <m/>
    <m/>
    <m/>
    <m/>
    <m/>
    <m/>
    <m/>
    <m/>
    <m/>
    <m/>
    <m/>
    <m/>
    <m/>
    <m/>
    <m/>
    <m/>
    <m/>
    <n v="10000"/>
    <n v="295000"/>
    <m/>
    <m/>
    <m/>
    <x v="125"/>
    <x v="1"/>
    <m/>
    <m/>
    <m/>
    <m/>
    <s v="2099/2897"/>
    <m/>
    <m/>
    <m/>
    <m/>
    <m/>
    <m/>
    <m/>
    <s v="N"/>
    <m/>
    <m/>
    <m/>
    <s v="Yemyin"/>
    <s v="CASH: PMN to Fed - unearmarked; PEOPLE: T. Betz deployed on FACT as Relief/Logs Ap2897"/>
  </r>
  <r>
    <s v="FF-2007-000080-BGD"/>
    <n v="171"/>
    <x v="19"/>
    <d v="2007-07-01T00:00:00"/>
    <x v="12"/>
    <n v="2"/>
    <m/>
    <x v="12"/>
    <n v="11"/>
    <x v="3"/>
    <s v="Bangladesh"/>
    <s v="Hydrometerological"/>
    <x v="2"/>
    <s v="General Floods"/>
    <s v="General Floods"/>
    <x v="7"/>
    <x v="1"/>
    <s v="IFRC"/>
    <n v="4850000"/>
    <s v="MDRBD002"/>
    <n v="2.5670103092783506E-2"/>
    <n v="0.95"/>
    <m/>
    <m/>
    <n v="1200000"/>
    <x v="0"/>
    <m/>
    <n v="1"/>
    <n v="124500"/>
    <m/>
    <m/>
    <m/>
    <n v="124500"/>
    <m/>
    <m/>
    <m/>
    <m/>
    <m/>
    <m/>
    <m/>
    <m/>
    <m/>
    <m/>
    <m/>
    <m/>
    <m/>
    <m/>
    <m/>
    <m/>
    <m/>
    <m/>
    <m/>
    <m/>
    <n v="124500"/>
    <m/>
    <m/>
    <m/>
    <x v="126"/>
    <x v="1"/>
    <m/>
    <m/>
    <m/>
    <m/>
    <s v="2017 / 2099"/>
    <m/>
    <m/>
    <m/>
    <m/>
    <m/>
    <m/>
    <m/>
    <s v="N"/>
    <m/>
    <m/>
    <m/>
    <m/>
    <s v="CASH: $24,500 PMN to Fed - unearmarked from 2017; $100,000 PMN to Fed - unearmarked from 2099;"/>
  </r>
  <r>
    <m/>
    <n v="172"/>
    <x v="105"/>
    <d v="2007-07-01T00:00:00"/>
    <x v="12"/>
    <n v="3"/>
    <m/>
    <x v="12"/>
    <n v="12"/>
    <x v="3"/>
    <s v="Iraq"/>
    <s v="Human Related"/>
    <x v="8"/>
    <s v="Conflict"/>
    <s v="Conflict"/>
    <x v="8"/>
    <x v="1"/>
    <s v="IFRC"/>
    <n v="15000000"/>
    <s v="MDR81002"/>
    <n v="1.6666666666666666E-2"/>
    <m/>
    <m/>
    <m/>
    <n v="250000"/>
    <x v="0"/>
    <m/>
    <n v="1"/>
    <n v="250000"/>
    <m/>
    <m/>
    <m/>
    <n v="250000"/>
    <m/>
    <m/>
    <m/>
    <m/>
    <m/>
    <m/>
    <m/>
    <m/>
    <m/>
    <m/>
    <m/>
    <m/>
    <m/>
    <m/>
    <m/>
    <m/>
    <m/>
    <m/>
    <m/>
    <m/>
    <n v="250000"/>
    <m/>
    <m/>
    <m/>
    <x v="35"/>
    <x v="2"/>
    <m/>
    <m/>
    <m/>
    <m/>
    <n v="2099"/>
    <m/>
    <m/>
    <m/>
    <m/>
    <m/>
    <m/>
    <m/>
    <s v="N"/>
    <m/>
    <m/>
    <m/>
    <s v="Refugees from Iraq in Syria and Jordan"/>
    <s v="PMN to Fed - unearmarked"/>
  </r>
  <r>
    <s v="FL-2007-00093-SDN"/>
    <n v="173"/>
    <x v="162"/>
    <d v="2007-07-01T00:00:00"/>
    <x v="12"/>
    <n v="4"/>
    <m/>
    <x v="12"/>
    <n v="13"/>
    <x v="1"/>
    <s v="Sudan"/>
    <s v="Hydrometerological"/>
    <x v="2"/>
    <s v="General Floods"/>
    <s v="General Floods"/>
    <x v="9"/>
    <x v="1"/>
    <s v="IFRC"/>
    <n v="6800000"/>
    <s v="MDRSD004"/>
    <m/>
    <m/>
    <m/>
    <m/>
    <n v="200000"/>
    <x v="0"/>
    <m/>
    <n v="1"/>
    <n v="100000"/>
    <m/>
    <m/>
    <m/>
    <n v="100000"/>
    <n v="1"/>
    <m/>
    <m/>
    <n v="10000"/>
    <m/>
    <m/>
    <m/>
    <m/>
    <m/>
    <m/>
    <m/>
    <m/>
    <n v="10000"/>
    <m/>
    <m/>
    <m/>
    <m/>
    <m/>
    <n v="44400"/>
    <n v="9000"/>
    <n v="153400"/>
    <m/>
    <m/>
    <m/>
    <x v="127"/>
    <x v="1"/>
    <m/>
    <m/>
    <m/>
    <m/>
    <s v="2802 /2099"/>
    <m/>
    <m/>
    <m/>
    <m/>
    <m/>
    <m/>
    <m/>
    <s v="N"/>
    <m/>
    <m/>
    <m/>
    <m/>
    <s v="CASH: $100,000 PMN to Fed earmarked for improved emergency shelters (Appeal obj 1) and tree saplings (obj 4) for 500 families from AP 2099; PEOPLE: N.Cooper deployed on FACT as Relief/Shelter"/>
  </r>
  <r>
    <s v="FL-2007-000111-GBR"/>
    <n v="174"/>
    <x v="173"/>
    <d v="2007-07-01T00:00:00"/>
    <x v="12"/>
    <n v="5"/>
    <m/>
    <x v="12"/>
    <n v="15"/>
    <x v="3"/>
    <s v="United Kingdom"/>
    <s v="Hydrometerological"/>
    <x v="2"/>
    <s v="General Floods"/>
    <s v="General Floods"/>
    <x v="10"/>
    <x v="0"/>
    <m/>
    <m/>
    <m/>
    <m/>
    <m/>
    <m/>
    <m/>
    <m/>
    <x v="0"/>
    <m/>
    <m/>
    <m/>
    <m/>
    <n v="20188"/>
    <m/>
    <n v="20188"/>
    <m/>
    <m/>
    <m/>
    <m/>
    <m/>
    <m/>
    <m/>
    <m/>
    <m/>
    <m/>
    <m/>
    <m/>
    <m/>
    <m/>
    <m/>
    <m/>
    <m/>
    <m/>
    <m/>
    <m/>
    <n v="20188"/>
    <m/>
    <m/>
    <m/>
    <x v="128"/>
    <x v="1"/>
    <m/>
    <m/>
    <m/>
    <m/>
    <n v="2605"/>
    <m/>
    <m/>
    <m/>
    <m/>
    <m/>
    <m/>
    <m/>
    <s v="N"/>
    <m/>
    <m/>
    <m/>
    <m/>
    <s v="Grant letter to British Red Cross; 10,000 GBP donation from Cargill + individual donations"/>
  </r>
  <r>
    <s v="FF-2007-000117-NPL"/>
    <n v="175"/>
    <x v="174"/>
    <d v="2007-08-01T00:00:00"/>
    <x v="12"/>
    <n v="6"/>
    <m/>
    <x v="12"/>
    <n v="16"/>
    <x v="3"/>
    <s v="Nepal"/>
    <s v="Hydrometerological"/>
    <x v="2"/>
    <s v="General Floods"/>
    <s v="General Floods"/>
    <x v="11"/>
    <x v="1"/>
    <s v="IFRC"/>
    <n v="2340000"/>
    <m/>
    <n v="2.1367521367521368E-2"/>
    <m/>
    <s v="Y"/>
    <m/>
    <n v="150000"/>
    <x v="0"/>
    <m/>
    <n v="1"/>
    <n v="50000"/>
    <m/>
    <m/>
    <m/>
    <n v="50000"/>
    <m/>
    <m/>
    <m/>
    <m/>
    <m/>
    <m/>
    <m/>
    <m/>
    <m/>
    <m/>
    <m/>
    <m/>
    <m/>
    <m/>
    <m/>
    <m/>
    <m/>
    <m/>
    <m/>
    <m/>
    <n v="50000"/>
    <m/>
    <m/>
    <m/>
    <x v="16"/>
    <x v="2"/>
    <m/>
    <m/>
    <m/>
    <m/>
    <n v="2099"/>
    <m/>
    <m/>
    <m/>
    <m/>
    <m/>
    <m/>
    <m/>
    <s v="N"/>
    <m/>
    <m/>
    <m/>
    <m/>
    <s v="PMN to Fed - unearmarked"/>
  </r>
  <r>
    <s v="EQ-2007-000133-PER"/>
    <n v="176"/>
    <x v="54"/>
    <d v="2007-08-01T00:00:00"/>
    <x v="12"/>
    <n v="7"/>
    <m/>
    <x v="12"/>
    <n v="17"/>
    <x v="2"/>
    <s v="Peru"/>
    <s v="Geophysical"/>
    <x v="3"/>
    <s v="Earthquake"/>
    <s v="Earthquake"/>
    <x v="12"/>
    <x v="1"/>
    <s v="IFRC"/>
    <n v="9600000"/>
    <s v="MDRPE003"/>
    <n v="3.125E-2"/>
    <n v="0.93"/>
    <m/>
    <m/>
    <n v="37500"/>
    <x v="0"/>
    <m/>
    <n v="1"/>
    <n v="300000"/>
    <m/>
    <m/>
    <m/>
    <n v="300000"/>
    <n v="6"/>
    <m/>
    <m/>
    <n v="16500"/>
    <m/>
    <n v="3500"/>
    <m/>
    <m/>
    <m/>
    <m/>
    <n v="2000"/>
    <m/>
    <m/>
    <m/>
    <n v="11000"/>
    <m/>
    <m/>
    <m/>
    <n v="214800"/>
    <n v="5000"/>
    <n v="519800"/>
    <m/>
    <m/>
    <m/>
    <x v="129"/>
    <x v="1"/>
    <m/>
    <m/>
    <m/>
    <m/>
    <n v="2816"/>
    <m/>
    <m/>
    <m/>
    <m/>
    <m/>
    <m/>
    <m/>
    <s v="N"/>
    <m/>
    <m/>
    <s v="y"/>
    <m/>
    <s v="CASH: 100K PMN Unearmarked, 200K PMN earmarked for hygiene kits, jerry cans and shelter kits + ops costs; SUPPLIES: hygiene kits @ $13.55; tarps @ $11.30; kitchen sets @ $14.55 + PSR; PEOPLE: C Michaud deployed on Relief ERU (2 days) replaced by L Aceves for 1 month; C Chaperon sent to deliver equipment; Roberto Brito and Richard Urrutia (early recovery assmt); Shelley Cheatham (Admin/Ops), Lee Malany (shelter) and Jessica (PSP early recovery delegate)"/>
  </r>
  <r>
    <s v="TC-2007-000135"/>
    <n v="177"/>
    <x v="175"/>
    <d v="2007-08-01T00:00:00"/>
    <x v="12"/>
    <n v="8"/>
    <m/>
    <x v="12"/>
    <n v="18"/>
    <x v="2"/>
    <s v="Jamaica"/>
    <s v="Hydrometerological"/>
    <x v="5"/>
    <s v="Tropical Cyclone"/>
    <s v="Hurricane"/>
    <x v="13"/>
    <x v="1"/>
    <s v="IFRC"/>
    <n v="2927000"/>
    <s v="MDR49001"/>
    <m/>
    <m/>
    <m/>
    <m/>
    <n v="108550"/>
    <x v="0"/>
    <n v="5000"/>
    <m/>
    <m/>
    <m/>
    <m/>
    <m/>
    <n v="0"/>
    <m/>
    <m/>
    <m/>
    <n v="2350"/>
    <m/>
    <n v="1000"/>
    <m/>
    <m/>
    <m/>
    <m/>
    <n v="1000"/>
    <m/>
    <m/>
    <m/>
    <n v="350"/>
    <m/>
    <m/>
    <m/>
    <n v="34565"/>
    <m/>
    <n v="34565"/>
    <m/>
    <m/>
    <m/>
    <x v="130"/>
    <x v="1"/>
    <m/>
    <m/>
    <m/>
    <m/>
    <n v="2837"/>
    <m/>
    <m/>
    <m/>
    <m/>
    <m/>
    <m/>
    <m/>
    <s v="N"/>
    <m/>
    <m/>
    <m/>
    <s v="Dean"/>
    <m/>
  </r>
  <r>
    <s v="TC-2007-000135"/>
    <n v="177"/>
    <x v="175"/>
    <d v="2007-08-01T00:00:00"/>
    <x v="12"/>
    <n v="8"/>
    <m/>
    <x v="12"/>
    <n v="18"/>
    <x v="2"/>
    <s v="Mexico"/>
    <s v="Hydrometerological"/>
    <x v="5"/>
    <s v="Tropical Cyclone"/>
    <s v="Hurricane"/>
    <x v="0"/>
    <x v="0"/>
    <m/>
    <m/>
    <m/>
    <m/>
    <m/>
    <m/>
    <m/>
    <m/>
    <x v="0"/>
    <n v="24000"/>
    <m/>
    <m/>
    <m/>
    <n v="298680"/>
    <m/>
    <n v="298680"/>
    <n v="1"/>
    <m/>
    <m/>
    <m/>
    <m/>
    <m/>
    <m/>
    <m/>
    <m/>
    <m/>
    <m/>
    <m/>
    <m/>
    <m/>
    <m/>
    <m/>
    <m/>
    <m/>
    <m/>
    <m/>
    <n v="298680"/>
    <m/>
    <m/>
    <m/>
    <x v="131"/>
    <x v="1"/>
    <m/>
    <m/>
    <m/>
    <m/>
    <s v="2868 / 2099"/>
    <m/>
    <m/>
    <m/>
    <m/>
    <m/>
    <m/>
    <m/>
    <s v="N"/>
    <m/>
    <m/>
    <m/>
    <s v="Dean"/>
    <s v="CASH:  ARC grant ($76k) to MRC for hygiene kits, kitchen sets, and roofing materials for 670 families; ARC/OFDA subgrant to MRC ($222k) for 1,830 families; PEOPLE: Shelley Cheatham (Monitoring)"/>
  </r>
  <r>
    <s v="TC-2007-000135"/>
    <n v="177"/>
    <x v="175"/>
    <d v="2007-08-01T00:00:00"/>
    <x v="12"/>
    <n v="8"/>
    <m/>
    <x v="12"/>
    <n v="18"/>
    <x v="2"/>
    <s v="Haiti"/>
    <s v="Hydrometerological"/>
    <x v="5"/>
    <s v="Tropical Cyclone"/>
    <s v="Hurricane"/>
    <x v="0"/>
    <x v="0"/>
    <m/>
    <m/>
    <m/>
    <m/>
    <m/>
    <m/>
    <m/>
    <m/>
    <x v="0"/>
    <m/>
    <m/>
    <m/>
    <m/>
    <n v="2500"/>
    <m/>
    <n v="2500"/>
    <n v="1"/>
    <m/>
    <m/>
    <m/>
    <m/>
    <m/>
    <m/>
    <m/>
    <m/>
    <m/>
    <m/>
    <m/>
    <m/>
    <m/>
    <m/>
    <m/>
    <m/>
    <m/>
    <m/>
    <m/>
    <n v="2500"/>
    <m/>
    <m/>
    <m/>
    <x v="132"/>
    <x v="1"/>
    <m/>
    <m/>
    <m/>
    <m/>
    <n v="2837"/>
    <m/>
    <m/>
    <m/>
    <m/>
    <m/>
    <m/>
    <m/>
    <s v="N"/>
    <m/>
    <m/>
    <m/>
    <s v="Dean"/>
    <s v="CASH: Grant to Haitian Red Cross - restock relief supplies; PEOPLE: Brigitte Gaillis (Contingency Planning)"/>
  </r>
  <r>
    <s v="WF-2007-000148-GRC"/>
    <n v="178"/>
    <x v="176"/>
    <d v="2007-09-01T00:00:00"/>
    <x v="12"/>
    <n v="9"/>
    <m/>
    <x v="12"/>
    <n v="19"/>
    <x v="3"/>
    <s v="Greece"/>
    <s v="Hydrometerological"/>
    <x v="15"/>
    <s v="Forest Fire"/>
    <s v="Fire"/>
    <x v="0"/>
    <x v="0"/>
    <m/>
    <m/>
    <m/>
    <m/>
    <m/>
    <m/>
    <m/>
    <m/>
    <x v="0"/>
    <m/>
    <m/>
    <m/>
    <m/>
    <n v="40000"/>
    <m/>
    <n v="40000"/>
    <m/>
    <m/>
    <m/>
    <m/>
    <m/>
    <m/>
    <m/>
    <m/>
    <m/>
    <m/>
    <m/>
    <m/>
    <m/>
    <m/>
    <m/>
    <m/>
    <m/>
    <m/>
    <m/>
    <m/>
    <n v="40000"/>
    <m/>
    <m/>
    <m/>
    <x v="27"/>
    <x v="2"/>
    <m/>
    <m/>
    <m/>
    <m/>
    <n v="2099"/>
    <m/>
    <m/>
    <m/>
    <m/>
    <m/>
    <m/>
    <m/>
    <s v="N"/>
    <m/>
    <m/>
    <m/>
    <m/>
    <s v="UPS 25k, Gen Mills 15k - Grant letter"/>
  </r>
  <r>
    <s v="TC-2007-000157"/>
    <n v="179"/>
    <x v="177"/>
    <d v="2007-09-01T00:00:00"/>
    <x v="12"/>
    <n v="10"/>
    <m/>
    <x v="12"/>
    <n v="20"/>
    <x v="2"/>
    <s v="Nicaragua"/>
    <s v="Hydrometerological"/>
    <x v="5"/>
    <s v="Tropical Cyclone"/>
    <s v="Hurricane"/>
    <x v="14"/>
    <x v="1"/>
    <s v="IFRC"/>
    <n v="1300000"/>
    <s v="MDR43002"/>
    <n v="3.8461538461538464E-2"/>
    <m/>
    <m/>
    <m/>
    <n v="31658"/>
    <x v="0"/>
    <m/>
    <n v="1"/>
    <n v="50000"/>
    <m/>
    <m/>
    <m/>
    <n v="50000"/>
    <m/>
    <m/>
    <m/>
    <m/>
    <m/>
    <m/>
    <m/>
    <m/>
    <m/>
    <m/>
    <m/>
    <m/>
    <m/>
    <m/>
    <m/>
    <m/>
    <m/>
    <m/>
    <m/>
    <m/>
    <n v="50000"/>
    <m/>
    <m/>
    <m/>
    <x v="16"/>
    <x v="2"/>
    <m/>
    <m/>
    <m/>
    <m/>
    <n v="2099"/>
    <m/>
    <m/>
    <m/>
    <m/>
    <m/>
    <m/>
    <m/>
    <s v="N"/>
    <m/>
    <m/>
    <m/>
    <s v="Felix"/>
    <s v="PMN to Fed - earmarked $50,000 for Nicaragua and $22,500 for Honduras (includes $25,000 from Exxon for Honduras); "/>
  </r>
  <r>
    <s v="TC-2007-000157"/>
    <n v="179"/>
    <x v="177"/>
    <d v="2007-09-01T00:00:00"/>
    <x v="12"/>
    <n v="10"/>
    <m/>
    <x v="12"/>
    <n v="20"/>
    <x v="2"/>
    <s v="Honduras"/>
    <s v="Hydrometerological"/>
    <x v="5"/>
    <s v="Tropical Cyclone"/>
    <s v="Hurricane"/>
    <x v="0"/>
    <x v="0"/>
    <m/>
    <m/>
    <m/>
    <m/>
    <m/>
    <m/>
    <m/>
    <m/>
    <x v="0"/>
    <m/>
    <n v="0"/>
    <n v="22500"/>
    <m/>
    <m/>
    <m/>
    <n v="22500"/>
    <m/>
    <m/>
    <m/>
    <m/>
    <m/>
    <m/>
    <m/>
    <m/>
    <m/>
    <m/>
    <m/>
    <m/>
    <m/>
    <m/>
    <m/>
    <m/>
    <m/>
    <m/>
    <m/>
    <m/>
    <n v="22500"/>
    <m/>
    <m/>
    <m/>
    <x v="133"/>
    <x v="2"/>
    <m/>
    <m/>
    <m/>
    <m/>
    <n v="2099"/>
    <m/>
    <m/>
    <m/>
    <m/>
    <m/>
    <m/>
    <m/>
    <s v="N"/>
    <m/>
    <m/>
    <m/>
    <s v="Felix"/>
    <m/>
  </r>
  <r>
    <s v="TC-2007-000157"/>
    <n v="179"/>
    <x v="177"/>
    <d v="2007-09-01T00:00:00"/>
    <x v="12"/>
    <n v="10"/>
    <m/>
    <x v="12"/>
    <n v="20"/>
    <x v="2"/>
    <s v="Honduras"/>
    <s v="Hydrometerological"/>
    <x v="5"/>
    <s v="Tropical Cyclone"/>
    <s v="Hurricane"/>
    <x v="0"/>
    <x v="0"/>
    <m/>
    <m/>
    <m/>
    <m/>
    <m/>
    <m/>
    <m/>
    <m/>
    <x v="0"/>
    <m/>
    <n v="0"/>
    <n v="47500"/>
    <m/>
    <m/>
    <m/>
    <n v="47500"/>
    <m/>
    <m/>
    <m/>
    <m/>
    <m/>
    <m/>
    <m/>
    <m/>
    <m/>
    <m/>
    <m/>
    <m/>
    <m/>
    <m/>
    <m/>
    <m/>
    <m/>
    <m/>
    <m/>
    <m/>
    <n v="47500"/>
    <m/>
    <m/>
    <m/>
    <x v="134"/>
    <x v="1"/>
    <m/>
    <m/>
    <m/>
    <m/>
    <n v="2696"/>
    <m/>
    <m/>
    <m/>
    <m/>
    <m/>
    <m/>
    <m/>
    <s v="N"/>
    <m/>
    <m/>
    <m/>
    <s v="Felix"/>
    <s v="CASH: PMN to Fed - unearmarked"/>
  </r>
  <r>
    <s v="EQ-2007-000157-IDN"/>
    <n v="180"/>
    <x v="178"/>
    <d v="2007-09-01T00:00:00"/>
    <x v="12"/>
    <n v="11"/>
    <m/>
    <x v="12"/>
    <n v="21"/>
    <x v="3"/>
    <s v="Indonesia"/>
    <s v="Geophysical"/>
    <x v="3"/>
    <s v="Earthquake"/>
    <s v="Earthquake"/>
    <x v="0"/>
    <x v="0"/>
    <m/>
    <m/>
    <m/>
    <m/>
    <m/>
    <m/>
    <m/>
    <m/>
    <x v="0"/>
    <m/>
    <m/>
    <m/>
    <m/>
    <n v="3000"/>
    <m/>
    <n v="3000"/>
    <m/>
    <m/>
    <m/>
    <m/>
    <m/>
    <m/>
    <m/>
    <m/>
    <m/>
    <m/>
    <m/>
    <m/>
    <m/>
    <m/>
    <m/>
    <m/>
    <m/>
    <m/>
    <m/>
    <m/>
    <n v="3000"/>
    <m/>
    <m/>
    <m/>
    <x v="86"/>
    <x v="2"/>
    <m/>
    <m/>
    <m/>
    <m/>
    <n v="2799"/>
    <m/>
    <m/>
    <m/>
    <m/>
    <m/>
    <m/>
    <m/>
    <s v="Y"/>
    <m/>
    <m/>
    <m/>
    <s v="Bengkulu"/>
    <s v="Per diem for PMI response team"/>
  </r>
  <r>
    <s v="FL-2007-000138-UGA"/>
    <n v="181"/>
    <x v="179"/>
    <d v="2007-09-01T00:00:00"/>
    <x v="12"/>
    <n v="12"/>
    <m/>
    <x v="12"/>
    <n v="22"/>
    <x v="1"/>
    <s v="Uganda"/>
    <s v="Hydrometerological"/>
    <x v="2"/>
    <s v="General Floods"/>
    <s v="General Floods"/>
    <x v="15"/>
    <x v="1"/>
    <s v="IFRC"/>
    <n v="9511366"/>
    <s v="MDRUG006"/>
    <m/>
    <n v="0.64"/>
    <m/>
    <m/>
    <n v="125000"/>
    <x v="0"/>
    <m/>
    <m/>
    <m/>
    <m/>
    <m/>
    <m/>
    <n v="0"/>
    <n v="3"/>
    <s v="IT/Telecoms"/>
    <m/>
    <m/>
    <m/>
    <m/>
    <m/>
    <m/>
    <m/>
    <m/>
    <m/>
    <m/>
    <m/>
    <m/>
    <m/>
    <m/>
    <m/>
    <m/>
    <m/>
    <n v="17400"/>
    <n v="17400"/>
    <m/>
    <m/>
    <m/>
    <x v="135"/>
    <x v="2"/>
    <m/>
    <m/>
    <m/>
    <m/>
    <n v="2799"/>
    <m/>
    <m/>
    <m/>
    <m/>
    <m/>
    <m/>
    <m/>
    <s v="Y"/>
    <m/>
    <m/>
    <m/>
    <m/>
    <s v="C Chaperon (relief) and B Nandiga (wat/san) deployed on FACT.  M Million deployed on joint Danish-American IT/Telecom ERU."/>
  </r>
  <r>
    <s v="FL-2007-000158-TGO; FL-2007-000132-BFA;FL-2007-000153-GHA"/>
    <n v="182"/>
    <x v="180"/>
    <d v="2007-09-01T00:00:00"/>
    <x v="12"/>
    <n v="13"/>
    <m/>
    <x v="12"/>
    <n v="23"/>
    <x v="1"/>
    <s v="Togo"/>
    <s v="Hydrometerological"/>
    <x v="2"/>
    <s v="General Floods"/>
    <s v="General Floods"/>
    <x v="16"/>
    <x v="1"/>
    <s v="IFRC"/>
    <n v="3200000"/>
    <s v="MDR61002"/>
    <n v="6.2406249999999996E-3"/>
    <n v="0.95"/>
    <m/>
    <m/>
    <n v="94825"/>
    <x v="0"/>
    <m/>
    <n v="0"/>
    <n v="19970"/>
    <m/>
    <m/>
    <m/>
    <n v="19970"/>
    <m/>
    <m/>
    <m/>
    <m/>
    <m/>
    <m/>
    <m/>
    <m/>
    <m/>
    <m/>
    <m/>
    <m/>
    <m/>
    <m/>
    <m/>
    <m/>
    <m/>
    <m/>
    <m/>
    <m/>
    <n v="19970"/>
    <m/>
    <m/>
    <m/>
    <x v="136"/>
    <x v="2"/>
    <m/>
    <m/>
    <m/>
    <m/>
    <n v="2799"/>
    <m/>
    <m/>
    <m/>
    <m/>
    <m/>
    <m/>
    <m/>
    <s v="Y"/>
    <m/>
    <m/>
    <m/>
    <m/>
    <s v="PMN (CHF 10,300) to cover delegate costs for Youssouff Langui on FACT to Togo.  PMN (CHF 13,102) to cover costs for 3 RDRTs for one month."/>
  </r>
  <r>
    <s v="TC-000198-DOM/HTI;"/>
    <n v="183"/>
    <x v="181"/>
    <d v="2007-10-01T00:00:00"/>
    <x v="12"/>
    <n v="14"/>
    <m/>
    <x v="12"/>
    <n v="24"/>
    <x v="2"/>
    <s v="Dominican Republic"/>
    <s v="Hydrometerological"/>
    <x v="5"/>
    <s v="Tropical Cyclone"/>
    <s v="Tropical Storm"/>
    <x v="17"/>
    <x v="1"/>
    <s v="IFRC"/>
    <n v="1544000"/>
    <s v="MDR49002"/>
    <n v="2.266839378238342E-2"/>
    <m/>
    <m/>
    <m/>
    <n v="52995"/>
    <x v="0"/>
    <m/>
    <n v="0"/>
    <n v="35000"/>
    <m/>
    <m/>
    <m/>
    <n v="35000"/>
    <m/>
    <m/>
    <m/>
    <n v="4000"/>
    <m/>
    <n v="1000"/>
    <m/>
    <m/>
    <m/>
    <m/>
    <n v="1000"/>
    <m/>
    <m/>
    <m/>
    <n v="2000"/>
    <m/>
    <m/>
    <m/>
    <n v="69055"/>
    <m/>
    <n v="104055"/>
    <m/>
    <m/>
    <m/>
    <x v="137"/>
    <x v="1"/>
    <m/>
    <m/>
    <m/>
    <m/>
    <n v="2694"/>
    <m/>
    <m/>
    <m/>
    <m/>
    <m/>
    <m/>
    <m/>
    <s v="N"/>
    <m/>
    <m/>
    <m/>
    <s v="Noel"/>
    <s v="PSR"/>
  </r>
  <r>
    <s v="TC-000198-DOM/HTI;"/>
    <n v="183"/>
    <x v="181"/>
    <d v="2007-11-01T00:00:00"/>
    <x v="12"/>
    <n v="14"/>
    <m/>
    <x v="12"/>
    <n v="24"/>
    <x v="2"/>
    <s v="Haiti"/>
    <s v="Hydrometerological"/>
    <x v="5"/>
    <s v="Tropical Cyclone"/>
    <s v="Tropical Storm"/>
    <x v="0"/>
    <x v="0"/>
    <m/>
    <m/>
    <s v="MDR49002"/>
    <m/>
    <m/>
    <m/>
    <m/>
    <m/>
    <x v="0"/>
    <m/>
    <n v="1"/>
    <n v="50000"/>
    <m/>
    <m/>
    <m/>
    <n v="50000"/>
    <m/>
    <m/>
    <m/>
    <n v="2000"/>
    <m/>
    <m/>
    <n v="2000"/>
    <m/>
    <m/>
    <m/>
    <m/>
    <m/>
    <m/>
    <m/>
    <m/>
    <m/>
    <m/>
    <m/>
    <n v="8073"/>
    <m/>
    <n v="58073"/>
    <m/>
    <m/>
    <m/>
    <x v="138"/>
    <x v="1"/>
    <m/>
    <m/>
    <m/>
    <m/>
    <n v="2024"/>
    <m/>
    <m/>
    <m/>
    <m/>
    <m/>
    <m/>
    <m/>
    <s v="N"/>
    <m/>
    <m/>
    <m/>
    <s v="Noel"/>
    <s v="PSR"/>
  </r>
  <r>
    <s v="TC-000198-DOM/HTI;"/>
    <n v="183"/>
    <x v="181"/>
    <d v="2007-11-01T00:00:00"/>
    <x v="12"/>
    <n v="14"/>
    <m/>
    <x v="12"/>
    <n v="24"/>
    <x v="2"/>
    <s v="Bahamas"/>
    <s v="Hydrometerological"/>
    <x v="5"/>
    <s v="Tropical Cyclone"/>
    <s v="Tropical Storm"/>
    <x v="0"/>
    <x v="0"/>
    <m/>
    <m/>
    <s v="MDR49002"/>
    <m/>
    <m/>
    <m/>
    <m/>
    <m/>
    <x v="0"/>
    <m/>
    <n v="0"/>
    <n v="30000"/>
    <m/>
    <m/>
    <m/>
    <n v="30000"/>
    <n v="2"/>
    <m/>
    <m/>
    <m/>
    <m/>
    <m/>
    <m/>
    <m/>
    <m/>
    <m/>
    <m/>
    <m/>
    <m/>
    <m/>
    <m/>
    <m/>
    <m/>
    <m/>
    <m/>
    <n v="7440"/>
    <n v="37440"/>
    <m/>
    <m/>
    <m/>
    <x v="139"/>
    <x v="1"/>
    <m/>
    <m/>
    <m/>
    <m/>
    <n v="2024"/>
    <m/>
    <m/>
    <m/>
    <m/>
    <m/>
    <m/>
    <m/>
    <s v="N"/>
    <m/>
    <m/>
    <m/>
    <s v="Noel"/>
    <s v="PEOPLE: O Abou-Samra, J Ferguson (cash/livelihoods); CASH: PMN to Fed ($10k for cash distribution project, $20k operational costs)"/>
  </r>
  <r>
    <s v="FL-2007-000200-MEX"/>
    <n v="184"/>
    <x v="6"/>
    <d v="2007-11-01T00:00:00"/>
    <x v="12"/>
    <n v="15"/>
    <m/>
    <x v="12"/>
    <n v="25"/>
    <x v="2"/>
    <s v="Mexico"/>
    <s v="Hydrometerological"/>
    <x v="2"/>
    <s v="General Floods"/>
    <s v="General Floods"/>
    <x v="10"/>
    <x v="1"/>
    <s v="IFRC"/>
    <n v="1800000"/>
    <s v="MDRMX002"/>
    <n v="9.2820555555555559E-2"/>
    <n v="1"/>
    <m/>
    <m/>
    <n v="44380"/>
    <x v="0"/>
    <n v="10000"/>
    <n v="1"/>
    <n v="167077"/>
    <m/>
    <n v="350000"/>
    <m/>
    <n v="517077"/>
    <n v="1"/>
    <m/>
    <m/>
    <n v="15500"/>
    <m/>
    <n v="3500"/>
    <m/>
    <m/>
    <m/>
    <m/>
    <n v="2000"/>
    <m/>
    <n v="10000"/>
    <m/>
    <m/>
    <m/>
    <m/>
    <m/>
    <n v="143415"/>
    <n v="357"/>
    <n v="660849"/>
    <m/>
    <m/>
    <m/>
    <x v="140"/>
    <x v="1"/>
    <m/>
    <m/>
    <m/>
    <m/>
    <s v="2690/OFDA/2799 "/>
    <m/>
    <m/>
    <m/>
    <m/>
    <m/>
    <m/>
    <m/>
    <s v="N"/>
    <m/>
    <m/>
    <m/>
    <s v="Tabasco"/>
    <s v="CASH: Grants to MxRC ($50k from 2799 + $300k from 2690), PMN to Fed $167k (earmarked for 4,000 hygiene kits, 4,000 jerry cans, 4,000 buckets);  OFDA Grant; PEOPLE: W Romeril (info)"/>
  </r>
  <r>
    <s v="TC-2007-00178-VNM"/>
    <n v="185"/>
    <x v="182"/>
    <d v="2007-11-01T00:00:00"/>
    <x v="12"/>
    <n v="16"/>
    <m/>
    <x v="12"/>
    <n v="26"/>
    <x v="3"/>
    <s v="Vietnam"/>
    <s v="Hydrometerological"/>
    <x v="5"/>
    <s v="Tropical Cyclone"/>
    <s v="Typhoon"/>
    <x v="18"/>
    <x v="1"/>
    <s v="IFRC"/>
    <n v="2700000"/>
    <s v="MDRVN002"/>
    <n v="4.2592592592592592E-2"/>
    <n v="0.77"/>
    <m/>
    <m/>
    <n v="180000"/>
    <x v="0"/>
    <m/>
    <n v="1"/>
    <n v="115000"/>
    <m/>
    <m/>
    <m/>
    <n v="115000"/>
    <m/>
    <m/>
    <m/>
    <m/>
    <m/>
    <m/>
    <m/>
    <m/>
    <m/>
    <m/>
    <m/>
    <m/>
    <m/>
    <m/>
    <m/>
    <m/>
    <m/>
    <m/>
    <m/>
    <m/>
    <n v="115000"/>
    <m/>
    <m/>
    <m/>
    <x v="141"/>
    <x v="1"/>
    <m/>
    <m/>
    <m/>
    <m/>
    <s v="2099/ 2869"/>
    <m/>
    <m/>
    <m/>
    <m/>
    <m/>
    <m/>
    <m/>
    <s v="N"/>
    <m/>
    <s v="ARCT"/>
    <m/>
    <s v="Lekima"/>
    <s v="CASH: PMN  from AP 2099 to Fed unearmarked; PMN from AP 2869 to Fed earmarked purchase/dist household kits;  $100,000 from ARCT for shelter to Federation"/>
  </r>
  <r>
    <s v="FF-2007-000080-BGD"/>
    <n v="186"/>
    <x v="183"/>
    <d v="2007-11-01T00:00:00"/>
    <x v="12"/>
    <n v="17"/>
    <m/>
    <x v="12"/>
    <n v="27"/>
    <x v="3"/>
    <s v="Bangladesh"/>
    <s v="Hydrometerological"/>
    <x v="5"/>
    <s v="Tropical Cyclone"/>
    <s v="Cyclone"/>
    <x v="19"/>
    <x v="1"/>
    <s v="IFRC"/>
    <n v="22000000"/>
    <s v="MDRBD002"/>
    <n v="4.926618181818182E-2"/>
    <n v="0.66"/>
    <m/>
    <m/>
    <n v="1215000"/>
    <x v="0"/>
    <m/>
    <n v="1"/>
    <n v="1083856"/>
    <m/>
    <m/>
    <m/>
    <n v="1083856"/>
    <n v="3"/>
    <m/>
    <m/>
    <n v="39000"/>
    <m/>
    <n v="4000"/>
    <n v="25000"/>
    <m/>
    <m/>
    <m/>
    <m/>
    <m/>
    <m/>
    <m/>
    <n v="10000"/>
    <m/>
    <m/>
    <m/>
    <n v="260798"/>
    <n v="12000"/>
    <n v="1356654"/>
    <m/>
    <m/>
    <m/>
    <x v="142"/>
    <x v="1"/>
    <m/>
    <m/>
    <m/>
    <m/>
    <s v="2017/OFDA"/>
    <m/>
    <m/>
    <m/>
    <m/>
    <m/>
    <m/>
    <m/>
    <s v="N"/>
    <m/>
    <m/>
    <m/>
    <s v="Sidr"/>
    <s v="CASH:  1st PMN ($100k unearmarked from AP 2099), 2nd PMN ($100k earmarked to tsunami affected areas from AP 2546), 3rd PMN ($300k earmarked for shelter and wat/san from OFDA), 4th PMN ($583k earmarked for shelter and wat/san from OFDA); SUPPLIES: + PSR; PEOPLE: Nek Alam (wat/san); S Wiseman (wat/san), L Malany (shelter)"/>
  </r>
  <r>
    <s v="FL-2007-000209-PNG"/>
    <n v="187"/>
    <x v="184"/>
    <d v="2007-11-01T00:00:00"/>
    <x v="12"/>
    <n v="18"/>
    <m/>
    <x v="12"/>
    <n v="28"/>
    <x v="3"/>
    <s v="Papua New Guinea"/>
    <s v="Hydrometerological"/>
    <x v="5"/>
    <s v="Tropical Cyclone"/>
    <s v="Cyclone"/>
    <x v="20"/>
    <x v="1"/>
    <s v="IFRC"/>
    <n v="672000"/>
    <s v="MDRPG002"/>
    <n v="3.5342261904761904E-2"/>
    <n v="0.76"/>
    <m/>
    <m/>
    <n v="13000"/>
    <x v="0"/>
    <m/>
    <n v="0"/>
    <n v="23750"/>
    <m/>
    <m/>
    <m/>
    <n v="23750"/>
    <m/>
    <m/>
    <m/>
    <m/>
    <m/>
    <m/>
    <m/>
    <m/>
    <m/>
    <m/>
    <m/>
    <m/>
    <m/>
    <m/>
    <m/>
    <m/>
    <m/>
    <m/>
    <m/>
    <m/>
    <n v="23750"/>
    <m/>
    <m/>
    <m/>
    <x v="143"/>
    <x v="1"/>
    <m/>
    <m/>
    <m/>
    <m/>
    <n v="2881"/>
    <m/>
    <m/>
    <m/>
    <m/>
    <m/>
    <m/>
    <m/>
    <s v="N"/>
    <m/>
    <m/>
    <m/>
    <s v="Guba"/>
    <s v="CASH: PMN to Fed unearmarked"/>
  </r>
  <r>
    <m/>
    <n v="188"/>
    <x v="185"/>
    <d v="2008-01-01T00:00:00"/>
    <x v="12"/>
    <n v="19"/>
    <m/>
    <x v="13"/>
    <n v="1"/>
    <x v="1"/>
    <s v="Kenya"/>
    <s v="Human Related"/>
    <x v="19"/>
    <s v="Civil Unrest"/>
    <s v="Civil Unrest"/>
    <x v="21"/>
    <x v="1"/>
    <s v="ICRC"/>
    <n v="14200000"/>
    <m/>
    <n v="1.7605633802816902E-2"/>
    <m/>
    <m/>
    <m/>
    <n v="500000"/>
    <x v="0"/>
    <m/>
    <n v="1"/>
    <m/>
    <n v="250000"/>
    <n v="50000"/>
    <m/>
    <n v="300000"/>
    <m/>
    <m/>
    <m/>
    <m/>
    <m/>
    <m/>
    <m/>
    <m/>
    <m/>
    <m/>
    <m/>
    <m/>
    <m/>
    <m/>
    <m/>
    <m/>
    <m/>
    <m/>
    <m/>
    <m/>
    <n v="300000"/>
    <m/>
    <m/>
    <m/>
    <x v="144"/>
    <x v="1"/>
    <m/>
    <m/>
    <m/>
    <m/>
    <s v="2002 / 2099"/>
    <m/>
    <m/>
    <m/>
    <m/>
    <m/>
    <m/>
    <m/>
    <s v="N"/>
    <m/>
    <m/>
    <m/>
    <s v="Elections"/>
    <s v="CASH: 50k to KRCS  from 2799 and 50k to ICRC from 2002; CASH from 2099: 200k to ICRC"/>
  </r>
  <r>
    <s v="CW-2008-000013-CHN"/>
    <n v="189"/>
    <x v="186"/>
    <d v="2008-02-01T00:00:00"/>
    <x v="12"/>
    <n v="20"/>
    <m/>
    <x v="13"/>
    <n v="2"/>
    <x v="3"/>
    <s v="China"/>
    <s v="Hydrometerological"/>
    <x v="5"/>
    <s v="Winter Storm"/>
    <s v="Snowstorm"/>
    <x v="22"/>
    <x v="0"/>
    <m/>
    <s v="n/a"/>
    <m/>
    <m/>
    <m/>
    <m/>
    <m/>
    <s v="n/a"/>
    <x v="0"/>
    <s v="n/a"/>
    <m/>
    <m/>
    <m/>
    <n v="867000"/>
    <m/>
    <n v="867000"/>
    <m/>
    <m/>
    <m/>
    <m/>
    <m/>
    <m/>
    <m/>
    <m/>
    <m/>
    <m/>
    <m/>
    <m/>
    <m/>
    <m/>
    <m/>
    <m/>
    <m/>
    <m/>
    <m/>
    <m/>
    <n v="867000"/>
    <m/>
    <m/>
    <m/>
    <x v="145"/>
    <x v="1"/>
    <m/>
    <m/>
    <m/>
    <m/>
    <n v="2060"/>
    <m/>
    <m/>
    <m/>
    <m/>
    <m/>
    <m/>
    <m/>
    <s v="N"/>
    <m/>
    <m/>
    <s v="y"/>
    <m/>
    <s v="CASH: Bilateral to RCSC"/>
  </r>
  <r>
    <m/>
    <n v="190"/>
    <x v="187"/>
    <d v="2008-02-01T00:00:00"/>
    <x v="12"/>
    <n v="21"/>
    <m/>
    <x v="13"/>
    <n v="3"/>
    <x v="1"/>
    <s v="Guyana"/>
    <s v="Human Related"/>
    <x v="19"/>
    <s v="Civil Unrest"/>
    <s v="Civil Unrest"/>
    <x v="0"/>
    <x v="0"/>
    <m/>
    <s v="n/a"/>
    <m/>
    <m/>
    <m/>
    <m/>
    <m/>
    <n v="0"/>
    <x v="0"/>
    <n v="0"/>
    <m/>
    <m/>
    <m/>
    <n v="2400"/>
    <m/>
    <n v="2400"/>
    <n v="2"/>
    <m/>
    <m/>
    <m/>
    <m/>
    <m/>
    <m/>
    <m/>
    <m/>
    <m/>
    <m/>
    <m/>
    <m/>
    <m/>
    <m/>
    <m/>
    <m/>
    <m/>
    <m/>
    <n v="10000"/>
    <n v="12400"/>
    <m/>
    <m/>
    <m/>
    <x v="146"/>
    <x v="2"/>
    <m/>
    <m/>
    <m/>
    <m/>
    <n v="2799"/>
    <m/>
    <m/>
    <m/>
    <m/>
    <m/>
    <m/>
    <m/>
    <s v="Y"/>
    <m/>
    <m/>
    <m/>
    <s v="Violence"/>
    <s v="PEOPLE: G. Dodge, V. Vibhakar to Guyana for PSP ($10k) CASH: cash to NS $2,400 - total both $12,400"/>
  </r>
  <r>
    <m/>
    <n v="191"/>
    <x v="125"/>
    <d v="2008-02-01T00:00:00"/>
    <x v="12"/>
    <n v="22"/>
    <m/>
    <x v="13"/>
    <n v="4"/>
    <x v="1"/>
    <s v="Sudan"/>
    <s v="Human Related"/>
    <x v="8"/>
    <s v="Conflict"/>
    <s v="Conflict"/>
    <x v="8"/>
    <x v="1"/>
    <s v="ICRC"/>
    <n v="94000000"/>
    <m/>
    <n v="7.5957446808510637E-3"/>
    <m/>
    <m/>
    <m/>
    <n v="600000"/>
    <x v="0"/>
    <m/>
    <n v="1"/>
    <m/>
    <n v="714000"/>
    <m/>
    <m/>
    <n v="714000"/>
    <m/>
    <m/>
    <m/>
    <m/>
    <m/>
    <m/>
    <m/>
    <m/>
    <m/>
    <m/>
    <m/>
    <m/>
    <m/>
    <m/>
    <m/>
    <m/>
    <m/>
    <m/>
    <m/>
    <m/>
    <n v="714000"/>
    <m/>
    <m/>
    <m/>
    <x v="147"/>
    <x v="1"/>
    <m/>
    <m/>
    <m/>
    <m/>
    <n v="2661"/>
    <m/>
    <m/>
    <m/>
    <m/>
    <m/>
    <m/>
    <m/>
    <s v="N"/>
    <m/>
    <m/>
    <m/>
    <m/>
    <s v="CASH: 714k to ICRC from Coca Cola"/>
  </r>
  <r>
    <s v="FL-2008-000018-ECU"/>
    <n v="192"/>
    <x v="188"/>
    <d v="2008-02-01T00:00:00"/>
    <x v="12"/>
    <n v="23"/>
    <m/>
    <x v="13"/>
    <n v="5"/>
    <x v="2"/>
    <s v="Ecuador"/>
    <s v="Hydrometerological"/>
    <x v="2"/>
    <s v="General Floods"/>
    <s v="General Floods"/>
    <x v="23"/>
    <x v="0"/>
    <s v="?"/>
    <n v="700000"/>
    <m/>
    <n v="0"/>
    <m/>
    <m/>
    <m/>
    <n v="15220"/>
    <x v="0"/>
    <n v="6445"/>
    <m/>
    <m/>
    <m/>
    <n v="245000"/>
    <m/>
    <n v="245000"/>
    <m/>
    <m/>
    <m/>
    <m/>
    <m/>
    <m/>
    <m/>
    <m/>
    <m/>
    <m/>
    <m/>
    <m/>
    <m/>
    <m/>
    <m/>
    <m/>
    <m/>
    <m/>
    <m/>
    <m/>
    <n v="245000"/>
    <m/>
    <m/>
    <m/>
    <x v="122"/>
    <x v="1"/>
    <m/>
    <m/>
    <m/>
    <m/>
    <s v="2597 / 2099"/>
    <m/>
    <m/>
    <m/>
    <m/>
    <m/>
    <m/>
    <m/>
    <s v="N"/>
    <m/>
    <m/>
    <m/>
    <s v="Pacific Coast"/>
    <s v="CASH from 2597: OFDA grant for procurement of NFIs - nets, clean-up kits, kitchen sets;  CASH from 2099: To ERC for purchase of food parcels "/>
  </r>
  <r>
    <m/>
    <n v="193"/>
    <x v="105"/>
    <d v="2008-03-08T00:00:00"/>
    <x v="12"/>
    <n v="24"/>
    <m/>
    <x v="13"/>
    <n v="6"/>
    <x v="3"/>
    <s v="Iraq"/>
    <s v="Human Related"/>
    <x v="8"/>
    <s v="Conflict"/>
    <s v="Conflict"/>
    <x v="24"/>
    <x v="1"/>
    <s v="IFRC"/>
    <n v="18900000"/>
    <m/>
    <n v="1.4232804232804232E-2"/>
    <m/>
    <m/>
    <m/>
    <n v="900000"/>
    <x v="0"/>
    <m/>
    <n v="1"/>
    <n v="269000"/>
    <m/>
    <m/>
    <m/>
    <n v="269000"/>
    <m/>
    <m/>
    <m/>
    <m/>
    <m/>
    <m/>
    <m/>
    <m/>
    <m/>
    <m/>
    <m/>
    <m/>
    <m/>
    <m/>
    <m/>
    <m/>
    <m/>
    <m/>
    <m/>
    <m/>
    <n v="269000"/>
    <m/>
    <m/>
    <m/>
    <x v="148"/>
    <x v="1"/>
    <m/>
    <m/>
    <m/>
    <m/>
    <s v="2099/2689"/>
    <m/>
    <m/>
    <m/>
    <m/>
    <m/>
    <m/>
    <m/>
    <s v="N"/>
    <m/>
    <m/>
    <m/>
    <s v="Country-wide"/>
    <s v="CASH from 2099: $250k Earmarked for OD and M&amp;E; CASH from 2689: $19k Earmarked for OD and M&amp;E;"/>
  </r>
  <r>
    <s v="TC-2008-000023-MDG"/>
    <n v="194"/>
    <x v="189"/>
    <d v="2008-03-08T00:00:00"/>
    <x v="12"/>
    <n v="25"/>
    <m/>
    <x v="13"/>
    <n v="7"/>
    <x v="1"/>
    <s v="Madagascar"/>
    <s v="Hydrometerological"/>
    <x v="5"/>
    <s v="Tropical Cyclone"/>
    <s v="Cyclone"/>
    <x v="25"/>
    <x v="1"/>
    <s v="IFRC"/>
    <n v="1000000"/>
    <s v="MDRMG003"/>
    <n v="0"/>
    <m/>
    <m/>
    <m/>
    <n v="50000"/>
    <x v="0"/>
    <m/>
    <m/>
    <m/>
    <m/>
    <m/>
    <m/>
    <n v="0"/>
    <m/>
    <m/>
    <m/>
    <n v="10000"/>
    <m/>
    <m/>
    <m/>
    <m/>
    <m/>
    <m/>
    <m/>
    <m/>
    <n v="10000"/>
    <m/>
    <m/>
    <m/>
    <m/>
    <m/>
    <n v="50000"/>
    <m/>
    <n v="50000"/>
    <m/>
    <m/>
    <m/>
    <x v="16"/>
    <x v="2"/>
    <m/>
    <m/>
    <m/>
    <m/>
    <n v="2799"/>
    <m/>
    <m/>
    <m/>
    <m/>
    <m/>
    <m/>
    <m/>
    <s v="Y"/>
    <m/>
    <m/>
    <m/>
    <s v="Ivan"/>
    <m/>
  </r>
  <r>
    <s v="TC-2008-000033-MOZ"/>
    <n v="195"/>
    <x v="190"/>
    <d v="2008-03-08T00:00:00"/>
    <x v="12"/>
    <n v="26"/>
    <m/>
    <x v="13"/>
    <n v="8"/>
    <x v="1"/>
    <s v="Mozambique"/>
    <s v="Hydrometerological"/>
    <x v="2"/>
    <s v="General Floods"/>
    <s v="General Floods"/>
    <x v="26"/>
    <x v="1"/>
    <m/>
    <n v="8400000"/>
    <m/>
    <n v="3.5714285714285712E-2"/>
    <m/>
    <m/>
    <m/>
    <n v="97550"/>
    <x v="0"/>
    <n v="15000"/>
    <n v="1"/>
    <n v="300000"/>
    <m/>
    <m/>
    <m/>
    <n v="300000"/>
    <m/>
    <m/>
    <m/>
    <m/>
    <m/>
    <m/>
    <m/>
    <m/>
    <m/>
    <m/>
    <m/>
    <m/>
    <m/>
    <m/>
    <m/>
    <m/>
    <m/>
    <m/>
    <m/>
    <m/>
    <n v="300000"/>
    <m/>
    <m/>
    <m/>
    <x v="144"/>
    <x v="1"/>
    <m/>
    <m/>
    <m/>
    <m/>
    <s v="2099/($200k)/2869 ($100k)"/>
    <m/>
    <m/>
    <m/>
    <m/>
    <m/>
    <m/>
    <m/>
    <s v="N"/>
    <m/>
    <s v="ARCT"/>
    <m/>
    <s v="Southern Africa"/>
    <s v="CASH: 285k earmarked shelter/relief activities, 15k earmarked for RDRT costs x3; 2099 = $200k/ 2869 = $100k. Note ARCT funds used - $100,000 to Federation for shelter, see ARCT 2008 report."/>
  </r>
  <r>
    <s v="TC-2008-000033-MOZ"/>
    <n v="196"/>
    <x v="190"/>
    <d v="2008-03-08T00:00:00"/>
    <x v="12"/>
    <n v="27"/>
    <m/>
    <x v="13"/>
    <n v="9"/>
    <x v="1"/>
    <s v="Tanzania"/>
    <s v="Hydrometerological"/>
    <x v="2"/>
    <s v="General Floods"/>
    <s v="General Floods"/>
    <x v="27"/>
    <x v="0"/>
    <m/>
    <s v="n/a"/>
    <m/>
    <m/>
    <m/>
    <m/>
    <m/>
    <n v="2700"/>
    <x v="0"/>
    <m/>
    <m/>
    <m/>
    <m/>
    <n v="48500"/>
    <m/>
    <n v="48500"/>
    <m/>
    <m/>
    <m/>
    <m/>
    <m/>
    <m/>
    <m/>
    <m/>
    <m/>
    <m/>
    <m/>
    <m/>
    <m/>
    <m/>
    <m/>
    <m/>
    <m/>
    <m/>
    <m/>
    <m/>
    <n v="48500"/>
    <m/>
    <m/>
    <m/>
    <x v="149"/>
    <x v="1"/>
    <m/>
    <m/>
    <m/>
    <m/>
    <n v="2002"/>
    <m/>
    <m/>
    <m/>
    <m/>
    <m/>
    <m/>
    <m/>
    <s v="N"/>
    <m/>
    <m/>
    <m/>
    <s v="Flood/Mine"/>
    <s v="CASH: Grant letter to TRCS, relief/shelter"/>
  </r>
  <r>
    <s v="TC-2008-000057-MMR"/>
    <n v="197"/>
    <x v="191"/>
    <d v="2008-05-08T00:00:00"/>
    <x v="12"/>
    <n v="28"/>
    <m/>
    <x v="13"/>
    <n v="10"/>
    <x v="3"/>
    <s v="Myanmar"/>
    <s v="Hydrometerological"/>
    <x v="5"/>
    <s v="Tropical Cyclone"/>
    <s v="Cyclone"/>
    <x v="28"/>
    <x v="1"/>
    <s v="IFRC"/>
    <n v="72537164"/>
    <s v="MDRMM002"/>
    <n v="3.446509157705697E-3"/>
    <n v="0.9"/>
    <m/>
    <m/>
    <n v="500000"/>
    <x v="0"/>
    <m/>
    <n v="1"/>
    <n v="250000"/>
    <m/>
    <m/>
    <m/>
    <n v="250000"/>
    <n v="1"/>
    <m/>
    <n v="1"/>
    <n v="205000"/>
    <m/>
    <m/>
    <n v="25000"/>
    <m/>
    <m/>
    <m/>
    <n v="5000"/>
    <m/>
    <n v="20000"/>
    <m/>
    <n v="9995"/>
    <m/>
    <m/>
    <m/>
    <n v="900000"/>
    <m/>
    <n v="1150000"/>
    <m/>
    <m/>
    <m/>
    <x v="129"/>
    <x v="1"/>
    <m/>
    <m/>
    <m/>
    <m/>
    <s v="2594 / 2875"/>
    <m/>
    <m/>
    <m/>
    <m/>
    <m/>
    <m/>
    <m/>
    <s v="N"/>
    <m/>
    <m/>
    <s v="y"/>
    <s v="Nargis"/>
    <s v="SUPPLIES from 2594: OFDA  jerry cans, plus roughly 60k transport and associated costs; SUPPLIES from 2875: $1,150,000 plus transport"/>
  </r>
  <r>
    <s v="EQ-2008-000062-CHN"/>
    <n v="198"/>
    <x v="192"/>
    <d v="2008-05-08T00:00:00"/>
    <x v="12"/>
    <n v="29"/>
    <m/>
    <x v="13"/>
    <n v="11"/>
    <x v="3"/>
    <s v="China"/>
    <s v="Geophysical"/>
    <x v="3"/>
    <s v="Earthquake"/>
    <s v="Earthquake"/>
    <x v="29"/>
    <x v="1"/>
    <s v="IFRC"/>
    <n v="92700000"/>
    <s v="MDRCN003"/>
    <n v="0.10787486515641856"/>
    <n v="0.65"/>
    <m/>
    <m/>
    <n v="500000"/>
    <x v="0"/>
    <m/>
    <n v="1"/>
    <n v="10000000"/>
    <m/>
    <m/>
    <m/>
    <n v="10000000"/>
    <n v="3"/>
    <m/>
    <m/>
    <m/>
    <m/>
    <m/>
    <m/>
    <m/>
    <m/>
    <m/>
    <m/>
    <m/>
    <m/>
    <m/>
    <m/>
    <m/>
    <m/>
    <m/>
    <m/>
    <m/>
    <n v="10000000"/>
    <m/>
    <m/>
    <m/>
    <x v="150"/>
    <x v="1"/>
    <m/>
    <m/>
    <m/>
    <m/>
    <n v="2060"/>
    <m/>
    <m/>
    <m/>
    <m/>
    <m/>
    <m/>
    <m/>
    <s v="N"/>
    <m/>
    <m/>
    <s v="y"/>
    <s v="Sichuan"/>
    <s v="CASH: Unearmarked PMN; PEOPLE: R. Rayyis 1 wk info gathering, T. Betz 3 wk relief/logs/monitoring del; S. Thornton 6 mo relief del"/>
  </r>
  <r>
    <s v="DR-2008-000043-ETH"/>
    <n v="199"/>
    <x v="193"/>
    <d v="2008-06-08T00:00:00"/>
    <x v="12"/>
    <n v="32"/>
    <m/>
    <x v="13"/>
    <n v="14"/>
    <x v="1"/>
    <s v="Ethiopia"/>
    <s v="Human Related"/>
    <x v="14"/>
    <s v="Food Insecurity"/>
    <s v="Food Insecurity"/>
    <x v="30"/>
    <x v="1"/>
    <s v="IFRC"/>
    <n v="7920006"/>
    <s v="MDRET005"/>
    <n v="1.2626253060919398E-2"/>
    <m/>
    <m/>
    <m/>
    <n v="76075"/>
    <x v="0"/>
    <m/>
    <n v="1"/>
    <n v="100000"/>
    <m/>
    <m/>
    <m/>
    <n v="100000"/>
    <m/>
    <m/>
    <m/>
    <m/>
    <m/>
    <m/>
    <m/>
    <m/>
    <m/>
    <m/>
    <m/>
    <m/>
    <m/>
    <m/>
    <m/>
    <m/>
    <m/>
    <m/>
    <m/>
    <m/>
    <n v="100000"/>
    <m/>
    <m/>
    <m/>
    <x v="5"/>
    <x v="1"/>
    <m/>
    <m/>
    <m/>
    <m/>
    <n v="2949"/>
    <m/>
    <m/>
    <m/>
    <m/>
    <m/>
    <m/>
    <m/>
    <s v="N"/>
    <m/>
    <m/>
    <m/>
    <m/>
    <s v="CASH: PMN earmarked for procurement, transport, distribution of food"/>
  </r>
  <r>
    <m/>
    <n v="200"/>
    <x v="194"/>
    <d v="2008-06-08T00:00:00"/>
    <x v="12"/>
    <n v="30"/>
    <m/>
    <x v="13"/>
    <n v="12"/>
    <x v="1"/>
    <s v="South Africa"/>
    <s v="Human Related"/>
    <x v="19"/>
    <s v="Civil Unrest"/>
    <s v="Civil Unrest"/>
    <x v="31"/>
    <x v="0"/>
    <m/>
    <s v="n/a"/>
    <m/>
    <m/>
    <m/>
    <m/>
    <m/>
    <n v="30000"/>
    <x v="0"/>
    <n v="0"/>
    <m/>
    <m/>
    <m/>
    <m/>
    <m/>
    <n v="0"/>
    <n v="1"/>
    <m/>
    <m/>
    <m/>
    <m/>
    <m/>
    <m/>
    <m/>
    <m/>
    <m/>
    <m/>
    <m/>
    <m/>
    <m/>
    <m/>
    <m/>
    <m/>
    <m/>
    <m/>
    <n v="10000"/>
    <n v="10000"/>
    <m/>
    <m/>
    <m/>
    <x v="6"/>
    <x v="2"/>
    <m/>
    <m/>
    <m/>
    <m/>
    <n v="2799"/>
    <m/>
    <m/>
    <m/>
    <m/>
    <m/>
    <m/>
    <m/>
    <s v="Y"/>
    <m/>
    <m/>
    <m/>
    <s v="Urban Violence"/>
    <s v="PEOPLE: C. Bell bilateral - dev systems/tracking"/>
  </r>
  <r>
    <s v="FL-2008-000069-CHL"/>
    <n v="201"/>
    <x v="195"/>
    <d v="2008-06-08T00:00:00"/>
    <x v="12"/>
    <n v="31"/>
    <m/>
    <x v="13"/>
    <n v="13"/>
    <x v="2"/>
    <s v="Chile"/>
    <s v="Hydrometerological"/>
    <x v="2"/>
    <s v="General Floods"/>
    <s v="General Floods"/>
    <x v="31"/>
    <x v="0"/>
    <m/>
    <s v="n/a"/>
    <m/>
    <m/>
    <m/>
    <m/>
    <m/>
    <n v="4000"/>
    <x v="0"/>
    <n v="1250"/>
    <n v="0"/>
    <n v="2000"/>
    <m/>
    <m/>
    <m/>
    <n v="2000"/>
    <n v="1"/>
    <m/>
    <m/>
    <m/>
    <m/>
    <m/>
    <m/>
    <m/>
    <m/>
    <m/>
    <m/>
    <m/>
    <m/>
    <m/>
    <m/>
    <m/>
    <m/>
    <m/>
    <m/>
    <m/>
    <n v="2000"/>
    <m/>
    <m/>
    <m/>
    <x v="55"/>
    <x v="2"/>
    <m/>
    <m/>
    <m/>
    <m/>
    <n v="2799"/>
    <m/>
    <m/>
    <m/>
    <m/>
    <m/>
    <m/>
    <m/>
    <s v="Y"/>
    <m/>
    <m/>
    <m/>
    <m/>
    <s v="PEOPLE: S. DiPretoro, w/RIT, cash voucher/market assessment"/>
  </r>
  <r>
    <s v="TC-2008-000093-PHL"/>
    <n v="202"/>
    <x v="196"/>
    <d v="2008-06-08T00:00:00"/>
    <x v="12"/>
    <n v="33"/>
    <m/>
    <x v="13"/>
    <n v="15"/>
    <x v="3"/>
    <s v="Philippines"/>
    <s v="Hydrometerological"/>
    <x v="5"/>
    <s v="Tropical Cyclone"/>
    <s v="Typhoon"/>
    <x v="32"/>
    <x v="1"/>
    <s v="IFRC"/>
    <n v="8000000"/>
    <s v="MDRPH004"/>
    <n v="2.3125E-2"/>
    <n v="1"/>
    <m/>
    <m/>
    <n v="30000"/>
    <x v="0"/>
    <m/>
    <n v="1"/>
    <n v="185000"/>
    <m/>
    <m/>
    <m/>
    <n v="185000"/>
    <n v="1"/>
    <m/>
    <m/>
    <m/>
    <m/>
    <m/>
    <m/>
    <m/>
    <m/>
    <m/>
    <m/>
    <m/>
    <m/>
    <m/>
    <m/>
    <m/>
    <m/>
    <m/>
    <m/>
    <m/>
    <n v="185000"/>
    <m/>
    <m/>
    <m/>
    <x v="151"/>
    <x v="1"/>
    <m/>
    <m/>
    <m/>
    <m/>
    <s v="2032/2799/2869"/>
    <m/>
    <m/>
    <m/>
    <m/>
    <m/>
    <m/>
    <m/>
    <s v="N"/>
    <m/>
    <s v="ARCT"/>
    <m/>
    <s v="Fengshen"/>
    <s v="CASH: 1st PMN (135K)earmarked for typhoon-resistant shelter construction, and DP programs, 2nd (50k) earmarked for shelters after IFRC reported severe underfunding; 1st PMN: AP 2869 - $80,938.17, AP 2799 - $45,211.83. AP 2032 - $8,850.00 / 2nd PMN: AP 2799 - $50,000 PEOPLE: G. Bicego, wat/san assessment team, Fed will pay all expenses. Note: ARCT Funds $100,000 used for shelter to Federation as noted in ARCT report for 2008."/>
  </r>
  <r>
    <m/>
    <n v="203"/>
    <x v="197"/>
    <d v="2008-07-08T00:00:00"/>
    <x v="13"/>
    <n v="1"/>
    <m/>
    <x v="13"/>
    <n v="16"/>
    <x v="3"/>
    <s v="Yemen"/>
    <s v="Human Related"/>
    <x v="8"/>
    <s v="Conflict"/>
    <s v="Conflict"/>
    <x v="33"/>
    <x v="1"/>
    <s v="ICRC"/>
    <n v="13707000"/>
    <m/>
    <n v="3.6477712117895965E-3"/>
    <m/>
    <m/>
    <m/>
    <n v="80500"/>
    <x v="0"/>
    <m/>
    <n v="1"/>
    <m/>
    <n v="50000"/>
    <m/>
    <m/>
    <n v="50000"/>
    <m/>
    <m/>
    <m/>
    <s v="-"/>
    <m/>
    <m/>
    <m/>
    <m/>
    <m/>
    <m/>
    <m/>
    <m/>
    <m/>
    <m/>
    <m/>
    <m/>
    <m/>
    <m/>
    <m/>
    <m/>
    <n v="50000"/>
    <m/>
    <m/>
    <m/>
    <x v="16"/>
    <x v="2"/>
    <m/>
    <m/>
    <m/>
    <m/>
    <n v="2799"/>
    <m/>
    <m/>
    <m/>
    <m/>
    <m/>
    <m/>
    <m/>
    <s v="Y"/>
    <m/>
    <m/>
    <m/>
    <s v="Believing Youth"/>
    <s v="CASH: $50,000 Pledge Letter to ICRC"/>
  </r>
  <r>
    <s v="FL-2008-000095-SUR"/>
    <n v="204"/>
    <x v="198"/>
    <d v="2008-07-01T00:00:00"/>
    <x v="13"/>
    <n v="2"/>
    <m/>
    <x v="13"/>
    <n v="17"/>
    <x v="2"/>
    <s v="Suriname"/>
    <s v="Hydrometerological"/>
    <x v="2"/>
    <s v="General Floods"/>
    <s v="General Floods"/>
    <x v="34"/>
    <x v="1"/>
    <s v="IFRC"/>
    <n v="861000"/>
    <s v="MDRSR002"/>
    <m/>
    <m/>
    <m/>
    <m/>
    <n v="3000"/>
    <x v="0"/>
    <m/>
    <m/>
    <m/>
    <m/>
    <m/>
    <m/>
    <s v="-"/>
    <n v="2"/>
    <s v="IT/Telecoms"/>
    <n v="2"/>
    <s v="-"/>
    <m/>
    <m/>
    <m/>
    <m/>
    <m/>
    <m/>
    <m/>
    <m/>
    <m/>
    <m/>
    <m/>
    <m/>
    <m/>
    <m/>
    <s v="-"/>
    <s v="-"/>
    <m/>
    <m/>
    <m/>
    <m/>
    <x v="152"/>
    <x v="2"/>
    <m/>
    <m/>
    <m/>
    <m/>
    <n v="2799"/>
    <m/>
    <m/>
    <m/>
    <m/>
    <m/>
    <m/>
    <m/>
    <s v="Y"/>
    <m/>
    <m/>
    <m/>
    <m/>
    <s v="PEOPLE: M. Million, R. Palmer IT capacity bldg"/>
  </r>
  <r>
    <s v="FL-2008-000122-UKR/MDA"/>
    <n v="205"/>
    <x v="199"/>
    <d v="2008-08-01T00:00:00"/>
    <x v="13"/>
    <n v="3"/>
    <m/>
    <x v="13"/>
    <n v="18"/>
    <x v="3"/>
    <s v="Ukraine"/>
    <s v="Hydrometerological"/>
    <x v="2"/>
    <s v="General Floods"/>
    <s v="General Floods"/>
    <x v="35"/>
    <x v="1"/>
    <s v="IFRC"/>
    <n v="1193000"/>
    <s v="MDR67003"/>
    <n v="3.7091366303436714E-2"/>
    <n v="0.54"/>
    <m/>
    <m/>
    <n v="60000"/>
    <x v="0"/>
    <m/>
    <n v="1"/>
    <n v="44250"/>
    <m/>
    <m/>
    <m/>
    <n v="44250"/>
    <m/>
    <m/>
    <m/>
    <s v="-"/>
    <m/>
    <m/>
    <m/>
    <m/>
    <m/>
    <m/>
    <m/>
    <m/>
    <m/>
    <m/>
    <m/>
    <m/>
    <m/>
    <m/>
    <m/>
    <m/>
    <n v="44250"/>
    <m/>
    <m/>
    <m/>
    <x v="153"/>
    <x v="1"/>
    <m/>
    <m/>
    <m/>
    <m/>
    <n v="2048"/>
    <m/>
    <m/>
    <m/>
    <m/>
    <m/>
    <m/>
    <m/>
    <s v="N"/>
    <m/>
    <m/>
    <m/>
    <m/>
    <s v="CASH: $44,280 PMN unearmarked, Boeing donation"/>
  </r>
  <r>
    <m/>
    <n v="206"/>
    <x v="200"/>
    <d v="2008-08-01T00:00:00"/>
    <x v="13"/>
    <n v="4"/>
    <m/>
    <x v="13"/>
    <n v="19"/>
    <x v="3"/>
    <s v="Georgia"/>
    <s v="Human Related"/>
    <x v="8"/>
    <s v="Conflict"/>
    <s v="Conflict"/>
    <x v="36"/>
    <x v="1"/>
    <s v="ICRC"/>
    <n v="7395000"/>
    <s v="REX08/555"/>
    <m/>
    <m/>
    <m/>
    <m/>
    <n v="50000"/>
    <x v="0"/>
    <m/>
    <n v="1"/>
    <m/>
    <n v="100000"/>
    <m/>
    <m/>
    <n v="100000"/>
    <m/>
    <m/>
    <m/>
    <s v="-"/>
    <m/>
    <m/>
    <m/>
    <m/>
    <m/>
    <m/>
    <m/>
    <m/>
    <m/>
    <m/>
    <m/>
    <m/>
    <m/>
    <m/>
    <m/>
    <m/>
    <n v="100000"/>
    <m/>
    <m/>
    <m/>
    <x v="5"/>
    <x v="2"/>
    <m/>
    <m/>
    <m/>
    <m/>
    <n v="2799"/>
    <m/>
    <m/>
    <m/>
    <m/>
    <m/>
    <m/>
    <m/>
    <s v="Y"/>
    <m/>
    <m/>
    <m/>
    <s v="S. Ossetia"/>
    <s v="CASH: $100,000 Pledge Letter to ICRC"/>
  </r>
  <r>
    <s v="FL-2008-000104-NPL"/>
    <n v="207"/>
    <x v="174"/>
    <d v="2008-09-08T00:00:00"/>
    <x v="13"/>
    <n v="5"/>
    <m/>
    <x v="13"/>
    <n v="20"/>
    <x v="3"/>
    <s v="Nepal"/>
    <s v="Hydrometerological"/>
    <x v="2"/>
    <s v="General Floods"/>
    <s v="General Floods"/>
    <x v="37"/>
    <x v="1"/>
    <s v="IFRC"/>
    <n v="2647699"/>
    <s v="MDRNP002"/>
    <n v="1.8884321820569483E-2"/>
    <n v="0.72"/>
    <m/>
    <m/>
    <n v="150000"/>
    <x v="0"/>
    <m/>
    <n v="1"/>
    <n v="50000"/>
    <m/>
    <m/>
    <m/>
    <n v="50000"/>
    <m/>
    <m/>
    <m/>
    <s v="-"/>
    <m/>
    <m/>
    <m/>
    <m/>
    <m/>
    <m/>
    <m/>
    <m/>
    <m/>
    <m/>
    <m/>
    <m/>
    <m/>
    <m/>
    <m/>
    <m/>
    <n v="50000"/>
    <m/>
    <m/>
    <m/>
    <x v="16"/>
    <x v="2"/>
    <m/>
    <m/>
    <m/>
    <m/>
    <n v="2799"/>
    <m/>
    <m/>
    <m/>
    <m/>
    <m/>
    <m/>
    <m/>
    <s v="Y"/>
    <m/>
    <m/>
    <m/>
    <s v="Koshi River Embankment Breach"/>
    <s v="CASH: PMN $50,000 unearmarked to Fed"/>
  </r>
  <r>
    <s v="TC-2008-000147-HTI"/>
    <n v="208"/>
    <x v="201"/>
    <d v="2008-09-08T00:00:00"/>
    <x v="13"/>
    <n v="6"/>
    <m/>
    <x v="13"/>
    <n v="21"/>
    <x v="2"/>
    <s v="Haiti"/>
    <s v="Hydrometerological"/>
    <x v="5"/>
    <s v="Tropical Cyclone"/>
    <s v="Hurricane"/>
    <x v="38"/>
    <x v="1"/>
    <s v="IFRC"/>
    <n v="7600000"/>
    <s v="MDRHT005"/>
    <n v="3.7326578947368419E-2"/>
    <n v="1.04"/>
    <m/>
    <m/>
    <n v="50000"/>
    <x v="0"/>
    <m/>
    <n v="1"/>
    <n v="283682"/>
    <m/>
    <m/>
    <m/>
    <n v="283682"/>
    <n v="5"/>
    <s v="Relief ERU"/>
    <n v="5"/>
    <n v="19100"/>
    <m/>
    <n v="4000"/>
    <m/>
    <m/>
    <n v="4800"/>
    <m/>
    <n v="3000"/>
    <m/>
    <n v="6000"/>
    <m/>
    <n v="1300"/>
    <m/>
    <m/>
    <m/>
    <n v="340000"/>
    <m/>
    <n v="1532876"/>
    <m/>
    <m/>
    <m/>
    <x v="154"/>
    <x v="1"/>
    <m/>
    <m/>
    <m/>
    <m/>
    <s v="2869/2885/ 2591"/>
    <m/>
    <m/>
    <m/>
    <m/>
    <m/>
    <m/>
    <m/>
    <s v="N"/>
    <m/>
    <s v="OFDA grant for $500,000; ARCT funds used - $100,000"/>
    <s v="y"/>
    <s v="Gustav, Hanna, Ike"/>
    <s v="CASH: $100K PMN from AP 2885 earmarked for shelter kits from ARCT; PEOPLE: B. Gaillis (FACT TL), Relief ERU - C. Chaperon (TL), M. Marek, 2nd round - M. Marek (TL), J. Manley, G. Matthews, value at 50k to Fed;  OFDA grant for $500,000. SUPPLIES plus transport/PSR"/>
  </r>
  <r>
    <s v="TC-2008-000143"/>
    <n v="209"/>
    <x v="202"/>
    <d v="2008-09-08T00:00:00"/>
    <x v="13"/>
    <n v="7"/>
    <m/>
    <x v="13"/>
    <n v="22"/>
    <x v="2"/>
    <s v="Bahamas"/>
    <s v="Hydrometerological"/>
    <x v="5"/>
    <s v="Tropical Cyclone"/>
    <s v="Hurricane"/>
    <x v="39"/>
    <x v="1"/>
    <s v="IFRC"/>
    <n v="1638300"/>
    <s v="MDR49003"/>
    <n v="7.3883904046877863E-2"/>
    <n v="0.77"/>
    <m/>
    <m/>
    <n v="20000"/>
    <x v="0"/>
    <m/>
    <n v="1"/>
    <n v="121044"/>
    <m/>
    <m/>
    <m/>
    <n v="121044"/>
    <n v="1"/>
    <m/>
    <n v="1"/>
    <s v="-"/>
    <m/>
    <m/>
    <m/>
    <m/>
    <m/>
    <m/>
    <m/>
    <m/>
    <m/>
    <m/>
    <m/>
    <m/>
    <m/>
    <m/>
    <m/>
    <m/>
    <n v="121044"/>
    <m/>
    <m/>
    <m/>
    <x v="155"/>
    <x v="2"/>
    <m/>
    <m/>
    <m/>
    <m/>
    <n v="2799"/>
    <m/>
    <m/>
    <m/>
    <m/>
    <m/>
    <m/>
    <m/>
    <s v="Y"/>
    <m/>
    <m/>
    <s v="y"/>
    <s v="Bahamas, Jamaica"/>
    <s v="CASH: PMN $100,000 earmarked for Bahamas and Jamaica; PEOPLE: C. Hammond (RIT)"/>
  </r>
  <r>
    <s v="TC-2008-000143"/>
    <n v="209"/>
    <x v="203"/>
    <d v="2008-09-08T00:00:00"/>
    <x v="13"/>
    <n v="7"/>
    <m/>
    <x v="13"/>
    <n v="22"/>
    <x v="2"/>
    <s v="Jamaica"/>
    <s v="Hydrometerological"/>
    <x v="5"/>
    <s v="Tropical Cyclone"/>
    <s v="Hurricane"/>
    <x v="40"/>
    <x v="0"/>
    <m/>
    <s v="-"/>
    <s v="MDR49003"/>
    <m/>
    <m/>
    <m/>
    <m/>
    <s v="-"/>
    <x v="0"/>
    <s v="-"/>
    <m/>
    <m/>
    <m/>
    <m/>
    <m/>
    <m/>
    <m/>
    <m/>
    <m/>
    <s v="-"/>
    <m/>
    <m/>
    <m/>
    <m/>
    <m/>
    <m/>
    <m/>
    <m/>
    <m/>
    <m/>
    <m/>
    <m/>
    <m/>
    <m/>
    <m/>
    <m/>
    <s v="-"/>
    <m/>
    <m/>
    <m/>
    <x v="156"/>
    <x v="1"/>
    <m/>
    <m/>
    <m/>
    <m/>
    <m/>
    <m/>
    <m/>
    <m/>
    <m/>
    <m/>
    <m/>
    <m/>
    <s v="N"/>
    <m/>
    <m/>
    <s v="y"/>
    <s v="Bahamas, Jamaica"/>
    <s v="CASH: PMN earmarked for Bahamas and Jamaica"/>
  </r>
  <r>
    <s v="TC-2008-000143"/>
    <n v="210"/>
    <x v="204"/>
    <d v="2008-09-08T00:00:00"/>
    <x v="13"/>
    <n v="8"/>
    <m/>
    <x v="13"/>
    <n v="23"/>
    <x v="2"/>
    <s v="Cuba"/>
    <s v="Hydrometerological"/>
    <x v="5"/>
    <s v="Tropical Cyclone"/>
    <s v="Hurricane"/>
    <x v="41"/>
    <x v="1"/>
    <s v="IFRC"/>
    <n v="8811345"/>
    <s v="MDRCU001"/>
    <n v="0.12823728953979216"/>
    <n v="0.66"/>
    <m/>
    <m/>
    <n v="60000"/>
    <x v="0"/>
    <n v="10380"/>
    <n v="1"/>
    <n v="1129943"/>
    <m/>
    <m/>
    <m/>
    <n v="1129943"/>
    <m/>
    <m/>
    <m/>
    <s v="-"/>
    <m/>
    <m/>
    <m/>
    <m/>
    <m/>
    <m/>
    <m/>
    <m/>
    <m/>
    <m/>
    <m/>
    <m/>
    <m/>
    <m/>
    <m/>
    <m/>
    <n v="1129943"/>
    <m/>
    <m/>
    <m/>
    <x v="157"/>
    <x v="2"/>
    <m/>
    <m/>
    <m/>
    <m/>
    <n v="2099"/>
    <m/>
    <m/>
    <m/>
    <m/>
    <m/>
    <m/>
    <m/>
    <s v="N"/>
    <m/>
    <m/>
    <s v="y"/>
    <s v="Gustav, Ike"/>
    <s v="CASH: PMN unearmarked - OFAC license received"/>
  </r>
  <r>
    <s v="FL-2008-000198"/>
    <n v="211"/>
    <x v="205"/>
    <d v="2008-10-01T00:00:00"/>
    <x v="13"/>
    <n v="9"/>
    <m/>
    <x v="13"/>
    <n v="24"/>
    <x v="2"/>
    <s v="Nicaragua"/>
    <s v="Hydrometerological"/>
    <x v="2"/>
    <s v="Storm Surge"/>
    <s v="Storm Surge"/>
    <x v="42"/>
    <x v="0"/>
    <m/>
    <s v="-"/>
    <m/>
    <m/>
    <m/>
    <m/>
    <m/>
    <s v="-"/>
    <x v="0"/>
    <s v="-"/>
    <m/>
    <m/>
    <m/>
    <m/>
    <m/>
    <m/>
    <m/>
    <m/>
    <m/>
    <s v="-"/>
    <m/>
    <m/>
    <m/>
    <m/>
    <m/>
    <m/>
    <m/>
    <m/>
    <m/>
    <m/>
    <m/>
    <m/>
    <m/>
    <m/>
    <m/>
    <m/>
    <s v="-"/>
    <m/>
    <m/>
    <m/>
    <x v="156"/>
    <x v="1"/>
    <m/>
    <m/>
    <m/>
    <m/>
    <m/>
    <m/>
    <m/>
    <m/>
    <m/>
    <m/>
    <m/>
    <m/>
    <s v="N"/>
    <m/>
    <m/>
    <s v="y"/>
    <m/>
    <m/>
  </r>
  <r>
    <s v="FL-2008-000198"/>
    <n v="211"/>
    <x v="205"/>
    <d v="2008-10-01T00:00:00"/>
    <x v="13"/>
    <n v="9"/>
    <m/>
    <x v="13"/>
    <n v="24"/>
    <x v="2"/>
    <s v="Honduras"/>
    <s v="Hydrometerological"/>
    <x v="2"/>
    <s v="Storm Surge"/>
    <s v="Storm Surge"/>
    <x v="42"/>
    <x v="0"/>
    <m/>
    <s v="-"/>
    <m/>
    <m/>
    <m/>
    <m/>
    <m/>
    <s v="-"/>
    <x v="0"/>
    <s v="-"/>
    <n v="0"/>
    <n v="25000"/>
    <m/>
    <m/>
    <m/>
    <m/>
    <m/>
    <m/>
    <m/>
    <s v="-"/>
    <m/>
    <m/>
    <m/>
    <m/>
    <m/>
    <m/>
    <m/>
    <m/>
    <m/>
    <m/>
    <m/>
    <m/>
    <m/>
    <m/>
    <m/>
    <m/>
    <s v="-"/>
    <m/>
    <m/>
    <m/>
    <x v="156"/>
    <x v="1"/>
    <m/>
    <m/>
    <m/>
    <m/>
    <n v="2882"/>
    <m/>
    <m/>
    <m/>
    <m/>
    <m/>
    <m/>
    <m/>
    <s v="N"/>
    <m/>
    <m/>
    <s v="y"/>
    <m/>
    <s v="CASH: PMN 25k earmarked to Honduras from 2882"/>
  </r>
  <r>
    <s v="FL-2008-000198"/>
    <n v="211"/>
    <x v="205"/>
    <d v="2008-10-01T00:00:00"/>
    <x v="13"/>
    <n v="9"/>
    <m/>
    <x v="13"/>
    <n v="24"/>
    <x v="2"/>
    <s v="[rollup]"/>
    <s v="Hydrometerological"/>
    <x v="2"/>
    <s v="Storm Surge"/>
    <s v="Storm Surge"/>
    <x v="43"/>
    <x v="1"/>
    <s v="IFRC"/>
    <n v="1388924"/>
    <s v="MDR43004"/>
    <n v="0.17760727008821217"/>
    <n v="0.67"/>
    <m/>
    <m/>
    <n v="32000"/>
    <x v="0"/>
    <m/>
    <n v="1"/>
    <n v="246683"/>
    <m/>
    <m/>
    <m/>
    <n v="246683"/>
    <m/>
    <m/>
    <m/>
    <s v="-"/>
    <m/>
    <m/>
    <m/>
    <m/>
    <m/>
    <m/>
    <m/>
    <m/>
    <m/>
    <m/>
    <m/>
    <m/>
    <m/>
    <m/>
    <m/>
    <m/>
    <n v="246683"/>
    <m/>
    <m/>
    <m/>
    <x v="158"/>
    <x v="1"/>
    <m/>
    <m/>
    <m/>
    <m/>
    <s v="2799 /2882 /2869"/>
    <m/>
    <m/>
    <m/>
    <m/>
    <m/>
    <m/>
    <m/>
    <s v="N"/>
    <m/>
    <s v="ARCT funds used - $100,000"/>
    <s v="y"/>
    <m/>
    <s v="CASH: PMN 100k from 2799 unearmarked; PMN 91k - ( $88,500 from 2869 ARCT and $2,500 from 2799); $25,000 from 2882 earmarked for Honduras"/>
  </r>
  <r>
    <s v="FL-2008-000198"/>
    <n v="211"/>
    <x v="205"/>
    <d v="2008-10-01T00:00:00"/>
    <x v="13"/>
    <n v="9"/>
    <m/>
    <x v="13"/>
    <n v="24"/>
    <x v="2"/>
    <s v="Guatemala"/>
    <s v="Hydrometerological"/>
    <x v="2"/>
    <s v="Storm Surge"/>
    <s v="Storm Surge"/>
    <x v="0"/>
    <x v="0"/>
    <m/>
    <m/>
    <m/>
    <m/>
    <m/>
    <m/>
    <m/>
    <m/>
    <x v="0"/>
    <m/>
    <m/>
    <m/>
    <m/>
    <m/>
    <m/>
    <m/>
    <m/>
    <m/>
    <m/>
    <s v="-"/>
    <m/>
    <m/>
    <m/>
    <m/>
    <m/>
    <m/>
    <m/>
    <m/>
    <m/>
    <m/>
    <m/>
    <m/>
    <m/>
    <m/>
    <m/>
    <m/>
    <m/>
    <m/>
    <m/>
    <m/>
    <x v="7"/>
    <x v="1"/>
    <m/>
    <m/>
    <m/>
    <m/>
    <m/>
    <m/>
    <m/>
    <m/>
    <m/>
    <m/>
    <m/>
    <m/>
    <s v="N"/>
    <m/>
    <m/>
    <s v="y"/>
    <m/>
    <m/>
  </r>
  <r>
    <s v="EQ-2008-000206-PAK"/>
    <n v="212"/>
    <x v="206"/>
    <d v="2008-11-08T00:00:00"/>
    <x v="13"/>
    <n v="10"/>
    <m/>
    <x v="13"/>
    <n v="25"/>
    <x v="3"/>
    <s v="Pakistan"/>
    <s v="Geophysical"/>
    <x v="3"/>
    <s v="Earthquake"/>
    <s v="Earthquake"/>
    <x v="44"/>
    <x v="1"/>
    <s v="ICRC &amp; IFRC"/>
    <n v="9880000"/>
    <s v="REX08/722 &amp; MDRPK002"/>
    <m/>
    <m/>
    <m/>
    <m/>
    <n v="37930"/>
    <x v="0"/>
    <m/>
    <m/>
    <m/>
    <m/>
    <n v="100000"/>
    <m/>
    <n v="100000"/>
    <m/>
    <m/>
    <m/>
    <s v="-"/>
    <m/>
    <m/>
    <m/>
    <m/>
    <m/>
    <m/>
    <m/>
    <m/>
    <m/>
    <m/>
    <m/>
    <m/>
    <m/>
    <m/>
    <m/>
    <m/>
    <n v="100000"/>
    <m/>
    <m/>
    <n v="37930"/>
    <x v="5"/>
    <x v="2"/>
    <m/>
    <m/>
    <m/>
    <m/>
    <n v="2799"/>
    <m/>
    <m/>
    <m/>
    <m/>
    <m/>
    <m/>
    <m/>
    <s v="Y"/>
    <m/>
    <m/>
    <m/>
    <s v="Baluchistan"/>
    <s v="CASH: $100,000 to purchase relief supplies."/>
  </r>
  <r>
    <s v="FF-2008-000211-VNM"/>
    <n v="213"/>
    <x v="21"/>
    <d v="2008-11-08T00:00:00"/>
    <x v="13"/>
    <n v="11"/>
    <m/>
    <x v="13"/>
    <n v="26"/>
    <x v="3"/>
    <s v="Vietnam"/>
    <s v="Hydrometerological"/>
    <x v="2"/>
    <s v="General Floods"/>
    <s v="General Floods"/>
    <x v="18"/>
    <x v="1"/>
    <s v="IFRC"/>
    <n v="4000000"/>
    <s v="MDRVN005"/>
    <n v="1.2500000000000001E-2"/>
    <n v="0.47"/>
    <m/>
    <m/>
    <n v="300000"/>
    <x v="0"/>
    <m/>
    <n v="1"/>
    <n v="50000"/>
    <m/>
    <m/>
    <m/>
    <n v="50000"/>
    <m/>
    <m/>
    <m/>
    <s v="-"/>
    <m/>
    <m/>
    <m/>
    <m/>
    <m/>
    <m/>
    <m/>
    <m/>
    <m/>
    <m/>
    <m/>
    <m/>
    <m/>
    <m/>
    <m/>
    <m/>
    <n v="50000"/>
    <m/>
    <m/>
    <m/>
    <x v="16"/>
    <x v="2"/>
    <m/>
    <m/>
    <m/>
    <m/>
    <n v="2799"/>
    <m/>
    <m/>
    <m/>
    <m/>
    <m/>
    <m/>
    <m/>
    <s v="Y"/>
    <m/>
    <m/>
    <m/>
    <s v="North and Central Regions"/>
    <s v="CASH: PMN 50k unearmarked "/>
  </r>
  <r>
    <s v="FL-2008-000232-CRI"/>
    <n v="214"/>
    <x v="207"/>
    <d v="2008-12-09T00:00:00"/>
    <x v="13"/>
    <n v="12"/>
    <m/>
    <x v="13"/>
    <n v="27"/>
    <x v="2"/>
    <s v="Costa Rica"/>
    <s v="Hydrometerological"/>
    <x v="2"/>
    <s v="General Floods"/>
    <m/>
    <x v="42"/>
    <x v="0"/>
    <m/>
    <s v="-"/>
    <m/>
    <m/>
    <m/>
    <m/>
    <m/>
    <s v="-"/>
    <x v="0"/>
    <s v="-"/>
    <m/>
    <m/>
    <m/>
    <m/>
    <m/>
    <m/>
    <m/>
    <m/>
    <m/>
    <s v="-"/>
    <m/>
    <m/>
    <m/>
    <m/>
    <m/>
    <m/>
    <m/>
    <m/>
    <m/>
    <m/>
    <m/>
    <m/>
    <m/>
    <m/>
    <m/>
    <m/>
    <s v="-"/>
    <m/>
    <m/>
    <m/>
    <x v="156"/>
    <x v="1"/>
    <m/>
    <m/>
    <m/>
    <m/>
    <m/>
    <m/>
    <m/>
    <m/>
    <m/>
    <m/>
    <m/>
    <m/>
    <s v="N"/>
    <m/>
    <m/>
    <m/>
    <m/>
    <m/>
  </r>
  <r>
    <s v="FL-2008-000158-PAN"/>
    <n v="214"/>
    <x v="207"/>
    <d v="2008-12-08T00:00:00"/>
    <x v="13"/>
    <n v="12"/>
    <m/>
    <x v="13"/>
    <n v="27"/>
    <x v="2"/>
    <s v="Panama"/>
    <s v="Hydrometerological"/>
    <x v="2"/>
    <s v="General Floods"/>
    <m/>
    <x v="45"/>
    <x v="1"/>
    <s v="IFRC"/>
    <n v="571953"/>
    <s v="MDR43005"/>
    <n v="0.17483954101123694"/>
    <n v="0.39"/>
    <m/>
    <m/>
    <n v="15000"/>
    <x v="0"/>
    <m/>
    <n v="1"/>
    <n v="100000"/>
    <m/>
    <m/>
    <m/>
    <n v="100000"/>
    <m/>
    <m/>
    <m/>
    <s v="-"/>
    <m/>
    <m/>
    <m/>
    <m/>
    <m/>
    <m/>
    <m/>
    <m/>
    <m/>
    <m/>
    <m/>
    <m/>
    <m/>
    <m/>
    <m/>
    <m/>
    <n v="100000"/>
    <m/>
    <m/>
    <m/>
    <x v="5"/>
    <x v="2"/>
    <m/>
    <m/>
    <m/>
    <m/>
    <n v="2799"/>
    <m/>
    <m/>
    <m/>
    <m/>
    <m/>
    <m/>
    <m/>
    <s v="Y"/>
    <m/>
    <m/>
    <m/>
    <m/>
    <s v="CASH: PMN $100,000 for Fed Appeal"/>
  </r>
  <r>
    <m/>
    <n v="215"/>
    <x v="208"/>
    <d v="2008-12-11T00:00:00"/>
    <x v="13"/>
    <n v="13"/>
    <m/>
    <x v="13"/>
    <n v="28"/>
    <x v="1"/>
    <s v="Ethiopia"/>
    <s v="Human Related"/>
    <x v="14"/>
    <s v="Food Insecurity"/>
    <m/>
    <x v="42"/>
    <x v="0"/>
    <m/>
    <s v="-"/>
    <m/>
    <m/>
    <m/>
    <m/>
    <m/>
    <s v="-"/>
    <x v="0"/>
    <s v="-"/>
    <m/>
    <m/>
    <m/>
    <m/>
    <m/>
    <m/>
    <m/>
    <m/>
    <m/>
    <s v="-"/>
    <m/>
    <m/>
    <m/>
    <m/>
    <m/>
    <m/>
    <m/>
    <m/>
    <m/>
    <m/>
    <m/>
    <m/>
    <m/>
    <m/>
    <m/>
    <m/>
    <s v="-"/>
    <m/>
    <m/>
    <m/>
    <x v="156"/>
    <x v="1"/>
    <m/>
    <m/>
    <m/>
    <m/>
    <m/>
    <m/>
    <m/>
    <m/>
    <m/>
    <m/>
    <m/>
    <m/>
    <s v="N"/>
    <m/>
    <m/>
    <m/>
    <m/>
    <m/>
  </r>
  <r>
    <m/>
    <n v="215"/>
    <x v="208"/>
    <d v="2008-12-12T00:00:00"/>
    <x v="13"/>
    <n v="13"/>
    <m/>
    <x v="13"/>
    <n v="28"/>
    <x v="1"/>
    <s v="Kenya"/>
    <s v="Human Related"/>
    <x v="14"/>
    <s v="Food Insecurity"/>
    <m/>
    <x v="42"/>
    <x v="0"/>
    <m/>
    <s v="-"/>
    <m/>
    <m/>
    <m/>
    <m/>
    <m/>
    <s v="-"/>
    <x v="0"/>
    <s v="-"/>
    <m/>
    <m/>
    <m/>
    <m/>
    <m/>
    <m/>
    <m/>
    <m/>
    <m/>
    <s v="-"/>
    <m/>
    <m/>
    <m/>
    <m/>
    <m/>
    <m/>
    <m/>
    <m/>
    <m/>
    <m/>
    <m/>
    <m/>
    <m/>
    <m/>
    <m/>
    <m/>
    <s v="-"/>
    <m/>
    <m/>
    <m/>
    <x v="156"/>
    <x v="1"/>
    <m/>
    <m/>
    <m/>
    <m/>
    <m/>
    <m/>
    <m/>
    <m/>
    <m/>
    <m/>
    <m/>
    <m/>
    <s v="N"/>
    <m/>
    <m/>
    <m/>
    <m/>
    <m/>
  </r>
  <r>
    <m/>
    <n v="215"/>
    <x v="208"/>
    <d v="2008-12-13T00:00:00"/>
    <x v="13"/>
    <n v="13"/>
    <m/>
    <x v="13"/>
    <n v="28"/>
    <x v="1"/>
    <s v="Somalia"/>
    <s v="Human Related"/>
    <x v="14"/>
    <s v="Food Insecurity"/>
    <m/>
    <x v="42"/>
    <x v="0"/>
    <m/>
    <s v="-"/>
    <m/>
    <m/>
    <m/>
    <m/>
    <m/>
    <s v="-"/>
    <x v="0"/>
    <s v="-"/>
    <m/>
    <m/>
    <m/>
    <m/>
    <m/>
    <m/>
    <m/>
    <m/>
    <m/>
    <s v="-"/>
    <m/>
    <m/>
    <m/>
    <m/>
    <m/>
    <m/>
    <m/>
    <m/>
    <m/>
    <m/>
    <m/>
    <m/>
    <m/>
    <m/>
    <m/>
    <m/>
    <s v="-"/>
    <m/>
    <m/>
    <m/>
    <x v="156"/>
    <x v="1"/>
    <m/>
    <m/>
    <m/>
    <m/>
    <m/>
    <m/>
    <m/>
    <m/>
    <m/>
    <m/>
    <m/>
    <m/>
    <s v="N"/>
    <m/>
    <m/>
    <m/>
    <m/>
    <m/>
  </r>
  <r>
    <s v="OT-2008-000196-DJI/ERI/ETH/KEN/SOM"/>
    <n v="215"/>
    <x v="208"/>
    <d v="2008-12-10T00:00:00"/>
    <x v="13"/>
    <n v="13"/>
    <m/>
    <x v="13"/>
    <n v="28"/>
    <x v="1"/>
    <s v="Djibouti"/>
    <s v="Human Related"/>
    <x v="14"/>
    <s v="Food Insecurity"/>
    <m/>
    <x v="46"/>
    <x v="1"/>
    <s v="IFRC"/>
    <n v="66586679"/>
    <s v="MDR64003"/>
    <n v="0"/>
    <n v="0.09"/>
    <s v="Y"/>
    <n v="118830"/>
    <n v="2488500"/>
    <x v="0"/>
    <m/>
    <m/>
    <m/>
    <m/>
    <n v="500000"/>
    <m/>
    <m/>
    <n v="1"/>
    <m/>
    <n v="1"/>
    <s v="-"/>
    <m/>
    <m/>
    <m/>
    <m/>
    <m/>
    <m/>
    <m/>
    <m/>
    <m/>
    <m/>
    <m/>
    <m/>
    <m/>
    <m/>
    <m/>
    <m/>
    <n v="0"/>
    <m/>
    <m/>
    <m/>
    <x v="7"/>
    <x v="2"/>
    <m/>
    <m/>
    <m/>
    <m/>
    <n v="2799"/>
    <m/>
    <m/>
    <m/>
    <m/>
    <m/>
    <m/>
    <m/>
    <s v="Y"/>
    <m/>
    <m/>
    <m/>
    <m/>
    <s v="PEOPLE: T. Reines, relief del on Fed assessment team x3 wks (entire Horn of Africa); CASH: Intially $500,000 was approved but issues related to the programming and the appeal kept these funds from being disbursed to IFRC appeal. Eventually appeal was cancelled. Instead, ARC provided the resources to a British Red Cross led effort in Djibouti around livelihoods that was consistent with the appeal and recognized by the Federation as such."/>
  </r>
  <r>
    <m/>
    <n v="216"/>
    <x v="209"/>
    <d v="2008-12-14T00:00:00"/>
    <x v="13"/>
    <n v="14"/>
    <m/>
    <x v="13"/>
    <n v="29"/>
    <x v="1"/>
    <s v="Uganda"/>
    <s v="Human Related"/>
    <x v="8"/>
    <s v="Conflict"/>
    <s v="Conflict"/>
    <x v="47"/>
    <x v="1"/>
    <s v="IFRC"/>
    <n v="1437632"/>
    <s v="MDR64004"/>
    <n v="3.4779415038062589E-2"/>
    <n v="0.62"/>
    <s v="Y"/>
    <n v="201571"/>
    <n v="60000"/>
    <x v="0"/>
    <m/>
    <n v="1"/>
    <n v="50000"/>
    <m/>
    <m/>
    <m/>
    <n v="50000"/>
    <n v="1"/>
    <m/>
    <n v="1"/>
    <s v="-"/>
    <m/>
    <m/>
    <m/>
    <m/>
    <m/>
    <m/>
    <m/>
    <m/>
    <m/>
    <m/>
    <m/>
    <m/>
    <m/>
    <m/>
    <m/>
    <m/>
    <n v="50000"/>
    <m/>
    <m/>
    <m/>
    <x v="16"/>
    <x v="2"/>
    <m/>
    <m/>
    <m/>
    <m/>
    <n v="2799"/>
    <m/>
    <m/>
    <m/>
    <m/>
    <m/>
    <m/>
    <m/>
    <s v="Y"/>
    <m/>
    <m/>
    <m/>
    <m/>
    <s v="CASH: $50,000 PMN to Appeal earmarked to Uganda. PEOPLE: B. Banks, seconded to NBO as backfill DM coordinator deployed to Uganda on Fed assessment"/>
  </r>
  <r>
    <s v="EP-2008-000218-ZWE"/>
    <n v="217"/>
    <x v="210"/>
    <d v="2008-12-17T00:00:00"/>
    <x v="13"/>
    <n v="15"/>
    <m/>
    <x v="13"/>
    <n v="30"/>
    <x v="1"/>
    <s v="Zimbabwe"/>
    <s v="Biological"/>
    <x v="11"/>
    <s v="Disease"/>
    <s v="Cholera"/>
    <x v="31"/>
    <x v="1"/>
    <s v="IFRC"/>
    <n v="9200000"/>
    <s v="MDRZW004"/>
    <n v="1.0869565217391304E-2"/>
    <n v="0.64"/>
    <s v="Y"/>
    <n v="359374"/>
    <n v="1500000"/>
    <x v="0"/>
    <m/>
    <n v="1"/>
    <n v="100000"/>
    <m/>
    <m/>
    <m/>
    <n v="100000"/>
    <m/>
    <m/>
    <m/>
    <s v="-"/>
    <m/>
    <m/>
    <m/>
    <m/>
    <m/>
    <m/>
    <m/>
    <m/>
    <m/>
    <m/>
    <m/>
    <m/>
    <m/>
    <m/>
    <m/>
    <m/>
    <n v="100000"/>
    <m/>
    <m/>
    <m/>
    <x v="5"/>
    <x v="2"/>
    <m/>
    <m/>
    <m/>
    <m/>
    <n v="2799"/>
    <m/>
    <m/>
    <m/>
    <m/>
    <m/>
    <m/>
    <m/>
    <s v="Y"/>
    <m/>
    <m/>
    <m/>
    <m/>
    <s v="CASH: PMN $100k to IFRC from 2799 - 75% operational needs, 25% support costs."/>
  </r>
  <r>
    <m/>
    <n v="218"/>
    <x v="211"/>
    <d v="2008-12-17T00:00:00"/>
    <x v="13"/>
    <n v="16"/>
    <m/>
    <x v="13"/>
    <n v="31"/>
    <x v="3"/>
    <s v="Israel"/>
    <s v="Human Related"/>
    <x v="8"/>
    <s v="Conflict"/>
    <s v="Conflict"/>
    <x v="42"/>
    <x v="1"/>
    <s v="ICRC/Ntl Socs"/>
    <s v="-"/>
    <m/>
    <m/>
    <m/>
    <m/>
    <m/>
    <s v="-"/>
    <x v="0"/>
    <s v="-"/>
    <m/>
    <m/>
    <s v=" "/>
    <n v="200000"/>
    <m/>
    <m/>
    <m/>
    <m/>
    <m/>
    <s v="-"/>
    <m/>
    <m/>
    <m/>
    <m/>
    <m/>
    <m/>
    <m/>
    <m/>
    <m/>
    <m/>
    <m/>
    <m/>
    <m/>
    <m/>
    <m/>
    <m/>
    <s v="-"/>
    <m/>
    <m/>
    <m/>
    <x v="156"/>
    <x v="2"/>
    <m/>
    <m/>
    <m/>
    <m/>
    <n v="2099"/>
    <m/>
    <m/>
    <m/>
    <m/>
    <m/>
    <m/>
    <m/>
    <s v="N"/>
    <m/>
    <m/>
    <m/>
    <m/>
    <s v="CASH: 5 Jan 09 - $250,000 from 2799 RRF to ICRC;  9 Jan 09 $250,000 from 2799 RRF, to PRCS;  30 Jan 09 $200,000 from 2099 IRF to MDA;  5 Feb 09: $110,625 from 2010 Middle East, to PRCS appeal, and $110,625, 2010 Middle East to ICRC appeal."/>
  </r>
  <r>
    <m/>
    <n v="218"/>
    <x v="212"/>
    <d v="2008-12-17T00:00:00"/>
    <x v="13"/>
    <n v="16"/>
    <m/>
    <x v="13"/>
    <n v="31"/>
    <x v="3"/>
    <s v="Palestine"/>
    <s v="Human Related"/>
    <x v="8"/>
    <s v="Conflict"/>
    <s v="Conflict"/>
    <x v="48"/>
    <x v="1"/>
    <s v="ICRC/Ntl Socs"/>
    <m/>
    <m/>
    <m/>
    <m/>
    <s v="Y"/>
    <n v="310244"/>
    <n v="50000"/>
    <x v="0"/>
    <m/>
    <n v="1"/>
    <m/>
    <n v="360625"/>
    <n v="560625"/>
    <m/>
    <n v="921250"/>
    <m/>
    <m/>
    <m/>
    <s v="-"/>
    <m/>
    <m/>
    <m/>
    <m/>
    <m/>
    <m/>
    <m/>
    <m/>
    <m/>
    <m/>
    <m/>
    <m/>
    <m/>
    <m/>
    <m/>
    <m/>
    <n v="921250"/>
    <m/>
    <m/>
    <m/>
    <x v="159"/>
    <x v="1"/>
    <m/>
    <m/>
    <m/>
    <m/>
    <s v="2799/2099/2010"/>
    <m/>
    <m/>
    <m/>
    <m/>
    <m/>
    <m/>
    <m/>
    <s v="N"/>
    <m/>
    <m/>
    <m/>
    <m/>
    <s v="CASH: 5 Jan 09 - $250,000 from 2799 RRF to ICRC;  9 Jan 09 $250,000 from 2799 RRF, to PRCS;  30 Jan 09 $200,000 from 2099 IRF to MDA;  5 Feb 09: $110,625 from 2010 Middle East, to PRCS appeal, and $110,625, 2010 Middle East to ICRC appeal."/>
  </r>
  <r>
    <s v="EQ-2009-000009-CRI"/>
    <n v="219"/>
    <x v="213"/>
    <d v="2009-01-08T00:00:00"/>
    <x v="13"/>
    <n v="17"/>
    <s v="Q3"/>
    <x v="14"/>
    <n v="2"/>
    <x v="2"/>
    <s v="Costa Rica"/>
    <s v="Geophysical"/>
    <x v="3"/>
    <s v="Earthquake"/>
    <s v="Earthquake"/>
    <x v="49"/>
    <x v="2"/>
    <m/>
    <s v="-"/>
    <m/>
    <m/>
    <m/>
    <s v="Y"/>
    <n v="49273"/>
    <s v="-"/>
    <x v="1"/>
    <n v="640"/>
    <m/>
    <m/>
    <m/>
    <n v="62250"/>
    <m/>
    <n v="62250"/>
    <n v="2"/>
    <m/>
    <n v="2"/>
    <m/>
    <m/>
    <m/>
    <m/>
    <m/>
    <m/>
    <m/>
    <m/>
    <m/>
    <m/>
    <m/>
    <m/>
    <m/>
    <m/>
    <m/>
    <m/>
    <n v="11950"/>
    <n v="74200"/>
    <m/>
    <m/>
    <m/>
    <x v="160"/>
    <x v="1"/>
    <m/>
    <m/>
    <m/>
    <m/>
    <n v="2882"/>
    <m/>
    <m/>
    <m/>
    <m/>
    <m/>
    <m/>
    <m/>
    <s v="N"/>
    <m/>
    <m/>
    <m/>
    <s v="Earthquake"/>
    <s v="CASH: Bilateral to CRRC; PEOPLE: S. DiPretoro, A. Vargas"/>
  </r>
  <r>
    <s v="WF-2009-000035-AUS"/>
    <n v="220"/>
    <x v="214"/>
    <d v="2009-02-07T00:00:00"/>
    <x v="13"/>
    <n v="18"/>
    <s v="Q3"/>
    <x v="14"/>
    <n v="3"/>
    <x v="3"/>
    <s v="Australia"/>
    <s v="Hydrometerological"/>
    <x v="15"/>
    <m/>
    <m/>
    <x v="50"/>
    <x v="2"/>
    <m/>
    <m/>
    <m/>
    <m/>
    <m/>
    <m/>
    <m/>
    <m/>
    <x v="1"/>
    <m/>
    <m/>
    <m/>
    <m/>
    <n v="1520000"/>
    <m/>
    <n v="1520000"/>
    <m/>
    <m/>
    <m/>
    <m/>
    <m/>
    <m/>
    <m/>
    <m/>
    <m/>
    <m/>
    <m/>
    <m/>
    <m/>
    <m/>
    <m/>
    <m/>
    <m/>
    <m/>
    <m/>
    <m/>
    <n v="1520000"/>
    <m/>
    <m/>
    <m/>
    <x v="161"/>
    <x v="1"/>
    <m/>
    <m/>
    <m/>
    <m/>
    <n v="2881"/>
    <m/>
    <m/>
    <m/>
    <m/>
    <m/>
    <m/>
    <m/>
    <s v="N"/>
    <m/>
    <m/>
    <m/>
    <m/>
    <s v="CASH: ARC coordinated US corporate donations to joint domestic AusRC &amp; Ntl Govt appeal -  totaled $1,250,000 - sent August 2009"/>
  </r>
  <r>
    <m/>
    <n v="221"/>
    <x v="167"/>
    <d v="2009-03-05T00:00:00"/>
    <x v="13"/>
    <n v="19"/>
    <s v="Q3"/>
    <x v="14"/>
    <n v="4"/>
    <x v="3"/>
    <s v="Sri Lanka"/>
    <s v="Human Related"/>
    <x v="8"/>
    <m/>
    <m/>
    <x v="51"/>
    <x v="1"/>
    <s v="ICRC"/>
    <m/>
    <m/>
    <m/>
    <m/>
    <m/>
    <m/>
    <m/>
    <x v="0"/>
    <n v="20000"/>
    <n v="1"/>
    <m/>
    <n v="500000"/>
    <m/>
    <m/>
    <n v="500000"/>
    <n v="1"/>
    <m/>
    <n v="1"/>
    <m/>
    <m/>
    <m/>
    <m/>
    <m/>
    <m/>
    <m/>
    <m/>
    <m/>
    <m/>
    <m/>
    <m/>
    <m/>
    <m/>
    <m/>
    <m/>
    <m/>
    <n v="500000"/>
    <m/>
    <m/>
    <m/>
    <x v="162"/>
    <x v="1"/>
    <m/>
    <m/>
    <m/>
    <m/>
    <s v="TRP"/>
    <m/>
    <m/>
    <m/>
    <m/>
    <m/>
    <m/>
    <m/>
    <s v="N"/>
    <m/>
    <m/>
    <m/>
    <s v="Sri Lanka Conflict"/>
    <s v="CASH: $500,000 to ICRC for baby kits to IDPs in camps. PEOPLE: Gina Guinta ICRC volunteer to work in IDP camps doing relief distribution, 30 days."/>
  </r>
  <r>
    <s v="FL-2009-000052-COL"/>
    <n v="222"/>
    <x v="157"/>
    <d v="2009-03-19T00:00:00"/>
    <x v="13"/>
    <n v="20"/>
    <s v="Q3"/>
    <x v="14"/>
    <n v="5"/>
    <x v="2"/>
    <s v="Colombia"/>
    <s v="Hydrometerological"/>
    <x v="2"/>
    <m/>
    <m/>
    <x v="52"/>
    <x v="1"/>
    <s v="IFRC"/>
    <n v="957924"/>
    <s v="MDRCO006"/>
    <m/>
    <n v="0.99"/>
    <s v="Y"/>
    <n v="152369"/>
    <n v="25000"/>
    <x v="0"/>
    <m/>
    <m/>
    <m/>
    <m/>
    <m/>
    <m/>
    <m/>
    <m/>
    <m/>
    <m/>
    <n v="8000"/>
    <m/>
    <m/>
    <m/>
    <n v="8000"/>
    <m/>
    <m/>
    <m/>
    <m/>
    <m/>
    <m/>
    <m/>
    <m/>
    <m/>
    <m/>
    <n v="30000"/>
    <m/>
    <n v="30000"/>
    <m/>
    <m/>
    <m/>
    <x v="163"/>
    <x v="2"/>
    <m/>
    <m/>
    <m/>
    <m/>
    <n v="2799"/>
    <m/>
    <m/>
    <m/>
    <m/>
    <m/>
    <m/>
    <m/>
    <s v="Y"/>
    <m/>
    <m/>
    <m/>
    <s v="Colombia Floods"/>
    <s v="SUPPLIES: 8,000 ARC Jerry Cans from stock at PADRU shipped to IFRC in Colombia."/>
  </r>
  <r>
    <s v="EQ-2009-000072-ITA"/>
    <n v="223"/>
    <x v="96"/>
    <d v="2009-04-07T00:00:00"/>
    <x v="13"/>
    <n v="21"/>
    <s v="Q4"/>
    <x v="14"/>
    <n v="6"/>
    <x v="3"/>
    <s v="Italy"/>
    <s v="Geophysical"/>
    <x v="3"/>
    <m/>
    <m/>
    <x v="53"/>
    <x v="2"/>
    <m/>
    <m/>
    <m/>
    <m/>
    <m/>
    <s v="Y"/>
    <n v="613944"/>
    <m/>
    <x v="1"/>
    <m/>
    <m/>
    <m/>
    <m/>
    <n v="981315"/>
    <m/>
    <n v="981315"/>
    <m/>
    <m/>
    <m/>
    <m/>
    <m/>
    <m/>
    <m/>
    <m/>
    <m/>
    <m/>
    <m/>
    <m/>
    <m/>
    <m/>
    <m/>
    <m/>
    <m/>
    <m/>
    <m/>
    <m/>
    <n v="981315"/>
    <m/>
    <m/>
    <m/>
    <x v="164"/>
    <x v="1"/>
    <m/>
    <m/>
    <m/>
    <m/>
    <s v="2799/2697"/>
    <m/>
    <m/>
    <m/>
    <m/>
    <m/>
    <m/>
    <m/>
    <s v="N"/>
    <m/>
    <m/>
    <m/>
    <s v="L'Aquila Earthquake"/>
    <s v="CASH: $50,000 to Italian Red Cross from RRF 2799 - later repaid by 2697 when raised; Receiving donor funds to AP 2697 from public and chapters. Additional $522,180 from donor funds sent 5/29/09. Final amount in Aug. 2009"/>
  </r>
  <r>
    <s v="Fl-2009-000062-NAM"/>
    <n v="224"/>
    <x v="215"/>
    <d v="2009-05-15T00:00:00"/>
    <x v="13"/>
    <n v="22"/>
    <s v="Q4"/>
    <x v="14"/>
    <n v="7"/>
    <x v="1"/>
    <s v="Namibia"/>
    <s v="Hydrometerological"/>
    <x v="2"/>
    <m/>
    <m/>
    <x v="54"/>
    <x v="1"/>
    <s v="IFRC"/>
    <n v="1878181"/>
    <s v="MDRNA004"/>
    <n v="2.6621502400460871E-2"/>
    <n v="0.91"/>
    <s v="Y"/>
    <n v="128552"/>
    <n v="20000"/>
    <x v="0"/>
    <m/>
    <n v="1"/>
    <n v="50000"/>
    <m/>
    <m/>
    <m/>
    <n v="50000"/>
    <m/>
    <m/>
    <m/>
    <m/>
    <m/>
    <m/>
    <m/>
    <m/>
    <m/>
    <m/>
    <m/>
    <m/>
    <m/>
    <m/>
    <m/>
    <m/>
    <m/>
    <m/>
    <m/>
    <m/>
    <n v="50000"/>
    <m/>
    <m/>
    <m/>
    <x v="16"/>
    <x v="2"/>
    <m/>
    <m/>
    <m/>
    <m/>
    <n v="2799"/>
    <m/>
    <m/>
    <m/>
    <m/>
    <m/>
    <m/>
    <m/>
    <s v="Y"/>
    <m/>
    <m/>
    <m/>
    <m/>
    <s v="CASH: $50k to IFRC from 2799 earmarked for relief supplies"/>
  </r>
  <r>
    <m/>
    <n v="225"/>
    <x v="216"/>
    <d v="2009-05-15T00:00:00"/>
    <x v="13"/>
    <n v="23"/>
    <s v="Q4"/>
    <x v="14"/>
    <n v="8"/>
    <x v="1"/>
    <s v="Sudan"/>
    <s v="Biological"/>
    <x v="11"/>
    <m/>
    <m/>
    <x v="55"/>
    <x v="1"/>
    <s v="IFRC"/>
    <n v="2200000"/>
    <s v="MDR61004; MDR64004; MDR63002"/>
    <n v="9.0909090909090912E-2"/>
    <s v="various"/>
    <s v="Y"/>
    <n v="315628"/>
    <n v="25000000"/>
    <x v="0"/>
    <m/>
    <n v="1"/>
    <n v="200000"/>
    <m/>
    <m/>
    <m/>
    <n v="200000"/>
    <m/>
    <m/>
    <m/>
    <m/>
    <m/>
    <m/>
    <m/>
    <m/>
    <m/>
    <m/>
    <m/>
    <m/>
    <m/>
    <m/>
    <m/>
    <m/>
    <m/>
    <m/>
    <m/>
    <m/>
    <n v="200000"/>
    <m/>
    <m/>
    <m/>
    <x v="121"/>
    <x v="1"/>
    <m/>
    <m/>
    <m/>
    <m/>
    <n v="2869"/>
    <m/>
    <m/>
    <m/>
    <m/>
    <m/>
    <s v="Y"/>
    <m/>
    <s v="N"/>
    <m/>
    <s v="ARCT Funds used - $200,000"/>
    <m/>
    <s v="Polio - Sudan"/>
    <s v="CASH: $200k to IFRC earmarked for Sudan vaccination campaign from ARCT - funds went out as of August 2009."/>
  </r>
  <r>
    <m/>
    <n v="226"/>
    <x v="217"/>
    <d v="2009-05-15T00:00:00"/>
    <x v="13"/>
    <n v="24"/>
    <s v="Q4"/>
    <x v="14"/>
    <n v="9"/>
    <x v="3"/>
    <s v="Pakistan"/>
    <s v="Human Related"/>
    <x v="8"/>
    <m/>
    <m/>
    <x v="8"/>
    <x v="1"/>
    <s v="IFRC"/>
    <n v="7300000"/>
    <s v="MDRPK003"/>
    <n v="3.4246575342465752E-2"/>
    <n v="0.45"/>
    <m/>
    <m/>
    <n v="91000"/>
    <x v="0"/>
    <m/>
    <n v="1"/>
    <n v="250000"/>
    <m/>
    <m/>
    <m/>
    <n v="250000"/>
    <m/>
    <m/>
    <m/>
    <n v="5150"/>
    <m/>
    <m/>
    <m/>
    <m/>
    <m/>
    <m/>
    <m/>
    <m/>
    <m/>
    <m/>
    <m/>
    <m/>
    <m/>
    <m/>
    <n v="80000"/>
    <m/>
    <n v="330000"/>
    <m/>
    <m/>
    <m/>
    <x v="165"/>
    <x v="2"/>
    <m/>
    <m/>
    <m/>
    <m/>
    <n v="2799"/>
    <m/>
    <m/>
    <m/>
    <m/>
    <m/>
    <m/>
    <m/>
    <s v="Y"/>
    <m/>
    <m/>
    <m/>
    <s v="Pakistan Complex Emergency"/>
    <s v="SUPPLIES: $80,000 bilateral for beds and mattresses to be transported to PRCS for IDP camps. CASH: $250,000 earmarked for NFIs. on June 26 to support Federation Appeal. "/>
  </r>
  <r>
    <s v="TC-2009-000105-BGD"/>
    <n v="227"/>
    <x v="218"/>
    <d v="2009-06-26T00:00:00"/>
    <x v="13"/>
    <n v="25"/>
    <s v="Q4"/>
    <x v="14"/>
    <n v="10"/>
    <x v="3"/>
    <s v="Bangladesh"/>
    <s v="Hydrometerological"/>
    <x v="5"/>
    <m/>
    <m/>
    <x v="56"/>
    <x v="1"/>
    <s v="IFRC"/>
    <n v="2200000"/>
    <s v="MDRBD004"/>
    <n v="0"/>
    <m/>
    <s v="Y"/>
    <n v="230677"/>
    <n v="184000"/>
    <x v="0"/>
    <m/>
    <m/>
    <m/>
    <m/>
    <m/>
    <m/>
    <m/>
    <n v="1"/>
    <m/>
    <n v="1"/>
    <m/>
    <m/>
    <m/>
    <m/>
    <m/>
    <m/>
    <m/>
    <m/>
    <m/>
    <m/>
    <m/>
    <m/>
    <m/>
    <m/>
    <m/>
    <m/>
    <m/>
    <n v="0"/>
    <m/>
    <m/>
    <m/>
    <x v="7"/>
    <x v="1"/>
    <m/>
    <m/>
    <m/>
    <m/>
    <n v="2017"/>
    <m/>
    <m/>
    <m/>
    <m/>
    <m/>
    <m/>
    <m/>
    <s v="N"/>
    <m/>
    <m/>
    <m/>
    <s v="Bangladesh Cyclone Aila"/>
    <s v="PEOPLE: Relief Operations Support Delegate: Travis Betz deployed 4 weeks as a Relief Operations Support Delegate to provide support to the Bangladesh Delegation and affected National Society in response to Cyclone Aila. "/>
  </r>
  <r>
    <s v="FL-2009-000095-TJK"/>
    <n v="228"/>
    <x v="219"/>
    <d v="2009-08-12T00:00:00"/>
    <x v="14"/>
    <n v="1"/>
    <s v="Q1"/>
    <x v="14"/>
    <n v="11"/>
    <x v="3"/>
    <s v="Tajikistan"/>
    <s v="Hydrometerological"/>
    <x v="2"/>
    <m/>
    <m/>
    <x v="57"/>
    <x v="1"/>
    <s v="IFRC"/>
    <n v="806936"/>
    <s v="MDRTJ005"/>
    <n v="1.4251440015069349E-2"/>
    <n v="0.61"/>
    <s v="Y"/>
    <n v="118472"/>
    <n v="4320"/>
    <x v="0"/>
    <n v="165"/>
    <m/>
    <n v="11500"/>
    <m/>
    <m/>
    <m/>
    <n v="11500"/>
    <m/>
    <m/>
    <m/>
    <m/>
    <m/>
    <m/>
    <m/>
    <m/>
    <m/>
    <m/>
    <m/>
    <m/>
    <m/>
    <m/>
    <m/>
    <m/>
    <m/>
    <m/>
    <m/>
    <m/>
    <n v="11500"/>
    <m/>
    <m/>
    <m/>
    <x v="166"/>
    <x v="2"/>
    <m/>
    <m/>
    <m/>
    <m/>
    <n v="2799"/>
    <m/>
    <m/>
    <m/>
    <m/>
    <m/>
    <m/>
    <m/>
    <s v="Y"/>
    <m/>
    <m/>
    <m/>
    <m/>
    <s v="CASH: $11,500 (plus cost recovery) to IFRC Appeal from 2799"/>
  </r>
  <r>
    <s v="DR-2009-00149-SYR"/>
    <n v="229"/>
    <x v="220"/>
    <d v="2009-09-01T00:00:00"/>
    <x v="14"/>
    <n v="2"/>
    <s v="Q1"/>
    <x v="14"/>
    <n v="12"/>
    <x v="3"/>
    <s v="Syria"/>
    <s v="Hydrometerological"/>
    <x v="1"/>
    <m/>
    <m/>
    <x v="58"/>
    <x v="1"/>
    <s v="IFRC"/>
    <n v="3076415"/>
    <s v="MDRSY001"/>
    <n v="1.6252683724399992E-2"/>
    <n v="0.34"/>
    <s v="Y"/>
    <n v="303195"/>
    <n v="260000"/>
    <x v="0"/>
    <m/>
    <n v="1"/>
    <n v="50000"/>
    <m/>
    <m/>
    <m/>
    <n v="50000"/>
    <m/>
    <m/>
    <m/>
    <m/>
    <m/>
    <m/>
    <m/>
    <m/>
    <m/>
    <m/>
    <m/>
    <m/>
    <m/>
    <m/>
    <m/>
    <m/>
    <m/>
    <m/>
    <m/>
    <m/>
    <n v="50000"/>
    <m/>
    <m/>
    <m/>
    <x v="16"/>
    <x v="1"/>
    <m/>
    <m/>
    <m/>
    <m/>
    <n v="2869"/>
    <m/>
    <m/>
    <m/>
    <m/>
    <m/>
    <s v="Y"/>
    <m/>
    <s v="N"/>
    <m/>
    <s v="ARCT Funds used"/>
    <m/>
    <m/>
    <s v="CASH: $50,000 from ARCT for Overlooked Disasters Fund (plus cost recovery to be covered from RRF 2799)"/>
  </r>
  <r>
    <s v="FL-2009-000172-BFA "/>
    <n v="230"/>
    <x v="221"/>
    <d v="2009-09-10T00:00:00"/>
    <x v="14"/>
    <n v="3"/>
    <s v="Q1"/>
    <x v="14"/>
    <n v="13"/>
    <x v="1"/>
    <s v="Burkina Faso"/>
    <s v="Hydrometerological"/>
    <x v="2"/>
    <m/>
    <m/>
    <x v="18"/>
    <x v="1"/>
    <s v="IFRC"/>
    <n v="2600000"/>
    <s v="MDRBF008 &amp; MDRSN002"/>
    <n v="0"/>
    <n v="0.32"/>
    <s v="Y"/>
    <n v="419190"/>
    <n v="40000"/>
    <x v="0"/>
    <m/>
    <m/>
    <m/>
    <m/>
    <m/>
    <m/>
    <n v="0"/>
    <n v="1"/>
    <m/>
    <n v="1"/>
    <m/>
    <m/>
    <n v="7500"/>
    <n v="37500"/>
    <n v="7500"/>
    <n v="7500"/>
    <n v="500"/>
    <n v="7500"/>
    <m/>
    <m/>
    <m/>
    <m/>
    <m/>
    <m/>
    <m/>
    <m/>
    <m/>
    <n v="0"/>
    <m/>
    <m/>
    <m/>
    <x v="7"/>
    <x v="2"/>
    <m/>
    <m/>
    <m/>
    <m/>
    <n v="2799"/>
    <m/>
    <m/>
    <m/>
    <m/>
    <m/>
    <m/>
    <m/>
    <s v="Y"/>
    <m/>
    <m/>
    <m/>
    <m/>
    <s v="PEOPLE: John Manley deployed to Burkina Faso as FACT team member for 1 month. "/>
  </r>
  <r>
    <s v="FL-2009-000164-SEN"/>
    <n v="230"/>
    <x v="222"/>
    <d v="2009-09-10T00:00:00"/>
    <x v="14"/>
    <n v="3"/>
    <s v="Q1"/>
    <x v="14"/>
    <n v="13"/>
    <x v="1"/>
    <s v="Senegal"/>
    <s v="Hydrometerological"/>
    <x v="2"/>
    <m/>
    <m/>
    <x v="59"/>
    <x v="1"/>
    <s v="IFRC"/>
    <n v="2000000"/>
    <s v="MDRBF008 &amp; MDRSN002"/>
    <n v="0"/>
    <n v="0.47"/>
    <s v="Y"/>
    <n v="419190"/>
    <n v="25000"/>
    <x v="0"/>
    <m/>
    <m/>
    <m/>
    <m/>
    <m/>
    <m/>
    <n v="0"/>
    <n v="3"/>
    <s v="Relief ERU"/>
    <n v="3"/>
    <m/>
    <m/>
    <m/>
    <m/>
    <m/>
    <m/>
    <m/>
    <m/>
    <m/>
    <m/>
    <m/>
    <m/>
    <m/>
    <m/>
    <m/>
    <m/>
    <m/>
    <n v="0"/>
    <m/>
    <m/>
    <m/>
    <x v="7"/>
    <x v="2"/>
    <m/>
    <m/>
    <m/>
    <m/>
    <n v="2799"/>
    <m/>
    <m/>
    <m/>
    <m/>
    <m/>
    <m/>
    <m/>
    <s v="Y"/>
    <m/>
    <m/>
    <m/>
    <m/>
    <s v="PEOPLE: 3 ERU team members deployed jointly with DanishRC for 1 month: Steve McAndrew – ERU Team leader, Shinko Mondori- ERU team member, Luis Matnog- ERU team member . ERUs are part of Appeal Mob table so we can claim multilateral beneficiaries."/>
  </r>
  <r>
    <s v="TC-2009-000167-MEX"/>
    <n v="231"/>
    <x v="223"/>
    <d v="2009-09-03T00:00:00"/>
    <x v="14"/>
    <n v="4"/>
    <s v="Q1"/>
    <x v="14"/>
    <n v="14"/>
    <x v="2"/>
    <s v="Mexico"/>
    <s v="Hydrometerological"/>
    <x v="20"/>
    <m/>
    <m/>
    <x v="60"/>
    <x v="2"/>
    <m/>
    <m/>
    <m/>
    <m/>
    <m/>
    <s v="Y"/>
    <n v="319632"/>
    <m/>
    <x v="1"/>
    <n v="15000"/>
    <m/>
    <m/>
    <m/>
    <m/>
    <m/>
    <n v="0"/>
    <n v="1"/>
    <m/>
    <n v="1"/>
    <n v="13840"/>
    <s v="mixed"/>
    <n v="1840"/>
    <m/>
    <m/>
    <m/>
    <m/>
    <n v="3000"/>
    <m/>
    <n v="6000"/>
    <m/>
    <m/>
    <m/>
    <n v="3000"/>
    <m/>
    <n v="259500"/>
    <m/>
    <n v="259500"/>
    <m/>
    <m/>
    <m/>
    <x v="167"/>
    <x v="2"/>
    <m/>
    <m/>
    <m/>
    <m/>
    <s v="2799  + OFDA"/>
    <m/>
    <m/>
    <m/>
    <m/>
    <m/>
    <m/>
    <s v="Y"/>
    <s v="N"/>
    <m/>
    <m/>
    <m/>
    <m/>
    <s v="SUPPLIES: Bilateral to Mexican RC: 1,840 hygiene kits from stock at PADRU, 3,000 kitchen sets from stock at PADRU, 3,000 reconstruction kits to be procured locally. Funding: For 1,840  hygiene kits ($60,000) from 2799; 3,000 kitchen sets ($75,000) from OFDA; 3,000 reconstruction kits ($124,500) from OFDA.  PEOPLE: Jono Anzalone deployed to do M &amp; E for relief distribution."/>
  </r>
  <r>
    <s v="EQ-2009-000173-IDN"/>
    <n v="232"/>
    <x v="224"/>
    <d v="2009-09-02T00:00:00"/>
    <x v="14"/>
    <n v="5"/>
    <s v="Q1"/>
    <x v="14"/>
    <n v="15"/>
    <x v="3"/>
    <s v="Indonesia"/>
    <s v="Geophysical"/>
    <x v="3"/>
    <m/>
    <m/>
    <x v="48"/>
    <x v="2"/>
    <m/>
    <m/>
    <m/>
    <m/>
    <m/>
    <s v="N"/>
    <m/>
    <m/>
    <x v="1"/>
    <m/>
    <m/>
    <m/>
    <m/>
    <m/>
    <m/>
    <n v="0"/>
    <n v="1"/>
    <m/>
    <n v="1"/>
    <m/>
    <m/>
    <m/>
    <m/>
    <m/>
    <m/>
    <m/>
    <m/>
    <m/>
    <m/>
    <m/>
    <m/>
    <m/>
    <m/>
    <m/>
    <m/>
    <m/>
    <n v="0"/>
    <m/>
    <m/>
    <m/>
    <x v="7"/>
    <x v="2"/>
    <m/>
    <m/>
    <m/>
    <m/>
    <n v="2799"/>
    <m/>
    <m/>
    <m/>
    <m/>
    <m/>
    <m/>
    <m/>
    <s v="Y"/>
    <m/>
    <m/>
    <m/>
    <m/>
    <s v="PEOPLE: Cristina Hammond deployed to fill the role of IFRC Shelter Cluster Information Manager for Java Earthquake response - 4 weeks."/>
  </r>
  <r>
    <s v="TC-2009-000205-PHL"/>
    <n v="233"/>
    <x v="225"/>
    <d v="2009-09-02T00:00:00"/>
    <x v="14"/>
    <n v="6"/>
    <s v="Q1"/>
    <x v="14"/>
    <n v="16"/>
    <x v="3"/>
    <s v="Philippines"/>
    <s v="Hydrometerological"/>
    <x v="20"/>
    <m/>
    <m/>
    <x v="10"/>
    <x v="1"/>
    <s v="IFRC"/>
    <n v="6650000"/>
    <s v="MDRPH005"/>
    <n v="8.2706766917293228E-2"/>
    <n v="0.53"/>
    <s v="Y"/>
    <n v="242000"/>
    <n v="200000"/>
    <x v="0"/>
    <n v="50000"/>
    <n v="1"/>
    <n v="550000"/>
    <m/>
    <n v="500000"/>
    <m/>
    <n v="1050000"/>
    <n v="2"/>
    <m/>
    <n v="2"/>
    <n v="22300"/>
    <s v="Y"/>
    <m/>
    <n v="4000"/>
    <n v="10000"/>
    <m/>
    <m/>
    <n v="1500"/>
    <m/>
    <n v="6800"/>
    <m/>
    <m/>
    <m/>
    <m/>
    <m/>
    <n v="118000"/>
    <m/>
    <n v="1168000"/>
    <m/>
    <m/>
    <m/>
    <x v="168"/>
    <x v="1"/>
    <m/>
    <m/>
    <m/>
    <m/>
    <n v="2698"/>
    <m/>
    <m/>
    <m/>
    <m/>
    <m/>
    <m/>
    <s v="Y"/>
    <s v="N"/>
    <m/>
    <s v="OFDA grant for $500,000 for NFIs"/>
    <m/>
    <m/>
    <s v="Philippines: SUPPLIES: approx $118,000 in relief supplies from KL warehouse. CASH: $550,000 = $250,000 PMN to Philippines Appeal for early recovery (plus cost recovery) +$300,000 PMN to Philippines appeal for shelter, relief and watsan (plus cost recovery); plus OFDA grant for $500,000 for locally procured NFIs l w/ARC mgmt through Philippines RC (counted as cash to Ntl Soc). PEOPLE: 1) Mariza Rogers deployed as shelter coordinator delegate for one month - started Oct. 5.  2) Cristina Hammond deployed to implement OFDA NFI distribution Oct. 16 for one month"/>
  </r>
  <r>
    <s v="FL-2009-000207-VNM"/>
    <n v="233"/>
    <x v="226"/>
    <d v="2009-09-02T00:00:00"/>
    <x v="14"/>
    <n v="6"/>
    <s v="Q1"/>
    <x v="14"/>
    <n v="16"/>
    <x v="3"/>
    <s v="Vietnam"/>
    <s v="Hydrometerological"/>
    <x v="20"/>
    <m/>
    <m/>
    <x v="61"/>
    <x v="1"/>
    <s v="IFRC"/>
    <n v="5470000"/>
    <s v="MDRRVN006"/>
    <n v="8.226691042047532E-2"/>
    <n v="0.77"/>
    <s v="Y"/>
    <n v="324167"/>
    <n v="270000"/>
    <x v="0"/>
    <m/>
    <n v="1"/>
    <n v="450000"/>
    <m/>
    <n v="500000"/>
    <m/>
    <n v="950000"/>
    <n v="1"/>
    <m/>
    <n v="1"/>
    <m/>
    <m/>
    <m/>
    <m/>
    <m/>
    <m/>
    <m/>
    <m/>
    <m/>
    <m/>
    <m/>
    <m/>
    <m/>
    <m/>
    <m/>
    <m/>
    <m/>
    <n v="950000"/>
    <n v="1200000"/>
    <m/>
    <m/>
    <x v="169"/>
    <x v="1"/>
    <m/>
    <m/>
    <m/>
    <m/>
    <n v="2698"/>
    <m/>
    <m/>
    <m/>
    <m/>
    <m/>
    <m/>
    <s v="Y"/>
    <s v="N"/>
    <m/>
    <s v="OFDA grant for $500,000 for cash transfer programming"/>
    <m/>
    <m/>
    <s v="Vietnam: CASH: Cash: $450,000 total:  $50,000 PMN Oct. 2 + $300,000 PMN Oct. 5 to Federation Vietnam Appeal - earmarked for shelter, NFIs and Wat/San + $100,000 PMN to Vietnam Appeal for DRR (plus cost recovery). OFDA grant for $500,000 for cash programming; PEOPLE: Michael Zeleke delegate to Vietnam to work on cash programming."/>
  </r>
  <r>
    <s v="TS-2009-000211-IDN"/>
    <n v="234"/>
    <x v="227"/>
    <d v="2009-09-02T00:00:00"/>
    <x v="14"/>
    <n v="7"/>
    <s v="Q1"/>
    <x v="14"/>
    <n v="17"/>
    <x v="3"/>
    <s v="Indonesia"/>
    <s v="Geophysical"/>
    <x v="3"/>
    <m/>
    <m/>
    <x v="10"/>
    <x v="1"/>
    <s v="IFRC"/>
    <n v="18600000"/>
    <s v="MDRID004"/>
    <n v="4.8387096774193547E-2"/>
    <n v="0.93"/>
    <s v="Y"/>
    <n v="227106"/>
    <n v="100000"/>
    <x v="0"/>
    <n v="25000"/>
    <n v="1"/>
    <m/>
    <m/>
    <n v="500000"/>
    <m/>
    <n v="500000"/>
    <n v="1"/>
    <m/>
    <n v="1"/>
    <n v="44181"/>
    <s v="Y"/>
    <m/>
    <n v="20981"/>
    <m/>
    <m/>
    <m/>
    <m/>
    <m/>
    <n v="13200"/>
    <m/>
    <n v="10000"/>
    <m/>
    <m/>
    <m/>
    <n v="400000"/>
    <m/>
    <n v="900000"/>
    <n v="764192.86"/>
    <m/>
    <m/>
    <x v="170"/>
    <x v="1"/>
    <m/>
    <m/>
    <m/>
    <m/>
    <n v="2930"/>
    <m/>
    <m/>
    <m/>
    <m/>
    <m/>
    <m/>
    <s v="Y"/>
    <s v="N"/>
    <m/>
    <s v="OFDA grant for $500,000 for NFIs"/>
    <m/>
    <m/>
    <s v="CASH: OFDA grant for $500,000 to fund NFIs; SUPPLIES: 44,180 supplies (cost: $400,000) from KL warehouse; PEOPLE: Alex Mahoney onsite 3 weeks to coordinate OFDA NFIs distribution."/>
  </r>
  <r>
    <s v="2009-000209 - ASM; 2009-000210-WSM"/>
    <n v="235"/>
    <x v="228"/>
    <d v="2009-10-01T00:00:00"/>
    <x v="14"/>
    <n v="8"/>
    <s v="Q2"/>
    <x v="14"/>
    <n v="18"/>
    <x v="3"/>
    <s v="Samoa"/>
    <s v="Hydrometerological"/>
    <x v="16"/>
    <m/>
    <m/>
    <x v="62"/>
    <x v="1"/>
    <s v="IFRC"/>
    <n v="2450000"/>
    <s v="MDRWS001"/>
    <n v="4.0816326530612242E-2"/>
    <n v="0.25"/>
    <s v="Y"/>
    <n v="313729"/>
    <n v="5000"/>
    <x v="0"/>
    <n v="2500"/>
    <n v="1"/>
    <n v="100000"/>
    <m/>
    <m/>
    <m/>
    <n v="100000"/>
    <m/>
    <m/>
    <m/>
    <m/>
    <m/>
    <m/>
    <m/>
    <m/>
    <m/>
    <m/>
    <m/>
    <m/>
    <m/>
    <m/>
    <m/>
    <m/>
    <m/>
    <m/>
    <m/>
    <m/>
    <n v="100000"/>
    <m/>
    <m/>
    <m/>
    <x v="5"/>
    <x v="2"/>
    <m/>
    <m/>
    <m/>
    <m/>
    <n v="2799"/>
    <m/>
    <m/>
    <m/>
    <m/>
    <m/>
    <m/>
    <m/>
    <s v="Y"/>
    <m/>
    <m/>
    <m/>
    <m/>
    <s v="CASH: $100,000 PMN to Federation Appeal from Rapid Response Fund"/>
  </r>
  <r>
    <s v="FL-2009-000217-IND"/>
    <n v="236"/>
    <x v="33"/>
    <d v="2009-10-27T00:00:00"/>
    <x v="14"/>
    <n v="9"/>
    <s v="Q2"/>
    <x v="14"/>
    <n v="19"/>
    <x v="3"/>
    <s v="India"/>
    <s v="Hydrometerological"/>
    <x v="2"/>
    <m/>
    <m/>
    <x v="63"/>
    <x v="1"/>
    <s v="NS"/>
    <n v="3100000"/>
    <s v="MDRIN004"/>
    <n v="0"/>
    <m/>
    <s v="Y"/>
    <n v="51364"/>
    <n v="125000"/>
    <x v="0"/>
    <m/>
    <m/>
    <m/>
    <m/>
    <m/>
    <m/>
    <n v="0"/>
    <m/>
    <m/>
    <m/>
    <n v="7500"/>
    <s v="N"/>
    <m/>
    <m/>
    <m/>
    <m/>
    <m/>
    <n v="7500"/>
    <m/>
    <m/>
    <m/>
    <m/>
    <m/>
    <m/>
    <m/>
    <n v="190000"/>
    <m/>
    <n v="190000"/>
    <m/>
    <m/>
    <m/>
    <x v="171"/>
    <x v="1"/>
    <m/>
    <m/>
    <m/>
    <m/>
    <s v="2003/2695"/>
    <m/>
    <m/>
    <m/>
    <m/>
    <m/>
    <m/>
    <m/>
    <s v="N"/>
    <m/>
    <m/>
    <m/>
    <m/>
    <s v="SUPPLIES: In response to Indian RC national appeal, ARC locally procured approx 2,700 kitchen sets to deliver to Indian RC, using APs 2003 (India R &amp; D) and 2695 (TRP funds for Andra Pradesh DM) - this effectively closes out these APs ($190,000 spent total)"/>
  </r>
  <r>
    <s v="DR-2009-000197-KEN"/>
    <n v="237"/>
    <x v="229"/>
    <d v="2009-11-05T00:00:00"/>
    <x v="14"/>
    <n v="10"/>
    <s v="Q2"/>
    <x v="14"/>
    <n v="20"/>
    <x v="1"/>
    <s v="Kenya"/>
    <s v="Hydrometerological"/>
    <x v="1"/>
    <m/>
    <m/>
    <x v="64"/>
    <x v="1"/>
    <s v="IFRC"/>
    <n v="8427856"/>
    <s v="MDRKE009"/>
    <n v="1.1865413932084269E-2"/>
    <n v="0.06"/>
    <s v="Y"/>
    <n v="500000"/>
    <n v="1692428"/>
    <x v="0"/>
    <n v="21668"/>
    <n v="1"/>
    <n v="100000"/>
    <m/>
    <m/>
    <m/>
    <n v="100000"/>
    <m/>
    <m/>
    <m/>
    <m/>
    <m/>
    <m/>
    <m/>
    <m/>
    <m/>
    <m/>
    <m/>
    <m/>
    <m/>
    <m/>
    <m/>
    <m/>
    <m/>
    <m/>
    <m/>
    <m/>
    <n v="100000"/>
    <m/>
    <m/>
    <m/>
    <x v="5"/>
    <x v="2"/>
    <m/>
    <m/>
    <m/>
    <m/>
    <n v="2799"/>
    <m/>
    <m/>
    <m/>
    <m/>
    <m/>
    <m/>
    <m/>
    <s v="Y"/>
    <m/>
    <m/>
    <m/>
    <m/>
    <s v="CASH: $100,000 PMN to Federation Appeal from Rapid Response Fund earmarked for seeds."/>
  </r>
  <r>
    <s v="FL-2009-000206-HTI"/>
    <n v="238"/>
    <x v="120"/>
    <d v="2009-11-12T00:00:00"/>
    <x v="14"/>
    <n v="11"/>
    <s v="Q2"/>
    <x v="14"/>
    <n v="21"/>
    <x v="2"/>
    <s v="Haiti"/>
    <s v="Hydrometerological"/>
    <x v="2"/>
    <m/>
    <m/>
    <x v="65"/>
    <x v="2"/>
    <m/>
    <m/>
    <m/>
    <m/>
    <m/>
    <s v="Y"/>
    <n v="103918"/>
    <n v="2500"/>
    <x v="1"/>
    <m/>
    <m/>
    <m/>
    <m/>
    <m/>
    <m/>
    <n v="0"/>
    <n v="1"/>
    <m/>
    <n v="1"/>
    <m/>
    <m/>
    <m/>
    <m/>
    <m/>
    <m/>
    <m/>
    <m/>
    <m/>
    <m/>
    <m/>
    <m/>
    <m/>
    <m/>
    <m/>
    <m/>
    <m/>
    <n v="0"/>
    <m/>
    <m/>
    <m/>
    <x v="7"/>
    <x v="1"/>
    <m/>
    <m/>
    <m/>
    <m/>
    <n v="2885"/>
    <m/>
    <m/>
    <m/>
    <m/>
    <m/>
    <m/>
    <m/>
    <s v="N"/>
    <m/>
    <m/>
    <m/>
    <m/>
    <s v="PEOPLE: John Manley deployed to Haiti NRC as a RIT for DREF operation."/>
  </r>
  <r>
    <s v="FL-2009-000238-SLV"/>
    <n v="239"/>
    <x v="230"/>
    <d v="2009-11-16T00:00:00"/>
    <x v="14"/>
    <n v="12"/>
    <s v="Q2"/>
    <x v="14"/>
    <n v="22"/>
    <x v="2"/>
    <s v="El Salvador"/>
    <s v="Hydrometerological"/>
    <x v="2"/>
    <m/>
    <m/>
    <x v="66"/>
    <x v="1"/>
    <s v="IFRC"/>
    <n v="1681039"/>
    <s v="MDRSV002"/>
    <n v="0.14491335418155082"/>
    <n v="0.92"/>
    <s v="Y"/>
    <n v="180614"/>
    <n v="10000"/>
    <x v="0"/>
    <m/>
    <n v="1"/>
    <n v="243605"/>
    <m/>
    <m/>
    <m/>
    <n v="243605"/>
    <m/>
    <m/>
    <m/>
    <n v="1000"/>
    <s v="Y"/>
    <n v="500"/>
    <m/>
    <m/>
    <m/>
    <m/>
    <n v="500"/>
    <m/>
    <m/>
    <m/>
    <m/>
    <m/>
    <m/>
    <m/>
    <n v="31240"/>
    <m/>
    <n v="274845"/>
    <m/>
    <m/>
    <m/>
    <x v="172"/>
    <x v="1"/>
    <m/>
    <m/>
    <m/>
    <m/>
    <n v="2882"/>
    <m/>
    <m/>
    <m/>
    <m/>
    <m/>
    <s v="Y"/>
    <m/>
    <s v="N"/>
    <m/>
    <s v="UPS donated $50,000; ARCT Funds applied for as of 11/18/09"/>
    <s v="ARCT"/>
    <m/>
    <s v="CASH: $193,603 to Federation Appeal earmarked for transitional shelter; SUPPLIES: $24,500 in kitchen sets and hygiene kits. "/>
  </r>
  <r>
    <s v="EQ-2010-000009-HTI"/>
    <n v="240"/>
    <x v="231"/>
    <d v="2010-01-12T00:00:00"/>
    <x v="14"/>
    <n v="13"/>
    <s v="Q3"/>
    <x v="15"/>
    <n v="1"/>
    <x v="2"/>
    <s v="Haiti"/>
    <s v="Geophysical"/>
    <x v="3"/>
    <m/>
    <m/>
    <x v="8"/>
    <x v="1"/>
    <s v="IFRC"/>
    <n v="200000000"/>
    <s v="MDRHT008"/>
    <m/>
    <n v="0.94"/>
    <s v="Y"/>
    <n v="491265"/>
    <n v="400000"/>
    <x v="0"/>
    <m/>
    <n v="1"/>
    <n v="30000000"/>
    <n v="4377346.43"/>
    <m/>
    <m/>
    <m/>
    <n v="82"/>
    <s v=" IT/Telecoms; Relief ERU"/>
    <n v="85"/>
    <n v="5143307"/>
    <s v="Y"/>
    <m/>
    <m/>
    <m/>
    <m/>
    <m/>
    <m/>
    <m/>
    <m/>
    <m/>
    <m/>
    <m/>
    <m/>
    <m/>
    <n v="15266353"/>
    <m/>
    <n v="139611532"/>
    <n v="337000000"/>
    <m/>
    <m/>
    <x v="173"/>
    <x v="1"/>
    <m/>
    <m/>
    <m/>
    <m/>
    <n v="2888"/>
    <m/>
    <m/>
    <m/>
    <m/>
    <m/>
    <m/>
    <m/>
    <s v="N"/>
    <m/>
    <s v="various - notably online and text donations from individuals; telethons. "/>
    <s v="definitely!"/>
    <n v="476611532"/>
    <s v="As of June 30 2010: CASH &amp; SUPPLIES: See detailed donor report, mob table, etc. for specific amounts to Federation, amount spent, etc. Raised: $468 million. PEOPLE: 65+ deployed to Haiti, DR and PADRU: Relief and IT/Telecoms ERU deployed, and various delegates to Fed and ARC delegation in Haiti, to Fed at PADRU, to Fed logistics in Santo Domingo, DR, plus NHQ to backfill. See the Deployments History tab in this spreadsheet or the RAPs for list of all personnel deploying and roles. "/>
  </r>
  <r>
    <s v="FL-2009-000264-TZA"/>
    <n v="241"/>
    <x v="232"/>
    <d v="2010-01-25T00:00:00"/>
    <x v="14"/>
    <n v="14"/>
    <s v="Q3"/>
    <x v="15"/>
    <n v="2"/>
    <x v="1"/>
    <s v="Tanzania"/>
    <m/>
    <x v="2"/>
    <m/>
    <m/>
    <x v="31"/>
    <x v="1"/>
    <s v="IFRC"/>
    <n v="1625152"/>
    <s v="MDRTZ010"/>
    <n v="0.44"/>
    <n v="0.89"/>
    <s v="Y"/>
    <n v="313536"/>
    <n v="23000"/>
    <x v="0"/>
    <m/>
    <n v="1"/>
    <n v="200000"/>
    <m/>
    <m/>
    <m/>
    <n v="200000"/>
    <m/>
    <m/>
    <m/>
    <m/>
    <m/>
    <m/>
    <m/>
    <m/>
    <m/>
    <m/>
    <m/>
    <m/>
    <m/>
    <m/>
    <m/>
    <m/>
    <m/>
    <m/>
    <m/>
    <m/>
    <n v="200000"/>
    <m/>
    <m/>
    <m/>
    <x v="121"/>
    <x v="1"/>
    <m/>
    <m/>
    <m/>
    <m/>
    <n v="2869"/>
    <m/>
    <m/>
    <m/>
    <m/>
    <m/>
    <s v="Y"/>
    <m/>
    <s v="N"/>
    <m/>
    <s v="ARCT funds - $200,000"/>
    <s v="ARCT"/>
    <m/>
    <s v="CASH: Anne Ray Charitable Trust funds applied $200,000 towards water and sanitation equipment."/>
  </r>
  <r>
    <s v="EQ-2010-000034-CHL "/>
    <n v="242"/>
    <x v="233"/>
    <d v="2010-02-27T00:00:00"/>
    <x v="14"/>
    <n v="15"/>
    <s v="Q3"/>
    <x v="15"/>
    <n v="3"/>
    <x v="2"/>
    <s v="Chile"/>
    <m/>
    <x v="3"/>
    <m/>
    <m/>
    <x v="8"/>
    <x v="1"/>
    <s v="IFRC"/>
    <n v="6400000"/>
    <s v="MDRCL006"/>
    <n v="8.5000000000000006E-2"/>
    <n v="0.79"/>
    <s v="Y"/>
    <n v="279350"/>
    <n v="100000"/>
    <x v="0"/>
    <m/>
    <n v="1"/>
    <n v="500000"/>
    <m/>
    <n v="500000"/>
    <m/>
    <n v="1000000"/>
    <n v="2"/>
    <m/>
    <n v="2"/>
    <n v="6160"/>
    <s v="Y"/>
    <n v="1160"/>
    <m/>
    <n v="5000"/>
    <m/>
    <m/>
    <m/>
    <m/>
    <m/>
    <m/>
    <m/>
    <m/>
    <m/>
    <m/>
    <n v="96000"/>
    <m/>
    <n v="1096000"/>
    <n v="5304000"/>
    <m/>
    <m/>
    <x v="174"/>
    <x v="1"/>
    <m/>
    <m/>
    <m/>
    <m/>
    <n v="2896"/>
    <m/>
    <m/>
    <m/>
    <m/>
    <m/>
    <m/>
    <m/>
    <s v="N"/>
    <m/>
    <m/>
    <m/>
    <m/>
    <s v="CASH: $50,000 made available from IRF as initial response. $450,000 made available in subsequent week. SUPPLIES: 5,000 jerry cans; 1,160 hygiene kits. PEOPLE: Alvaro Garita  - Relief delegate, Gonzalo Aquino - Water and Sanitation  delegate."/>
  </r>
  <r>
    <s v="EQ-2010-000073-CHN"/>
    <n v="243"/>
    <x v="104"/>
    <d v="2010-04-10T00:00:00"/>
    <x v="14"/>
    <n v="16"/>
    <s v="Q4"/>
    <x v="15"/>
    <n v="4"/>
    <x v="3"/>
    <s v="China"/>
    <m/>
    <x v="3"/>
    <m/>
    <m/>
    <x v="60"/>
    <x v="1"/>
    <s v="NS"/>
    <m/>
    <m/>
    <m/>
    <m/>
    <m/>
    <m/>
    <s v="tbd"/>
    <x v="0"/>
    <m/>
    <m/>
    <n v="0"/>
    <m/>
    <n v="500000"/>
    <m/>
    <n v="500000"/>
    <m/>
    <m/>
    <m/>
    <m/>
    <m/>
    <m/>
    <n v="198970"/>
    <m/>
    <m/>
    <m/>
    <m/>
    <m/>
    <m/>
    <m/>
    <m/>
    <m/>
    <m/>
    <m/>
    <m/>
    <m/>
    <n v="500000"/>
    <m/>
    <n v="500000"/>
    <m/>
    <x v="175"/>
    <x v="1"/>
    <m/>
    <m/>
    <m/>
    <m/>
    <n v="2571"/>
    <m/>
    <m/>
    <m/>
    <m/>
    <m/>
    <m/>
    <m/>
    <s v="N"/>
    <m/>
    <m/>
    <m/>
    <m/>
    <s v="National Society has issued it own appeal. ARC decided to contribute $500,000 after June 30 2010.  An additional $500,000 will go to future community disaster preparedness."/>
  </r>
  <r>
    <s v="CW-2010-000010-MNG"/>
    <n v="244"/>
    <x v="234"/>
    <d v="2010-05-10T00:00:00"/>
    <x v="14"/>
    <n v="17"/>
    <s v="Q4"/>
    <x v="15"/>
    <n v="5"/>
    <x v="3"/>
    <s v="Mongolia"/>
    <m/>
    <x v="21"/>
    <m/>
    <m/>
    <x v="67"/>
    <x v="1"/>
    <s v="IFRC"/>
    <n v="991697"/>
    <s v="    MDRMN004"/>
    <n v="0.32"/>
    <n v="0.35"/>
    <s v="Y"/>
    <n v="93924"/>
    <n v="13600"/>
    <x v="0"/>
    <m/>
    <n v="1"/>
    <n v="145000"/>
    <m/>
    <m/>
    <m/>
    <n v="145000"/>
    <m/>
    <m/>
    <m/>
    <m/>
    <m/>
    <m/>
    <m/>
    <m/>
    <m/>
    <m/>
    <m/>
    <m/>
    <m/>
    <m/>
    <m/>
    <m/>
    <m/>
    <m/>
    <m/>
    <m/>
    <n v="145000"/>
    <m/>
    <m/>
    <m/>
    <x v="176"/>
    <x v="1"/>
    <m/>
    <m/>
    <m/>
    <m/>
    <n v="2869"/>
    <m/>
    <m/>
    <m/>
    <m/>
    <m/>
    <s v="Y"/>
    <m/>
    <s v="N"/>
    <m/>
    <s v="ARCT"/>
    <s v="ARCT"/>
    <m/>
    <s v="CASH: $145,000 contribution made to Federation appeal from Anne Ray Charitable Trust (ARCT) funds"/>
  </r>
  <r>
    <m/>
    <n v="245"/>
    <x v="235"/>
    <d v="2010-05-20T00:00:00"/>
    <x v="14"/>
    <n v="18"/>
    <s v="Q4"/>
    <x v="15"/>
    <n v="6"/>
    <x v="3"/>
    <s v="Nepal"/>
    <m/>
    <x v="11"/>
    <m/>
    <m/>
    <x v="68"/>
    <x v="1"/>
    <s v="IFRC"/>
    <n v="664175"/>
    <m/>
    <m/>
    <m/>
    <s v="Y"/>
    <n v="179855"/>
    <n v="189000"/>
    <x v="0"/>
    <m/>
    <n v="1"/>
    <n v="50000"/>
    <m/>
    <m/>
    <m/>
    <n v="50000"/>
    <m/>
    <m/>
    <m/>
    <m/>
    <m/>
    <m/>
    <m/>
    <m/>
    <m/>
    <m/>
    <m/>
    <m/>
    <m/>
    <m/>
    <m/>
    <m/>
    <m/>
    <m/>
    <m/>
    <m/>
    <n v="50000"/>
    <m/>
    <m/>
    <m/>
    <x v="16"/>
    <x v="2"/>
    <m/>
    <m/>
    <m/>
    <m/>
    <n v="2799"/>
    <m/>
    <m/>
    <m/>
    <m/>
    <m/>
    <m/>
    <m/>
    <s v="Y"/>
    <m/>
    <m/>
    <m/>
    <m/>
    <s v="CASH: $50,000 towards Federation appeal."/>
  </r>
  <r>
    <s v="TC-2010-000105-GTM"/>
    <n v="246"/>
    <x v="236"/>
    <d v="2010-06-01T00:00:00"/>
    <x v="14"/>
    <n v="19"/>
    <s v="Q4"/>
    <x v="15"/>
    <n v="7"/>
    <x v="2"/>
    <s v="Guatemala"/>
    <m/>
    <x v="17"/>
    <m/>
    <m/>
    <x v="69"/>
    <x v="1"/>
    <s v="IFRC"/>
    <n v="1112170"/>
    <s v="MDRGT002"/>
    <n v="8.9914311660987081E-2"/>
    <m/>
    <s v="Y"/>
    <n v="307254"/>
    <n v="7500"/>
    <x v="0"/>
    <n v="1250"/>
    <n v="1"/>
    <n v="100000"/>
    <m/>
    <m/>
    <m/>
    <n v="100000"/>
    <m/>
    <m/>
    <m/>
    <n v="9900"/>
    <s v="Y"/>
    <n v="1000"/>
    <n v="7500"/>
    <n v="900"/>
    <m/>
    <m/>
    <n v="500"/>
    <m/>
    <m/>
    <m/>
    <m/>
    <m/>
    <m/>
    <m/>
    <n v="80000"/>
    <m/>
    <n v="180000"/>
    <m/>
    <m/>
    <m/>
    <x v="177"/>
    <x v="2"/>
    <m/>
    <m/>
    <m/>
    <m/>
    <n v="2799"/>
    <m/>
    <m/>
    <m/>
    <m/>
    <m/>
    <m/>
    <m/>
    <s v="Y"/>
    <m/>
    <m/>
    <m/>
    <m/>
    <s v="CASH: $100,000 to Federation appeal. SUPPLIES: $80,000 in relief supplies from PADRU."/>
  </r>
  <r>
    <s v="OT-2010-000113-KGZ"/>
    <n v="247"/>
    <x v="237"/>
    <d v="2010-06-01T00:00:00"/>
    <x v="14"/>
    <n v="20"/>
    <s v="Q4"/>
    <x v="15"/>
    <n v="8"/>
    <x v="3"/>
    <s v="Kyrgyzstan"/>
    <m/>
    <x v="8"/>
    <m/>
    <m/>
    <x v="70"/>
    <x v="1"/>
    <s v="ICRC /IFRC"/>
    <s v="8800000 +1166159"/>
    <s v="MDRUZ002"/>
    <m/>
    <m/>
    <s v="Y"/>
    <n v="269348"/>
    <n v="124000"/>
    <x v="0"/>
    <m/>
    <n v="1"/>
    <n v="50000"/>
    <n v="50000"/>
    <m/>
    <m/>
    <n v="100000"/>
    <m/>
    <m/>
    <m/>
    <m/>
    <m/>
    <m/>
    <m/>
    <m/>
    <m/>
    <m/>
    <m/>
    <m/>
    <m/>
    <m/>
    <m/>
    <m/>
    <m/>
    <m/>
    <m/>
    <m/>
    <n v="100000"/>
    <m/>
    <m/>
    <m/>
    <x v="5"/>
    <x v="1"/>
    <m/>
    <m/>
    <m/>
    <m/>
    <s v="2955/2799"/>
    <m/>
    <m/>
    <m/>
    <m/>
    <m/>
    <m/>
    <m/>
    <s v="Y"/>
    <m/>
    <m/>
    <m/>
    <m/>
    <s v="CASH: $50,000 to ICRC Kyrgyzstan appeal; $50,000 to IFRC Kyrgyzstan appeal; $100,000 to IFRC Uzbekistan appeal (this amount from GM donation). "/>
  </r>
  <r>
    <s v="OT-2010-000113-KGZ"/>
    <n v="247"/>
    <x v="237"/>
    <d v="2010-06-01T00:00:00"/>
    <x v="14"/>
    <n v="20"/>
    <s v="Q4"/>
    <x v="15"/>
    <n v="8"/>
    <x v="3"/>
    <s v="Uzbekistan"/>
    <m/>
    <x v="8"/>
    <m/>
    <m/>
    <x v="0"/>
    <x v="1"/>
    <s v="IFRC"/>
    <n v="911836"/>
    <s v="MDRKG007"/>
    <n v="0.10966884395878206"/>
    <m/>
    <m/>
    <m/>
    <n v="5265"/>
    <x v="0"/>
    <m/>
    <n v="1"/>
    <n v="100000"/>
    <m/>
    <m/>
    <m/>
    <n v="100000"/>
    <m/>
    <m/>
    <m/>
    <m/>
    <m/>
    <m/>
    <m/>
    <m/>
    <m/>
    <m/>
    <m/>
    <m/>
    <m/>
    <m/>
    <m/>
    <m/>
    <m/>
    <m/>
    <m/>
    <m/>
    <n v="100000"/>
    <m/>
    <m/>
    <m/>
    <x v="5"/>
    <x v="1"/>
    <m/>
    <m/>
    <m/>
    <m/>
    <s v="2955/2799"/>
    <m/>
    <m/>
    <m/>
    <m/>
    <m/>
    <m/>
    <m/>
    <s v="Y"/>
    <m/>
    <m/>
    <m/>
    <m/>
    <s v="see above"/>
  </r>
  <r>
    <s v="FL-2010-00141-PAK"/>
    <n v="248"/>
    <x v="238"/>
    <d v="2010-08-02T00:00:00"/>
    <x v="15"/>
    <n v="1"/>
    <s v="Q1"/>
    <x v="15"/>
    <n v="9"/>
    <x v="3"/>
    <s v="Pakistan"/>
    <m/>
    <x v="2"/>
    <m/>
    <m/>
    <x v="71"/>
    <x v="1"/>
    <s v="IFRC &amp; ICRC"/>
    <n v="148500000"/>
    <s v="MDRPK006"/>
    <n v="2.7609427609427608E-2"/>
    <m/>
    <s v="Y"/>
    <n v="239406"/>
    <n v="2600000"/>
    <x v="0"/>
    <m/>
    <n v="1"/>
    <n v="4100000"/>
    <m/>
    <m/>
    <m/>
    <n v="4850000"/>
    <n v="2"/>
    <m/>
    <n v="2"/>
    <n v="99900"/>
    <s v="Y"/>
    <m/>
    <n v="35000"/>
    <n v="15000"/>
    <n v="3650"/>
    <m/>
    <n v="10000"/>
    <m/>
    <n v="20000"/>
    <m/>
    <n v="10000"/>
    <m/>
    <n v="6250"/>
    <m/>
    <n v="824977"/>
    <m/>
    <n v="5674977"/>
    <n v="2525023"/>
    <m/>
    <m/>
    <x v="178"/>
    <x v="2"/>
    <m/>
    <m/>
    <m/>
    <m/>
    <n v="2799"/>
    <m/>
    <n v="2699"/>
    <m/>
    <m/>
    <m/>
    <m/>
    <m/>
    <s v="Y"/>
    <m/>
    <m/>
    <m/>
    <m/>
    <s v="CASH: $100,000 PMN to Federation Appeal from AP2799/RRF - not to be replenished; $3,000,000 ($3M) PMN to Federation Appeal from AP2699 earmarked for relief &amp; emergency shelter;  $300,000 PMN to Federation Appeal from AP 2699 earmarked for relief &amp; emergency shelter; $700,000 PMN to Federation Appeal from AP2699 earmarked for relief; $1,000,000 allocated to contribution to the Measles Initiative, recipient organization TBD._x000a_SUPPLIES: Relief supplies from both KL and Dubai warehouses - emptied both - approx $1M total including transport; PEOPLE: Robin Younger and Christophe Lobry-Boulanger deployed fro Relief coordination cell to PRCS support. Raj Zafar was used from Federation Delegation for surge support for  Federation in Islamabad._x000a_$8.2M raised - remainder put into 'early recovery' column"/>
  </r>
  <r>
    <m/>
    <n v="249"/>
    <x v="6"/>
    <d v="2010-10-01T00:00:00"/>
    <x v="15"/>
    <n v="2"/>
    <s v="Q2"/>
    <x v="15"/>
    <n v="10"/>
    <x v="2"/>
    <s v="Mexico"/>
    <m/>
    <x v="2"/>
    <m/>
    <m/>
    <x v="21"/>
    <x v="2"/>
    <m/>
    <m/>
    <m/>
    <m/>
    <m/>
    <s v="N"/>
    <m/>
    <m/>
    <x v="1"/>
    <n v="50000"/>
    <m/>
    <m/>
    <m/>
    <n v="200000"/>
    <m/>
    <n v="200000"/>
    <m/>
    <m/>
    <m/>
    <m/>
    <m/>
    <m/>
    <m/>
    <m/>
    <m/>
    <m/>
    <m/>
    <m/>
    <m/>
    <m/>
    <m/>
    <m/>
    <m/>
    <m/>
    <m/>
    <m/>
    <n v="200000"/>
    <m/>
    <m/>
    <m/>
    <x v="121"/>
    <x v="2"/>
    <m/>
    <m/>
    <m/>
    <m/>
    <s v="2869/ARCT"/>
    <m/>
    <m/>
    <m/>
    <m/>
    <m/>
    <s v="Y"/>
    <m/>
    <s v="N"/>
    <m/>
    <s v="ARCT funds - $200,000"/>
    <s v="ARCT"/>
    <m/>
    <s v="CASH: $200,000 bilateral contribution/grant letter to Mexican Red Cross for relief - paid by ARCT funds."/>
  </r>
  <r>
    <s v="FL-2010-00194-VNM"/>
    <n v="250"/>
    <x v="21"/>
    <d v="2010-10-18T00:00:00"/>
    <x v="15"/>
    <n v="3"/>
    <s v="Q2"/>
    <x v="15"/>
    <n v="11"/>
    <x v="3"/>
    <s v="Vietnam"/>
    <m/>
    <x v="2"/>
    <m/>
    <m/>
    <x v="72"/>
    <x v="1"/>
    <s v="IFRC"/>
    <n v="1080000"/>
    <s v="MDRVN007"/>
    <n v="2.7777777777777776E-2"/>
    <m/>
    <s v="Y"/>
    <n v="160853"/>
    <n v="120000"/>
    <x v="0"/>
    <m/>
    <m/>
    <n v="30000"/>
    <m/>
    <m/>
    <m/>
    <n v="30000"/>
    <m/>
    <m/>
    <m/>
    <m/>
    <m/>
    <m/>
    <m/>
    <m/>
    <m/>
    <m/>
    <m/>
    <m/>
    <m/>
    <m/>
    <m/>
    <m/>
    <m/>
    <m/>
    <m/>
    <m/>
    <n v="30000"/>
    <m/>
    <m/>
    <m/>
    <x v="163"/>
    <x v="2"/>
    <m/>
    <m/>
    <m/>
    <m/>
    <n v="2799"/>
    <m/>
    <m/>
    <m/>
    <m/>
    <m/>
    <m/>
    <m/>
    <s v="Y"/>
    <m/>
    <m/>
    <m/>
    <m/>
    <s v="CASH: $30,000 PMN to Federation Appeal from 2799 (RRF) earmarked for relief."/>
  </r>
  <r>
    <s v="EP-2010-000210-HTI"/>
    <n v="251"/>
    <x v="239"/>
    <d v="2010-10-24T00:00:00"/>
    <x v="15"/>
    <n v="4"/>
    <s v="Q2"/>
    <x v="15"/>
    <n v="12"/>
    <x v="2"/>
    <s v="Haiti/ Dominican  Republic"/>
    <m/>
    <x v="11"/>
    <m/>
    <m/>
    <x v="0"/>
    <x v="1"/>
    <s v="IFRC"/>
    <n v="6000000"/>
    <s v="MDR49007"/>
    <n v="0.36102216666666664"/>
    <m/>
    <s v="Y"/>
    <n v="80618"/>
    <n v="1500000"/>
    <x v="0"/>
    <m/>
    <n v="1"/>
    <n v="2166133"/>
    <m/>
    <m/>
    <m/>
    <n v="2320081"/>
    <m/>
    <m/>
    <m/>
    <m/>
    <m/>
    <m/>
    <m/>
    <m/>
    <m/>
    <m/>
    <m/>
    <m/>
    <m/>
    <m/>
    <m/>
    <m/>
    <m/>
    <m/>
    <n v="694910"/>
    <m/>
    <n v="16068357"/>
    <m/>
    <m/>
    <m/>
    <x v="179"/>
    <x v="1"/>
    <s v="P"/>
    <m/>
    <m/>
    <m/>
    <n v="2888"/>
    <m/>
    <m/>
    <m/>
    <m/>
    <m/>
    <m/>
    <m/>
    <s v="N"/>
    <m/>
    <m/>
    <m/>
    <m/>
    <s v="Spent figure directly from HAP as of May 2011. ARC committed to spend $14 million on Cholera. See HAP for additional details._x000a_CASH: $566,133 PMN to Federation Appeal: $537,500 earmarked for Haiti AP2888; $28,634 earmarked for Dominican Republic from AP2884; $1.6 million PMN for relief supplies; Funding transportation/flights of supplies for Partners in Health etc. Funding supplies, etc._x000a_SUPPLIES:Hygiene promotion, soap, oral rehydration salts, water tablets and chlorine for water purification, 5,000 Cots for medical facilities, Transport of medical supplies, vehicle for Haitian Red Cross. _x000a_PEOPLE: 6 ARC Haiti staff deployed for Red Cross Emergency Response Teams for Cholera outbreak in northern Haiti. _x000a_See latest response report and RAP for full details of items provided. "/>
  </r>
  <r>
    <s v="TC-2010-000205-PHL"/>
    <n v="252"/>
    <x v="240"/>
    <d v="2010-10-26T00:00:00"/>
    <x v="15"/>
    <n v="5"/>
    <s v="Q2"/>
    <x v="15"/>
    <n v="13"/>
    <x v="3"/>
    <s v="Philippines"/>
    <m/>
    <x v="17"/>
    <m/>
    <m/>
    <x v="8"/>
    <x v="1"/>
    <s v="IFRC"/>
    <n v="4310000"/>
    <s v="MDRPH006"/>
    <n v="6.9605568445475635E-3"/>
    <m/>
    <s v="Y"/>
    <n v="214855"/>
    <n v="60000"/>
    <x v="0"/>
    <m/>
    <m/>
    <n v="30000"/>
    <m/>
    <m/>
    <m/>
    <n v="30000"/>
    <m/>
    <m/>
    <m/>
    <m/>
    <m/>
    <m/>
    <m/>
    <m/>
    <m/>
    <m/>
    <m/>
    <m/>
    <m/>
    <m/>
    <m/>
    <m/>
    <m/>
    <m/>
    <m/>
    <m/>
    <n v="30000"/>
    <m/>
    <m/>
    <m/>
    <x v="163"/>
    <x v="2"/>
    <m/>
    <m/>
    <m/>
    <m/>
    <n v="2032"/>
    <n v="30000"/>
    <m/>
    <m/>
    <m/>
    <m/>
    <m/>
    <m/>
    <s v="N"/>
    <m/>
    <m/>
    <m/>
    <m/>
    <s v="CASH: $30,000 PMN to Federation Appeal from 2032 earmarked for relief distribution."/>
  </r>
  <r>
    <s v="EQ-2010-000213-IDN &amp; VO-2010-000214-IDN"/>
    <n v="253"/>
    <x v="241"/>
    <d v="2010-11-08T00:00:00"/>
    <x v="15"/>
    <n v="6"/>
    <s v="Q2"/>
    <x v="15"/>
    <n v="14"/>
    <x v="3"/>
    <s v="Indonesia"/>
    <m/>
    <x v="22"/>
    <m/>
    <m/>
    <x v="73"/>
    <x v="1"/>
    <s v="IFRC"/>
    <n v="2865860"/>
    <s v="MDRID006"/>
    <n v="1.7446769905019786E-2"/>
    <m/>
    <s v="Y"/>
    <m/>
    <n v="25000"/>
    <x v="0"/>
    <m/>
    <n v="1"/>
    <n v="50000"/>
    <m/>
    <m/>
    <m/>
    <n v="50000"/>
    <m/>
    <m/>
    <m/>
    <m/>
    <m/>
    <m/>
    <m/>
    <m/>
    <m/>
    <m/>
    <m/>
    <m/>
    <m/>
    <m/>
    <m/>
    <m/>
    <m/>
    <m/>
    <m/>
    <m/>
    <n v="50000"/>
    <m/>
    <m/>
    <m/>
    <x v="16"/>
    <x v="2"/>
    <m/>
    <m/>
    <m/>
    <m/>
    <n v="2799"/>
    <m/>
    <m/>
    <m/>
    <m/>
    <m/>
    <m/>
    <m/>
    <s v="Y"/>
    <m/>
    <m/>
    <m/>
    <m/>
    <s v="CASH: $50,000 PMN to Federation Appeal from 2799 earmarked for relief."/>
  </r>
  <r>
    <s v="TC-2010-000216-BRB/LCA/VCT"/>
    <n v="254"/>
    <x v="242"/>
    <d v="2010-11-03T00:00:00"/>
    <x v="15"/>
    <n v="7"/>
    <s v="Q2"/>
    <x v="15"/>
    <n v="15"/>
    <x v="2"/>
    <s v="Saint Lucia/ Saint Vincent and the Grenadines/ Barbados "/>
    <m/>
    <x v="17"/>
    <m/>
    <m/>
    <x v="74"/>
    <x v="1"/>
    <s v="IFRC"/>
    <n v="622109"/>
    <s v="MDR49006"/>
    <n v="0.23307812618046034"/>
    <m/>
    <m/>
    <m/>
    <n v="7500"/>
    <x v="0"/>
    <m/>
    <n v="1"/>
    <n v="145000"/>
    <m/>
    <m/>
    <m/>
    <n v="145000"/>
    <n v="6"/>
    <m/>
    <n v="6"/>
    <m/>
    <m/>
    <m/>
    <m/>
    <m/>
    <m/>
    <m/>
    <m/>
    <m/>
    <m/>
    <m/>
    <m/>
    <m/>
    <m/>
    <m/>
    <m/>
    <m/>
    <n v="145000"/>
    <m/>
    <m/>
    <m/>
    <x v="176"/>
    <x v="2"/>
    <m/>
    <m/>
    <m/>
    <m/>
    <n v="2799"/>
    <m/>
    <m/>
    <m/>
    <m/>
    <m/>
    <m/>
    <m/>
    <s v="Y"/>
    <m/>
    <m/>
    <m/>
    <m/>
    <s v="CASH: $75,000 PMN to Federation Appeal from 2799 earmarked for relief. $70,000 PMN to Federation appeal earmarked for relief supplies for St. Lucia (see RAP). PEOPLE: Six bilateral staff from ARC Haiti office deployed on Federation Emergency Response Teams."/>
  </r>
  <r>
    <m/>
    <n v="255"/>
    <x v="243"/>
    <d v="2010-11-09T00:00:00"/>
    <x v="15"/>
    <n v="8"/>
    <s v="Q2"/>
    <x v="15"/>
    <n v="16"/>
    <x v="2"/>
    <s v="Belize"/>
    <m/>
    <x v="17"/>
    <m/>
    <m/>
    <x v="0"/>
    <x v="2"/>
    <m/>
    <m/>
    <s v="MDRBZ002"/>
    <m/>
    <m/>
    <s v="Y"/>
    <n v="56303"/>
    <m/>
    <x v="0"/>
    <n v="4639"/>
    <m/>
    <m/>
    <m/>
    <n v="80000"/>
    <m/>
    <n v="80000"/>
    <n v="1"/>
    <m/>
    <n v="1"/>
    <m/>
    <m/>
    <m/>
    <m/>
    <m/>
    <m/>
    <m/>
    <m/>
    <m/>
    <m/>
    <m/>
    <m/>
    <m/>
    <m/>
    <m/>
    <m/>
    <m/>
    <n v="80000"/>
    <m/>
    <m/>
    <m/>
    <x v="9"/>
    <x v="2"/>
    <m/>
    <m/>
    <m/>
    <m/>
    <n v="2799"/>
    <m/>
    <m/>
    <m/>
    <m/>
    <m/>
    <m/>
    <m/>
    <s v="Y"/>
    <m/>
    <m/>
    <m/>
    <m/>
    <s v="CASH: $80,000 bilateral contribution by grant letter to Belize Red Cross earmarked for emergency shelter. _x000a_PEOPLE: Laura Havesi deployed for emergency shelter support and cash voucher program."/>
  </r>
  <r>
    <s v="EQ-2010-000251-CRI"/>
    <n v="256"/>
    <x v="7"/>
    <d v="2010-11-10T00:00:00"/>
    <x v="15"/>
    <n v="9"/>
    <s v="Q2"/>
    <x v="15"/>
    <n v="17"/>
    <x v="2"/>
    <s v="Costa Rica"/>
    <m/>
    <x v="2"/>
    <m/>
    <m/>
    <x v="75"/>
    <x v="2"/>
    <m/>
    <m/>
    <m/>
    <m/>
    <m/>
    <s v="Y"/>
    <n v="123611"/>
    <n v="1000"/>
    <x v="1"/>
    <m/>
    <m/>
    <m/>
    <m/>
    <n v="322330"/>
    <m/>
    <n v="322330"/>
    <m/>
    <m/>
    <m/>
    <m/>
    <m/>
    <m/>
    <m/>
    <m/>
    <m/>
    <m/>
    <m/>
    <m/>
    <m/>
    <m/>
    <m/>
    <m/>
    <m/>
    <m/>
    <m/>
    <m/>
    <n v="322330"/>
    <m/>
    <m/>
    <m/>
    <x v="180"/>
    <x v="1"/>
    <m/>
    <m/>
    <m/>
    <m/>
    <s v="2760 OFDA "/>
    <m/>
    <m/>
    <m/>
    <m/>
    <m/>
    <m/>
    <s v="Y"/>
    <s v="N"/>
    <m/>
    <s v="OFDA"/>
    <m/>
    <m/>
    <s v="CASH: OFDA grant for $322,330 for distribution of relief supplies; small cash transfer program; disaster risk reduction workshops  "/>
  </r>
  <r>
    <s v="FL-2010-000076-COL"/>
    <n v="257"/>
    <x v="244"/>
    <d v="2010-12-16T00:00:00"/>
    <x v="15"/>
    <n v="10"/>
    <s v="Q2"/>
    <x v="15"/>
    <n v="18"/>
    <x v="2"/>
    <s v="Colombia"/>
    <m/>
    <x v="2"/>
    <m/>
    <m/>
    <x v="6"/>
    <x v="1"/>
    <s v="IFRC"/>
    <n v="1109939"/>
    <s v="MDRCO008"/>
    <n v="7.207603300721932E-2"/>
    <m/>
    <s v="Y"/>
    <n v="64807"/>
    <n v="71500"/>
    <x v="0"/>
    <n v="1500"/>
    <n v="1"/>
    <n v="80000"/>
    <m/>
    <n v="120000"/>
    <m/>
    <n v="200000"/>
    <m/>
    <m/>
    <m/>
    <n v="6000"/>
    <s v="Y"/>
    <m/>
    <m/>
    <m/>
    <m/>
    <m/>
    <m/>
    <m/>
    <n v="6000"/>
    <m/>
    <m/>
    <m/>
    <m/>
    <m/>
    <n v="40000"/>
    <m/>
    <n v="240000"/>
    <m/>
    <m/>
    <m/>
    <x v="181"/>
    <x v="1"/>
    <s v="C"/>
    <m/>
    <m/>
    <m/>
    <n v="2799"/>
    <m/>
    <n v="2025"/>
    <n v="155000"/>
    <m/>
    <m/>
    <m/>
    <m/>
    <s v="Y"/>
    <m/>
    <s v="Dow - $120,000; Merck - $10,000; Citigroup - $25,000. "/>
    <m/>
    <m/>
    <s v="SUPPLIES: IFRC mob table contribution: 6,000 mosquito nets @ $40,000; CASH: $80,000 cash pledge to Federation appeal - MDRCO008 earmarked for NFIs for relief distribution; Bilateral $120,000 bilateral contribution for health and DRR programming. "/>
  </r>
  <r>
    <s v="FL-2010-000225-PAN"/>
    <n v="258"/>
    <x v="80"/>
    <d v="2010-11-30T00:00:00"/>
    <x v="15"/>
    <n v="11"/>
    <s v="Q2"/>
    <x v="15"/>
    <n v="19"/>
    <x v="2"/>
    <s v="Panama"/>
    <m/>
    <x v="2"/>
    <m/>
    <m/>
    <x v="76"/>
    <x v="1"/>
    <s v="IFRC"/>
    <n v="364732"/>
    <s v="MDRPA007"/>
    <m/>
    <m/>
    <s v="Y"/>
    <n v="82608"/>
    <n v="10225"/>
    <x v="0"/>
    <n v="300"/>
    <m/>
    <m/>
    <m/>
    <m/>
    <m/>
    <m/>
    <m/>
    <m/>
    <m/>
    <n v="1714"/>
    <s v="Y"/>
    <n v="214"/>
    <n v="1500"/>
    <m/>
    <m/>
    <m/>
    <m/>
    <m/>
    <m/>
    <m/>
    <m/>
    <m/>
    <m/>
    <m/>
    <n v="9812"/>
    <m/>
    <n v="9812"/>
    <m/>
    <m/>
    <m/>
    <x v="182"/>
    <x v="2"/>
    <m/>
    <m/>
    <m/>
    <m/>
    <n v="2799"/>
    <m/>
    <m/>
    <m/>
    <m/>
    <m/>
    <m/>
    <m/>
    <s v="Y"/>
    <m/>
    <m/>
    <m/>
    <m/>
    <s v="SUPPPLIES: 1,500 blankets and 214 hygiene kits at $9,812 from PADRU."/>
  </r>
  <r>
    <s v="OT-2011-000025-TUN/LBY/EGY"/>
    <n v="259"/>
    <x v="245"/>
    <d v="2011-02-28T00:00:00"/>
    <x v="15"/>
    <n v="12"/>
    <s v="Q3"/>
    <x v="16"/>
    <n v="1"/>
    <x v="3"/>
    <s v="Tunisia"/>
    <m/>
    <x v="19"/>
    <m/>
    <m/>
    <x v="0"/>
    <x v="1"/>
    <s v="IFRC &amp; ICRC"/>
    <n v="45216000"/>
    <s v="MDR82001 &amp; REX2011/114"/>
    <m/>
    <m/>
    <s v="Y"/>
    <n v="431000"/>
    <n v="306000"/>
    <x v="0"/>
    <m/>
    <n v="1"/>
    <n v="297270"/>
    <n v="100000"/>
    <m/>
    <m/>
    <n v="397270"/>
    <n v="5"/>
    <m/>
    <m/>
    <n v="1500"/>
    <s v="Y"/>
    <m/>
    <m/>
    <m/>
    <m/>
    <m/>
    <m/>
    <m/>
    <m/>
    <m/>
    <n v="1500"/>
    <m/>
    <m/>
    <m/>
    <n v="43000"/>
    <m/>
    <n v="440270"/>
    <m/>
    <m/>
    <m/>
    <x v="183"/>
    <x v="1"/>
    <s v="P"/>
    <n v="154218"/>
    <m/>
    <m/>
    <s v="2869/ARCT"/>
    <m/>
    <n v="2010"/>
    <m/>
    <n v="2799"/>
    <s v="FACT deployment expenses"/>
    <s v="Y"/>
    <m/>
    <s v="N"/>
    <m/>
    <s v="Online designation on redcross.org.  An overwhelming majority of the $150k funds raised were through the online designation. ARCT/ 2869; AP 2010, Middle East R&amp;D – revenue;  2099, IRF – 100k to ICRC (replenished by 2010); 2799, RRF – FACT deployment expenses + PMN for Syria"/>
    <m/>
    <m/>
    <s v="CASH: 1) $100,000 to ICRC earmarked for Tunisia from AP2010; PMN for $162,270 earmarked for locally procured supplies by AP2869/ARCT; 2) $135,000 PMN from AP 2799 for $44,000 and AP 2831/ ARCT for $91,000 earmarked for Syria for local procurement of food parcels. SUPPLIES:1500 tarps from Dubai warehouse as of March 2011; PEOPLE: Deployed for FACT team members: Langdon Greenhalgh, FACT team leader; Marian Spivey-Estrada, FACT Info &amp; Reporting; Colin Chaperon, FACT relief coordinator; Gina Guinta, FACT Info &amp; Reporting - 2nd round; Laura Hevesi FACT relief coordinator."/>
  </r>
  <r>
    <s v="EQ-2011-000024-NZL"/>
    <n v="260"/>
    <x v="246"/>
    <d v="2011-02-23T00:00:00"/>
    <x v="15"/>
    <n v="13"/>
    <s v="Q3"/>
    <x v="16"/>
    <n v="2"/>
    <x v="3"/>
    <s v="New Zealand"/>
    <m/>
    <x v="3"/>
    <m/>
    <m/>
    <x v="0"/>
    <x v="2"/>
    <m/>
    <m/>
    <m/>
    <m/>
    <m/>
    <m/>
    <m/>
    <n v="47800"/>
    <x v="1"/>
    <m/>
    <m/>
    <m/>
    <m/>
    <n v="826450"/>
    <m/>
    <n v="826450"/>
    <m/>
    <m/>
    <m/>
    <m/>
    <m/>
    <m/>
    <m/>
    <m/>
    <m/>
    <m/>
    <m/>
    <m/>
    <m/>
    <m/>
    <m/>
    <m/>
    <m/>
    <m/>
    <m/>
    <m/>
    <n v="826450"/>
    <m/>
    <m/>
    <m/>
    <x v="184"/>
    <x v="1"/>
    <s v="P"/>
    <n v="898367"/>
    <d v="2011-04-19T00:00:00"/>
    <d v="2011-04-19T00:00:00"/>
    <n v="2881"/>
    <m/>
    <m/>
    <m/>
    <m/>
    <m/>
    <m/>
    <m/>
    <s v="N"/>
    <m/>
    <m/>
    <m/>
    <m/>
    <s v="CASH: Two grant letters to be made - $772,000 on April 12, 2011; second one for $54,450 June 23, 2011"/>
  </r>
  <r>
    <m/>
    <n v="261"/>
    <x v="247"/>
    <d v="2011-03-01T00:00:00"/>
    <x v="15"/>
    <n v="14"/>
    <s v="Q3"/>
    <x v="16"/>
    <n v="3"/>
    <x v="2"/>
    <s v="Paraguay"/>
    <m/>
    <x v="11"/>
    <m/>
    <m/>
    <x v="0"/>
    <x v="2"/>
    <m/>
    <m/>
    <m/>
    <m/>
    <m/>
    <s v="N"/>
    <m/>
    <m/>
    <x v="1"/>
    <n v="2000"/>
    <m/>
    <m/>
    <m/>
    <n v="56000"/>
    <m/>
    <n v="56000"/>
    <m/>
    <m/>
    <m/>
    <m/>
    <m/>
    <m/>
    <m/>
    <m/>
    <m/>
    <m/>
    <m/>
    <m/>
    <m/>
    <m/>
    <m/>
    <m/>
    <m/>
    <m/>
    <m/>
    <m/>
    <n v="56000"/>
    <m/>
    <m/>
    <m/>
    <x v="185"/>
    <x v="1"/>
    <s v="C"/>
    <n v="56000"/>
    <d v="2011-02-28T00:00:00"/>
    <d v="2011-02-28T00:00:00"/>
    <n v="2025"/>
    <m/>
    <m/>
    <m/>
    <m/>
    <m/>
    <m/>
    <m/>
    <s v="N"/>
    <m/>
    <s v="Part of GE $250,000 contribution for Brazil Floods and went to various South American disasters."/>
    <m/>
    <m/>
    <s v="CASH: $50,000 Bilateral contribution via grant letter to Paraguay Red Cross for Dengue outbreak activities."/>
  </r>
  <r>
    <s v="EQ-2011-000028-JPN"/>
    <n v="262"/>
    <x v="248"/>
    <d v="2011-03-11T00:00:00"/>
    <x v="15"/>
    <n v="15"/>
    <s v="Q3"/>
    <x v="16"/>
    <n v="4"/>
    <x v="3"/>
    <s v="Japan"/>
    <m/>
    <x v="23"/>
    <m/>
    <m/>
    <x v="5"/>
    <x v="2"/>
    <m/>
    <m/>
    <m/>
    <m/>
    <m/>
    <m/>
    <m/>
    <n v="225000"/>
    <x v="1"/>
    <m/>
    <m/>
    <m/>
    <m/>
    <n v="256000000"/>
    <n v="1500000"/>
    <n v="259800000"/>
    <n v="3"/>
    <m/>
    <m/>
    <m/>
    <m/>
    <m/>
    <m/>
    <m/>
    <m/>
    <m/>
    <m/>
    <m/>
    <m/>
    <m/>
    <m/>
    <m/>
    <m/>
    <m/>
    <m/>
    <m/>
    <n v="259800000"/>
    <m/>
    <m/>
    <m/>
    <x v="186"/>
    <x v="1"/>
    <s v="P"/>
    <n v="307256521"/>
    <d v="2011-12-01T00:00:00"/>
    <s v="ongoing"/>
    <n v="2687"/>
    <m/>
    <n v="2841"/>
    <m/>
    <m/>
    <m/>
    <m/>
    <m/>
    <s v="N"/>
    <m/>
    <m/>
    <m/>
    <m/>
    <s v="CASH: Bilateral contribution via grant letter to Japanese Red Cross  for response activities: 1) $10M March 14, 2) $50M - April 1; 3) $40M - April 11; 4) $30M - April 29; 5) $30M - May 12; 6) $46 M - June 10; 7) $35M - July 11;  8) $15M - Aug. 28_x000a_Additional cash grants to JRCS will occur. _x000a_To other agencies: 1) $500,000 - March 21 -World Food Programme; 2) $1M total -  $3M - April 11 - IOM; Note refund from IOM due to programming - $2M October 2011. _x000a_ARC internal: $300,000 - March 21 - Service to Armed Forces; _x000a_PEOPLE: Nan Buzard on high level Fed Liaison trip; Tom Alcedo to Fed Liaison team; John Manley to Fed Liaison team."/>
  </r>
  <r>
    <s v="FL-2011-000020-BOL"/>
    <n v="263"/>
    <x v="48"/>
    <d v="2011-03-23T00:00:00"/>
    <x v="15"/>
    <n v="16"/>
    <s v="Q3"/>
    <x v="16"/>
    <n v="5"/>
    <x v="2"/>
    <s v="Bolivia"/>
    <m/>
    <x v="2"/>
    <m/>
    <m/>
    <x v="37"/>
    <x v="1"/>
    <s v="IFRC"/>
    <n v="571602"/>
    <s v="MDRBO006"/>
    <n v="0.31840336457885032"/>
    <m/>
    <m/>
    <m/>
    <n v="2500"/>
    <x v="0"/>
    <m/>
    <n v="1"/>
    <n v="182000"/>
    <m/>
    <m/>
    <m/>
    <n v="182000"/>
    <m/>
    <m/>
    <m/>
    <m/>
    <m/>
    <m/>
    <m/>
    <m/>
    <m/>
    <m/>
    <m/>
    <m/>
    <m/>
    <m/>
    <m/>
    <m/>
    <m/>
    <m/>
    <m/>
    <m/>
    <n v="182000"/>
    <m/>
    <m/>
    <m/>
    <x v="187"/>
    <x v="1"/>
    <s v="C"/>
    <n v="200000"/>
    <d v="2011-05-10T00:00:00"/>
    <d v="2011-05-10T00:00:00"/>
    <s v="2869/ARCT"/>
    <n v="100000"/>
    <n v="2025"/>
    <n v="100000"/>
    <m/>
    <m/>
    <s v="Y"/>
    <m/>
    <s v="N"/>
    <m/>
    <s v="ARCT funding - $100,000. GE corporate contribution - $100,000."/>
    <m/>
    <m/>
    <s v="CASH: 1) PMN for $91,000 from ARCT IERRF funds for appeal. 2) Second PMN for $91,000 from 2025 - South America R &amp; D"/>
  </r>
  <r>
    <s v="OT-2010-000255-CIV"/>
    <n v="264"/>
    <x v="249"/>
    <d v="2011-04-01T00:00:00"/>
    <x v="15"/>
    <n v="17"/>
    <s v="Q4"/>
    <x v="16"/>
    <n v="6"/>
    <x v="1"/>
    <s v="Liberia"/>
    <m/>
    <x v="24"/>
    <m/>
    <m/>
    <x v="0"/>
    <x v="1"/>
    <s v="IFRC"/>
    <n v="4340568"/>
    <s v="MDR61007"/>
    <n v="3.4557689224083116E-2"/>
    <m/>
    <m/>
    <m/>
    <n v="67500"/>
    <x v="0"/>
    <m/>
    <n v="1"/>
    <n v="150000"/>
    <m/>
    <m/>
    <m/>
    <n v="150000"/>
    <m/>
    <m/>
    <m/>
    <m/>
    <m/>
    <m/>
    <m/>
    <m/>
    <m/>
    <m/>
    <m/>
    <m/>
    <m/>
    <m/>
    <m/>
    <m/>
    <m/>
    <m/>
    <m/>
    <m/>
    <n v="150000"/>
    <m/>
    <m/>
    <m/>
    <x v="13"/>
    <x v="2"/>
    <m/>
    <m/>
    <m/>
    <m/>
    <n v="2799"/>
    <m/>
    <m/>
    <m/>
    <m/>
    <m/>
    <m/>
    <m/>
    <s v="Y"/>
    <m/>
    <m/>
    <m/>
    <m/>
    <s v="CASH: Contribution to Federation appeal MDR61007 for $150,000 for Liberia earmarked for relief and operations. "/>
  </r>
  <r>
    <s v="FL-2011-000007-NAM"/>
    <n v="265"/>
    <x v="215"/>
    <d v="2011-03-25T00:00:00"/>
    <x v="15"/>
    <n v="18"/>
    <s v="Q4"/>
    <x v="16"/>
    <n v="7"/>
    <x v="1"/>
    <s v="Namibia"/>
    <m/>
    <x v="2"/>
    <m/>
    <m/>
    <x v="77"/>
    <x v="1"/>
    <s v="IFRC"/>
    <n v="2032221"/>
    <s v="MDRNA006"/>
    <n v="2.4603623326400034E-2"/>
    <m/>
    <m/>
    <m/>
    <n v="37457"/>
    <x v="0"/>
    <m/>
    <n v="1"/>
    <n v="50000"/>
    <m/>
    <m/>
    <m/>
    <n v="50000"/>
    <m/>
    <m/>
    <m/>
    <m/>
    <m/>
    <m/>
    <m/>
    <m/>
    <m/>
    <m/>
    <m/>
    <m/>
    <m/>
    <m/>
    <m/>
    <m/>
    <m/>
    <m/>
    <m/>
    <m/>
    <n v="50000"/>
    <m/>
    <m/>
    <m/>
    <x v="16"/>
    <x v="2"/>
    <m/>
    <m/>
    <m/>
    <m/>
    <n v="2799"/>
    <m/>
    <m/>
    <m/>
    <m/>
    <m/>
    <m/>
    <m/>
    <s v="Y"/>
    <m/>
    <m/>
    <m/>
    <m/>
    <s v="CASH: Contribution to Namibia floods Federation appeal MDRNA006 for $50,000 earmarked for emergency shelter and watsan. "/>
  </r>
  <r>
    <s v="DR-2011-000029-KEN"/>
    <n v="266"/>
    <x v="250"/>
    <d v="2011-07-28T00:00:00"/>
    <x v="16"/>
    <n v="1"/>
    <s v="Q1"/>
    <x v="16"/>
    <n v="8"/>
    <x v="1"/>
    <s v="Somalia/ Kenya/ Ethiopia/ Tanzania"/>
    <m/>
    <x v="1"/>
    <m/>
    <m/>
    <x v="78"/>
    <x v="1"/>
    <s v="IFRC &amp; ICRC"/>
    <n v="254000000"/>
    <s v="Various - see RAP"/>
    <m/>
    <m/>
    <m/>
    <m/>
    <n v="2840000"/>
    <x v="0"/>
    <m/>
    <n v="4"/>
    <n v="1700000"/>
    <n v="1113000"/>
    <m/>
    <m/>
    <n v="2813000"/>
    <m/>
    <m/>
    <m/>
    <m/>
    <s v="Y"/>
    <m/>
    <m/>
    <m/>
    <n v="4900"/>
    <m/>
    <m/>
    <m/>
    <n v="20000"/>
    <m/>
    <m/>
    <m/>
    <m/>
    <m/>
    <n v="122000"/>
    <m/>
    <n v="2935000"/>
    <m/>
    <m/>
    <m/>
    <x v="188"/>
    <x v="1"/>
    <s v="P"/>
    <n v="4185949"/>
    <d v="2011-12-01T00:00:00"/>
    <s v="ongoing"/>
    <s v="2831/ARCT"/>
    <n v="200000"/>
    <n v="2836"/>
    <n v="2553000"/>
    <n v="2099"/>
    <n v="200000"/>
    <s v="Y"/>
    <m/>
    <s v="N"/>
    <s v="Y"/>
    <s v="ARCT -2831 FY12 fund - $200,000"/>
    <m/>
    <m/>
    <s v="CASH: 1) $582,000 +$531,000 contribution to ICRC emergency appeal EA2011 for Somalia - sources:  $182,000 from ARCT/2831, $200,000 + $531,000 from 2836, and $200,000 from IRF/2099 per Sr VP; 2). PMN $1,000,000 contribution to Kenya Drought appeal MDRKE016 from 2836; 3) PMN for$600,000 contribution to Ethiopia appeal MDRE010 from 2836; 4) PMN for $100,000 for Tanzania Drought appeal MDRTZ012 from 2836."/>
  </r>
  <r>
    <s v="FL-2011-000096-PRK"/>
    <n v="267"/>
    <x v="251"/>
    <d v="2011-08-24T00:00:00"/>
    <x v="16"/>
    <n v="2"/>
    <s v="Q1"/>
    <x v="16"/>
    <n v="9"/>
    <x v="3"/>
    <s v="DPRK/North Korea"/>
    <m/>
    <x v="2"/>
    <m/>
    <m/>
    <x v="79"/>
    <x v="1"/>
    <s v="IFRC"/>
    <n v="4400000"/>
    <s v="MDRKP003"/>
    <n v="0.01"/>
    <m/>
    <s v="Y"/>
    <n v="575551"/>
    <n v="30000"/>
    <x v="0"/>
    <m/>
    <n v="1"/>
    <n v="50000"/>
    <m/>
    <m/>
    <m/>
    <n v="50000"/>
    <m/>
    <m/>
    <m/>
    <m/>
    <m/>
    <m/>
    <m/>
    <m/>
    <m/>
    <m/>
    <m/>
    <m/>
    <m/>
    <m/>
    <m/>
    <m/>
    <m/>
    <m/>
    <m/>
    <m/>
    <n v="50000"/>
    <m/>
    <m/>
    <m/>
    <x v="16"/>
    <x v="2"/>
    <m/>
    <m/>
    <m/>
    <m/>
    <n v="2799"/>
    <m/>
    <m/>
    <m/>
    <m/>
    <m/>
    <m/>
    <m/>
    <s v="Y"/>
    <m/>
    <m/>
    <m/>
    <m/>
    <s v="CASH: $50,000 contribution to appeal earmarked for food procurement, from 2799/RRF."/>
  </r>
  <r>
    <s v="FL-2011-000093-BGD"/>
    <n v="268"/>
    <x v="19"/>
    <d v="2011-08-31T00:00:00"/>
    <x v="16"/>
    <n v="3"/>
    <s v="Q1"/>
    <x v="16"/>
    <n v="10"/>
    <x v="3"/>
    <s v="Bangladesh"/>
    <m/>
    <x v="2"/>
    <m/>
    <m/>
    <x v="54"/>
    <x v="1"/>
    <s v="IFRC"/>
    <n v="1500000"/>
    <s v="MDRBD009"/>
    <n v="0.03"/>
    <m/>
    <s v="Y"/>
    <m/>
    <n v="50000"/>
    <x v="0"/>
    <m/>
    <n v="1"/>
    <n v="50000"/>
    <m/>
    <m/>
    <m/>
    <n v="50000"/>
    <m/>
    <m/>
    <m/>
    <m/>
    <m/>
    <m/>
    <m/>
    <m/>
    <m/>
    <m/>
    <m/>
    <m/>
    <m/>
    <m/>
    <m/>
    <m/>
    <m/>
    <m/>
    <m/>
    <m/>
    <n v="50000"/>
    <m/>
    <m/>
    <m/>
    <x v="16"/>
    <x v="2"/>
    <m/>
    <m/>
    <m/>
    <m/>
    <n v="2799"/>
    <m/>
    <m/>
    <m/>
    <m/>
    <m/>
    <m/>
    <m/>
    <s v="Y"/>
    <m/>
    <m/>
    <m/>
    <m/>
    <s v="CASH: $50,000 contribution to appeal earmarked for relilef distribution from 2799/RRF."/>
  </r>
  <r>
    <s v="FL-2011-000130-PAK"/>
    <n v="269"/>
    <x v="252"/>
    <d v="2011-09-12T00:00:00"/>
    <x v="16"/>
    <n v="4"/>
    <s v="Q1"/>
    <x v="16"/>
    <n v="11"/>
    <x v="3"/>
    <s v="Pakistan"/>
    <m/>
    <x v="2"/>
    <m/>
    <m/>
    <x v="80"/>
    <x v="1"/>
    <s v="IFRC"/>
    <n v="11900000"/>
    <s v="MDRPK007"/>
    <n v="4.0000000000000001E-3"/>
    <m/>
    <s v="Y"/>
    <m/>
    <n v="105000"/>
    <x v="0"/>
    <m/>
    <n v="1"/>
    <n v="50000"/>
    <m/>
    <m/>
    <m/>
    <n v="50000"/>
    <m/>
    <m/>
    <m/>
    <m/>
    <m/>
    <m/>
    <m/>
    <m/>
    <m/>
    <m/>
    <m/>
    <m/>
    <m/>
    <m/>
    <m/>
    <m/>
    <m/>
    <m/>
    <m/>
    <m/>
    <n v="50000"/>
    <m/>
    <m/>
    <m/>
    <x v="16"/>
    <x v="2"/>
    <m/>
    <m/>
    <m/>
    <m/>
    <n v="2799"/>
    <m/>
    <m/>
    <m/>
    <m/>
    <m/>
    <m/>
    <m/>
    <s v="Y"/>
    <m/>
    <m/>
    <m/>
    <m/>
    <s v="CASH: $50,000 contribution to appeal earmarked for relilef distribution from 2799/RRF."/>
  </r>
  <r>
    <s v="TC-2011-000147-PhL"/>
    <n v="270"/>
    <x v="163"/>
    <d v="2011-10-06T00:00:00"/>
    <x v="16"/>
    <n v="5"/>
    <s v="Q2"/>
    <x v="16"/>
    <n v="12"/>
    <x v="3"/>
    <s v="Philippines"/>
    <m/>
    <x v="17"/>
    <m/>
    <m/>
    <x v="81"/>
    <x v="1"/>
    <s v="IFRC"/>
    <n v="3800000"/>
    <s v="MDRPH007"/>
    <n v="0.01"/>
    <m/>
    <s v="Y"/>
    <m/>
    <n v="250000"/>
    <x v="0"/>
    <m/>
    <n v="1"/>
    <n v="50000"/>
    <m/>
    <m/>
    <m/>
    <n v="50000"/>
    <m/>
    <m/>
    <m/>
    <m/>
    <m/>
    <m/>
    <m/>
    <m/>
    <m/>
    <m/>
    <m/>
    <m/>
    <m/>
    <m/>
    <m/>
    <m/>
    <m/>
    <m/>
    <m/>
    <m/>
    <n v="50000"/>
    <m/>
    <m/>
    <m/>
    <x v="16"/>
    <x v="2"/>
    <m/>
    <m/>
    <m/>
    <m/>
    <n v="2799"/>
    <m/>
    <m/>
    <m/>
    <m/>
    <m/>
    <m/>
    <m/>
    <s v="Y"/>
    <m/>
    <m/>
    <m/>
    <m/>
    <s v="CASH: $50,000 contribution to appeal earmarked for relilef distribution from 2799/RRF."/>
  </r>
  <r>
    <s v="TC-2011-000157-GTM"/>
    <n v="271"/>
    <x v="205"/>
    <d v="2011-10-20T00:00:00"/>
    <x v="16"/>
    <n v="6"/>
    <s v="Q2"/>
    <x v="16"/>
    <n v="13"/>
    <x v="2"/>
    <s v="El Salvador/ Honduras/ Guatemala/ Nicaragua"/>
    <m/>
    <x v="2"/>
    <m/>
    <m/>
    <x v="82"/>
    <x v="1"/>
    <s v="IFRC"/>
    <s v="Guatemala -$898,600; _x000a_El Salvador-$1,300,000"/>
    <s v="MDRGT003 / MDRSV004"/>
    <m/>
    <m/>
    <s v="Y"/>
    <m/>
    <n v="2500"/>
    <x v="1"/>
    <n v="9000"/>
    <n v="1"/>
    <m/>
    <m/>
    <n v="48940"/>
    <m/>
    <n v="48940"/>
    <n v="3"/>
    <m/>
    <n v="3"/>
    <m/>
    <s v="Y"/>
    <n v="2300"/>
    <n v="11500"/>
    <n v="4600"/>
    <m/>
    <m/>
    <m/>
    <m/>
    <n v="4600"/>
    <m/>
    <n v="3000"/>
    <m/>
    <m/>
    <m/>
    <n v="255000"/>
    <m/>
    <n v="303940"/>
    <m/>
    <m/>
    <m/>
    <x v="189"/>
    <x v="1"/>
    <s v="C"/>
    <m/>
    <m/>
    <d v="2011-11-03T00:00:00"/>
    <s v="2831/ARCT"/>
    <n v="200000"/>
    <n v="2882"/>
    <n v="103940"/>
    <m/>
    <m/>
    <s v="Y"/>
    <m/>
    <s v="N"/>
    <m/>
    <s v="ARCT - 2831 FY12 fund - $200,000"/>
    <m/>
    <m/>
    <s v="CASH: $17,190 bilateral grant letter to El Salvador Red Cross for distribution costs; $18,125 bilateral grant letter to Honduras Red Cross for distribution costs; $13,625 bilateral grant letter to Nicaragua Red Cross for distribution costs._x000a_SUPPLIES: Bilateral contributions - see RAPs for detail: Supplies for 500 families  to Nicaraguan Red Cross valued at$61,000; supplies for 800 families for El Salvador Red Cross valued at$73,000; supplies for 500 families to Honduras Red Cross valued at $60,000. Multilateral contribution - supplies from Guatemala appeal mob table  for 500 families to Guatemalan Red Cross valued at $61,000. _x000a_PEOPLE:  Three Panama delegation-based ARC staff deployed as disaster management liasons: Raymundo Ortega to assist Nicaragua Red Cross; Luis Guzman to assist El Salvador Red Cross; Alvaro Garita to assist Honduras Red Cross."/>
  </r>
  <r>
    <s v="EQ-2011-000162-TUR"/>
    <n v="272"/>
    <x v="253"/>
    <d v="2011-10-26T00:00:00"/>
    <x v="16"/>
    <n v="7"/>
    <s v="Q2"/>
    <x v="16"/>
    <n v="14"/>
    <x v="3"/>
    <s v="Turkey"/>
    <m/>
    <x v="3"/>
    <m/>
    <m/>
    <x v="51"/>
    <x v="1"/>
    <s v="IFRC"/>
    <n v="11800000"/>
    <s v="MDRTR002"/>
    <n v="6.8559322033898307E-2"/>
    <m/>
    <m/>
    <m/>
    <n v="60000"/>
    <x v="0"/>
    <m/>
    <n v="1"/>
    <n v="809000"/>
    <m/>
    <m/>
    <m/>
    <n v="809000"/>
    <m/>
    <m/>
    <m/>
    <m/>
    <m/>
    <m/>
    <m/>
    <m/>
    <m/>
    <m/>
    <m/>
    <m/>
    <m/>
    <m/>
    <m/>
    <m/>
    <m/>
    <m/>
    <m/>
    <m/>
    <n v="809000"/>
    <m/>
    <m/>
    <m/>
    <x v="190"/>
    <x v="1"/>
    <s v="C"/>
    <n v="915000"/>
    <d v="2011-11-22T00:00:00"/>
    <s v="ongoing"/>
    <n v="2814"/>
    <m/>
    <m/>
    <m/>
    <m/>
    <m/>
    <m/>
    <m/>
    <s v="N"/>
    <m/>
    <s v="2814 - Turkey Relief &amp;  Development. Designated fundraising from corporations only. 2799/RRF funds were used for first $100,000, but later reimbursed by 2814 funds."/>
    <m/>
    <m/>
    <s v="CASH: 1) Oct 26 - $100,000 PMN contribution to Federation appeal earmarked for relief - originally paid by RRF/2799, but later reimbursed by AP 2814. 2) Nov 22 - $709,000 PMN earmarked for shelter.  (Previous Nov 3 PMN contribution to Federation appeal for $500,000 earmarked for relief was nulled as relief objective filled)."/>
  </r>
  <r>
    <m/>
    <n v="273"/>
    <x v="6"/>
    <d v="2011-11-01T00:00:00"/>
    <x v="16"/>
    <n v="8"/>
    <s v="Q2"/>
    <x v="16"/>
    <n v="15"/>
    <x v="2"/>
    <s v="Mexico"/>
    <m/>
    <x v="2"/>
    <m/>
    <m/>
    <x v="83"/>
    <x v="2"/>
    <m/>
    <m/>
    <s v="bilateral request"/>
    <m/>
    <m/>
    <m/>
    <m/>
    <m/>
    <x v="1"/>
    <n v="45000"/>
    <m/>
    <m/>
    <m/>
    <n v="270000"/>
    <m/>
    <n v="270000"/>
    <m/>
    <m/>
    <m/>
    <m/>
    <m/>
    <m/>
    <m/>
    <m/>
    <m/>
    <m/>
    <m/>
    <m/>
    <m/>
    <m/>
    <m/>
    <m/>
    <m/>
    <m/>
    <m/>
    <m/>
    <n v="270000"/>
    <m/>
    <m/>
    <m/>
    <x v="191"/>
    <x v="1"/>
    <s v="C"/>
    <n v="287000"/>
    <d v="2011-11-01T00:00:00"/>
    <d v="2011-11-01T00:00:00"/>
    <n v="2020"/>
    <m/>
    <m/>
    <m/>
    <m/>
    <m/>
    <m/>
    <m/>
    <s v="N"/>
    <m/>
    <m/>
    <m/>
    <m/>
    <s v="CASH: A bilateral grant to the Mexican Red Cross for prcurement of food parcels and clean up kits for 9,000 families /45,000 people."/>
  </r>
  <r>
    <s v="FL-2011-000137-VNM"/>
    <n v="274"/>
    <x v="21"/>
    <d v="2011-11-10T00:00:00"/>
    <x v="16"/>
    <n v="9"/>
    <s v="Q2"/>
    <x v="16"/>
    <n v="16"/>
    <x v="3"/>
    <s v="Vietnam"/>
    <m/>
    <x v="2"/>
    <m/>
    <m/>
    <x v="84"/>
    <x v="1"/>
    <s v="IFRC"/>
    <n v="1229430"/>
    <s v="MDRVN009"/>
    <n v="0.04"/>
    <m/>
    <m/>
    <m/>
    <n v="42000"/>
    <x v="0"/>
    <m/>
    <n v="1"/>
    <n v="50000"/>
    <m/>
    <m/>
    <m/>
    <n v="50000"/>
    <m/>
    <m/>
    <m/>
    <m/>
    <m/>
    <m/>
    <m/>
    <m/>
    <m/>
    <m/>
    <m/>
    <m/>
    <m/>
    <m/>
    <m/>
    <m/>
    <m/>
    <m/>
    <m/>
    <m/>
    <n v="50000"/>
    <m/>
    <m/>
    <m/>
    <x v="16"/>
    <x v="2"/>
    <m/>
    <m/>
    <m/>
    <m/>
    <n v="2799"/>
    <m/>
    <m/>
    <m/>
    <m/>
    <m/>
    <m/>
    <m/>
    <s v="Y"/>
    <m/>
    <m/>
    <m/>
    <m/>
    <s v="CASH: PMN contribution of $50,000 towards appeal, earmarked for relief objective."/>
  </r>
  <r>
    <s v="FL-2011-000135-THA"/>
    <n v="275"/>
    <x v="254"/>
    <d v="2011-11-10T00:00:00"/>
    <x v="16"/>
    <n v="10"/>
    <s v="Q2"/>
    <x v="16"/>
    <n v="17"/>
    <x v="3"/>
    <s v="Thailand"/>
    <m/>
    <x v="2"/>
    <m/>
    <m/>
    <x v="85"/>
    <x v="2"/>
    <m/>
    <m/>
    <s v="regional plan"/>
    <m/>
    <m/>
    <m/>
    <m/>
    <m/>
    <x v="0"/>
    <m/>
    <n v="1"/>
    <n v="167000"/>
    <m/>
    <m/>
    <m/>
    <n v="167000"/>
    <m/>
    <m/>
    <m/>
    <m/>
    <m/>
    <m/>
    <m/>
    <m/>
    <m/>
    <m/>
    <m/>
    <m/>
    <m/>
    <m/>
    <m/>
    <m/>
    <m/>
    <m/>
    <m/>
    <m/>
    <n v="167000"/>
    <m/>
    <m/>
    <m/>
    <x v="192"/>
    <x v="1"/>
    <s v="C"/>
    <n v="189000"/>
    <d v="2011-11-22T00:00:00"/>
    <d v="2011-11-17T00:00:00"/>
    <n v="2689"/>
    <m/>
    <m/>
    <m/>
    <m/>
    <m/>
    <m/>
    <m/>
    <s v="N"/>
    <m/>
    <s v="2689 - Southeast Asia Typhoons and Floods. Designated funding for corporate  contributions only.  $189k raised as of 11/22"/>
    <m/>
    <m/>
    <s v="CASH: $167,000 Cash grant to Intl Federation Regional Country Plan (not appeal) due to Thai RC not wanting an appeal."/>
  </r>
  <r>
    <m/>
    <n v="276"/>
    <x v="157"/>
    <d v="2011-12-02T00:00:00"/>
    <x v="16"/>
    <n v="11"/>
    <s v="Q2"/>
    <x v="16"/>
    <n v="18"/>
    <x v="2"/>
    <s v="Colombia"/>
    <m/>
    <x v="2"/>
    <m/>
    <m/>
    <x v="86"/>
    <x v="2"/>
    <m/>
    <m/>
    <m/>
    <m/>
    <m/>
    <m/>
    <m/>
    <m/>
    <x v="1"/>
    <m/>
    <m/>
    <m/>
    <m/>
    <n v="100000"/>
    <m/>
    <n v="100000"/>
    <m/>
    <m/>
    <m/>
    <m/>
    <m/>
    <m/>
    <m/>
    <m/>
    <m/>
    <m/>
    <m/>
    <m/>
    <m/>
    <m/>
    <m/>
    <m/>
    <m/>
    <m/>
    <m/>
    <m/>
    <n v="100000"/>
    <m/>
    <m/>
    <m/>
    <x v="5"/>
    <x v="2"/>
    <m/>
    <m/>
    <m/>
    <m/>
    <n v="2799"/>
    <m/>
    <m/>
    <m/>
    <m/>
    <m/>
    <m/>
    <m/>
    <s v="Y"/>
    <m/>
    <m/>
    <m/>
    <m/>
    <s v="CASH: $100,000 grant letter bilaterally to Colombian Red Cross in response to their proposal to fund part of their plan of action."/>
  </r>
  <r>
    <m/>
    <m/>
    <x v="255"/>
    <m/>
    <x v="17"/>
    <m/>
    <m/>
    <x v="17"/>
    <m/>
    <x v="0"/>
    <m/>
    <m/>
    <x v="0"/>
    <m/>
    <m/>
    <x v="0"/>
    <x v="0"/>
    <m/>
    <m/>
    <m/>
    <m/>
    <m/>
    <m/>
    <m/>
    <m/>
    <x v="0"/>
    <m/>
    <m/>
    <m/>
    <m/>
    <m/>
    <m/>
    <n v="0"/>
    <m/>
    <m/>
    <m/>
    <m/>
    <m/>
    <m/>
    <m/>
    <m/>
    <m/>
    <m/>
    <m/>
    <m/>
    <m/>
    <m/>
    <m/>
    <m/>
    <m/>
    <m/>
    <m/>
    <m/>
    <n v="0"/>
    <m/>
    <m/>
    <m/>
    <x v="7"/>
    <x v="0"/>
    <m/>
    <m/>
    <m/>
    <m/>
    <m/>
    <m/>
    <m/>
    <m/>
    <m/>
    <m/>
    <m/>
    <m/>
    <s v="N"/>
    <m/>
    <m/>
    <m/>
    <m/>
    <m/>
  </r>
</pivotCacheRecords>
</file>

<file path=xl/pivotCache/pivotCacheRecords11.xml><?xml version="1.0" encoding="utf-8"?>
<pivotCacheRecords xmlns="http://schemas.openxmlformats.org/spreadsheetml/2006/main" xmlns:r="http://schemas.openxmlformats.org/officeDocument/2006/relationships" count="350">
  <r>
    <x v="0"/>
    <s v="a"/>
    <x v="0"/>
    <d v="1985-09-01T00:00:00"/>
    <x v="0"/>
    <m/>
    <m/>
    <x v="0"/>
    <m/>
    <x v="0"/>
    <m/>
    <m/>
    <x v="0"/>
    <m/>
    <m/>
    <m/>
    <x v="0"/>
    <m/>
    <x v="0"/>
    <m/>
    <x v="0"/>
    <m/>
    <m/>
    <m/>
    <m/>
    <m/>
    <m/>
    <m/>
    <m/>
    <m/>
    <m/>
    <m/>
    <m/>
    <m/>
    <m/>
    <m/>
    <m/>
    <m/>
    <m/>
    <m/>
    <m/>
    <m/>
    <m/>
    <m/>
    <m/>
    <m/>
    <m/>
    <m/>
    <m/>
    <m/>
    <m/>
    <m/>
    <m/>
    <m/>
    <m/>
    <m/>
    <m/>
    <x v="0"/>
    <x v="0"/>
    <m/>
    <m/>
    <m/>
    <m/>
    <m/>
    <m/>
    <m/>
    <m/>
    <m/>
    <m/>
    <m/>
    <m/>
    <m/>
    <m/>
    <m/>
    <m/>
    <m/>
    <m/>
  </r>
  <r>
    <x v="0"/>
    <s v="b"/>
    <x v="1"/>
    <d v="1988-12-01T00:00:00"/>
    <x v="1"/>
    <m/>
    <m/>
    <x v="1"/>
    <m/>
    <x v="0"/>
    <m/>
    <m/>
    <x v="0"/>
    <m/>
    <m/>
    <m/>
    <x v="0"/>
    <m/>
    <x v="0"/>
    <m/>
    <x v="0"/>
    <m/>
    <m/>
    <m/>
    <m/>
    <m/>
    <m/>
    <m/>
    <m/>
    <m/>
    <m/>
    <m/>
    <m/>
    <m/>
    <m/>
    <m/>
    <m/>
    <m/>
    <m/>
    <m/>
    <m/>
    <m/>
    <m/>
    <m/>
    <m/>
    <m/>
    <m/>
    <m/>
    <m/>
    <m/>
    <m/>
    <m/>
    <m/>
    <m/>
    <m/>
    <m/>
    <m/>
    <x v="1"/>
    <x v="0"/>
    <m/>
    <m/>
    <m/>
    <m/>
    <m/>
    <m/>
    <m/>
    <m/>
    <m/>
    <m/>
    <m/>
    <m/>
    <m/>
    <m/>
    <m/>
    <m/>
    <m/>
    <m/>
  </r>
  <r>
    <x v="0"/>
    <s v="c"/>
    <x v="2"/>
    <d v="1994-06-01T00:00:00"/>
    <x v="2"/>
    <m/>
    <m/>
    <x v="2"/>
    <m/>
    <x v="0"/>
    <m/>
    <m/>
    <x v="0"/>
    <m/>
    <m/>
    <m/>
    <x v="0"/>
    <m/>
    <x v="0"/>
    <m/>
    <x v="0"/>
    <m/>
    <m/>
    <m/>
    <m/>
    <m/>
    <m/>
    <m/>
    <m/>
    <m/>
    <m/>
    <m/>
    <m/>
    <m/>
    <m/>
    <m/>
    <m/>
    <m/>
    <m/>
    <m/>
    <m/>
    <m/>
    <m/>
    <m/>
    <m/>
    <m/>
    <m/>
    <m/>
    <m/>
    <m/>
    <m/>
    <m/>
    <m/>
    <m/>
    <m/>
    <m/>
    <m/>
    <x v="2"/>
    <x v="0"/>
    <m/>
    <m/>
    <m/>
    <m/>
    <m/>
    <m/>
    <m/>
    <m/>
    <m/>
    <m/>
    <m/>
    <m/>
    <m/>
    <m/>
    <m/>
    <m/>
    <m/>
    <m/>
  </r>
  <r>
    <x v="0"/>
    <s v="d"/>
    <x v="3"/>
    <d v="1998-10-01T00:00:00"/>
    <x v="3"/>
    <m/>
    <m/>
    <x v="3"/>
    <m/>
    <x v="0"/>
    <m/>
    <m/>
    <x v="0"/>
    <m/>
    <m/>
    <n v="2998214"/>
    <x v="0"/>
    <m/>
    <x v="0"/>
    <m/>
    <x v="0"/>
    <m/>
    <m/>
    <m/>
    <m/>
    <m/>
    <m/>
    <m/>
    <m/>
    <m/>
    <m/>
    <m/>
    <m/>
    <m/>
    <m/>
    <m/>
    <m/>
    <m/>
    <m/>
    <m/>
    <m/>
    <m/>
    <m/>
    <m/>
    <m/>
    <m/>
    <m/>
    <m/>
    <m/>
    <m/>
    <m/>
    <m/>
    <m/>
    <m/>
    <m/>
    <m/>
    <m/>
    <x v="3"/>
    <x v="0"/>
    <m/>
    <m/>
    <m/>
    <m/>
    <m/>
    <m/>
    <m/>
    <m/>
    <m/>
    <m/>
    <m/>
    <m/>
    <m/>
    <m/>
    <m/>
    <m/>
    <m/>
    <m/>
  </r>
  <r>
    <x v="0"/>
    <s v="e"/>
    <x v="4"/>
    <d v="1999-03-01T00:00:00"/>
    <x v="3"/>
    <m/>
    <m/>
    <x v="4"/>
    <m/>
    <x v="0"/>
    <m/>
    <m/>
    <x v="0"/>
    <m/>
    <m/>
    <m/>
    <x v="0"/>
    <m/>
    <x v="0"/>
    <m/>
    <x v="0"/>
    <m/>
    <m/>
    <m/>
    <m/>
    <m/>
    <m/>
    <m/>
    <m/>
    <m/>
    <m/>
    <m/>
    <m/>
    <m/>
    <m/>
    <m/>
    <m/>
    <m/>
    <m/>
    <m/>
    <m/>
    <m/>
    <m/>
    <m/>
    <m/>
    <m/>
    <m/>
    <m/>
    <m/>
    <m/>
    <m/>
    <m/>
    <m/>
    <m/>
    <m/>
    <m/>
    <m/>
    <x v="4"/>
    <x v="0"/>
    <m/>
    <m/>
    <m/>
    <m/>
    <m/>
    <m/>
    <m/>
    <m/>
    <m/>
    <m/>
    <m/>
    <m/>
    <m/>
    <m/>
    <m/>
    <m/>
    <m/>
    <m/>
  </r>
  <r>
    <x v="0"/>
    <n v="1"/>
    <x v="5"/>
    <d v="1999-06-01T00:00:00"/>
    <x v="3"/>
    <n v="1"/>
    <m/>
    <x v="4"/>
    <n v="1"/>
    <x v="1"/>
    <s v="Ethiopia"/>
    <m/>
    <x v="1"/>
    <s v="Drought"/>
    <s v="Drought"/>
    <m/>
    <x v="0"/>
    <m/>
    <x v="0"/>
    <m/>
    <x v="0"/>
    <m/>
    <m/>
    <m/>
    <m/>
    <m/>
    <m/>
    <n v="1"/>
    <n v="100000"/>
    <m/>
    <m/>
    <m/>
    <n v="100000"/>
    <n v="0"/>
    <m/>
    <m/>
    <m/>
    <m/>
    <m/>
    <m/>
    <m/>
    <m/>
    <m/>
    <m/>
    <m/>
    <m/>
    <m/>
    <m/>
    <m/>
    <m/>
    <m/>
    <m/>
    <m/>
    <n v="100000"/>
    <m/>
    <m/>
    <n v="7159.297959242117"/>
    <x v="5"/>
    <x v="1"/>
    <m/>
    <m/>
    <m/>
    <m/>
    <n v="2898"/>
    <m/>
    <m/>
    <m/>
    <m/>
    <m/>
    <m/>
    <m/>
    <m/>
    <m/>
    <m/>
    <m/>
    <m/>
    <s v="Region response"/>
  </r>
  <r>
    <x v="0"/>
    <n v="2"/>
    <x v="6"/>
    <d v="1999-06-01T00:00:00"/>
    <x v="3"/>
    <n v="2"/>
    <m/>
    <x v="4"/>
    <n v="2"/>
    <x v="2"/>
    <s v="Mexico"/>
    <m/>
    <x v="2"/>
    <s v="General Floods"/>
    <s v="General Floods"/>
    <m/>
    <x v="0"/>
    <m/>
    <x v="0"/>
    <m/>
    <x v="0"/>
    <m/>
    <m/>
    <m/>
    <m/>
    <m/>
    <m/>
    <m/>
    <m/>
    <m/>
    <n v="100000"/>
    <m/>
    <n v="100000"/>
    <n v="1"/>
    <m/>
    <m/>
    <m/>
    <m/>
    <m/>
    <m/>
    <m/>
    <m/>
    <m/>
    <m/>
    <m/>
    <m/>
    <m/>
    <m/>
    <m/>
    <m/>
    <m/>
    <m/>
    <m/>
    <n v="100000"/>
    <m/>
    <m/>
    <n v="34050"/>
    <x v="5"/>
    <x v="1"/>
    <m/>
    <m/>
    <m/>
    <m/>
    <n v="2898"/>
    <m/>
    <m/>
    <m/>
    <m/>
    <m/>
    <m/>
    <m/>
    <m/>
    <m/>
    <m/>
    <m/>
    <m/>
    <m/>
  </r>
  <r>
    <x v="0"/>
    <n v="3"/>
    <x v="7"/>
    <d v="1999-06-01T00:00:00"/>
    <x v="3"/>
    <n v="3"/>
    <m/>
    <x v="4"/>
    <n v="3"/>
    <x v="2"/>
    <s v="Costa Rica"/>
    <m/>
    <x v="2"/>
    <s v="General Floods"/>
    <s v="General Floods"/>
    <m/>
    <x v="0"/>
    <m/>
    <x v="0"/>
    <m/>
    <x v="0"/>
    <m/>
    <m/>
    <m/>
    <m/>
    <m/>
    <m/>
    <n v="0"/>
    <n v="10000"/>
    <m/>
    <m/>
    <m/>
    <n v="10000"/>
    <n v="0"/>
    <m/>
    <m/>
    <m/>
    <m/>
    <m/>
    <m/>
    <m/>
    <m/>
    <m/>
    <m/>
    <m/>
    <m/>
    <m/>
    <m/>
    <m/>
    <m/>
    <m/>
    <m/>
    <m/>
    <n v="10000"/>
    <m/>
    <m/>
    <n v="1000"/>
    <x v="6"/>
    <x v="1"/>
    <m/>
    <m/>
    <m/>
    <m/>
    <n v="2898"/>
    <m/>
    <m/>
    <m/>
    <m/>
    <m/>
    <m/>
    <m/>
    <m/>
    <m/>
    <m/>
    <m/>
    <m/>
    <s v="Region response"/>
  </r>
  <r>
    <x v="0"/>
    <n v="4"/>
    <x v="8"/>
    <d v="1999-08-01T00:00:00"/>
    <x v="4"/>
    <n v="1"/>
    <m/>
    <x v="4"/>
    <n v="4"/>
    <x v="3"/>
    <s v="China"/>
    <m/>
    <x v="2"/>
    <s v="General Floods"/>
    <s v="General Floods"/>
    <m/>
    <x v="0"/>
    <m/>
    <x v="0"/>
    <m/>
    <x v="0"/>
    <m/>
    <m/>
    <m/>
    <m/>
    <m/>
    <m/>
    <n v="1"/>
    <n v="100000"/>
    <m/>
    <m/>
    <m/>
    <n v="100000"/>
    <n v="0"/>
    <m/>
    <m/>
    <m/>
    <m/>
    <m/>
    <m/>
    <m/>
    <m/>
    <m/>
    <m/>
    <m/>
    <m/>
    <m/>
    <m/>
    <m/>
    <m/>
    <m/>
    <m/>
    <m/>
    <n v="100000"/>
    <m/>
    <m/>
    <n v="15080.681646810435"/>
    <x v="5"/>
    <x v="1"/>
    <m/>
    <m/>
    <m/>
    <m/>
    <n v="2060"/>
    <m/>
    <m/>
    <m/>
    <m/>
    <m/>
    <m/>
    <m/>
    <m/>
    <m/>
    <m/>
    <m/>
    <m/>
    <s v="Region response"/>
  </r>
  <r>
    <x v="0"/>
    <n v="5"/>
    <x v="9"/>
    <d v="1999-08-01T00:00:00"/>
    <x v="4"/>
    <n v="2"/>
    <m/>
    <x v="4"/>
    <n v="5"/>
    <x v="3"/>
    <s v="Turkey"/>
    <m/>
    <x v="3"/>
    <s v="Earthquake"/>
    <s v="Earthquake"/>
    <m/>
    <x v="0"/>
    <m/>
    <x v="0"/>
    <m/>
    <x v="0"/>
    <m/>
    <m/>
    <m/>
    <m/>
    <m/>
    <m/>
    <m/>
    <m/>
    <m/>
    <m/>
    <m/>
    <n v="0"/>
    <n v="20"/>
    <m/>
    <m/>
    <m/>
    <m/>
    <m/>
    <m/>
    <m/>
    <m/>
    <m/>
    <m/>
    <m/>
    <m/>
    <m/>
    <m/>
    <m/>
    <m/>
    <m/>
    <n v="0"/>
    <n v="0"/>
    <n v="0"/>
    <m/>
    <m/>
    <m/>
    <x v="7"/>
    <x v="1"/>
    <m/>
    <m/>
    <m/>
    <m/>
    <n v="2814"/>
    <m/>
    <m/>
    <m/>
    <m/>
    <m/>
    <m/>
    <m/>
    <m/>
    <m/>
    <m/>
    <m/>
    <m/>
    <s v="Total expenses combined with (#19, below)"/>
  </r>
  <r>
    <x v="0"/>
    <n v="6"/>
    <x v="10"/>
    <d v="1999-08-01T00:00:00"/>
    <x v="4"/>
    <n v="3"/>
    <m/>
    <x v="4"/>
    <n v="6"/>
    <x v="2"/>
    <s v="Nicaragua"/>
    <m/>
    <x v="4"/>
    <s v="Volcanic Eruption"/>
    <s v="Volcanic Eruption"/>
    <m/>
    <x v="0"/>
    <m/>
    <x v="0"/>
    <m/>
    <x v="0"/>
    <m/>
    <m/>
    <m/>
    <m/>
    <m/>
    <m/>
    <m/>
    <m/>
    <m/>
    <n v="10000"/>
    <m/>
    <n v="10000"/>
    <n v="2"/>
    <m/>
    <m/>
    <m/>
    <m/>
    <m/>
    <m/>
    <m/>
    <m/>
    <m/>
    <m/>
    <m/>
    <m/>
    <m/>
    <m/>
    <m/>
    <m/>
    <m/>
    <m/>
    <m/>
    <n v="10000"/>
    <m/>
    <m/>
    <n v="1000"/>
    <x v="6"/>
    <x v="1"/>
    <m/>
    <m/>
    <m/>
    <m/>
    <n v="2898"/>
    <m/>
    <m/>
    <m/>
    <m/>
    <m/>
    <m/>
    <m/>
    <m/>
    <m/>
    <m/>
    <m/>
    <m/>
    <s v="Gisla Dewey and Carol Schimke sent to assist and observe"/>
  </r>
  <r>
    <x v="0"/>
    <n v="7"/>
    <x v="11"/>
    <d v="1999-08-01T00:00:00"/>
    <x v="4"/>
    <n v="4"/>
    <m/>
    <x v="4"/>
    <n v="7"/>
    <x v="3"/>
    <s v="Cambodia"/>
    <m/>
    <x v="2"/>
    <s v="General Floods"/>
    <s v="General Floods"/>
    <m/>
    <x v="0"/>
    <m/>
    <x v="0"/>
    <m/>
    <x v="0"/>
    <m/>
    <m/>
    <m/>
    <m/>
    <m/>
    <m/>
    <n v="0"/>
    <n v="25000"/>
    <m/>
    <m/>
    <m/>
    <n v="25000"/>
    <n v="0"/>
    <m/>
    <m/>
    <m/>
    <m/>
    <m/>
    <m/>
    <m/>
    <m/>
    <m/>
    <m/>
    <m/>
    <m/>
    <m/>
    <m/>
    <m/>
    <m/>
    <m/>
    <m/>
    <m/>
    <n v="25000"/>
    <m/>
    <m/>
    <n v="1321.7075933422946"/>
    <x v="8"/>
    <x v="1"/>
    <m/>
    <m/>
    <m/>
    <m/>
    <n v="2898"/>
    <m/>
    <m/>
    <m/>
    <m/>
    <m/>
    <m/>
    <m/>
    <m/>
    <m/>
    <m/>
    <m/>
    <m/>
    <s v="Region response"/>
  </r>
  <r>
    <x v="0"/>
    <n v="8"/>
    <x v="12"/>
    <d v="1999-09-01T00:00:00"/>
    <x v="4"/>
    <n v="5"/>
    <m/>
    <x v="4"/>
    <n v="8"/>
    <x v="3"/>
    <s v="Greece"/>
    <m/>
    <x v="3"/>
    <s v="Earthquake"/>
    <s v="Earthquake"/>
    <m/>
    <x v="0"/>
    <m/>
    <x v="0"/>
    <m/>
    <x v="0"/>
    <m/>
    <m/>
    <m/>
    <m/>
    <m/>
    <m/>
    <n v="1"/>
    <n v="80000"/>
    <m/>
    <m/>
    <m/>
    <n v="80000"/>
    <n v="0"/>
    <m/>
    <m/>
    <m/>
    <m/>
    <m/>
    <m/>
    <m/>
    <m/>
    <m/>
    <m/>
    <m/>
    <m/>
    <m/>
    <m/>
    <m/>
    <m/>
    <m/>
    <m/>
    <m/>
    <n v="80000"/>
    <m/>
    <m/>
    <n v="2580.0991790124413"/>
    <x v="9"/>
    <x v="1"/>
    <m/>
    <m/>
    <m/>
    <m/>
    <n v="2898"/>
    <m/>
    <m/>
    <m/>
    <m/>
    <m/>
    <m/>
    <m/>
    <m/>
    <m/>
    <m/>
    <m/>
    <m/>
    <m/>
  </r>
  <r>
    <x v="0"/>
    <n v="9"/>
    <x v="13"/>
    <d v="1999-09-01T00:00:00"/>
    <x v="4"/>
    <n v="6"/>
    <m/>
    <x v="4"/>
    <n v="9"/>
    <x v="2"/>
    <s v="Bahamas"/>
    <m/>
    <x v="5"/>
    <s v="Tropical Cyclone"/>
    <s v="Hurricane"/>
    <m/>
    <x v="0"/>
    <m/>
    <x v="0"/>
    <m/>
    <x v="0"/>
    <m/>
    <m/>
    <m/>
    <m/>
    <m/>
    <m/>
    <m/>
    <m/>
    <m/>
    <n v="25000"/>
    <m/>
    <n v="25000"/>
    <n v="3"/>
    <m/>
    <m/>
    <m/>
    <m/>
    <m/>
    <m/>
    <m/>
    <m/>
    <m/>
    <m/>
    <m/>
    <m/>
    <m/>
    <m/>
    <m/>
    <m/>
    <m/>
    <n v="97443"/>
    <n v="9750"/>
    <n v="132193"/>
    <m/>
    <m/>
    <n v="12383.247348462506"/>
    <x v="10"/>
    <x v="1"/>
    <m/>
    <m/>
    <m/>
    <m/>
    <n v="2898"/>
    <m/>
    <m/>
    <m/>
    <m/>
    <m/>
    <m/>
    <m/>
    <m/>
    <m/>
    <m/>
    <m/>
    <s v="Floyd"/>
    <s v="Hygiene kits, plastic sheeting, flashlights,batteries, bedsheets, and tents"/>
  </r>
  <r>
    <x v="0"/>
    <n v="10"/>
    <x v="14"/>
    <d v="1999-09-01T00:00:00"/>
    <x v="4"/>
    <n v="7"/>
    <m/>
    <x v="4"/>
    <n v="10"/>
    <x v="3"/>
    <s v="Taiwan"/>
    <m/>
    <x v="3"/>
    <s v="Earthquake"/>
    <s v="Earthquake"/>
    <m/>
    <x v="0"/>
    <m/>
    <x v="0"/>
    <m/>
    <x v="0"/>
    <m/>
    <m/>
    <m/>
    <m/>
    <m/>
    <m/>
    <n v="1"/>
    <n v="1200000"/>
    <m/>
    <m/>
    <m/>
    <n v="1200000"/>
    <n v="0"/>
    <m/>
    <m/>
    <m/>
    <m/>
    <m/>
    <m/>
    <m/>
    <m/>
    <m/>
    <m/>
    <m/>
    <m/>
    <m/>
    <m/>
    <m/>
    <m/>
    <m/>
    <m/>
    <m/>
    <n v="1200000"/>
    <m/>
    <m/>
    <n v="54838.842352037951"/>
    <x v="11"/>
    <x v="1"/>
    <m/>
    <m/>
    <m/>
    <m/>
    <n v="2824"/>
    <m/>
    <m/>
    <m/>
    <m/>
    <m/>
    <m/>
    <m/>
    <m/>
    <m/>
    <m/>
    <m/>
    <m/>
    <s v="Money sent to Federation"/>
  </r>
  <r>
    <x v="0"/>
    <n v="11"/>
    <x v="15"/>
    <d v="1999-09-01T00:00:00"/>
    <x v="4"/>
    <n v="8"/>
    <m/>
    <x v="4"/>
    <n v="11"/>
    <x v="3"/>
    <s v="Japan"/>
    <m/>
    <x v="6"/>
    <s v="Radiation"/>
    <s v="Radiation"/>
    <m/>
    <x v="0"/>
    <m/>
    <x v="0"/>
    <m/>
    <x v="0"/>
    <m/>
    <m/>
    <m/>
    <m/>
    <m/>
    <m/>
    <m/>
    <m/>
    <m/>
    <m/>
    <m/>
    <n v="0"/>
    <n v="0"/>
    <m/>
    <m/>
    <m/>
    <m/>
    <m/>
    <m/>
    <m/>
    <m/>
    <m/>
    <m/>
    <m/>
    <m/>
    <m/>
    <m/>
    <m/>
    <m/>
    <m/>
    <n v="200"/>
    <m/>
    <n v="200"/>
    <m/>
    <m/>
    <m/>
    <x v="12"/>
    <x v="1"/>
    <m/>
    <m/>
    <m/>
    <m/>
    <n v="2898"/>
    <m/>
    <m/>
    <m/>
    <m/>
    <m/>
    <m/>
    <m/>
    <m/>
    <m/>
    <m/>
    <m/>
    <s v="Nuclear Power Plant"/>
    <s v="Manuals related to Nuclear disasters sent to JRCS"/>
  </r>
  <r>
    <x v="0"/>
    <n v="12"/>
    <x v="0"/>
    <d v="1999-09-01T00:00:00"/>
    <x v="4"/>
    <n v="9"/>
    <m/>
    <x v="4"/>
    <n v="12"/>
    <x v="2"/>
    <s v="Mexico"/>
    <m/>
    <x v="3"/>
    <s v="Earthquake"/>
    <s v="Earthquake"/>
    <m/>
    <x v="0"/>
    <m/>
    <x v="0"/>
    <m/>
    <x v="0"/>
    <m/>
    <m/>
    <m/>
    <m/>
    <m/>
    <m/>
    <m/>
    <m/>
    <m/>
    <n v="150000"/>
    <m/>
    <n v="150000"/>
    <n v="3"/>
    <m/>
    <m/>
    <m/>
    <m/>
    <m/>
    <m/>
    <m/>
    <m/>
    <m/>
    <m/>
    <m/>
    <m/>
    <m/>
    <m/>
    <m/>
    <m/>
    <m/>
    <m/>
    <m/>
    <n v="150000"/>
    <m/>
    <m/>
    <m/>
    <x v="13"/>
    <x v="1"/>
    <m/>
    <m/>
    <m/>
    <m/>
    <n v="2020"/>
    <m/>
    <m/>
    <m/>
    <m/>
    <m/>
    <m/>
    <m/>
    <m/>
    <m/>
    <m/>
    <m/>
    <m/>
    <m/>
  </r>
  <r>
    <x v="0"/>
    <n v="13"/>
    <x v="16"/>
    <d v="1999-10-01T00:00:00"/>
    <x v="4"/>
    <n v="10"/>
    <m/>
    <x v="4"/>
    <n v="13"/>
    <x v="2"/>
    <s v="Mexico"/>
    <m/>
    <x v="7"/>
    <s v="General Floods"/>
    <s v="General Floods"/>
    <m/>
    <x v="0"/>
    <m/>
    <x v="0"/>
    <m/>
    <x v="0"/>
    <m/>
    <m/>
    <m/>
    <m/>
    <m/>
    <m/>
    <m/>
    <m/>
    <m/>
    <n v="200000"/>
    <m/>
    <n v="200000"/>
    <n v="4"/>
    <m/>
    <m/>
    <m/>
    <m/>
    <m/>
    <m/>
    <m/>
    <m/>
    <m/>
    <m/>
    <m/>
    <m/>
    <m/>
    <m/>
    <m/>
    <m/>
    <m/>
    <m/>
    <n v="5000"/>
    <n v="205000"/>
    <m/>
    <m/>
    <n v="12000"/>
    <x v="14"/>
    <x v="1"/>
    <m/>
    <m/>
    <m/>
    <m/>
    <n v="2020"/>
    <m/>
    <m/>
    <m/>
    <m/>
    <m/>
    <m/>
    <m/>
    <m/>
    <m/>
    <m/>
    <m/>
    <m/>
    <m/>
  </r>
  <r>
    <x v="0"/>
    <n v="14"/>
    <x v="17"/>
    <d v="1999-10-01T00:00:00"/>
    <x v="4"/>
    <n v="11"/>
    <m/>
    <x v="4"/>
    <n v="14"/>
    <x v="3"/>
    <s v="Russian Fed."/>
    <m/>
    <x v="8"/>
    <s v="Conflict"/>
    <s v="Conflict"/>
    <m/>
    <x v="0"/>
    <m/>
    <x v="0"/>
    <m/>
    <x v="0"/>
    <m/>
    <m/>
    <m/>
    <m/>
    <m/>
    <m/>
    <m/>
    <m/>
    <m/>
    <n v="75000"/>
    <m/>
    <n v="75000"/>
    <n v="0"/>
    <m/>
    <m/>
    <n v="76700"/>
    <m/>
    <n v="11200"/>
    <n v="55000"/>
    <n v="10500"/>
    <m/>
    <m/>
    <m/>
    <m/>
    <m/>
    <m/>
    <m/>
    <m/>
    <m/>
    <m/>
    <n v="535134"/>
    <m/>
    <n v="610134"/>
    <m/>
    <m/>
    <n v="55000"/>
    <x v="15"/>
    <x v="1"/>
    <m/>
    <m/>
    <m/>
    <m/>
    <n v="2045"/>
    <m/>
    <m/>
    <m/>
    <m/>
    <m/>
    <m/>
    <m/>
    <m/>
    <m/>
    <m/>
    <m/>
    <s v="Chechnya"/>
    <s v="Chechnya:  Response handled by Regional desk, winter clothing for 3,000 people, 55,000 blankets, 10,500 Jerry cans, 11,200 hygiene parcels."/>
  </r>
  <r>
    <x v="0"/>
    <n v="15"/>
    <x v="18"/>
    <d v="1999-10-01T00:00:00"/>
    <x v="4"/>
    <n v="12"/>
    <m/>
    <x v="4"/>
    <n v="15"/>
    <x v="3"/>
    <s v="Timor-Leste"/>
    <m/>
    <x v="8"/>
    <s v="Conflict"/>
    <s v="Conflict"/>
    <m/>
    <x v="0"/>
    <m/>
    <x v="0"/>
    <m/>
    <x v="0"/>
    <m/>
    <m/>
    <m/>
    <m/>
    <m/>
    <m/>
    <m/>
    <m/>
    <m/>
    <n v="10000"/>
    <m/>
    <n v="10000"/>
    <n v="1"/>
    <m/>
    <m/>
    <m/>
    <m/>
    <m/>
    <m/>
    <m/>
    <m/>
    <m/>
    <m/>
    <m/>
    <m/>
    <m/>
    <m/>
    <m/>
    <m/>
    <m/>
    <m/>
    <m/>
    <n v="10000"/>
    <m/>
    <m/>
    <m/>
    <x v="6"/>
    <x v="1"/>
    <m/>
    <m/>
    <m/>
    <m/>
    <n v="2898"/>
    <m/>
    <m/>
    <m/>
    <m/>
    <m/>
    <m/>
    <m/>
    <m/>
    <m/>
    <m/>
    <m/>
    <s v="Referendum"/>
    <s v="Kevin Kelley sent."/>
  </r>
  <r>
    <x v="0"/>
    <n v="16"/>
    <x v="19"/>
    <d v="1999-10-01T00:00:00"/>
    <x v="4"/>
    <n v="13"/>
    <m/>
    <x v="4"/>
    <n v="16"/>
    <x v="3"/>
    <s v="Bangladesh"/>
    <m/>
    <x v="2"/>
    <s v="General Floods"/>
    <s v="General Floods"/>
    <m/>
    <x v="0"/>
    <m/>
    <x v="0"/>
    <m/>
    <x v="0"/>
    <m/>
    <m/>
    <m/>
    <m/>
    <m/>
    <m/>
    <n v="0"/>
    <n v="25000"/>
    <m/>
    <m/>
    <m/>
    <n v="25000"/>
    <n v="0"/>
    <m/>
    <m/>
    <m/>
    <m/>
    <m/>
    <m/>
    <m/>
    <m/>
    <m/>
    <m/>
    <m/>
    <m/>
    <m/>
    <m/>
    <m/>
    <m/>
    <m/>
    <m/>
    <m/>
    <n v="25000"/>
    <m/>
    <m/>
    <n v="2500"/>
    <x v="8"/>
    <x v="1"/>
    <m/>
    <m/>
    <m/>
    <m/>
    <n v="2898"/>
    <m/>
    <m/>
    <m/>
    <m/>
    <m/>
    <m/>
    <m/>
    <m/>
    <m/>
    <m/>
    <m/>
    <m/>
    <m/>
  </r>
  <r>
    <x v="0"/>
    <n v="17"/>
    <x v="20"/>
    <d v="1999-11-01T00:00:00"/>
    <x v="4"/>
    <n v="14"/>
    <m/>
    <x v="4"/>
    <n v="17"/>
    <x v="3"/>
    <s v="India"/>
    <m/>
    <x v="5"/>
    <s v="Tropical Cyclone"/>
    <s v="Cyclone"/>
    <m/>
    <x v="0"/>
    <m/>
    <x v="0"/>
    <m/>
    <x v="0"/>
    <m/>
    <m/>
    <m/>
    <m/>
    <m/>
    <m/>
    <n v="1"/>
    <n v="50000"/>
    <m/>
    <m/>
    <m/>
    <n v="50000"/>
    <n v="0"/>
    <m/>
    <m/>
    <m/>
    <m/>
    <m/>
    <m/>
    <m/>
    <m/>
    <m/>
    <m/>
    <m/>
    <m/>
    <m/>
    <m/>
    <m/>
    <m/>
    <m/>
    <m/>
    <m/>
    <n v="50000"/>
    <m/>
    <m/>
    <n v="5000"/>
    <x v="16"/>
    <x v="1"/>
    <m/>
    <m/>
    <m/>
    <m/>
    <n v="2898"/>
    <m/>
    <m/>
    <m/>
    <m/>
    <m/>
    <m/>
    <m/>
    <m/>
    <m/>
    <m/>
    <m/>
    <m/>
    <s v="Federation handled funds"/>
  </r>
  <r>
    <x v="0"/>
    <n v="18"/>
    <x v="21"/>
    <d v="1999-11-01T00:00:00"/>
    <x v="4"/>
    <n v="15"/>
    <m/>
    <x v="4"/>
    <n v="18"/>
    <x v="3"/>
    <s v="Vietnam"/>
    <m/>
    <x v="2"/>
    <s v="General Floods"/>
    <s v="General Floods"/>
    <m/>
    <x v="0"/>
    <m/>
    <x v="0"/>
    <m/>
    <x v="0"/>
    <m/>
    <m/>
    <m/>
    <m/>
    <m/>
    <m/>
    <m/>
    <m/>
    <m/>
    <n v="50000"/>
    <m/>
    <n v="50000"/>
    <n v="0"/>
    <m/>
    <m/>
    <m/>
    <m/>
    <m/>
    <m/>
    <m/>
    <m/>
    <m/>
    <m/>
    <m/>
    <m/>
    <m/>
    <m/>
    <m/>
    <m/>
    <m/>
    <m/>
    <m/>
    <n v="50000"/>
    <m/>
    <m/>
    <m/>
    <x v="16"/>
    <x v="1"/>
    <m/>
    <m/>
    <m/>
    <m/>
    <n v="2870"/>
    <m/>
    <m/>
    <m/>
    <m/>
    <m/>
    <m/>
    <m/>
    <m/>
    <m/>
    <m/>
    <m/>
    <m/>
    <s v="Reference Regional Desk information."/>
  </r>
  <r>
    <x v="0"/>
    <n v="19"/>
    <x v="9"/>
    <d v="1999-11-01T00:00:00"/>
    <x v="4"/>
    <n v="16"/>
    <m/>
    <x v="4"/>
    <n v="19"/>
    <x v="3"/>
    <s v="Turkey"/>
    <m/>
    <x v="3"/>
    <s v="Earthquake"/>
    <s v="Earthquake"/>
    <m/>
    <x v="0"/>
    <m/>
    <x v="0"/>
    <m/>
    <x v="0"/>
    <m/>
    <m/>
    <m/>
    <m/>
    <m/>
    <m/>
    <n v="1"/>
    <n v="2504221.9900000002"/>
    <m/>
    <n v="1360000"/>
    <m/>
    <n v="3864221.99"/>
    <n v="10"/>
    <m/>
    <m/>
    <m/>
    <m/>
    <m/>
    <m/>
    <m/>
    <m/>
    <m/>
    <m/>
    <m/>
    <m/>
    <m/>
    <m/>
    <m/>
    <m/>
    <m/>
    <n v="816758.16"/>
    <n v="472203.99"/>
    <n v="5153184.1400000006"/>
    <m/>
    <m/>
    <n v="52000"/>
    <x v="17"/>
    <x v="1"/>
    <m/>
    <m/>
    <m/>
    <m/>
    <n v="2814"/>
    <m/>
    <m/>
    <m/>
    <m/>
    <m/>
    <m/>
    <m/>
    <m/>
    <m/>
    <m/>
    <m/>
    <m/>
    <s v="Total expenditures based off expenses from August-Jan for both earthquakes affecting Turkey."/>
  </r>
  <r>
    <x v="0"/>
    <n v="20"/>
    <x v="22"/>
    <d v="1999-11-01T00:00:00"/>
    <x v="4"/>
    <n v="17"/>
    <m/>
    <x v="4"/>
    <n v="20"/>
    <x v="2"/>
    <s v="Dominica"/>
    <m/>
    <x v="5"/>
    <s v="Tropical Cyclone"/>
    <s v="Hurricane"/>
    <m/>
    <x v="0"/>
    <m/>
    <x v="0"/>
    <m/>
    <x v="0"/>
    <m/>
    <m/>
    <m/>
    <m/>
    <m/>
    <m/>
    <m/>
    <m/>
    <m/>
    <n v="15000"/>
    <m/>
    <n v="15000"/>
    <n v="1"/>
    <m/>
    <m/>
    <m/>
    <m/>
    <m/>
    <m/>
    <m/>
    <m/>
    <m/>
    <m/>
    <m/>
    <m/>
    <m/>
    <m/>
    <m/>
    <m/>
    <m/>
    <m/>
    <m/>
    <n v="15000"/>
    <m/>
    <m/>
    <n v="1500"/>
    <x v="18"/>
    <x v="1"/>
    <m/>
    <m/>
    <m/>
    <m/>
    <n v="2898"/>
    <m/>
    <m/>
    <m/>
    <m/>
    <m/>
    <m/>
    <m/>
    <m/>
    <m/>
    <m/>
    <m/>
    <s v="Lenny"/>
    <s v="Transferred directly to DRCS for household items, supplementary food to 100 families, tents &amp; hygiene kits. "/>
  </r>
  <r>
    <x v="0"/>
    <n v="20"/>
    <x v="23"/>
    <d v="1999-11-01T00:00:00"/>
    <x v="4"/>
    <n v="17"/>
    <m/>
    <x v="4"/>
    <n v="20"/>
    <x v="2"/>
    <s v="St. Kitts &amp; Nevis"/>
    <m/>
    <x v="5"/>
    <s v="Tropical Cyclone"/>
    <s v="Hurricane"/>
    <m/>
    <x v="0"/>
    <m/>
    <x v="0"/>
    <m/>
    <x v="0"/>
    <m/>
    <m/>
    <m/>
    <m/>
    <m/>
    <m/>
    <m/>
    <m/>
    <m/>
    <n v="15000"/>
    <m/>
    <n v="15000"/>
    <n v="2"/>
    <m/>
    <m/>
    <m/>
    <m/>
    <m/>
    <m/>
    <m/>
    <m/>
    <m/>
    <m/>
    <m/>
    <m/>
    <m/>
    <m/>
    <m/>
    <m/>
    <m/>
    <m/>
    <m/>
    <n v="15000"/>
    <m/>
    <m/>
    <n v="1500"/>
    <x v="18"/>
    <x v="1"/>
    <m/>
    <m/>
    <m/>
    <m/>
    <n v="2898"/>
    <m/>
    <m/>
    <m/>
    <m/>
    <m/>
    <m/>
    <m/>
    <m/>
    <m/>
    <m/>
    <m/>
    <s v="Lenny"/>
    <s v="Transferred directly to SKNRC for hygiene kits, food packages and bedding "/>
  </r>
  <r>
    <x v="0"/>
    <n v="20"/>
    <x v="24"/>
    <d v="1999-11-01T00:00:00"/>
    <x v="4"/>
    <n v="17"/>
    <m/>
    <x v="4"/>
    <n v="20"/>
    <x v="2"/>
    <s v="Antigua"/>
    <m/>
    <x v="5"/>
    <s v="Tropical Cyclone"/>
    <s v="Hurricane"/>
    <m/>
    <x v="0"/>
    <m/>
    <x v="0"/>
    <m/>
    <x v="0"/>
    <m/>
    <m/>
    <m/>
    <m/>
    <m/>
    <m/>
    <m/>
    <m/>
    <m/>
    <n v="15000"/>
    <m/>
    <n v="15000"/>
    <n v="1"/>
    <m/>
    <m/>
    <m/>
    <m/>
    <m/>
    <m/>
    <m/>
    <m/>
    <m/>
    <m/>
    <m/>
    <m/>
    <m/>
    <m/>
    <m/>
    <m/>
    <m/>
    <m/>
    <m/>
    <n v="15000"/>
    <m/>
    <m/>
    <n v="1500"/>
    <x v="18"/>
    <x v="1"/>
    <m/>
    <m/>
    <m/>
    <m/>
    <n v="2898"/>
    <m/>
    <m/>
    <m/>
    <m/>
    <m/>
    <m/>
    <m/>
    <m/>
    <m/>
    <m/>
    <m/>
    <s v="Lenny"/>
    <s v="$15,000 for mattresses, first aid supplies, and roofing .     "/>
  </r>
  <r>
    <x v="0"/>
    <n v="20"/>
    <x v="25"/>
    <d v="1999-11-01T00:00:00"/>
    <x v="4"/>
    <n v="17"/>
    <m/>
    <x v="4"/>
    <n v="20"/>
    <x v="2"/>
    <s v="Grenada"/>
    <m/>
    <x v="5"/>
    <s v="Tropical Cyclone"/>
    <s v="Hurricane"/>
    <m/>
    <x v="0"/>
    <m/>
    <x v="0"/>
    <m/>
    <x v="0"/>
    <m/>
    <m/>
    <m/>
    <m/>
    <m/>
    <m/>
    <m/>
    <m/>
    <m/>
    <n v="9000"/>
    <m/>
    <n v="9000"/>
    <n v="1"/>
    <m/>
    <m/>
    <m/>
    <m/>
    <m/>
    <m/>
    <m/>
    <m/>
    <m/>
    <m/>
    <m/>
    <m/>
    <m/>
    <m/>
    <m/>
    <m/>
    <m/>
    <m/>
    <m/>
    <n v="9000"/>
    <m/>
    <m/>
    <n v="900"/>
    <x v="19"/>
    <x v="1"/>
    <m/>
    <m/>
    <m/>
    <m/>
    <n v="2898"/>
    <m/>
    <m/>
    <m/>
    <m/>
    <m/>
    <m/>
    <m/>
    <m/>
    <m/>
    <m/>
    <m/>
    <s v="Lenny"/>
    <m/>
  </r>
  <r>
    <x v="0"/>
    <n v="20"/>
    <x v="26"/>
    <d v="1999-11-01T00:00:00"/>
    <x v="4"/>
    <n v="17"/>
    <m/>
    <x v="4"/>
    <n v="20"/>
    <x v="2"/>
    <s v="St. Maartens"/>
    <m/>
    <x v="5"/>
    <s v="Tropical Cyclone"/>
    <s v="Hurricane"/>
    <m/>
    <x v="0"/>
    <m/>
    <x v="0"/>
    <m/>
    <x v="0"/>
    <m/>
    <m/>
    <m/>
    <m/>
    <m/>
    <m/>
    <m/>
    <m/>
    <m/>
    <n v="9000"/>
    <m/>
    <n v="9000"/>
    <m/>
    <m/>
    <m/>
    <m/>
    <m/>
    <m/>
    <m/>
    <m/>
    <m/>
    <m/>
    <m/>
    <m/>
    <m/>
    <m/>
    <m/>
    <m/>
    <m/>
    <m/>
    <m/>
    <m/>
    <n v="9000"/>
    <m/>
    <m/>
    <n v="900"/>
    <x v="19"/>
    <x v="1"/>
    <m/>
    <m/>
    <m/>
    <m/>
    <n v="2898"/>
    <m/>
    <m/>
    <m/>
    <m/>
    <m/>
    <m/>
    <m/>
    <m/>
    <m/>
    <m/>
    <m/>
    <s v="Lenny"/>
    <m/>
  </r>
  <r>
    <x v="0"/>
    <n v="21"/>
    <x v="27"/>
    <d v="1999-12-01T00:00:00"/>
    <x v="4"/>
    <n v="18"/>
    <m/>
    <x v="4"/>
    <n v="21"/>
    <x v="2"/>
    <s v="Venezuela"/>
    <m/>
    <x v="2"/>
    <s v="General Floods"/>
    <s v="General Floods"/>
    <m/>
    <x v="0"/>
    <m/>
    <x v="0"/>
    <m/>
    <x v="0"/>
    <m/>
    <m/>
    <m/>
    <m/>
    <m/>
    <m/>
    <m/>
    <m/>
    <m/>
    <n v="50000"/>
    <m/>
    <n v="50000"/>
    <n v="23"/>
    <m/>
    <m/>
    <n v="55532"/>
    <m/>
    <n v="2200"/>
    <n v="4625"/>
    <n v="2550"/>
    <m/>
    <n v="36"/>
    <m/>
    <n v="6120"/>
    <m/>
    <n v="40000"/>
    <m/>
    <n v="7"/>
    <m/>
    <m/>
    <n v="506000"/>
    <n v="500000"/>
    <n v="1056000"/>
    <m/>
    <m/>
    <n v="120000"/>
    <x v="20"/>
    <x v="1"/>
    <m/>
    <m/>
    <m/>
    <m/>
    <n v="2912"/>
    <m/>
    <m/>
    <m/>
    <m/>
    <m/>
    <m/>
    <m/>
    <m/>
    <m/>
    <m/>
    <m/>
    <m/>
    <s v="2,550 collapsible water containers. Purchased and shipped 7 Ford trucks, ($182,000),  13 MT calcium hypochloride ($30,000)"/>
  </r>
  <r>
    <x v="0"/>
    <n v="22"/>
    <x v="28"/>
    <d v="2000-02-01T00:00:00"/>
    <x v="4"/>
    <n v="19"/>
    <m/>
    <x v="5"/>
    <n v="1"/>
    <x v="1"/>
    <s v="South Africa"/>
    <m/>
    <x v="2"/>
    <s v="General Floods"/>
    <s v="General Floods"/>
    <m/>
    <x v="0"/>
    <m/>
    <x v="0"/>
    <m/>
    <x v="0"/>
    <m/>
    <m/>
    <m/>
    <m/>
    <m/>
    <m/>
    <n v="0"/>
    <n v="23333.333333333332"/>
    <m/>
    <m/>
    <m/>
    <n v="23333.333333333332"/>
    <n v="0"/>
    <m/>
    <m/>
    <m/>
    <m/>
    <m/>
    <m/>
    <m/>
    <m/>
    <m/>
    <m/>
    <m/>
    <m/>
    <m/>
    <m/>
    <m/>
    <m/>
    <m/>
    <m/>
    <m/>
    <n v="23333.333333333332"/>
    <m/>
    <m/>
    <n v="2300"/>
    <x v="21"/>
    <x v="1"/>
    <m/>
    <m/>
    <m/>
    <m/>
    <n v="2898"/>
    <m/>
    <m/>
    <m/>
    <m/>
    <m/>
    <m/>
    <m/>
    <m/>
    <m/>
    <m/>
    <m/>
    <m/>
    <s v="Federation handled funds ($70,000 total)"/>
  </r>
  <r>
    <x v="0"/>
    <n v="22"/>
    <x v="29"/>
    <d v="2000-02-01T00:00:00"/>
    <x v="4"/>
    <n v="19"/>
    <m/>
    <x v="5"/>
    <n v="1"/>
    <x v="1"/>
    <s v="Botswana"/>
    <m/>
    <x v="2"/>
    <s v="General Floods"/>
    <s v="General Floods"/>
    <m/>
    <x v="0"/>
    <m/>
    <x v="0"/>
    <m/>
    <x v="0"/>
    <m/>
    <m/>
    <m/>
    <m/>
    <m/>
    <m/>
    <n v="0"/>
    <n v="23333.333333333332"/>
    <m/>
    <m/>
    <m/>
    <n v="23333.333333333332"/>
    <m/>
    <m/>
    <m/>
    <m/>
    <m/>
    <m/>
    <m/>
    <m/>
    <m/>
    <m/>
    <m/>
    <m/>
    <m/>
    <m/>
    <m/>
    <m/>
    <m/>
    <m/>
    <m/>
    <m/>
    <n v="23333.333333333332"/>
    <m/>
    <m/>
    <n v="2300"/>
    <x v="21"/>
    <x v="1"/>
    <m/>
    <m/>
    <m/>
    <m/>
    <n v="2898"/>
    <m/>
    <m/>
    <m/>
    <m/>
    <m/>
    <m/>
    <m/>
    <m/>
    <m/>
    <m/>
    <m/>
    <m/>
    <s v="Federation handled funds ($70,000 total)"/>
  </r>
  <r>
    <x v="0"/>
    <n v="22"/>
    <x v="30"/>
    <d v="2000-02-01T00:00:00"/>
    <x v="4"/>
    <n v="19"/>
    <m/>
    <x v="5"/>
    <n v="1"/>
    <x v="1"/>
    <s v="Zimbabwe"/>
    <m/>
    <x v="2"/>
    <s v="General Floods"/>
    <s v="General Floods"/>
    <m/>
    <x v="0"/>
    <m/>
    <x v="0"/>
    <m/>
    <x v="0"/>
    <m/>
    <m/>
    <m/>
    <m/>
    <m/>
    <m/>
    <n v="0"/>
    <n v="23333.343333333331"/>
    <m/>
    <m/>
    <m/>
    <n v="23333.343333333331"/>
    <m/>
    <m/>
    <m/>
    <m/>
    <m/>
    <m/>
    <m/>
    <m/>
    <m/>
    <m/>
    <m/>
    <m/>
    <m/>
    <m/>
    <m/>
    <m/>
    <m/>
    <m/>
    <m/>
    <m/>
    <n v="23333.343333333331"/>
    <m/>
    <m/>
    <n v="2300"/>
    <x v="22"/>
    <x v="1"/>
    <m/>
    <m/>
    <m/>
    <m/>
    <n v="2898"/>
    <m/>
    <m/>
    <m/>
    <m/>
    <m/>
    <m/>
    <m/>
    <m/>
    <m/>
    <m/>
    <m/>
    <m/>
    <s v="Federation handled funds ($70,000 total)"/>
  </r>
  <r>
    <x v="0"/>
    <n v="23"/>
    <x v="31"/>
    <d v="2000-03-01T00:00:00"/>
    <x v="4"/>
    <n v="21"/>
    <m/>
    <x v="5"/>
    <n v="3"/>
    <x v="1"/>
    <s v="Madagascar"/>
    <m/>
    <x v="2"/>
    <s v="General Floods"/>
    <s v="General Floods"/>
    <m/>
    <x v="0"/>
    <m/>
    <x v="0"/>
    <m/>
    <x v="0"/>
    <m/>
    <m/>
    <m/>
    <m/>
    <m/>
    <m/>
    <n v="0"/>
    <n v="25000"/>
    <m/>
    <m/>
    <m/>
    <n v="25000"/>
    <n v="0"/>
    <m/>
    <m/>
    <m/>
    <m/>
    <m/>
    <m/>
    <m/>
    <m/>
    <m/>
    <m/>
    <m/>
    <m/>
    <m/>
    <m/>
    <m/>
    <m/>
    <m/>
    <m/>
    <m/>
    <n v="25000"/>
    <m/>
    <m/>
    <n v="2500"/>
    <x v="8"/>
    <x v="1"/>
    <m/>
    <m/>
    <m/>
    <m/>
    <n v="2898"/>
    <m/>
    <m/>
    <m/>
    <m/>
    <m/>
    <m/>
    <m/>
    <m/>
    <m/>
    <m/>
    <m/>
    <m/>
    <s v="Federation handled funds"/>
  </r>
  <r>
    <x v="0"/>
    <n v="24"/>
    <x v="5"/>
    <d v="2000-04-01T00:00:00"/>
    <x v="4"/>
    <n v="22"/>
    <m/>
    <x v="5"/>
    <n v="4"/>
    <x v="1"/>
    <s v="Ethiopia"/>
    <m/>
    <x v="1"/>
    <s v="Drought"/>
    <s v="Drought"/>
    <m/>
    <x v="0"/>
    <m/>
    <x v="0"/>
    <m/>
    <x v="0"/>
    <m/>
    <m/>
    <m/>
    <m/>
    <m/>
    <m/>
    <n v="1"/>
    <n v="100000"/>
    <m/>
    <m/>
    <m/>
    <n v="100000"/>
    <n v="0"/>
    <m/>
    <m/>
    <m/>
    <m/>
    <m/>
    <m/>
    <m/>
    <m/>
    <m/>
    <m/>
    <m/>
    <m/>
    <m/>
    <m/>
    <m/>
    <m/>
    <m/>
    <m/>
    <m/>
    <n v="100000"/>
    <m/>
    <m/>
    <n v="2376.7346201502733"/>
    <x v="5"/>
    <x v="1"/>
    <m/>
    <m/>
    <m/>
    <m/>
    <n v="2898"/>
    <m/>
    <m/>
    <m/>
    <m/>
    <m/>
    <m/>
    <m/>
    <m/>
    <m/>
    <m/>
    <m/>
    <m/>
    <m/>
  </r>
  <r>
    <x v="0"/>
    <n v="25"/>
    <x v="32"/>
    <d v="2000-06-01T00:00:00"/>
    <x v="4"/>
    <n v="23"/>
    <m/>
    <x v="5"/>
    <n v="5"/>
    <x v="3"/>
    <s v="Indonesia"/>
    <m/>
    <x v="3"/>
    <s v="Earthquake"/>
    <s v="Earthquake"/>
    <m/>
    <x v="0"/>
    <m/>
    <x v="0"/>
    <m/>
    <x v="0"/>
    <m/>
    <m/>
    <m/>
    <m/>
    <m/>
    <m/>
    <n v="1"/>
    <n v="50000"/>
    <m/>
    <m/>
    <m/>
    <n v="50000"/>
    <n v="2"/>
    <m/>
    <m/>
    <m/>
    <m/>
    <m/>
    <m/>
    <m/>
    <m/>
    <m/>
    <m/>
    <m/>
    <m/>
    <m/>
    <m/>
    <m/>
    <m/>
    <m/>
    <m/>
    <m/>
    <n v="50000"/>
    <m/>
    <m/>
    <n v="3300"/>
    <x v="16"/>
    <x v="1"/>
    <m/>
    <m/>
    <m/>
    <m/>
    <n v="2898"/>
    <m/>
    <m/>
    <m/>
    <m/>
    <m/>
    <m/>
    <m/>
    <m/>
    <m/>
    <m/>
    <m/>
    <m/>
    <s v="625 family kits"/>
  </r>
  <r>
    <x v="0"/>
    <n v="26"/>
    <x v="33"/>
    <d v="2000-08-01T00:00:00"/>
    <x v="5"/>
    <n v="1"/>
    <m/>
    <x v="5"/>
    <n v="6"/>
    <x v="3"/>
    <s v="India"/>
    <m/>
    <x v="2"/>
    <s v="General Floods"/>
    <s v="General Floods"/>
    <m/>
    <x v="0"/>
    <m/>
    <x v="0"/>
    <m/>
    <x v="0"/>
    <m/>
    <m/>
    <m/>
    <m/>
    <m/>
    <m/>
    <m/>
    <m/>
    <m/>
    <m/>
    <m/>
    <n v="0"/>
    <n v="9"/>
    <m/>
    <m/>
    <n v="5000"/>
    <m/>
    <m/>
    <m/>
    <m/>
    <m/>
    <m/>
    <m/>
    <m/>
    <m/>
    <n v="5000"/>
    <m/>
    <n v="5"/>
    <m/>
    <m/>
    <n v="199200"/>
    <n v="190065"/>
    <n v="389265"/>
    <m/>
    <m/>
    <n v="25000"/>
    <x v="23"/>
    <x v="1"/>
    <m/>
    <m/>
    <m/>
    <m/>
    <n v="4901"/>
    <m/>
    <m/>
    <m/>
    <m/>
    <m/>
    <m/>
    <m/>
    <m/>
    <m/>
    <m/>
    <m/>
    <m/>
    <s v="5,000 relief/food parcels and 5 trucks"/>
  </r>
  <r>
    <x v="0"/>
    <n v="27"/>
    <x v="19"/>
    <d v="2000-08-01T00:00:00"/>
    <x v="5"/>
    <n v="2"/>
    <m/>
    <x v="5"/>
    <n v="7"/>
    <x v="3"/>
    <s v="Bangladesh"/>
    <m/>
    <x v="2"/>
    <s v="General Floods"/>
    <s v="General Floods"/>
    <m/>
    <x v="0"/>
    <m/>
    <x v="0"/>
    <m/>
    <x v="0"/>
    <m/>
    <m/>
    <m/>
    <m/>
    <m/>
    <m/>
    <m/>
    <m/>
    <m/>
    <n v="25000"/>
    <m/>
    <n v="25000"/>
    <n v="0"/>
    <m/>
    <m/>
    <m/>
    <m/>
    <m/>
    <m/>
    <m/>
    <m/>
    <m/>
    <m/>
    <m/>
    <m/>
    <m/>
    <m/>
    <m/>
    <m/>
    <m/>
    <m/>
    <m/>
    <n v="25000"/>
    <m/>
    <m/>
    <n v="2500"/>
    <x v="8"/>
    <x v="1"/>
    <m/>
    <m/>
    <m/>
    <m/>
    <n v="2898"/>
    <m/>
    <m/>
    <m/>
    <m/>
    <m/>
    <m/>
    <m/>
    <m/>
    <m/>
    <m/>
    <m/>
    <m/>
    <s v="via Japanese Red Cross for relief supplies"/>
  </r>
  <r>
    <x v="0"/>
    <n v="28"/>
    <x v="11"/>
    <d v="2000-09-01T00:00:00"/>
    <x v="5"/>
    <n v="3"/>
    <m/>
    <x v="5"/>
    <n v="8"/>
    <x v="3"/>
    <s v="Cambodia"/>
    <m/>
    <x v="2"/>
    <s v="Storm Surge"/>
    <s v="Storm Surge"/>
    <m/>
    <x v="0"/>
    <m/>
    <x v="0"/>
    <m/>
    <x v="0"/>
    <m/>
    <m/>
    <m/>
    <m/>
    <m/>
    <m/>
    <m/>
    <m/>
    <m/>
    <n v="352704"/>
    <m/>
    <n v="352704"/>
    <n v="0"/>
    <m/>
    <m/>
    <m/>
    <m/>
    <m/>
    <m/>
    <m/>
    <m/>
    <m/>
    <m/>
    <m/>
    <m/>
    <m/>
    <m/>
    <m/>
    <m/>
    <m/>
    <m/>
    <m/>
    <n v="352704"/>
    <m/>
    <m/>
    <n v="32645"/>
    <x v="24"/>
    <x v="1"/>
    <m/>
    <m/>
    <m/>
    <m/>
    <s v="OFDA"/>
    <m/>
    <m/>
    <m/>
    <m/>
    <m/>
    <m/>
    <m/>
    <m/>
    <m/>
    <m/>
    <m/>
    <s v="TS Wukong"/>
    <s v="Three grants from OFDA (two @ $25,000 each and 1 @ $302,704) for emergency household kits"/>
  </r>
  <r>
    <x v="0"/>
    <n v="29"/>
    <x v="21"/>
    <d v="2000-09-01T00:00:00"/>
    <x v="5"/>
    <n v="4"/>
    <m/>
    <x v="5"/>
    <n v="9"/>
    <x v="3"/>
    <s v="Vietnam"/>
    <m/>
    <x v="2"/>
    <s v="Storm Surge"/>
    <s v="Storm Surge"/>
    <m/>
    <x v="0"/>
    <m/>
    <x v="0"/>
    <m/>
    <x v="0"/>
    <m/>
    <m/>
    <m/>
    <m/>
    <m/>
    <m/>
    <m/>
    <m/>
    <m/>
    <m/>
    <m/>
    <n v="0"/>
    <n v="0"/>
    <m/>
    <m/>
    <n v="1000"/>
    <m/>
    <m/>
    <m/>
    <m/>
    <m/>
    <m/>
    <m/>
    <m/>
    <m/>
    <m/>
    <m/>
    <m/>
    <m/>
    <m/>
    <n v="20000"/>
    <m/>
    <n v="20000"/>
    <m/>
    <m/>
    <n v="3500"/>
    <x v="25"/>
    <x v="1"/>
    <m/>
    <m/>
    <m/>
    <m/>
    <n v="2898"/>
    <m/>
    <m/>
    <m/>
    <m/>
    <m/>
    <m/>
    <m/>
    <m/>
    <m/>
    <m/>
    <m/>
    <s v="TS Wukong"/>
    <s v="1,000 Relief kits. (blankets, mosquito nets and cooking sets)"/>
  </r>
  <r>
    <x v="0"/>
    <n v="30"/>
    <x v="34"/>
    <d v="2000-10-01T00:00:00"/>
    <x v="5"/>
    <n v="5"/>
    <m/>
    <x v="5"/>
    <n v="10"/>
    <x v="2"/>
    <s v="Belize"/>
    <m/>
    <x v="5"/>
    <s v="Tropical Cyclone"/>
    <s v="Hurricane"/>
    <m/>
    <x v="0"/>
    <m/>
    <x v="0"/>
    <m/>
    <x v="0"/>
    <m/>
    <m/>
    <m/>
    <m/>
    <m/>
    <m/>
    <m/>
    <m/>
    <m/>
    <n v="28500"/>
    <m/>
    <n v="28500"/>
    <n v="5"/>
    <m/>
    <m/>
    <m/>
    <m/>
    <m/>
    <m/>
    <m/>
    <m/>
    <m/>
    <m/>
    <m/>
    <m/>
    <n v="2600"/>
    <m/>
    <m/>
    <m/>
    <m/>
    <n v="90000"/>
    <m/>
    <n v="118500"/>
    <m/>
    <m/>
    <n v="13000"/>
    <x v="26"/>
    <x v="1"/>
    <m/>
    <m/>
    <m/>
    <m/>
    <n v="4903"/>
    <m/>
    <m/>
    <m/>
    <m/>
    <m/>
    <m/>
    <m/>
    <m/>
    <m/>
    <m/>
    <m/>
    <s v="Keith"/>
    <s v="2,600 LDS food parcels + $30,000 for local procurement"/>
  </r>
  <r>
    <x v="0"/>
    <n v="32"/>
    <x v="35"/>
    <d v="2000-10-01T00:00:00"/>
    <x v="5"/>
    <n v="6"/>
    <m/>
    <x v="5"/>
    <n v="11"/>
    <x v="3"/>
    <s v="Israel"/>
    <m/>
    <x v="8"/>
    <s v="Conflict"/>
    <s v="Conflict"/>
    <m/>
    <x v="0"/>
    <m/>
    <x v="0"/>
    <m/>
    <x v="0"/>
    <m/>
    <m/>
    <m/>
    <m/>
    <m/>
    <m/>
    <m/>
    <m/>
    <m/>
    <n v="40000"/>
    <m/>
    <n v="40000"/>
    <m/>
    <m/>
    <m/>
    <m/>
    <m/>
    <m/>
    <m/>
    <m/>
    <m/>
    <m/>
    <m/>
    <m/>
    <m/>
    <m/>
    <m/>
    <m/>
    <m/>
    <m/>
    <n v="0"/>
    <m/>
    <n v="40000"/>
    <m/>
    <m/>
    <m/>
    <x v="27"/>
    <x v="1"/>
    <m/>
    <m/>
    <m/>
    <m/>
    <n v="2898"/>
    <m/>
    <m/>
    <m/>
    <m/>
    <m/>
    <m/>
    <m/>
    <m/>
    <m/>
    <m/>
    <m/>
    <m/>
    <s v="CASH"/>
  </r>
  <r>
    <x v="0"/>
    <n v="32"/>
    <x v="36"/>
    <d v="2000-10-01T00:00:00"/>
    <x v="5"/>
    <n v="6"/>
    <m/>
    <x v="5"/>
    <n v="11"/>
    <x v="3"/>
    <s v="Jordan"/>
    <m/>
    <x v="8"/>
    <s v="Conflict"/>
    <s v="Conflict"/>
    <m/>
    <x v="0"/>
    <m/>
    <x v="0"/>
    <m/>
    <x v="0"/>
    <m/>
    <m/>
    <m/>
    <m/>
    <m/>
    <m/>
    <m/>
    <m/>
    <m/>
    <m/>
    <m/>
    <n v="0"/>
    <m/>
    <m/>
    <m/>
    <m/>
    <m/>
    <m/>
    <m/>
    <m/>
    <m/>
    <m/>
    <m/>
    <m/>
    <m/>
    <m/>
    <m/>
    <n v="1"/>
    <m/>
    <m/>
    <n v="172000"/>
    <m/>
    <n v="172000"/>
    <m/>
    <m/>
    <m/>
    <x v="28"/>
    <x v="1"/>
    <m/>
    <m/>
    <m/>
    <m/>
    <n v="2898"/>
    <m/>
    <m/>
    <m/>
    <m/>
    <m/>
    <m/>
    <m/>
    <m/>
    <m/>
    <m/>
    <m/>
    <m/>
    <s v="1 ambulance, 1 generator, various med supp/equip"/>
  </r>
  <r>
    <x v="0"/>
    <n v="32"/>
    <x v="37"/>
    <d v="2000-10-01T00:00:00"/>
    <x v="5"/>
    <n v="6"/>
    <m/>
    <x v="5"/>
    <n v="11"/>
    <x v="3"/>
    <s v="Palestine"/>
    <m/>
    <x v="8"/>
    <s v="Conflict"/>
    <s v="Conflict"/>
    <m/>
    <x v="0"/>
    <m/>
    <x v="0"/>
    <m/>
    <x v="0"/>
    <m/>
    <m/>
    <m/>
    <m/>
    <m/>
    <m/>
    <m/>
    <m/>
    <m/>
    <m/>
    <m/>
    <n v="0"/>
    <n v="0"/>
    <m/>
    <m/>
    <m/>
    <m/>
    <m/>
    <m/>
    <m/>
    <m/>
    <m/>
    <m/>
    <m/>
    <m/>
    <m/>
    <m/>
    <n v="2"/>
    <m/>
    <m/>
    <n v="90000"/>
    <m/>
    <n v="90000"/>
    <m/>
    <m/>
    <n v="10000"/>
    <x v="29"/>
    <x v="1"/>
    <m/>
    <m/>
    <m/>
    <m/>
    <n v="2898"/>
    <m/>
    <m/>
    <m/>
    <m/>
    <m/>
    <m/>
    <m/>
    <m/>
    <m/>
    <m/>
    <m/>
    <m/>
    <s v="2 ambulances, 1 New Emergency Health Kit"/>
  </r>
  <r>
    <x v="0"/>
    <n v="33"/>
    <x v="38"/>
    <d v="2000-11-01T00:00:00"/>
    <x v="5"/>
    <n v="7"/>
    <m/>
    <x v="5"/>
    <n v="12"/>
    <x v="3"/>
    <s v="Taiwan"/>
    <m/>
    <x v="9"/>
    <s v="Air"/>
    <s v="Air"/>
    <m/>
    <x v="0"/>
    <m/>
    <x v="0"/>
    <m/>
    <x v="0"/>
    <m/>
    <m/>
    <m/>
    <m/>
    <m/>
    <m/>
    <m/>
    <m/>
    <m/>
    <m/>
    <m/>
    <n v="0"/>
    <n v="1"/>
    <m/>
    <m/>
    <m/>
    <m/>
    <m/>
    <m/>
    <m/>
    <m/>
    <m/>
    <m/>
    <m/>
    <m/>
    <m/>
    <m/>
    <m/>
    <m/>
    <m/>
    <m/>
    <n v="7500"/>
    <n v="7500"/>
    <m/>
    <m/>
    <n v="300"/>
    <x v="30"/>
    <x v="1"/>
    <m/>
    <m/>
    <m/>
    <m/>
    <n v="2898"/>
    <m/>
    <m/>
    <m/>
    <m/>
    <m/>
    <m/>
    <m/>
    <m/>
    <m/>
    <m/>
    <m/>
    <s v="Singapore Airlines 006"/>
    <s v="liaison on AIR Team"/>
  </r>
  <r>
    <x v="0"/>
    <n v="34"/>
    <x v="39"/>
    <d v="2000-11-01T00:00:00"/>
    <x v="5"/>
    <n v="8"/>
    <m/>
    <x v="5"/>
    <n v="13"/>
    <x v="3"/>
    <s v="Austria"/>
    <m/>
    <x v="10"/>
    <s v="Fire"/>
    <s v="Fire"/>
    <m/>
    <x v="0"/>
    <m/>
    <x v="0"/>
    <m/>
    <x v="0"/>
    <m/>
    <m/>
    <m/>
    <m/>
    <m/>
    <m/>
    <m/>
    <m/>
    <m/>
    <m/>
    <m/>
    <n v="0"/>
    <n v="0"/>
    <m/>
    <m/>
    <m/>
    <m/>
    <m/>
    <m/>
    <m/>
    <m/>
    <m/>
    <m/>
    <m/>
    <m/>
    <m/>
    <m/>
    <m/>
    <m/>
    <m/>
    <m/>
    <n v="2577.8000000000002"/>
    <n v="2577.8000000000002"/>
    <m/>
    <m/>
    <n v="3"/>
    <x v="31"/>
    <x v="1"/>
    <m/>
    <m/>
    <m/>
    <m/>
    <n v="2898"/>
    <m/>
    <m/>
    <m/>
    <m/>
    <m/>
    <m/>
    <m/>
    <m/>
    <m/>
    <m/>
    <m/>
    <s v="Cable Car Fire"/>
    <s v="plane tickets for family members via AFES"/>
  </r>
  <r>
    <x v="0"/>
    <n v="35"/>
    <x v="40"/>
    <d v="2000-11-01T00:00:00"/>
    <x v="5"/>
    <n v="9"/>
    <m/>
    <x v="5"/>
    <n v="14"/>
    <x v="3"/>
    <s v="Azerbaijan"/>
    <m/>
    <x v="3"/>
    <s v="Earthquake"/>
    <s v="Earthquake"/>
    <m/>
    <x v="0"/>
    <m/>
    <x v="0"/>
    <m/>
    <x v="0"/>
    <m/>
    <m/>
    <m/>
    <m/>
    <m/>
    <m/>
    <m/>
    <m/>
    <m/>
    <m/>
    <m/>
    <n v="0"/>
    <n v="1"/>
    <m/>
    <m/>
    <m/>
    <m/>
    <m/>
    <m/>
    <m/>
    <m/>
    <m/>
    <m/>
    <m/>
    <m/>
    <m/>
    <m/>
    <m/>
    <m/>
    <m/>
    <n v="25000"/>
    <n v="5500"/>
    <n v="30500"/>
    <m/>
    <m/>
    <n v="3050"/>
    <x v="32"/>
    <x v="1"/>
    <m/>
    <m/>
    <m/>
    <m/>
    <n v="2898"/>
    <m/>
    <m/>
    <m/>
    <m/>
    <m/>
    <m/>
    <m/>
    <m/>
    <m/>
    <m/>
    <m/>
    <m/>
    <s v="10 generators, tents &amp; cooking sets. Delegate from Armenia deployed"/>
  </r>
  <r>
    <x v="0"/>
    <n v="36"/>
    <x v="41"/>
    <d v="2000-12-01T00:00:00"/>
    <x v="5"/>
    <n v="10"/>
    <m/>
    <x v="5"/>
    <n v="15"/>
    <x v="3"/>
    <s v="Sri Lanka"/>
    <m/>
    <x v="5"/>
    <s v="Tropical Cyclone"/>
    <s v="Cyclone"/>
    <m/>
    <x v="0"/>
    <m/>
    <x v="0"/>
    <m/>
    <x v="0"/>
    <m/>
    <m/>
    <m/>
    <m/>
    <m/>
    <m/>
    <m/>
    <m/>
    <m/>
    <m/>
    <m/>
    <n v="0"/>
    <n v="0"/>
    <m/>
    <m/>
    <m/>
    <m/>
    <m/>
    <m/>
    <m/>
    <m/>
    <m/>
    <m/>
    <m/>
    <m/>
    <m/>
    <m/>
    <m/>
    <m/>
    <m/>
    <n v="20000"/>
    <m/>
    <n v="20000"/>
    <m/>
    <m/>
    <n v="3000"/>
    <x v="25"/>
    <x v="1"/>
    <m/>
    <m/>
    <m/>
    <m/>
    <n v="2898"/>
    <m/>
    <m/>
    <m/>
    <m/>
    <m/>
    <m/>
    <m/>
    <m/>
    <m/>
    <m/>
    <m/>
    <s v="Cyclone 04B"/>
    <s v="Bedsheets and kitchen sets"/>
  </r>
  <r>
    <x v="0"/>
    <n v="37"/>
    <x v="42"/>
    <d v="2001-01-01T00:00:00"/>
    <x v="5"/>
    <n v="11"/>
    <m/>
    <x v="6"/>
    <n v="1"/>
    <x v="1"/>
    <s v="South Africa"/>
    <m/>
    <x v="11"/>
    <s v="Bacterial"/>
    <s v="Bacterial"/>
    <m/>
    <x v="0"/>
    <m/>
    <x v="0"/>
    <m/>
    <x v="0"/>
    <m/>
    <m/>
    <m/>
    <m/>
    <m/>
    <m/>
    <n v="0"/>
    <n v="25000"/>
    <m/>
    <m/>
    <m/>
    <n v="25000"/>
    <n v="0"/>
    <m/>
    <m/>
    <m/>
    <m/>
    <m/>
    <m/>
    <m/>
    <m/>
    <m/>
    <m/>
    <m/>
    <m/>
    <m/>
    <m/>
    <m/>
    <m/>
    <m/>
    <m/>
    <m/>
    <n v="25000"/>
    <m/>
    <m/>
    <n v="5000"/>
    <x v="8"/>
    <x v="1"/>
    <m/>
    <m/>
    <m/>
    <m/>
    <n v="2898"/>
    <m/>
    <m/>
    <m/>
    <m/>
    <m/>
    <m/>
    <m/>
    <m/>
    <m/>
    <m/>
    <m/>
    <s v="Cholera Outbreak"/>
    <s v="Federation Appeal 32/00"/>
  </r>
  <r>
    <x v="0"/>
    <n v="38"/>
    <x v="43"/>
    <d v="2001-01-01T00:00:00"/>
    <x v="5"/>
    <n v="12"/>
    <m/>
    <x v="6"/>
    <n v="2"/>
    <x v="2"/>
    <s v="El Salvador"/>
    <m/>
    <x v="3"/>
    <s v="Earthquake"/>
    <s v="Earthquake"/>
    <m/>
    <x v="0"/>
    <m/>
    <x v="0"/>
    <m/>
    <x v="0"/>
    <m/>
    <m/>
    <m/>
    <m/>
    <m/>
    <m/>
    <m/>
    <m/>
    <m/>
    <n v="77500"/>
    <m/>
    <n v="77500"/>
    <n v="12"/>
    <m/>
    <m/>
    <m/>
    <m/>
    <m/>
    <m/>
    <m/>
    <m/>
    <m/>
    <m/>
    <m/>
    <m/>
    <m/>
    <m/>
    <m/>
    <m/>
    <m/>
    <n v="150000"/>
    <m/>
    <n v="227500"/>
    <m/>
    <m/>
    <m/>
    <x v="33"/>
    <x v="1"/>
    <m/>
    <m/>
    <m/>
    <m/>
    <n v="2953"/>
    <m/>
    <m/>
    <m/>
    <m/>
    <m/>
    <m/>
    <m/>
    <m/>
    <m/>
    <m/>
    <m/>
    <m/>
    <s v="Cash sent to ARC Delegation in region. Supplies from Regional Warehouses.   Total expenditures as of February 2001, post 2.01 expenditures were rolled into the second El Salvador earthquake."/>
  </r>
  <r>
    <x v="0"/>
    <n v="39"/>
    <x v="44"/>
    <d v="2001-01-01T00:00:00"/>
    <x v="5"/>
    <n v="13"/>
    <m/>
    <x v="6"/>
    <n v="3"/>
    <x v="3"/>
    <s v="China"/>
    <m/>
    <x v="5"/>
    <s v="Winter Storm"/>
    <s v="Snowstorm"/>
    <m/>
    <x v="0"/>
    <m/>
    <x v="0"/>
    <m/>
    <x v="0"/>
    <m/>
    <m/>
    <m/>
    <m/>
    <m/>
    <m/>
    <m/>
    <m/>
    <m/>
    <n v="50000"/>
    <m/>
    <n v="50000"/>
    <n v="0"/>
    <m/>
    <m/>
    <m/>
    <m/>
    <m/>
    <m/>
    <m/>
    <m/>
    <m/>
    <m/>
    <m/>
    <m/>
    <m/>
    <m/>
    <m/>
    <m/>
    <m/>
    <m/>
    <m/>
    <n v="50000"/>
    <m/>
    <m/>
    <n v="5000"/>
    <x v="16"/>
    <x v="1"/>
    <m/>
    <m/>
    <m/>
    <m/>
    <n v="2060"/>
    <m/>
    <m/>
    <m/>
    <m/>
    <m/>
    <m/>
    <m/>
    <m/>
    <m/>
    <m/>
    <m/>
    <s v="Inner Mongolia"/>
    <s v="fund to purchase food (wheat), winter clothes and cotton quilts"/>
  </r>
  <r>
    <x v="0"/>
    <n v="40"/>
    <x v="45"/>
    <d v="2001-01-01T00:00:00"/>
    <x v="5"/>
    <n v="14"/>
    <m/>
    <x v="6"/>
    <n v="4"/>
    <x v="3"/>
    <s v="India"/>
    <m/>
    <x v="3"/>
    <s v="Earthquake"/>
    <s v="Earthquake"/>
    <n v="15850000"/>
    <x v="0"/>
    <m/>
    <x v="0"/>
    <m/>
    <x v="0"/>
    <m/>
    <m/>
    <m/>
    <m/>
    <m/>
    <m/>
    <n v="1"/>
    <n v="100000"/>
    <m/>
    <n v="25000"/>
    <m/>
    <n v="125000"/>
    <n v="19"/>
    <m/>
    <m/>
    <m/>
    <m/>
    <m/>
    <m/>
    <m/>
    <m/>
    <m/>
    <m/>
    <m/>
    <m/>
    <m/>
    <m/>
    <m/>
    <m/>
    <m/>
    <n v="1371479"/>
    <n v="366481.13"/>
    <n v="1862960.13"/>
    <m/>
    <m/>
    <n v="324495"/>
    <x v="1"/>
    <x v="1"/>
    <m/>
    <m/>
    <m/>
    <m/>
    <n v="2954"/>
    <m/>
    <m/>
    <m/>
    <m/>
    <m/>
    <m/>
    <m/>
    <m/>
    <m/>
    <m/>
    <m/>
    <m/>
    <s v="ARC also served an additional 190,185 beneficiaries by  distributing inputs from other NS.  Total expenditures as of May 2001."/>
  </r>
  <r>
    <x v="0"/>
    <n v="41"/>
    <x v="43"/>
    <d v="2001-02-01T00:00:00"/>
    <x v="5"/>
    <n v="15"/>
    <m/>
    <x v="6"/>
    <n v="5"/>
    <x v="2"/>
    <s v="El Salvador"/>
    <m/>
    <x v="3"/>
    <s v="Earthquake"/>
    <s v="Earthquake"/>
    <m/>
    <x v="0"/>
    <m/>
    <x v="0"/>
    <m/>
    <x v="0"/>
    <m/>
    <m/>
    <m/>
    <m/>
    <m/>
    <m/>
    <m/>
    <m/>
    <m/>
    <n v="70000"/>
    <m/>
    <n v="70000"/>
    <n v="8"/>
    <m/>
    <m/>
    <m/>
    <m/>
    <m/>
    <m/>
    <m/>
    <m/>
    <m/>
    <m/>
    <m/>
    <m/>
    <m/>
    <m/>
    <m/>
    <m/>
    <m/>
    <n v="620000"/>
    <m/>
    <n v="690000"/>
    <m/>
    <m/>
    <n v="41628.709446663277"/>
    <x v="34"/>
    <x v="1"/>
    <m/>
    <m/>
    <m/>
    <m/>
    <n v="2953"/>
    <m/>
    <m/>
    <m/>
    <m/>
    <m/>
    <m/>
    <m/>
    <m/>
    <m/>
    <m/>
    <m/>
    <m/>
    <s v="To Purchase Warm cloths, footwear, blankets sheets and left over for food. Total expenditures for both earthquakes in El Salvador through May 2001."/>
  </r>
  <r>
    <x v="0"/>
    <n v="42"/>
    <x v="46"/>
    <d v="2001-02-01T00:00:00"/>
    <x v="5"/>
    <n v="16"/>
    <m/>
    <x v="6"/>
    <n v="6"/>
    <x v="1"/>
    <s v="Mozambique"/>
    <m/>
    <x v="2"/>
    <s v="General Floods"/>
    <s v="General Floods"/>
    <m/>
    <x v="0"/>
    <m/>
    <x v="0"/>
    <m/>
    <x v="0"/>
    <m/>
    <m/>
    <m/>
    <m/>
    <m/>
    <m/>
    <m/>
    <m/>
    <m/>
    <m/>
    <m/>
    <n v="0"/>
    <n v="1"/>
    <m/>
    <m/>
    <m/>
    <m/>
    <m/>
    <m/>
    <m/>
    <m/>
    <m/>
    <m/>
    <m/>
    <m/>
    <m/>
    <m/>
    <m/>
    <m/>
    <m/>
    <m/>
    <n v="250000"/>
    <n v="250000"/>
    <m/>
    <m/>
    <n v="75000"/>
    <x v="35"/>
    <x v="1"/>
    <m/>
    <m/>
    <m/>
    <m/>
    <n v="2675"/>
    <m/>
    <m/>
    <m/>
    <m/>
    <m/>
    <m/>
    <m/>
    <m/>
    <m/>
    <m/>
    <m/>
    <m/>
    <s v="Fed Appeal 10/2001;  Includes regional supply purchase; one delegate.  Total expenditure also includes Malawi expense."/>
  </r>
  <r>
    <x v="0"/>
    <n v="43"/>
    <x v="47"/>
    <d v="2001-02-01T00:00:00"/>
    <x v="5"/>
    <n v="17"/>
    <m/>
    <x v="6"/>
    <n v="7"/>
    <x v="1"/>
    <s v="Malawi"/>
    <m/>
    <x v="2"/>
    <s v="General Floods"/>
    <s v="General Floods"/>
    <m/>
    <x v="0"/>
    <m/>
    <x v="0"/>
    <m/>
    <x v="0"/>
    <m/>
    <m/>
    <m/>
    <m/>
    <m/>
    <m/>
    <m/>
    <m/>
    <m/>
    <n v="25000"/>
    <m/>
    <n v="25000"/>
    <n v="2"/>
    <m/>
    <m/>
    <m/>
    <m/>
    <m/>
    <m/>
    <m/>
    <m/>
    <m/>
    <m/>
    <m/>
    <m/>
    <m/>
    <m/>
    <m/>
    <m/>
    <m/>
    <n v="149000"/>
    <m/>
    <n v="174000"/>
    <m/>
    <m/>
    <n v="22452"/>
    <x v="36"/>
    <x v="1"/>
    <m/>
    <m/>
    <m/>
    <m/>
    <n v="2675"/>
    <m/>
    <m/>
    <m/>
    <m/>
    <m/>
    <m/>
    <m/>
    <m/>
    <m/>
    <m/>
    <m/>
    <m/>
    <s v="Fed Appeal 9/2001;  49,000 from CCC seeds, tools and water supply.  See Mozambique Total Expenditure (they are combined.)"/>
  </r>
  <r>
    <x v="0"/>
    <n v="44"/>
    <x v="48"/>
    <d v="2001-03-01T00:00:00"/>
    <x v="5"/>
    <n v="18"/>
    <m/>
    <x v="6"/>
    <n v="8"/>
    <x v="2"/>
    <s v="Bolivia"/>
    <m/>
    <x v="2"/>
    <s v="General Floods"/>
    <s v="General Floods"/>
    <m/>
    <x v="0"/>
    <m/>
    <x v="0"/>
    <m/>
    <x v="0"/>
    <m/>
    <m/>
    <m/>
    <m/>
    <m/>
    <m/>
    <m/>
    <m/>
    <m/>
    <n v="15000"/>
    <m/>
    <n v="15000"/>
    <n v="0"/>
    <m/>
    <m/>
    <m/>
    <m/>
    <m/>
    <m/>
    <m/>
    <m/>
    <m/>
    <m/>
    <m/>
    <m/>
    <m/>
    <m/>
    <m/>
    <m/>
    <m/>
    <m/>
    <m/>
    <n v="15000"/>
    <m/>
    <m/>
    <n v="1500"/>
    <x v="18"/>
    <x v="1"/>
    <m/>
    <m/>
    <m/>
    <m/>
    <n v="2898"/>
    <m/>
    <m/>
    <m/>
    <m/>
    <m/>
    <m/>
    <m/>
    <m/>
    <m/>
    <m/>
    <m/>
    <m/>
    <s v="Fed Appeal 5/2001"/>
  </r>
  <r>
    <x v="0"/>
    <n v="45"/>
    <x v="49"/>
    <d v="2001-03-01T00:00:00"/>
    <x v="5"/>
    <n v="19"/>
    <m/>
    <x v="6"/>
    <n v="9"/>
    <x v="2"/>
    <s v="Peru"/>
    <m/>
    <x v="2"/>
    <s v="General Floods"/>
    <s v="General Floods"/>
    <m/>
    <x v="0"/>
    <m/>
    <x v="0"/>
    <m/>
    <x v="0"/>
    <m/>
    <m/>
    <m/>
    <m/>
    <m/>
    <m/>
    <m/>
    <m/>
    <m/>
    <n v="15000"/>
    <m/>
    <n v="15000"/>
    <n v="0"/>
    <m/>
    <m/>
    <n v="6111"/>
    <m/>
    <m/>
    <n v="5100"/>
    <m/>
    <m/>
    <n v="761"/>
    <m/>
    <m/>
    <m/>
    <m/>
    <n v="250"/>
    <m/>
    <m/>
    <m/>
    <n v="0"/>
    <n v="0"/>
    <n v="15000"/>
    <m/>
    <m/>
    <n v="24805"/>
    <x v="18"/>
    <x v="1"/>
    <m/>
    <m/>
    <m/>
    <m/>
    <n v="2898"/>
    <m/>
    <m/>
    <m/>
    <m/>
    <m/>
    <m/>
    <m/>
    <m/>
    <m/>
    <m/>
    <m/>
    <m/>
    <m/>
  </r>
  <r>
    <x v="0"/>
    <n v="46"/>
    <x v="50"/>
    <d v="2001-04-01T00:00:00"/>
    <x v="5"/>
    <n v="20"/>
    <m/>
    <x v="6"/>
    <n v="10"/>
    <x v="4"/>
    <s v="Canada"/>
    <m/>
    <x v="9"/>
    <s v="Road"/>
    <s v="Road"/>
    <m/>
    <x v="0"/>
    <m/>
    <x v="0"/>
    <m/>
    <x v="0"/>
    <m/>
    <m/>
    <m/>
    <m/>
    <m/>
    <m/>
    <m/>
    <m/>
    <m/>
    <m/>
    <m/>
    <n v="0"/>
    <n v="2"/>
    <m/>
    <m/>
    <m/>
    <m/>
    <m/>
    <m/>
    <m/>
    <m/>
    <m/>
    <m/>
    <m/>
    <m/>
    <m/>
    <m/>
    <m/>
    <m/>
    <m/>
    <m/>
    <n v="1000"/>
    <n v="1000"/>
    <m/>
    <m/>
    <m/>
    <x v="37"/>
    <x v="1"/>
    <m/>
    <m/>
    <m/>
    <m/>
    <n v="2898"/>
    <m/>
    <m/>
    <m/>
    <m/>
    <m/>
    <m/>
    <m/>
    <m/>
    <m/>
    <m/>
    <m/>
    <s v="Bus Crash"/>
    <s v="American children survivors"/>
  </r>
  <r>
    <x v="0"/>
    <n v="47"/>
    <x v="51"/>
    <d v="2001-05-01T00:00:00"/>
    <x v="5"/>
    <n v="21"/>
    <m/>
    <x v="6"/>
    <n v="11"/>
    <x v="3"/>
    <s v="Russian Fed."/>
    <m/>
    <x v="2"/>
    <s v="General Floods"/>
    <s v="General Floods"/>
    <m/>
    <x v="0"/>
    <m/>
    <x v="0"/>
    <m/>
    <x v="0"/>
    <m/>
    <m/>
    <m/>
    <m/>
    <m/>
    <m/>
    <m/>
    <m/>
    <m/>
    <n v="25000"/>
    <m/>
    <n v="25000"/>
    <n v="0"/>
    <m/>
    <m/>
    <m/>
    <m/>
    <m/>
    <m/>
    <m/>
    <m/>
    <m/>
    <m/>
    <m/>
    <m/>
    <m/>
    <m/>
    <m/>
    <m/>
    <m/>
    <m/>
    <m/>
    <n v="25000"/>
    <m/>
    <m/>
    <n v="3000"/>
    <x v="8"/>
    <x v="1"/>
    <m/>
    <m/>
    <m/>
    <m/>
    <n v="2898"/>
    <m/>
    <m/>
    <m/>
    <m/>
    <m/>
    <m/>
    <m/>
    <m/>
    <m/>
    <m/>
    <m/>
    <m/>
    <s v="Siberia: Procurement of warm cloths, footwear, blankets sheets &amp; food. "/>
  </r>
  <r>
    <x v="0"/>
    <n v="48"/>
    <x v="52"/>
    <d v="2001-06-01T00:00:00"/>
    <x v="5"/>
    <n v="22"/>
    <m/>
    <x v="6"/>
    <n v="12"/>
    <x v="3"/>
    <s v="Macedonia"/>
    <m/>
    <x v="8"/>
    <s v="Conflict"/>
    <s v="Conflict"/>
    <m/>
    <x v="0"/>
    <m/>
    <x v="0"/>
    <m/>
    <x v="0"/>
    <m/>
    <m/>
    <m/>
    <m/>
    <m/>
    <m/>
    <m/>
    <m/>
    <m/>
    <m/>
    <m/>
    <n v="0"/>
    <n v="0"/>
    <m/>
    <m/>
    <n v="10000"/>
    <m/>
    <m/>
    <m/>
    <m/>
    <m/>
    <m/>
    <m/>
    <m/>
    <m/>
    <m/>
    <m/>
    <m/>
    <m/>
    <m/>
    <n v="20700"/>
    <m/>
    <n v="20700"/>
    <m/>
    <m/>
    <n v="40000"/>
    <x v="38"/>
    <x v="1"/>
    <m/>
    <m/>
    <m/>
    <m/>
    <n v="2898"/>
    <m/>
    <m/>
    <m/>
    <m/>
    <m/>
    <m/>
    <m/>
    <m/>
    <m/>
    <m/>
    <m/>
    <m/>
    <s v="10,000 family  packets (Currently only 2,300) a family is 4 persons"/>
  </r>
  <r>
    <x v="0"/>
    <n v="49"/>
    <x v="53"/>
    <d v="2001-06-01T00:00:00"/>
    <x v="5"/>
    <n v="23"/>
    <m/>
    <x v="6"/>
    <n v="13"/>
    <x v="3"/>
    <s v="Bosnia"/>
    <m/>
    <x v="2"/>
    <s v="General Floods"/>
    <s v="General Floods"/>
    <m/>
    <x v="0"/>
    <m/>
    <x v="0"/>
    <m/>
    <x v="0"/>
    <m/>
    <m/>
    <m/>
    <m/>
    <m/>
    <m/>
    <m/>
    <m/>
    <m/>
    <m/>
    <m/>
    <n v="0"/>
    <n v="0"/>
    <m/>
    <m/>
    <n v="6000"/>
    <m/>
    <m/>
    <n v="6000"/>
    <m/>
    <m/>
    <m/>
    <m/>
    <m/>
    <m/>
    <m/>
    <m/>
    <m/>
    <m/>
    <m/>
    <n v="18000"/>
    <m/>
    <n v="18000"/>
    <m/>
    <m/>
    <n v="6000"/>
    <x v="39"/>
    <x v="1"/>
    <m/>
    <m/>
    <m/>
    <m/>
    <n v="2898"/>
    <m/>
    <m/>
    <m/>
    <m/>
    <m/>
    <m/>
    <m/>
    <m/>
    <m/>
    <m/>
    <m/>
    <m/>
    <s v="Bulgaria stocks"/>
  </r>
  <r>
    <x v="0"/>
    <n v="50"/>
    <x v="54"/>
    <d v="2001-06-01T00:00:00"/>
    <x v="5"/>
    <n v="24"/>
    <m/>
    <x v="6"/>
    <n v="14"/>
    <x v="2"/>
    <s v="Peru"/>
    <m/>
    <x v="3"/>
    <s v="Earthquake"/>
    <s v="Earthquake"/>
    <m/>
    <x v="0"/>
    <m/>
    <x v="0"/>
    <m/>
    <x v="0"/>
    <m/>
    <m/>
    <m/>
    <m/>
    <m/>
    <m/>
    <m/>
    <m/>
    <m/>
    <n v="24420"/>
    <m/>
    <n v="24420"/>
    <n v="3"/>
    <m/>
    <m/>
    <n v="6107"/>
    <m/>
    <m/>
    <n v="5100"/>
    <m/>
    <m/>
    <n v="757"/>
    <m/>
    <m/>
    <m/>
    <m/>
    <n v="250"/>
    <m/>
    <m/>
    <m/>
    <n v="361260"/>
    <n v="313450"/>
    <n v="699130"/>
    <m/>
    <m/>
    <n v="15000"/>
    <x v="40"/>
    <x v="1"/>
    <m/>
    <m/>
    <m/>
    <m/>
    <n v="2676"/>
    <m/>
    <m/>
    <m/>
    <m/>
    <m/>
    <m/>
    <m/>
    <m/>
    <m/>
    <m/>
    <m/>
    <m/>
    <s v="plastic sheeting ($81,250), blankets ($12,240), tents ($78,637). Total $271,627 (incl. transport).    tents ($147,706): Total $150,706 (incl. transport).  Replenishment of supplies $50,000"/>
  </r>
  <r>
    <x v="0"/>
    <n v="51"/>
    <x v="33"/>
    <d v="2001-07-01T00:00:00"/>
    <x v="6"/>
    <n v="1"/>
    <m/>
    <x v="6"/>
    <n v="15"/>
    <x v="3"/>
    <s v="India"/>
    <m/>
    <x v="2"/>
    <s v="General Floods"/>
    <s v="General Floods"/>
    <n v="6000000"/>
    <x v="0"/>
    <m/>
    <x v="0"/>
    <m/>
    <x v="0"/>
    <m/>
    <m/>
    <m/>
    <m/>
    <m/>
    <m/>
    <m/>
    <m/>
    <m/>
    <m/>
    <m/>
    <n v="0"/>
    <n v="0"/>
    <m/>
    <m/>
    <m/>
    <m/>
    <m/>
    <m/>
    <m/>
    <m/>
    <m/>
    <m/>
    <m/>
    <m/>
    <m/>
    <m/>
    <m/>
    <m/>
    <m/>
    <n v="100000"/>
    <m/>
    <n v="100000"/>
    <m/>
    <m/>
    <n v="10000"/>
    <x v="5"/>
    <x v="1"/>
    <m/>
    <m/>
    <m/>
    <m/>
    <n v="2954"/>
    <m/>
    <m/>
    <m/>
    <m/>
    <m/>
    <m/>
    <m/>
    <m/>
    <m/>
    <m/>
    <m/>
    <m/>
    <m/>
  </r>
  <r>
    <x v="0"/>
    <n v="52"/>
    <x v="55"/>
    <d v="2001-08-01T00:00:00"/>
    <x v="6"/>
    <n v="2"/>
    <m/>
    <x v="6"/>
    <n v="16"/>
    <x v="2"/>
    <s v="El Salvador"/>
    <m/>
    <x v="1"/>
    <s v="Drought"/>
    <s v="Drought"/>
    <m/>
    <x v="0"/>
    <m/>
    <x v="0"/>
    <m/>
    <x v="0"/>
    <m/>
    <m/>
    <m/>
    <m/>
    <m/>
    <m/>
    <m/>
    <m/>
    <m/>
    <n v="25000"/>
    <m/>
    <n v="25000"/>
    <n v="5"/>
    <m/>
    <m/>
    <m/>
    <m/>
    <m/>
    <m/>
    <m/>
    <m/>
    <m/>
    <m/>
    <m/>
    <m/>
    <m/>
    <m/>
    <m/>
    <m/>
    <m/>
    <m/>
    <m/>
    <n v="25000"/>
    <m/>
    <m/>
    <n v="5000"/>
    <x v="8"/>
    <x v="1"/>
    <m/>
    <m/>
    <m/>
    <m/>
    <n v="2837"/>
    <m/>
    <m/>
    <m/>
    <m/>
    <m/>
    <m/>
    <m/>
    <m/>
    <m/>
    <m/>
    <m/>
    <m/>
    <s v="$25,000 allocated to each national society to be implemented thr ARC delegations through $12,500 donation to the field delegation and $12,500 matched by the field.  Total expenditures through December 2001."/>
  </r>
  <r>
    <x v="0"/>
    <n v="52"/>
    <x v="56"/>
    <d v="2001-08-01T00:00:00"/>
    <x v="6"/>
    <n v="2"/>
    <m/>
    <x v="6"/>
    <n v="16"/>
    <x v="2"/>
    <s v="Honduras"/>
    <m/>
    <x v="1"/>
    <s v="Drought"/>
    <s v="Drought"/>
    <m/>
    <x v="0"/>
    <m/>
    <x v="0"/>
    <m/>
    <x v="0"/>
    <m/>
    <m/>
    <m/>
    <m/>
    <m/>
    <m/>
    <m/>
    <m/>
    <m/>
    <m/>
    <m/>
    <n v="0"/>
    <m/>
    <m/>
    <m/>
    <m/>
    <m/>
    <m/>
    <m/>
    <m/>
    <m/>
    <m/>
    <m/>
    <m/>
    <m/>
    <m/>
    <m/>
    <m/>
    <m/>
    <m/>
    <m/>
    <m/>
    <n v="0"/>
    <m/>
    <m/>
    <m/>
    <x v="7"/>
    <x v="1"/>
    <m/>
    <m/>
    <m/>
    <m/>
    <n v="2837"/>
    <m/>
    <m/>
    <m/>
    <m/>
    <m/>
    <m/>
    <m/>
    <m/>
    <m/>
    <m/>
    <m/>
    <m/>
    <m/>
  </r>
  <r>
    <x v="0"/>
    <n v="52"/>
    <x v="57"/>
    <d v="2001-08-01T00:00:00"/>
    <x v="6"/>
    <n v="2"/>
    <m/>
    <x v="6"/>
    <n v="16"/>
    <x v="2"/>
    <s v="Nicaragua"/>
    <m/>
    <x v="1"/>
    <s v="Drought"/>
    <s v="Drought"/>
    <m/>
    <x v="0"/>
    <m/>
    <x v="0"/>
    <m/>
    <x v="0"/>
    <m/>
    <m/>
    <m/>
    <m/>
    <m/>
    <m/>
    <m/>
    <m/>
    <m/>
    <m/>
    <m/>
    <n v="0"/>
    <m/>
    <m/>
    <m/>
    <m/>
    <m/>
    <m/>
    <m/>
    <m/>
    <m/>
    <m/>
    <m/>
    <m/>
    <m/>
    <m/>
    <m/>
    <m/>
    <m/>
    <m/>
    <m/>
    <m/>
    <n v="0"/>
    <m/>
    <m/>
    <m/>
    <x v="7"/>
    <x v="1"/>
    <m/>
    <m/>
    <m/>
    <m/>
    <n v="2837"/>
    <m/>
    <m/>
    <m/>
    <m/>
    <m/>
    <m/>
    <m/>
    <m/>
    <m/>
    <m/>
    <m/>
    <m/>
    <m/>
  </r>
  <r>
    <x v="0"/>
    <n v="52"/>
    <x v="58"/>
    <d v="2001-08-01T00:00:00"/>
    <x v="6"/>
    <n v="2"/>
    <m/>
    <x v="6"/>
    <n v="16"/>
    <x v="2"/>
    <s v="Guatemala"/>
    <m/>
    <x v="1"/>
    <s v="Drought"/>
    <s v="Drought"/>
    <m/>
    <x v="0"/>
    <m/>
    <x v="0"/>
    <m/>
    <x v="0"/>
    <m/>
    <m/>
    <m/>
    <m/>
    <m/>
    <m/>
    <m/>
    <m/>
    <m/>
    <m/>
    <m/>
    <n v="0"/>
    <m/>
    <m/>
    <m/>
    <m/>
    <m/>
    <m/>
    <m/>
    <m/>
    <m/>
    <m/>
    <m/>
    <m/>
    <m/>
    <m/>
    <m/>
    <m/>
    <m/>
    <m/>
    <m/>
    <m/>
    <n v="0"/>
    <m/>
    <m/>
    <m/>
    <x v="7"/>
    <x v="1"/>
    <m/>
    <m/>
    <m/>
    <m/>
    <n v="2837"/>
    <m/>
    <m/>
    <m/>
    <m/>
    <m/>
    <m/>
    <m/>
    <m/>
    <m/>
    <m/>
    <m/>
    <m/>
    <m/>
  </r>
  <r>
    <x v="0"/>
    <n v="53"/>
    <x v="59"/>
    <d v="2001-09-01T00:00:00"/>
    <x v="6"/>
    <n v="3"/>
    <m/>
    <x v="6"/>
    <n v="17"/>
    <x v="2"/>
    <s v="Ecuador"/>
    <m/>
    <x v="4"/>
    <s v="Volcanic Eruption"/>
    <s v="Volcanic Eruption"/>
    <m/>
    <x v="0"/>
    <m/>
    <x v="0"/>
    <m/>
    <x v="0"/>
    <m/>
    <m/>
    <m/>
    <m/>
    <m/>
    <m/>
    <m/>
    <m/>
    <m/>
    <n v="10000"/>
    <m/>
    <n v="10000"/>
    <m/>
    <m/>
    <m/>
    <m/>
    <m/>
    <m/>
    <m/>
    <m/>
    <m/>
    <m/>
    <m/>
    <m/>
    <m/>
    <m/>
    <m/>
    <m/>
    <m/>
    <m/>
    <m/>
    <m/>
    <n v="10000"/>
    <m/>
    <m/>
    <n v="1000"/>
    <x v="6"/>
    <x v="1"/>
    <m/>
    <m/>
    <m/>
    <m/>
    <n v="2898"/>
    <m/>
    <m/>
    <m/>
    <m/>
    <m/>
    <m/>
    <m/>
    <m/>
    <m/>
    <m/>
    <m/>
    <m/>
    <s v="$10,000 from IDRU in addition to $10,000 from the Americas Region to the Ecuador Red Cross for the Tungurahua Volcano Ash Fall "/>
  </r>
  <r>
    <x v="0"/>
    <n v="54"/>
    <x v="60"/>
    <d v="2001-09-01T00:00:00"/>
    <x v="6"/>
    <n v="4"/>
    <m/>
    <x v="6"/>
    <n v="18"/>
    <x v="3"/>
    <s v="Afghanistan"/>
    <m/>
    <x v="8"/>
    <s v="Conflict"/>
    <s v="Conflict"/>
    <m/>
    <x v="0"/>
    <m/>
    <x v="0"/>
    <m/>
    <x v="0"/>
    <m/>
    <m/>
    <m/>
    <m/>
    <m/>
    <m/>
    <m/>
    <m/>
    <m/>
    <m/>
    <m/>
    <n v="0"/>
    <n v="12"/>
    <m/>
    <m/>
    <m/>
    <m/>
    <m/>
    <m/>
    <m/>
    <m/>
    <m/>
    <m/>
    <m/>
    <m/>
    <m/>
    <m/>
    <m/>
    <m/>
    <m/>
    <n v="2032231"/>
    <n v="200000"/>
    <n v="2232231"/>
    <n v="9767769"/>
    <m/>
    <n v="380000"/>
    <x v="41"/>
    <x v="1"/>
    <m/>
    <m/>
    <m/>
    <m/>
    <n v="2677"/>
    <m/>
    <m/>
    <m/>
    <m/>
    <m/>
    <m/>
    <m/>
    <m/>
    <m/>
    <m/>
    <m/>
    <m/>
    <s v="AFAC is a partnership with the White House.  Final report issued in August 2006."/>
  </r>
  <r>
    <x v="0"/>
    <n v="54"/>
    <x v="61"/>
    <d v="2001-09-01T00:00:00"/>
    <x v="6"/>
    <n v="4"/>
    <m/>
    <x v="6"/>
    <n v="18"/>
    <x v="3"/>
    <s v="Pakistan"/>
    <m/>
    <x v="8"/>
    <s v="Conflict"/>
    <s v="Conflict"/>
    <m/>
    <x v="0"/>
    <m/>
    <x v="0"/>
    <m/>
    <x v="0"/>
    <m/>
    <m/>
    <m/>
    <m/>
    <m/>
    <m/>
    <m/>
    <m/>
    <m/>
    <m/>
    <m/>
    <n v="0"/>
    <m/>
    <m/>
    <m/>
    <m/>
    <m/>
    <m/>
    <m/>
    <m/>
    <m/>
    <m/>
    <m/>
    <m/>
    <m/>
    <m/>
    <m/>
    <m/>
    <m/>
    <m/>
    <m/>
    <m/>
    <n v="0"/>
    <m/>
    <m/>
    <m/>
    <x v="7"/>
    <x v="1"/>
    <m/>
    <m/>
    <m/>
    <m/>
    <n v="2677"/>
    <m/>
    <m/>
    <m/>
    <m/>
    <m/>
    <m/>
    <m/>
    <m/>
    <m/>
    <m/>
    <m/>
    <m/>
    <m/>
  </r>
  <r>
    <x v="0"/>
    <n v="54"/>
    <x v="62"/>
    <d v="2001-09-01T00:00:00"/>
    <x v="6"/>
    <n v="4"/>
    <m/>
    <x v="6"/>
    <n v="18"/>
    <x v="3"/>
    <s v="Uzbekistan"/>
    <m/>
    <x v="8"/>
    <s v="Conflict"/>
    <s v="Conflict"/>
    <m/>
    <x v="0"/>
    <m/>
    <x v="0"/>
    <m/>
    <x v="0"/>
    <m/>
    <m/>
    <m/>
    <m/>
    <m/>
    <m/>
    <m/>
    <m/>
    <m/>
    <m/>
    <m/>
    <n v="0"/>
    <m/>
    <m/>
    <m/>
    <m/>
    <m/>
    <m/>
    <m/>
    <m/>
    <m/>
    <m/>
    <m/>
    <m/>
    <m/>
    <m/>
    <m/>
    <m/>
    <m/>
    <m/>
    <m/>
    <m/>
    <n v="0"/>
    <m/>
    <m/>
    <m/>
    <x v="7"/>
    <x v="1"/>
    <m/>
    <m/>
    <m/>
    <m/>
    <n v="2677"/>
    <m/>
    <m/>
    <m/>
    <m/>
    <m/>
    <m/>
    <m/>
    <m/>
    <m/>
    <m/>
    <m/>
    <m/>
    <m/>
  </r>
  <r>
    <x v="0"/>
    <n v="54"/>
    <x v="63"/>
    <d v="2001-09-01T00:00:00"/>
    <x v="6"/>
    <n v="4"/>
    <m/>
    <x v="6"/>
    <n v="18"/>
    <x v="3"/>
    <s v="Iran"/>
    <m/>
    <x v="8"/>
    <s v="Conflict"/>
    <s v="Conflict"/>
    <m/>
    <x v="0"/>
    <m/>
    <x v="0"/>
    <m/>
    <x v="0"/>
    <m/>
    <m/>
    <m/>
    <m/>
    <m/>
    <m/>
    <m/>
    <m/>
    <m/>
    <m/>
    <m/>
    <n v="0"/>
    <m/>
    <m/>
    <m/>
    <m/>
    <m/>
    <m/>
    <m/>
    <m/>
    <m/>
    <m/>
    <m/>
    <m/>
    <m/>
    <m/>
    <m/>
    <m/>
    <m/>
    <m/>
    <m/>
    <m/>
    <n v="0"/>
    <m/>
    <m/>
    <m/>
    <x v="7"/>
    <x v="1"/>
    <m/>
    <m/>
    <m/>
    <m/>
    <n v="2677"/>
    <m/>
    <m/>
    <m/>
    <m/>
    <m/>
    <m/>
    <m/>
    <m/>
    <m/>
    <m/>
    <m/>
    <m/>
    <m/>
  </r>
  <r>
    <x v="0"/>
    <n v="54"/>
    <x v="64"/>
    <d v="2001-09-01T00:00:00"/>
    <x v="6"/>
    <n v="4"/>
    <m/>
    <x v="6"/>
    <n v="18"/>
    <x v="3"/>
    <s v="Turkmenistan"/>
    <m/>
    <x v="8"/>
    <s v="Conflict"/>
    <s v="Conflict"/>
    <m/>
    <x v="0"/>
    <m/>
    <x v="0"/>
    <m/>
    <x v="0"/>
    <m/>
    <m/>
    <m/>
    <m/>
    <m/>
    <m/>
    <m/>
    <m/>
    <m/>
    <m/>
    <m/>
    <n v="0"/>
    <m/>
    <m/>
    <m/>
    <m/>
    <m/>
    <m/>
    <m/>
    <m/>
    <m/>
    <m/>
    <m/>
    <m/>
    <m/>
    <m/>
    <m/>
    <m/>
    <m/>
    <m/>
    <m/>
    <m/>
    <n v="0"/>
    <m/>
    <m/>
    <m/>
    <x v="7"/>
    <x v="1"/>
    <m/>
    <m/>
    <m/>
    <m/>
    <n v="2677"/>
    <m/>
    <m/>
    <m/>
    <m/>
    <m/>
    <m/>
    <m/>
    <m/>
    <m/>
    <m/>
    <m/>
    <m/>
    <m/>
  </r>
  <r>
    <x v="0"/>
    <n v="55"/>
    <x v="65"/>
    <d v="2001-09-01T00:00:00"/>
    <x v="6"/>
    <n v="5"/>
    <m/>
    <x v="6"/>
    <n v="19"/>
    <x v="4"/>
    <s v="US"/>
    <m/>
    <x v="12"/>
    <s v="Terrorism"/>
    <s v="Terrorism"/>
    <m/>
    <x v="0"/>
    <m/>
    <x v="0"/>
    <m/>
    <x v="0"/>
    <m/>
    <m/>
    <m/>
    <m/>
    <m/>
    <m/>
    <m/>
    <m/>
    <m/>
    <n v="3257775.37"/>
    <m/>
    <n v="3257775.37"/>
    <n v="30"/>
    <m/>
    <m/>
    <m/>
    <m/>
    <m/>
    <m/>
    <m/>
    <m/>
    <m/>
    <m/>
    <m/>
    <m/>
    <m/>
    <m/>
    <m/>
    <m/>
    <m/>
    <n v="0"/>
    <n v="257704"/>
    <n v="3515479.37"/>
    <m/>
    <m/>
    <n v="2622"/>
    <x v="42"/>
    <x v="1"/>
    <m/>
    <m/>
    <m/>
    <m/>
    <n v="4949"/>
    <m/>
    <m/>
    <m/>
    <m/>
    <m/>
    <m/>
    <m/>
    <m/>
    <m/>
    <m/>
    <m/>
    <d v="2008-09-11T00:00:00"/>
    <s v="The $3,084,914.31 distributed was to international families of victims of the terrorist attacks.   Beneficiaries: 6 members per each family assisted."/>
  </r>
  <r>
    <x v="0"/>
    <n v="56"/>
    <x v="66"/>
    <d v="2001-09-01T00:00:00"/>
    <x v="6"/>
    <n v="6"/>
    <m/>
    <x v="6"/>
    <n v="20"/>
    <x v="2"/>
    <s v="Mexico"/>
    <m/>
    <x v="9"/>
    <s v="Air"/>
    <s v="Air"/>
    <m/>
    <x v="0"/>
    <m/>
    <x v="0"/>
    <m/>
    <x v="0"/>
    <m/>
    <m/>
    <m/>
    <m/>
    <m/>
    <m/>
    <m/>
    <m/>
    <m/>
    <m/>
    <m/>
    <n v="0"/>
    <n v="4"/>
    <m/>
    <m/>
    <m/>
    <m/>
    <m/>
    <m/>
    <m/>
    <m/>
    <m/>
    <m/>
    <m/>
    <m/>
    <m/>
    <m/>
    <m/>
    <m/>
    <m/>
    <n v="0"/>
    <n v="15000"/>
    <n v="15000"/>
    <m/>
    <m/>
    <n v="95"/>
    <x v="18"/>
    <x v="1"/>
    <m/>
    <m/>
    <m/>
    <m/>
    <n v="2679"/>
    <m/>
    <m/>
    <m/>
    <m/>
    <m/>
    <m/>
    <m/>
    <m/>
    <m/>
    <m/>
    <m/>
    <s v="Plane Crash"/>
    <s v="Financial contribution made to memorial; beneficiaries: 5 members per each family assisted."/>
  </r>
  <r>
    <x v="0"/>
    <n v="57"/>
    <x v="67"/>
    <d v="2001-10-01T00:00:00"/>
    <x v="6"/>
    <n v="7"/>
    <m/>
    <x v="6"/>
    <n v="21"/>
    <x v="2"/>
    <s v="Mexico"/>
    <m/>
    <x v="5"/>
    <s v="Tropical Cyclone"/>
    <s v="Hurricane"/>
    <m/>
    <x v="0"/>
    <m/>
    <x v="0"/>
    <m/>
    <x v="0"/>
    <m/>
    <m/>
    <m/>
    <m/>
    <m/>
    <m/>
    <m/>
    <m/>
    <m/>
    <n v="25000"/>
    <m/>
    <n v="25000"/>
    <n v="1"/>
    <m/>
    <m/>
    <m/>
    <m/>
    <m/>
    <m/>
    <m/>
    <m/>
    <m/>
    <m/>
    <m/>
    <m/>
    <m/>
    <m/>
    <m/>
    <m/>
    <m/>
    <m/>
    <m/>
    <n v="25000"/>
    <m/>
    <m/>
    <n v="5000"/>
    <x v="8"/>
    <x v="1"/>
    <m/>
    <m/>
    <m/>
    <m/>
    <n v="2898"/>
    <m/>
    <m/>
    <m/>
    <m/>
    <m/>
    <m/>
    <m/>
    <m/>
    <m/>
    <m/>
    <m/>
    <s v="Juliette"/>
    <s v="Financial contribution designated for relief supplies.  Beneficiaries: 5 members per each family assisted."/>
  </r>
  <r>
    <x v="0"/>
    <n v="58"/>
    <x v="68"/>
    <d v="2001-10-01T00:00:00"/>
    <x v="6"/>
    <n v="8"/>
    <m/>
    <x v="6"/>
    <n v="22"/>
    <x v="2"/>
    <s v="Belize"/>
    <m/>
    <x v="13"/>
    <s v="Tropical Cyclone"/>
    <s v="Hurricane"/>
    <m/>
    <x v="0"/>
    <m/>
    <x v="0"/>
    <m/>
    <x v="0"/>
    <m/>
    <m/>
    <m/>
    <m/>
    <m/>
    <m/>
    <m/>
    <m/>
    <m/>
    <n v="25000"/>
    <m/>
    <n v="25000"/>
    <n v="3"/>
    <m/>
    <m/>
    <m/>
    <m/>
    <m/>
    <m/>
    <m/>
    <m/>
    <m/>
    <m/>
    <m/>
    <m/>
    <m/>
    <m/>
    <m/>
    <m/>
    <m/>
    <n v="69000"/>
    <n v="3982"/>
    <n v="97982"/>
    <m/>
    <m/>
    <n v="5000"/>
    <x v="43"/>
    <x v="1"/>
    <m/>
    <m/>
    <m/>
    <m/>
    <n v="2678"/>
    <m/>
    <m/>
    <m/>
    <m/>
    <m/>
    <m/>
    <m/>
    <m/>
    <m/>
    <m/>
    <m/>
    <s v="Iris"/>
    <s v="$20,000 for hygiene kits; $19,000 given to Guatemala ARC delegation for hygiene kits and $50,000 in relief supplies to BRC."/>
  </r>
  <r>
    <x v="0"/>
    <n v="59"/>
    <x v="69"/>
    <d v="2001-10-01T00:00:00"/>
    <x v="6"/>
    <n v="9"/>
    <m/>
    <x v="6"/>
    <n v="23"/>
    <x v="2"/>
    <s v="Belize"/>
    <m/>
    <x v="9"/>
    <s v="Water"/>
    <s v="Water"/>
    <m/>
    <x v="0"/>
    <m/>
    <x v="0"/>
    <m/>
    <x v="0"/>
    <m/>
    <m/>
    <m/>
    <m/>
    <m/>
    <m/>
    <m/>
    <m/>
    <m/>
    <m/>
    <m/>
    <n v="0"/>
    <n v="2"/>
    <m/>
    <m/>
    <m/>
    <m/>
    <m/>
    <m/>
    <m/>
    <m/>
    <m/>
    <m/>
    <m/>
    <m/>
    <m/>
    <m/>
    <m/>
    <m/>
    <m/>
    <n v="0"/>
    <n v="4400"/>
    <n v="4400"/>
    <m/>
    <m/>
    <n v="135"/>
    <x v="44"/>
    <x v="1"/>
    <m/>
    <m/>
    <m/>
    <m/>
    <n v="2898"/>
    <m/>
    <m/>
    <m/>
    <m/>
    <m/>
    <m/>
    <m/>
    <m/>
    <m/>
    <m/>
    <m/>
    <s v="Boat Crash"/>
    <s v="Beneficiaries calculated at 5 family members per each 27 families assisted."/>
  </r>
  <r>
    <x v="0"/>
    <n v="60"/>
    <x v="70"/>
    <d v="2001-10-01T00:00:00"/>
    <x v="6"/>
    <n v="10"/>
    <m/>
    <x v="6"/>
    <n v="24"/>
    <x v="2"/>
    <s v="Honduras"/>
    <m/>
    <x v="5"/>
    <s v="Tropical Cyclone"/>
    <s v="Tropical Storm"/>
    <m/>
    <x v="0"/>
    <m/>
    <x v="0"/>
    <m/>
    <x v="0"/>
    <m/>
    <m/>
    <m/>
    <m/>
    <m/>
    <m/>
    <m/>
    <m/>
    <m/>
    <m/>
    <m/>
    <n v="0"/>
    <m/>
    <m/>
    <m/>
    <m/>
    <m/>
    <m/>
    <m/>
    <m/>
    <m/>
    <m/>
    <m/>
    <m/>
    <m/>
    <m/>
    <m/>
    <m/>
    <m/>
    <m/>
    <m/>
    <m/>
    <n v="0"/>
    <m/>
    <m/>
    <m/>
    <x v="7"/>
    <x v="1"/>
    <m/>
    <m/>
    <m/>
    <m/>
    <n v="2898"/>
    <m/>
    <m/>
    <m/>
    <m/>
    <m/>
    <m/>
    <m/>
    <m/>
    <m/>
    <m/>
    <m/>
    <s v="Michelle"/>
    <m/>
  </r>
  <r>
    <x v="0"/>
    <n v="60"/>
    <x v="71"/>
    <d v="2001-11-01T00:00:00"/>
    <x v="6"/>
    <n v="10"/>
    <m/>
    <x v="6"/>
    <n v="24"/>
    <x v="2"/>
    <s v="Nicaragua"/>
    <m/>
    <x v="5"/>
    <s v="Tropical Cyclone"/>
    <s v="Tropical Storm"/>
    <m/>
    <x v="0"/>
    <m/>
    <x v="0"/>
    <m/>
    <x v="0"/>
    <m/>
    <m/>
    <m/>
    <m/>
    <m/>
    <m/>
    <m/>
    <m/>
    <m/>
    <m/>
    <m/>
    <n v="0"/>
    <m/>
    <m/>
    <m/>
    <m/>
    <m/>
    <m/>
    <m/>
    <m/>
    <m/>
    <m/>
    <m/>
    <m/>
    <m/>
    <m/>
    <m/>
    <m/>
    <m/>
    <m/>
    <m/>
    <n v="60000"/>
    <n v="60000"/>
    <m/>
    <m/>
    <n v="5000"/>
    <x v="45"/>
    <x v="1"/>
    <m/>
    <m/>
    <m/>
    <m/>
    <n v="2898"/>
    <m/>
    <m/>
    <m/>
    <m/>
    <m/>
    <m/>
    <m/>
    <m/>
    <m/>
    <m/>
    <m/>
    <s v="Michelle"/>
    <s v="$10,000 from Nicaragua delegation for procurement of relief supplies.  $50,000 from OFDA for Honduras. (The 1,000 families assisted were in Honduras through the Emergency Food Rations) "/>
  </r>
  <r>
    <x v="0"/>
    <n v="60"/>
    <x v="72"/>
    <d v="2001-11-01T00:00:00"/>
    <x v="6"/>
    <n v="10"/>
    <m/>
    <x v="6"/>
    <n v="24"/>
    <x v="2"/>
    <s v="Cuba"/>
    <m/>
    <x v="5"/>
    <s v="Tropical Cyclone"/>
    <s v="Tropical Storm"/>
    <m/>
    <x v="0"/>
    <m/>
    <x v="0"/>
    <m/>
    <x v="0"/>
    <m/>
    <m/>
    <m/>
    <m/>
    <m/>
    <m/>
    <m/>
    <m/>
    <m/>
    <m/>
    <m/>
    <n v="0"/>
    <m/>
    <m/>
    <m/>
    <m/>
    <m/>
    <m/>
    <m/>
    <m/>
    <m/>
    <m/>
    <m/>
    <m/>
    <m/>
    <m/>
    <m/>
    <m/>
    <m/>
    <m/>
    <m/>
    <m/>
    <n v="0"/>
    <m/>
    <m/>
    <m/>
    <x v="7"/>
    <x v="1"/>
    <m/>
    <m/>
    <m/>
    <m/>
    <n v="2898"/>
    <m/>
    <m/>
    <m/>
    <m/>
    <m/>
    <m/>
    <m/>
    <m/>
    <m/>
    <m/>
    <m/>
    <s v="Michelle"/>
    <m/>
  </r>
  <r>
    <x v="0"/>
    <n v="60"/>
    <x v="73"/>
    <d v="2001-11-01T00:00:00"/>
    <x v="6"/>
    <n v="10"/>
    <m/>
    <x v="6"/>
    <n v="24"/>
    <x v="2"/>
    <s v="Jamaica"/>
    <m/>
    <x v="5"/>
    <s v="Tropical Cyclone"/>
    <s v="Tropical Storm"/>
    <m/>
    <x v="0"/>
    <m/>
    <x v="0"/>
    <m/>
    <x v="0"/>
    <m/>
    <m/>
    <m/>
    <m/>
    <m/>
    <m/>
    <m/>
    <m/>
    <m/>
    <n v="5000"/>
    <m/>
    <n v="5000"/>
    <m/>
    <m/>
    <m/>
    <m/>
    <m/>
    <m/>
    <m/>
    <m/>
    <m/>
    <m/>
    <m/>
    <m/>
    <m/>
    <m/>
    <m/>
    <m/>
    <m/>
    <m/>
    <m/>
    <m/>
    <n v="5000"/>
    <m/>
    <m/>
    <m/>
    <x v="46"/>
    <x v="1"/>
    <m/>
    <m/>
    <m/>
    <m/>
    <n v="2898"/>
    <m/>
    <m/>
    <m/>
    <m/>
    <m/>
    <m/>
    <m/>
    <m/>
    <m/>
    <m/>
    <m/>
    <s v="Michelle"/>
    <m/>
  </r>
  <r>
    <x v="0"/>
    <n v="61"/>
    <x v="13"/>
    <d v="2001-11-01T00:00:00"/>
    <x v="6"/>
    <n v="11"/>
    <m/>
    <x v="6"/>
    <n v="25"/>
    <x v="2"/>
    <s v="Bahamas"/>
    <m/>
    <x v="5"/>
    <s v="Tropical Cyclone"/>
    <s v="Tropical Storm"/>
    <m/>
    <x v="0"/>
    <m/>
    <x v="0"/>
    <m/>
    <x v="0"/>
    <m/>
    <m/>
    <m/>
    <m/>
    <m/>
    <m/>
    <m/>
    <m/>
    <m/>
    <n v="5000"/>
    <m/>
    <n v="5000"/>
    <n v="0"/>
    <m/>
    <m/>
    <m/>
    <m/>
    <m/>
    <m/>
    <m/>
    <m/>
    <m/>
    <m/>
    <m/>
    <m/>
    <m/>
    <m/>
    <m/>
    <m/>
    <m/>
    <m/>
    <m/>
    <n v="5000"/>
    <m/>
    <m/>
    <m/>
    <x v="46"/>
    <x v="1"/>
    <m/>
    <m/>
    <m/>
    <m/>
    <n v="2898"/>
    <m/>
    <m/>
    <m/>
    <m/>
    <m/>
    <m/>
    <m/>
    <m/>
    <m/>
    <m/>
    <m/>
    <s v="Michelle"/>
    <m/>
  </r>
  <r>
    <x v="0"/>
    <n v="62"/>
    <x v="74"/>
    <d v="2001-11-01T00:00:00"/>
    <x v="6"/>
    <n v="12"/>
    <m/>
    <x v="6"/>
    <n v="26"/>
    <x v="4"/>
    <s v="US"/>
    <m/>
    <x v="9"/>
    <s v="Air"/>
    <s v="Air"/>
    <m/>
    <x v="0"/>
    <m/>
    <x v="0"/>
    <m/>
    <x v="0"/>
    <m/>
    <m/>
    <m/>
    <m/>
    <m/>
    <m/>
    <m/>
    <m/>
    <m/>
    <m/>
    <m/>
    <n v="0"/>
    <n v="5"/>
    <m/>
    <m/>
    <m/>
    <m/>
    <m/>
    <m/>
    <m/>
    <m/>
    <m/>
    <m/>
    <m/>
    <m/>
    <m/>
    <m/>
    <m/>
    <m/>
    <m/>
    <n v="0"/>
    <n v="500"/>
    <n v="500"/>
    <m/>
    <m/>
    <m/>
    <x v="47"/>
    <x v="1"/>
    <m/>
    <m/>
    <m/>
    <m/>
    <n v="2680"/>
    <m/>
    <m/>
    <m/>
    <m/>
    <m/>
    <m/>
    <m/>
    <m/>
    <m/>
    <m/>
    <m/>
    <s v="AA #587"/>
    <s v="Crash of AA 587 to D.R.  Beneficiaries calculated at 5 family members per each 260 families assisted."/>
  </r>
  <r>
    <x v="0"/>
    <n v="63"/>
    <x v="75"/>
    <d v="2002-01-01T00:00:00"/>
    <x v="6"/>
    <n v="13"/>
    <m/>
    <x v="7"/>
    <n v="1"/>
    <x v="3"/>
    <s v="Cambodia"/>
    <m/>
    <x v="10"/>
    <s v="Fire"/>
    <s v="Urban Fire"/>
    <m/>
    <x v="0"/>
    <m/>
    <x v="0"/>
    <m/>
    <x v="0"/>
    <m/>
    <m/>
    <m/>
    <m/>
    <m/>
    <m/>
    <m/>
    <m/>
    <m/>
    <m/>
    <m/>
    <n v="0"/>
    <m/>
    <m/>
    <m/>
    <m/>
    <m/>
    <m/>
    <m/>
    <m/>
    <m/>
    <m/>
    <m/>
    <m/>
    <m/>
    <m/>
    <m/>
    <m/>
    <m/>
    <m/>
    <n v="10000"/>
    <m/>
    <n v="10000"/>
    <m/>
    <m/>
    <n v="2079"/>
    <x v="6"/>
    <x v="1"/>
    <m/>
    <m/>
    <m/>
    <m/>
    <n v="2898"/>
    <m/>
    <m/>
    <m/>
    <m/>
    <m/>
    <m/>
    <m/>
    <m/>
    <m/>
    <m/>
    <m/>
    <s v="Phnom Penh"/>
    <m/>
  </r>
  <r>
    <x v="0"/>
    <n v="64"/>
    <x v="76"/>
    <d v="2002-01-01T00:00:00"/>
    <x v="6"/>
    <n v="14"/>
    <m/>
    <x v="7"/>
    <n v="2"/>
    <x v="3"/>
    <s v="Albania"/>
    <m/>
    <x v="5"/>
    <s v="Winter Emergency"/>
    <m/>
    <m/>
    <x v="0"/>
    <m/>
    <x v="0"/>
    <m/>
    <x v="0"/>
    <m/>
    <m/>
    <m/>
    <m/>
    <m/>
    <m/>
    <m/>
    <m/>
    <m/>
    <m/>
    <m/>
    <n v="0"/>
    <n v="1"/>
    <m/>
    <m/>
    <m/>
    <m/>
    <m/>
    <m/>
    <m/>
    <m/>
    <m/>
    <m/>
    <m/>
    <m/>
    <m/>
    <m/>
    <m/>
    <m/>
    <m/>
    <n v="71832"/>
    <m/>
    <n v="71832"/>
    <m/>
    <m/>
    <n v="20000"/>
    <x v="48"/>
    <x v="1"/>
    <m/>
    <m/>
    <m/>
    <m/>
    <n v="2898"/>
    <m/>
    <m/>
    <m/>
    <m/>
    <m/>
    <m/>
    <m/>
    <m/>
    <m/>
    <m/>
    <m/>
    <m/>
    <s v="Beneficiaries calculated at 5 family members per the 4,000 families assisted."/>
  </r>
  <r>
    <x v="0"/>
    <n v="65"/>
    <x v="77"/>
    <d v="2002-01-01T00:00:00"/>
    <x v="6"/>
    <n v="15"/>
    <m/>
    <x v="7"/>
    <n v="3"/>
    <x v="1"/>
    <s v="DR Congo"/>
    <m/>
    <x v="4"/>
    <s v="Volcanic Eruption"/>
    <s v="Volcanic Eruption"/>
    <m/>
    <x v="0"/>
    <m/>
    <x v="0"/>
    <m/>
    <x v="0"/>
    <m/>
    <m/>
    <m/>
    <m/>
    <m/>
    <m/>
    <n v="0"/>
    <n v="25000"/>
    <m/>
    <m/>
    <m/>
    <n v="25000"/>
    <m/>
    <m/>
    <m/>
    <m/>
    <m/>
    <m/>
    <m/>
    <m/>
    <m/>
    <m/>
    <m/>
    <m/>
    <m/>
    <m/>
    <m/>
    <m/>
    <m/>
    <m/>
    <n v="20000"/>
    <m/>
    <n v="45000"/>
    <m/>
    <m/>
    <n v="30000"/>
    <x v="49"/>
    <x v="1"/>
    <m/>
    <m/>
    <m/>
    <m/>
    <n v="2681"/>
    <m/>
    <m/>
    <m/>
    <m/>
    <m/>
    <m/>
    <m/>
    <m/>
    <m/>
    <m/>
    <m/>
    <s v="North Kivu"/>
    <s v="3 NEHK (approx. value $20,000 incl. transport) = 30,000 people for 3 months."/>
  </r>
  <r>
    <x v="0"/>
    <n v="66"/>
    <x v="78"/>
    <d v="2002-01-01T00:00:00"/>
    <x v="6"/>
    <n v="17"/>
    <m/>
    <x v="7"/>
    <n v="5"/>
    <x v="1"/>
    <s v="Nigeria"/>
    <m/>
    <x v="6"/>
    <s v="Explosion"/>
    <s v="Explosion"/>
    <m/>
    <x v="0"/>
    <m/>
    <x v="0"/>
    <m/>
    <x v="0"/>
    <m/>
    <m/>
    <m/>
    <m/>
    <m/>
    <m/>
    <n v="0"/>
    <n v="21612.23"/>
    <m/>
    <m/>
    <m/>
    <n v="21612.23"/>
    <m/>
    <m/>
    <m/>
    <m/>
    <m/>
    <m/>
    <m/>
    <m/>
    <m/>
    <m/>
    <m/>
    <m/>
    <m/>
    <m/>
    <m/>
    <m/>
    <m/>
    <m/>
    <m/>
    <m/>
    <n v="21612.23"/>
    <m/>
    <m/>
    <n v="677.77942515832501"/>
    <x v="50"/>
    <x v="1"/>
    <m/>
    <m/>
    <m/>
    <m/>
    <n v="2682"/>
    <m/>
    <m/>
    <m/>
    <m/>
    <m/>
    <m/>
    <m/>
    <m/>
    <m/>
    <m/>
    <m/>
    <s v="Munitions Explosion"/>
    <s v="$20,000 Citicorp donation; $1,612.23 PMN sent to Federation 22 August 03"/>
  </r>
  <r>
    <x v="0"/>
    <n v="67"/>
    <x v="9"/>
    <d v="2002-02-01T00:00:00"/>
    <x v="6"/>
    <n v="16"/>
    <m/>
    <x v="7"/>
    <n v="4"/>
    <x v="3"/>
    <s v="Turkey"/>
    <m/>
    <x v="3"/>
    <s v="Earthquake"/>
    <s v="Earthquake"/>
    <m/>
    <x v="0"/>
    <m/>
    <x v="0"/>
    <m/>
    <x v="0"/>
    <m/>
    <m/>
    <m/>
    <m/>
    <m/>
    <m/>
    <m/>
    <m/>
    <m/>
    <m/>
    <m/>
    <n v="0"/>
    <n v="1"/>
    <m/>
    <m/>
    <m/>
    <m/>
    <m/>
    <m/>
    <m/>
    <m/>
    <m/>
    <m/>
    <m/>
    <m/>
    <m/>
    <m/>
    <m/>
    <m/>
    <m/>
    <n v="350424.24"/>
    <m/>
    <n v="350424.24"/>
    <m/>
    <m/>
    <n v="49315"/>
    <x v="51"/>
    <x v="1"/>
    <m/>
    <m/>
    <m/>
    <m/>
    <n v="2814"/>
    <m/>
    <m/>
    <m/>
    <m/>
    <m/>
    <m/>
    <m/>
    <m/>
    <m/>
    <m/>
    <m/>
    <m/>
    <m/>
  </r>
  <r>
    <x v="0"/>
    <n v="68"/>
    <x v="48"/>
    <d v="2002-03-01T00:00:00"/>
    <x v="6"/>
    <n v="18"/>
    <m/>
    <x v="7"/>
    <n v="6"/>
    <x v="2"/>
    <s v="Bolivia"/>
    <m/>
    <x v="2"/>
    <s v="General Floods"/>
    <s v="General Floods"/>
    <m/>
    <x v="0"/>
    <m/>
    <x v="0"/>
    <m/>
    <x v="0"/>
    <m/>
    <m/>
    <m/>
    <m/>
    <m/>
    <m/>
    <m/>
    <m/>
    <m/>
    <n v="11700"/>
    <m/>
    <n v="11700"/>
    <m/>
    <m/>
    <m/>
    <m/>
    <m/>
    <m/>
    <m/>
    <m/>
    <m/>
    <m/>
    <m/>
    <m/>
    <m/>
    <m/>
    <m/>
    <m/>
    <m/>
    <m/>
    <m/>
    <m/>
    <n v="11700"/>
    <m/>
    <m/>
    <n v="300"/>
    <x v="52"/>
    <x v="1"/>
    <m/>
    <m/>
    <m/>
    <m/>
    <n v="2898"/>
    <m/>
    <m/>
    <m/>
    <m/>
    <m/>
    <m/>
    <m/>
    <m/>
    <m/>
    <m/>
    <m/>
    <m/>
    <m/>
  </r>
  <r>
    <x v="0"/>
    <n v="69"/>
    <x v="79"/>
    <d v="2002-03-01T00:00:00"/>
    <x v="6"/>
    <n v="19"/>
    <m/>
    <x v="7"/>
    <n v="7"/>
    <x v="3"/>
    <s v="Afghanistan"/>
    <m/>
    <x v="3"/>
    <s v="Earthquake"/>
    <s v="Earthquake"/>
    <m/>
    <x v="0"/>
    <m/>
    <x v="0"/>
    <m/>
    <x v="0"/>
    <m/>
    <m/>
    <m/>
    <m/>
    <m/>
    <m/>
    <m/>
    <m/>
    <n v="104805"/>
    <m/>
    <m/>
    <n v="104805"/>
    <n v="2"/>
    <m/>
    <m/>
    <m/>
    <m/>
    <m/>
    <m/>
    <m/>
    <m/>
    <m/>
    <m/>
    <m/>
    <m/>
    <m/>
    <m/>
    <m/>
    <m/>
    <m/>
    <m/>
    <m/>
    <n v="104805"/>
    <m/>
    <m/>
    <n v="19678.7"/>
    <x v="53"/>
    <x v="1"/>
    <m/>
    <m/>
    <m/>
    <m/>
    <n v="2876"/>
    <m/>
    <m/>
    <m/>
    <m/>
    <m/>
    <m/>
    <m/>
    <m/>
    <m/>
    <m/>
    <m/>
    <m/>
    <s v="NEHK for Mazar e Sharif "/>
  </r>
  <r>
    <x v="0"/>
    <n v="70"/>
    <x v="36"/>
    <d v="2002-04-01T00:00:00"/>
    <x v="6"/>
    <n v="20"/>
    <m/>
    <x v="7"/>
    <n v="8"/>
    <x v="3"/>
    <s v="Jordan"/>
    <m/>
    <x v="8"/>
    <s v="Conflict"/>
    <s v="Conflict"/>
    <m/>
    <x v="0"/>
    <m/>
    <x v="0"/>
    <m/>
    <x v="0"/>
    <m/>
    <m/>
    <m/>
    <m/>
    <m/>
    <m/>
    <n v="0"/>
    <n v="25000"/>
    <m/>
    <n v="200000"/>
    <m/>
    <n v="225000"/>
    <n v="1"/>
    <m/>
    <m/>
    <m/>
    <m/>
    <m/>
    <m/>
    <m/>
    <m/>
    <m/>
    <m/>
    <m/>
    <m/>
    <m/>
    <m/>
    <m/>
    <m/>
    <m/>
    <m/>
    <m/>
    <n v="225000"/>
    <m/>
    <m/>
    <m/>
    <x v="54"/>
    <x v="1"/>
    <m/>
    <m/>
    <m/>
    <m/>
    <n v="2898"/>
    <m/>
    <m/>
    <m/>
    <m/>
    <m/>
    <m/>
    <m/>
    <m/>
    <m/>
    <m/>
    <m/>
    <m/>
    <s v="Second Installment for ICU sent in Nov 2002"/>
  </r>
  <r>
    <x v="0"/>
    <n v="71"/>
    <x v="80"/>
    <d v="2002-05-01T00:00:00"/>
    <x v="6"/>
    <n v="21"/>
    <m/>
    <x v="7"/>
    <n v="9"/>
    <x v="2"/>
    <s v="Panama"/>
    <m/>
    <x v="2"/>
    <s v="General Floods"/>
    <s v="General Floods"/>
    <m/>
    <x v="0"/>
    <m/>
    <x v="0"/>
    <m/>
    <x v="0"/>
    <m/>
    <m/>
    <m/>
    <m/>
    <m/>
    <m/>
    <m/>
    <m/>
    <m/>
    <n v="2000"/>
    <m/>
    <n v="2000"/>
    <m/>
    <m/>
    <m/>
    <m/>
    <m/>
    <m/>
    <m/>
    <m/>
    <m/>
    <m/>
    <m/>
    <m/>
    <m/>
    <m/>
    <m/>
    <m/>
    <m/>
    <m/>
    <m/>
    <m/>
    <n v="2000"/>
    <m/>
    <m/>
    <m/>
    <x v="55"/>
    <x v="1"/>
    <m/>
    <m/>
    <m/>
    <m/>
    <n v="2898"/>
    <m/>
    <m/>
    <m/>
    <m/>
    <m/>
    <m/>
    <m/>
    <m/>
    <m/>
    <m/>
    <m/>
    <m/>
    <m/>
  </r>
  <r>
    <x v="0"/>
    <n v="71"/>
    <x v="7"/>
    <d v="2002-05-01T00:00:00"/>
    <x v="6"/>
    <n v="21"/>
    <m/>
    <x v="7"/>
    <n v="9"/>
    <x v="2"/>
    <s v="Costa Rica"/>
    <m/>
    <x v="2"/>
    <s v="General Floods"/>
    <s v="General Floods"/>
    <m/>
    <x v="0"/>
    <m/>
    <x v="0"/>
    <m/>
    <x v="0"/>
    <m/>
    <m/>
    <m/>
    <m/>
    <m/>
    <m/>
    <m/>
    <m/>
    <m/>
    <n v="2000"/>
    <m/>
    <n v="2000"/>
    <m/>
    <m/>
    <m/>
    <m/>
    <m/>
    <m/>
    <m/>
    <m/>
    <m/>
    <m/>
    <m/>
    <m/>
    <m/>
    <m/>
    <m/>
    <m/>
    <m/>
    <m/>
    <m/>
    <m/>
    <n v="2000"/>
    <m/>
    <m/>
    <n v="0"/>
    <x v="55"/>
    <x v="1"/>
    <m/>
    <m/>
    <m/>
    <m/>
    <n v="2898"/>
    <m/>
    <m/>
    <m/>
    <m/>
    <m/>
    <m/>
    <m/>
    <m/>
    <m/>
    <m/>
    <m/>
    <m/>
    <m/>
  </r>
  <r>
    <x v="0"/>
    <n v="72"/>
    <x v="81"/>
    <d v="2002-05-01T00:00:00"/>
    <x v="6"/>
    <n v="22"/>
    <m/>
    <x v="7"/>
    <n v="10"/>
    <x v="1"/>
    <s v="Kenya"/>
    <m/>
    <x v="2"/>
    <s v="General Floods"/>
    <s v="General Floods"/>
    <m/>
    <x v="0"/>
    <m/>
    <x v="0"/>
    <m/>
    <x v="0"/>
    <m/>
    <m/>
    <m/>
    <m/>
    <m/>
    <m/>
    <n v="0"/>
    <n v="10000"/>
    <m/>
    <m/>
    <m/>
    <n v="10000"/>
    <m/>
    <m/>
    <m/>
    <m/>
    <m/>
    <m/>
    <m/>
    <m/>
    <m/>
    <m/>
    <m/>
    <m/>
    <m/>
    <m/>
    <m/>
    <m/>
    <m/>
    <m/>
    <m/>
    <m/>
    <n v="10000"/>
    <m/>
    <m/>
    <n v="1160.6960462049883"/>
    <x v="6"/>
    <x v="1"/>
    <m/>
    <m/>
    <m/>
    <m/>
    <n v="2898"/>
    <m/>
    <m/>
    <m/>
    <m/>
    <m/>
    <m/>
    <m/>
    <m/>
    <m/>
    <m/>
    <m/>
    <m/>
    <m/>
  </r>
  <r>
    <x v="0"/>
    <n v="73"/>
    <x v="82"/>
    <d v="2002-05-01T00:00:00"/>
    <x v="6"/>
    <n v="23"/>
    <m/>
    <x v="7"/>
    <n v="11"/>
    <x v="1"/>
    <s v="Malawi"/>
    <m/>
    <x v="14"/>
    <s v="Food Insecurity"/>
    <s v="Food Insecurity"/>
    <m/>
    <x v="0"/>
    <m/>
    <x v="0"/>
    <m/>
    <x v="0"/>
    <m/>
    <m/>
    <m/>
    <m/>
    <m/>
    <m/>
    <m/>
    <m/>
    <m/>
    <m/>
    <m/>
    <n v="0"/>
    <n v="3"/>
    <m/>
    <m/>
    <m/>
    <m/>
    <m/>
    <m/>
    <m/>
    <m/>
    <m/>
    <m/>
    <m/>
    <m/>
    <m/>
    <m/>
    <m/>
    <m/>
    <m/>
    <m/>
    <n v="100000"/>
    <n v="100000"/>
    <m/>
    <m/>
    <n v="96000"/>
    <x v="5"/>
    <x v="1"/>
    <m/>
    <m/>
    <m/>
    <m/>
    <n v="2683"/>
    <m/>
    <m/>
    <m/>
    <m/>
    <m/>
    <m/>
    <m/>
    <m/>
    <m/>
    <m/>
    <m/>
    <m/>
    <m/>
  </r>
  <r>
    <x v="0"/>
    <n v="74"/>
    <x v="83"/>
    <d v="2002-06-01T00:00:00"/>
    <x v="6"/>
    <n v="24"/>
    <m/>
    <x v="7"/>
    <n v="12"/>
    <x v="2"/>
    <s v="Nicaragua"/>
    <m/>
    <x v="2"/>
    <s v="General Floods"/>
    <s v="General Floods"/>
    <m/>
    <x v="0"/>
    <m/>
    <x v="0"/>
    <m/>
    <x v="0"/>
    <m/>
    <m/>
    <m/>
    <m/>
    <m/>
    <m/>
    <m/>
    <m/>
    <m/>
    <m/>
    <m/>
    <n v="0"/>
    <n v="1"/>
    <m/>
    <m/>
    <m/>
    <m/>
    <m/>
    <m/>
    <m/>
    <m/>
    <m/>
    <m/>
    <m/>
    <m/>
    <m/>
    <m/>
    <m/>
    <m/>
    <m/>
    <m/>
    <m/>
    <n v="0"/>
    <m/>
    <m/>
    <n v="0"/>
    <x v="7"/>
    <x v="1"/>
    <m/>
    <m/>
    <m/>
    <m/>
    <n v="2821"/>
    <m/>
    <m/>
    <m/>
    <m/>
    <m/>
    <m/>
    <m/>
    <m/>
    <m/>
    <m/>
    <m/>
    <m/>
    <s v="supervised dist. of $50,000 of supplies given to NRC by USAID"/>
  </r>
  <r>
    <x v="0"/>
    <n v="75"/>
    <x v="84"/>
    <d v="2002-06-01T00:00:00"/>
    <x v="6"/>
    <n v="25"/>
    <m/>
    <x v="7"/>
    <n v="13"/>
    <x v="3"/>
    <s v="Syria"/>
    <m/>
    <x v="10"/>
    <s v="Collapse"/>
    <s v="Collapse"/>
    <m/>
    <x v="0"/>
    <m/>
    <x v="0"/>
    <m/>
    <x v="0"/>
    <m/>
    <m/>
    <m/>
    <m/>
    <m/>
    <m/>
    <n v="0"/>
    <n v="10000"/>
    <m/>
    <m/>
    <m/>
    <n v="10000"/>
    <m/>
    <m/>
    <m/>
    <m/>
    <m/>
    <m/>
    <m/>
    <m/>
    <m/>
    <m/>
    <m/>
    <m/>
    <m/>
    <m/>
    <m/>
    <m/>
    <m/>
    <m/>
    <m/>
    <m/>
    <n v="10000"/>
    <m/>
    <m/>
    <n v="216.21621621621622"/>
    <x v="6"/>
    <x v="1"/>
    <m/>
    <m/>
    <m/>
    <m/>
    <n v="2898"/>
    <m/>
    <m/>
    <m/>
    <m/>
    <m/>
    <m/>
    <m/>
    <m/>
    <m/>
    <m/>
    <m/>
    <s v="Dam Burst"/>
    <s v="Federation appeal15/2002 - Zeyzoun Dam Collapse"/>
  </r>
  <r>
    <x v="0"/>
    <n v="76"/>
    <x v="8"/>
    <d v="2002-06-01T00:00:00"/>
    <x v="6"/>
    <n v="26"/>
    <m/>
    <x v="7"/>
    <n v="14"/>
    <x v="3"/>
    <s v="China"/>
    <m/>
    <x v="2"/>
    <s v="General Floods"/>
    <s v="General Floods"/>
    <m/>
    <x v="0"/>
    <m/>
    <x v="0"/>
    <m/>
    <x v="0"/>
    <m/>
    <m/>
    <m/>
    <m/>
    <m/>
    <m/>
    <m/>
    <m/>
    <m/>
    <n v="75000"/>
    <m/>
    <n v="75000"/>
    <m/>
    <m/>
    <m/>
    <m/>
    <m/>
    <m/>
    <m/>
    <m/>
    <m/>
    <m/>
    <m/>
    <m/>
    <m/>
    <m/>
    <m/>
    <m/>
    <m/>
    <m/>
    <m/>
    <m/>
    <n v="75000"/>
    <m/>
    <m/>
    <n v="2243.493867783428"/>
    <x v="56"/>
    <x v="1"/>
    <m/>
    <m/>
    <m/>
    <m/>
    <n v="2060"/>
    <m/>
    <m/>
    <m/>
    <m/>
    <m/>
    <m/>
    <m/>
    <m/>
    <m/>
    <m/>
    <m/>
    <m/>
    <s v="Federation appeal 16/2002; $75,000 from Region"/>
  </r>
  <r>
    <x v="0"/>
    <n v="76"/>
    <x v="8"/>
    <d v="2002-06-01T00:00:00"/>
    <x v="6"/>
    <n v="26"/>
    <m/>
    <x v="7"/>
    <n v="14"/>
    <x v="3"/>
    <s v="China"/>
    <m/>
    <x v="2"/>
    <s v="General Floods"/>
    <s v="General Floods"/>
    <m/>
    <x v="0"/>
    <m/>
    <x v="0"/>
    <m/>
    <x v="0"/>
    <m/>
    <m/>
    <m/>
    <m/>
    <m/>
    <m/>
    <m/>
    <m/>
    <m/>
    <n v="25000"/>
    <m/>
    <n v="25000"/>
    <m/>
    <m/>
    <m/>
    <m/>
    <m/>
    <m/>
    <m/>
    <m/>
    <m/>
    <m/>
    <m/>
    <m/>
    <m/>
    <m/>
    <m/>
    <m/>
    <m/>
    <m/>
    <m/>
    <m/>
    <n v="25000"/>
    <m/>
    <m/>
    <m/>
    <x v="8"/>
    <x v="1"/>
    <m/>
    <m/>
    <m/>
    <m/>
    <n v="2898"/>
    <m/>
    <m/>
    <m/>
    <m/>
    <m/>
    <m/>
    <m/>
    <m/>
    <m/>
    <m/>
    <m/>
    <m/>
    <m/>
  </r>
  <r>
    <x v="0"/>
    <n v="76"/>
    <x v="8"/>
    <d v="2002-06-01T00:00:00"/>
    <x v="6"/>
    <n v="26"/>
    <m/>
    <x v="7"/>
    <n v="14"/>
    <x v="3"/>
    <s v="China"/>
    <m/>
    <x v="2"/>
    <s v="General Floods"/>
    <s v="General Floods"/>
    <m/>
    <x v="0"/>
    <m/>
    <x v="0"/>
    <m/>
    <x v="0"/>
    <m/>
    <m/>
    <m/>
    <m/>
    <m/>
    <m/>
    <m/>
    <m/>
    <m/>
    <n v="100000"/>
    <m/>
    <n v="100000"/>
    <m/>
    <m/>
    <m/>
    <m/>
    <m/>
    <m/>
    <m/>
    <m/>
    <m/>
    <m/>
    <m/>
    <m/>
    <m/>
    <m/>
    <m/>
    <m/>
    <m/>
    <m/>
    <m/>
    <m/>
    <n v="100000"/>
    <m/>
    <m/>
    <m/>
    <x v="5"/>
    <x v="2"/>
    <m/>
    <m/>
    <m/>
    <m/>
    <n v="2099"/>
    <m/>
    <m/>
    <m/>
    <m/>
    <m/>
    <m/>
    <m/>
    <m/>
    <m/>
    <m/>
    <m/>
    <m/>
    <s v="$100,000 from Phillip Morris (AP 2099) in October 2002"/>
  </r>
  <r>
    <x v="0"/>
    <n v="77"/>
    <x v="51"/>
    <d v="2002-07-01T00:00:00"/>
    <x v="7"/>
    <n v="1"/>
    <m/>
    <x v="7"/>
    <n v="15"/>
    <x v="3"/>
    <s v="Russian Fed."/>
    <m/>
    <x v="2"/>
    <s v="General Floods"/>
    <s v="General Floods"/>
    <m/>
    <x v="0"/>
    <m/>
    <x v="0"/>
    <m/>
    <x v="0"/>
    <m/>
    <m/>
    <m/>
    <m/>
    <m/>
    <m/>
    <m/>
    <m/>
    <m/>
    <n v="50000"/>
    <m/>
    <n v="50000"/>
    <n v="1"/>
    <m/>
    <m/>
    <m/>
    <m/>
    <m/>
    <m/>
    <m/>
    <m/>
    <m/>
    <m/>
    <m/>
    <m/>
    <m/>
    <m/>
    <m/>
    <m/>
    <m/>
    <m/>
    <m/>
    <n v="50000"/>
    <m/>
    <m/>
    <n v="5000"/>
    <x v="16"/>
    <x v="1"/>
    <m/>
    <m/>
    <m/>
    <m/>
    <n v="2664"/>
    <m/>
    <m/>
    <m/>
    <m/>
    <m/>
    <m/>
    <m/>
    <m/>
    <m/>
    <m/>
    <m/>
    <m/>
    <s v="Dagestan:  IRT Ramsey Rayyis; Federation Appeal 20/2002; grant from US Embassy in Moscow"/>
  </r>
  <r>
    <x v="0"/>
    <n v="78"/>
    <x v="85"/>
    <d v="2002-07-01T00:00:00"/>
    <x v="7"/>
    <n v="2"/>
    <m/>
    <x v="7"/>
    <n v="16"/>
    <x v="3"/>
    <s v="FS Micronesia"/>
    <m/>
    <x v="5"/>
    <s v="Tropical Cyclone"/>
    <s v="Typhoon"/>
    <m/>
    <x v="0"/>
    <m/>
    <x v="0"/>
    <m/>
    <x v="0"/>
    <m/>
    <m/>
    <m/>
    <m/>
    <m/>
    <m/>
    <m/>
    <m/>
    <m/>
    <m/>
    <m/>
    <n v="0"/>
    <m/>
    <m/>
    <m/>
    <m/>
    <m/>
    <m/>
    <m/>
    <m/>
    <m/>
    <m/>
    <m/>
    <m/>
    <m/>
    <m/>
    <m/>
    <m/>
    <m/>
    <m/>
    <n v="10000"/>
    <m/>
    <n v="10000"/>
    <m/>
    <m/>
    <n v="1000"/>
    <x v="6"/>
    <x v="1"/>
    <m/>
    <m/>
    <m/>
    <m/>
    <n v="2898"/>
    <m/>
    <m/>
    <m/>
    <m/>
    <m/>
    <m/>
    <m/>
    <m/>
    <m/>
    <m/>
    <m/>
    <s v="Chata'an"/>
    <s v="Replenished Supplies sent from ARC/Saipan"/>
  </r>
  <r>
    <x v="0"/>
    <n v="79"/>
    <x v="86"/>
    <d v="2002-07-01T00:00:00"/>
    <x v="7"/>
    <n v="3"/>
    <m/>
    <x v="7"/>
    <n v="17"/>
    <x v="2"/>
    <s v="Peru"/>
    <m/>
    <x v="5"/>
    <s v="Winter Storm"/>
    <s v="Snowstorm"/>
    <m/>
    <x v="0"/>
    <m/>
    <x v="0"/>
    <m/>
    <x v="0"/>
    <m/>
    <m/>
    <m/>
    <m/>
    <m/>
    <m/>
    <n v="0"/>
    <n v="5000"/>
    <m/>
    <m/>
    <m/>
    <n v="5000"/>
    <m/>
    <m/>
    <m/>
    <m/>
    <m/>
    <m/>
    <m/>
    <m/>
    <m/>
    <m/>
    <m/>
    <m/>
    <m/>
    <m/>
    <m/>
    <m/>
    <m/>
    <m/>
    <m/>
    <m/>
    <n v="5000"/>
    <m/>
    <m/>
    <m/>
    <x v="46"/>
    <x v="1"/>
    <m/>
    <m/>
    <m/>
    <m/>
    <n v="2898"/>
    <m/>
    <m/>
    <m/>
    <m/>
    <m/>
    <m/>
    <m/>
    <m/>
    <m/>
    <m/>
    <m/>
    <m/>
    <s v="DREF Replenishment"/>
  </r>
  <r>
    <x v="0"/>
    <n v="80"/>
    <x v="87"/>
    <d v="2002-07-01T00:00:00"/>
    <x v="7"/>
    <n v="4"/>
    <m/>
    <x v="7"/>
    <n v="18"/>
    <x v="2"/>
    <s v="Bolivia"/>
    <m/>
    <x v="5"/>
    <s v="Winter Storm"/>
    <s v="Snowstorm"/>
    <m/>
    <x v="0"/>
    <m/>
    <x v="0"/>
    <m/>
    <x v="0"/>
    <m/>
    <m/>
    <m/>
    <m/>
    <m/>
    <m/>
    <n v="0"/>
    <n v="5000"/>
    <m/>
    <m/>
    <m/>
    <n v="5000"/>
    <m/>
    <m/>
    <m/>
    <m/>
    <m/>
    <m/>
    <m/>
    <m/>
    <m/>
    <m/>
    <m/>
    <m/>
    <m/>
    <m/>
    <m/>
    <m/>
    <m/>
    <m/>
    <m/>
    <m/>
    <n v="5000"/>
    <m/>
    <m/>
    <m/>
    <x v="46"/>
    <x v="1"/>
    <m/>
    <m/>
    <m/>
    <m/>
    <n v="2898"/>
    <m/>
    <m/>
    <m/>
    <m/>
    <m/>
    <m/>
    <m/>
    <m/>
    <m/>
    <m/>
    <m/>
    <m/>
    <s v="DREF Replenishment"/>
  </r>
  <r>
    <x v="0"/>
    <n v="81"/>
    <x v="27"/>
    <d v="2002-07-01T00:00:00"/>
    <x v="7"/>
    <n v="5"/>
    <m/>
    <x v="7"/>
    <n v="19"/>
    <x v="2"/>
    <s v="Venezuela"/>
    <m/>
    <x v="2"/>
    <s v="General Floods"/>
    <s v="General Floods"/>
    <m/>
    <x v="0"/>
    <m/>
    <x v="0"/>
    <m/>
    <x v="0"/>
    <m/>
    <m/>
    <m/>
    <m/>
    <m/>
    <m/>
    <m/>
    <m/>
    <m/>
    <n v="50000"/>
    <m/>
    <n v="50000"/>
    <n v="1"/>
    <m/>
    <m/>
    <m/>
    <m/>
    <m/>
    <m/>
    <m/>
    <m/>
    <m/>
    <m/>
    <m/>
    <m/>
    <m/>
    <m/>
    <m/>
    <m/>
    <m/>
    <m/>
    <m/>
    <n v="50000"/>
    <m/>
    <m/>
    <n v="3840"/>
    <x v="16"/>
    <x v="1"/>
    <m/>
    <m/>
    <m/>
    <m/>
    <n v="2912"/>
    <m/>
    <m/>
    <m/>
    <m/>
    <m/>
    <m/>
    <m/>
    <m/>
    <m/>
    <m/>
    <m/>
    <m/>
    <s v="Funds provided by US Embassy; program implemented by Delegates/IRT members based in Caracas"/>
  </r>
  <r>
    <x v="0"/>
    <n v="82"/>
    <x v="33"/>
    <d v="2002-08-01T00:00:00"/>
    <x v="7"/>
    <n v="6"/>
    <m/>
    <x v="7"/>
    <n v="20"/>
    <x v="3"/>
    <s v="India"/>
    <m/>
    <x v="2"/>
    <s v="General Floods"/>
    <s v="General Floods"/>
    <m/>
    <x v="0"/>
    <m/>
    <x v="0"/>
    <m/>
    <x v="0"/>
    <m/>
    <m/>
    <m/>
    <m/>
    <m/>
    <m/>
    <n v="1"/>
    <n v="66918.959999999992"/>
    <m/>
    <m/>
    <m/>
    <n v="66918.959999999992"/>
    <n v="7"/>
    <m/>
    <m/>
    <n v="2900"/>
    <m/>
    <m/>
    <m/>
    <m/>
    <m/>
    <m/>
    <m/>
    <m/>
    <m/>
    <m/>
    <m/>
    <m/>
    <m/>
    <m/>
    <n v="122911.16"/>
    <n v="42422.75"/>
    <n v="232252.87"/>
    <m/>
    <m/>
    <n v="36500"/>
    <x v="57"/>
    <x v="1"/>
    <m/>
    <m/>
    <m/>
    <m/>
    <n v="2954"/>
    <m/>
    <m/>
    <m/>
    <m/>
    <m/>
    <m/>
    <m/>
    <m/>
    <m/>
    <m/>
    <m/>
    <m/>
    <s v="2,900 Family Kits @ $35.88 each; 2 WHO NEHK; 2 WHO Cholera Kits; Flood Mitigation in Assam and Bihar thru Appeal."/>
  </r>
  <r>
    <x v="0"/>
    <n v="83"/>
    <x v="88"/>
    <d v="2002-08-01T00:00:00"/>
    <x v="7"/>
    <n v="7"/>
    <m/>
    <x v="7"/>
    <n v="21"/>
    <x v="3"/>
    <s v="Romania"/>
    <m/>
    <x v="2"/>
    <s v="General Floods"/>
    <s v="General Floods"/>
    <m/>
    <x v="0"/>
    <m/>
    <x v="0"/>
    <m/>
    <x v="0"/>
    <m/>
    <m/>
    <m/>
    <m/>
    <m/>
    <m/>
    <m/>
    <m/>
    <m/>
    <m/>
    <m/>
    <n v="0"/>
    <n v="3"/>
    <m/>
    <m/>
    <n v="14500"/>
    <m/>
    <m/>
    <m/>
    <m/>
    <m/>
    <m/>
    <m/>
    <m/>
    <m/>
    <n v="14500"/>
    <m/>
    <m/>
    <m/>
    <m/>
    <n v="102950"/>
    <n v="12189.84"/>
    <n v="115139.84"/>
    <m/>
    <m/>
    <n v="58000"/>
    <x v="58"/>
    <x v="1"/>
    <m/>
    <m/>
    <m/>
    <m/>
    <n v="2685"/>
    <m/>
    <m/>
    <m/>
    <m/>
    <m/>
    <m/>
    <m/>
    <m/>
    <m/>
    <m/>
    <m/>
    <m/>
    <s v="ex Sofia"/>
  </r>
  <r>
    <x v="0"/>
    <n v="83"/>
    <x v="89"/>
    <d v="2002-08-01T00:00:00"/>
    <x v="7"/>
    <n v="7"/>
    <m/>
    <x v="7"/>
    <n v="21"/>
    <x v="3"/>
    <s v="Germany"/>
    <m/>
    <x v="2"/>
    <s v="General Floods"/>
    <s v="General Floods"/>
    <m/>
    <x v="0"/>
    <m/>
    <x v="0"/>
    <m/>
    <x v="0"/>
    <m/>
    <m/>
    <m/>
    <m/>
    <m/>
    <m/>
    <m/>
    <m/>
    <m/>
    <n v="75000"/>
    <m/>
    <n v="75000"/>
    <m/>
    <m/>
    <m/>
    <m/>
    <m/>
    <m/>
    <m/>
    <m/>
    <m/>
    <m/>
    <m/>
    <m/>
    <m/>
    <m/>
    <m/>
    <m/>
    <m/>
    <m/>
    <m/>
    <m/>
    <n v="75000"/>
    <m/>
    <m/>
    <n v="7500"/>
    <x v="56"/>
    <x v="2"/>
    <m/>
    <m/>
    <m/>
    <m/>
    <n v="2099"/>
    <m/>
    <m/>
    <m/>
    <m/>
    <m/>
    <m/>
    <m/>
    <m/>
    <m/>
    <m/>
    <m/>
    <m/>
    <s v="Pass throughs from  Alcoa, AmEx, Citigroup, Levi Strauss"/>
  </r>
  <r>
    <x v="0"/>
    <n v="83"/>
    <x v="90"/>
    <d v="2002-08-01T00:00:00"/>
    <x v="7"/>
    <n v="7"/>
    <m/>
    <x v="7"/>
    <n v="21"/>
    <x v="3"/>
    <s v="Czech Republic"/>
    <m/>
    <x v="2"/>
    <s v="General Floods"/>
    <s v="General Floods"/>
    <m/>
    <x v="0"/>
    <m/>
    <x v="0"/>
    <m/>
    <x v="0"/>
    <m/>
    <m/>
    <m/>
    <m/>
    <m/>
    <m/>
    <m/>
    <m/>
    <m/>
    <n v="90000"/>
    <m/>
    <n v="90000"/>
    <m/>
    <m/>
    <m/>
    <m/>
    <m/>
    <m/>
    <m/>
    <m/>
    <m/>
    <m/>
    <m/>
    <m/>
    <m/>
    <m/>
    <m/>
    <m/>
    <m/>
    <m/>
    <m/>
    <m/>
    <n v="90000"/>
    <m/>
    <m/>
    <n v="9000"/>
    <x v="29"/>
    <x v="2"/>
    <m/>
    <m/>
    <m/>
    <m/>
    <n v="2099"/>
    <m/>
    <m/>
    <m/>
    <m/>
    <m/>
    <m/>
    <m/>
    <m/>
    <m/>
    <m/>
    <m/>
    <m/>
    <s v="Pass throughs from  AmEx (2099), Levi Strauss (2099) and JP Morgan (2608)"/>
  </r>
  <r>
    <x v="0"/>
    <n v="83"/>
    <x v="91"/>
    <d v="2002-08-01T00:00:00"/>
    <x v="7"/>
    <n v="7"/>
    <m/>
    <x v="7"/>
    <n v="21"/>
    <x v="3"/>
    <s v="Slovakia"/>
    <m/>
    <x v="2"/>
    <s v="General Floods"/>
    <s v="General Floods"/>
    <m/>
    <x v="0"/>
    <m/>
    <x v="0"/>
    <m/>
    <x v="0"/>
    <m/>
    <m/>
    <m/>
    <m/>
    <m/>
    <m/>
    <m/>
    <m/>
    <m/>
    <n v="10000"/>
    <m/>
    <n v="10000"/>
    <m/>
    <m/>
    <m/>
    <m/>
    <m/>
    <m/>
    <m/>
    <m/>
    <m/>
    <m/>
    <m/>
    <m/>
    <m/>
    <m/>
    <m/>
    <m/>
    <m/>
    <m/>
    <m/>
    <m/>
    <n v="10000"/>
    <m/>
    <m/>
    <n v="1000"/>
    <x v="6"/>
    <x v="1"/>
    <m/>
    <m/>
    <m/>
    <m/>
    <n v="2608"/>
    <m/>
    <m/>
    <m/>
    <m/>
    <m/>
    <m/>
    <m/>
    <m/>
    <m/>
    <m/>
    <m/>
    <m/>
    <s v="Pass through from JP Morgan / Chase"/>
  </r>
  <r>
    <x v="0"/>
    <n v="83"/>
    <x v="92"/>
    <d v="2002-08-01T00:00:00"/>
    <x v="7"/>
    <n v="7"/>
    <m/>
    <x v="7"/>
    <n v="21"/>
    <x v="3"/>
    <s v="Hungary"/>
    <m/>
    <x v="2"/>
    <s v="General Floods"/>
    <s v="General Floods"/>
    <m/>
    <x v="0"/>
    <m/>
    <x v="0"/>
    <m/>
    <x v="0"/>
    <m/>
    <m/>
    <m/>
    <m/>
    <m/>
    <m/>
    <m/>
    <m/>
    <m/>
    <n v="35000"/>
    <m/>
    <n v="35000"/>
    <m/>
    <m/>
    <m/>
    <m/>
    <m/>
    <m/>
    <m/>
    <m/>
    <m/>
    <m/>
    <m/>
    <m/>
    <m/>
    <m/>
    <m/>
    <m/>
    <m/>
    <m/>
    <m/>
    <m/>
    <n v="35000"/>
    <m/>
    <m/>
    <n v="3500"/>
    <x v="59"/>
    <x v="2"/>
    <m/>
    <m/>
    <m/>
    <m/>
    <n v="2099"/>
    <m/>
    <m/>
    <m/>
    <m/>
    <m/>
    <m/>
    <m/>
    <m/>
    <m/>
    <m/>
    <m/>
    <m/>
    <s v="Pass through from  Citigroup (2099) &amp; JP Morgan (2608)"/>
  </r>
  <r>
    <x v="0"/>
    <n v="83"/>
    <x v="93"/>
    <d v="2002-08-01T00:00:00"/>
    <x v="7"/>
    <n v="7"/>
    <m/>
    <x v="7"/>
    <n v="21"/>
    <x v="3"/>
    <s v="Austria"/>
    <m/>
    <x v="2"/>
    <s v="General Floods"/>
    <s v="General Floods"/>
    <m/>
    <x v="0"/>
    <m/>
    <x v="0"/>
    <m/>
    <x v="0"/>
    <m/>
    <m/>
    <m/>
    <m/>
    <m/>
    <m/>
    <m/>
    <m/>
    <m/>
    <n v="25000"/>
    <m/>
    <n v="25000"/>
    <m/>
    <m/>
    <m/>
    <m/>
    <m/>
    <m/>
    <m/>
    <m/>
    <m/>
    <m/>
    <m/>
    <m/>
    <m/>
    <m/>
    <m/>
    <m/>
    <m/>
    <m/>
    <m/>
    <m/>
    <n v="25000"/>
    <m/>
    <m/>
    <n v="2500"/>
    <x v="8"/>
    <x v="1"/>
    <m/>
    <m/>
    <m/>
    <m/>
    <n v="2608"/>
    <m/>
    <m/>
    <m/>
    <m/>
    <m/>
    <m/>
    <m/>
    <m/>
    <m/>
    <m/>
    <m/>
    <m/>
    <s v="AMEX re-directed funds from their ADGP"/>
  </r>
  <r>
    <x v="0"/>
    <n v="84"/>
    <x v="67"/>
    <d v="2002-09-01T00:00:00"/>
    <x v="7"/>
    <n v="8"/>
    <m/>
    <x v="7"/>
    <n v="22"/>
    <x v="2"/>
    <s v="Mexico"/>
    <m/>
    <x v="5"/>
    <s v="Tropical Cyclone"/>
    <s v="Hurricane"/>
    <m/>
    <x v="0"/>
    <m/>
    <x v="0"/>
    <m/>
    <x v="0"/>
    <m/>
    <m/>
    <m/>
    <m/>
    <m/>
    <m/>
    <m/>
    <m/>
    <m/>
    <m/>
    <m/>
    <n v="0"/>
    <n v="2"/>
    <m/>
    <m/>
    <m/>
    <m/>
    <m/>
    <m/>
    <m/>
    <m/>
    <m/>
    <m/>
    <m/>
    <m/>
    <m/>
    <m/>
    <m/>
    <m/>
    <m/>
    <m/>
    <n v="60000"/>
    <n v="60000"/>
    <m/>
    <m/>
    <n v="20000"/>
    <x v="45"/>
    <x v="1"/>
    <m/>
    <m/>
    <m/>
    <m/>
    <n v="2687"/>
    <m/>
    <m/>
    <m/>
    <m/>
    <m/>
    <m/>
    <m/>
    <m/>
    <m/>
    <m/>
    <m/>
    <s v="Isidore"/>
    <s v="$50,000 from OFDA; 4,000 hygiene parcels"/>
  </r>
  <r>
    <x v="0"/>
    <n v="85"/>
    <x v="94"/>
    <d v="2002-10-01T00:00:00"/>
    <x v="7"/>
    <n v="9"/>
    <m/>
    <x v="7"/>
    <n v="23"/>
    <x v="2"/>
    <s v="Paraguay"/>
    <m/>
    <x v="1"/>
    <s v="Drought"/>
    <s v="Drought"/>
    <m/>
    <x v="0"/>
    <m/>
    <x v="0"/>
    <m/>
    <x v="0"/>
    <m/>
    <m/>
    <m/>
    <m/>
    <m/>
    <m/>
    <m/>
    <m/>
    <m/>
    <m/>
    <m/>
    <n v="0"/>
    <n v="2"/>
    <m/>
    <m/>
    <m/>
    <m/>
    <m/>
    <m/>
    <m/>
    <m/>
    <m/>
    <m/>
    <m/>
    <m/>
    <m/>
    <m/>
    <m/>
    <m/>
    <m/>
    <m/>
    <m/>
    <n v="0"/>
    <m/>
    <m/>
    <n v="8165"/>
    <x v="7"/>
    <x v="1"/>
    <m/>
    <m/>
    <m/>
    <m/>
    <n v="2898"/>
    <m/>
    <m/>
    <m/>
    <m/>
    <m/>
    <m/>
    <m/>
    <m/>
    <m/>
    <m/>
    <m/>
    <m/>
    <s v="$50,000 from OFDA money given directly to the Paraguay RC for relief food distributions"/>
  </r>
  <r>
    <x v="0"/>
    <n v="86"/>
    <x v="67"/>
    <d v="2002-10-01T00:00:00"/>
    <x v="7"/>
    <n v="10"/>
    <m/>
    <x v="7"/>
    <n v="24"/>
    <x v="2"/>
    <s v="Mexico"/>
    <m/>
    <x v="5"/>
    <s v="Tropical Cyclone"/>
    <s v="Hurricane"/>
    <m/>
    <x v="0"/>
    <m/>
    <x v="0"/>
    <m/>
    <x v="0"/>
    <m/>
    <m/>
    <m/>
    <m/>
    <m/>
    <m/>
    <m/>
    <m/>
    <m/>
    <m/>
    <m/>
    <n v="0"/>
    <n v="1"/>
    <m/>
    <m/>
    <m/>
    <m/>
    <m/>
    <m/>
    <m/>
    <m/>
    <m/>
    <m/>
    <m/>
    <m/>
    <m/>
    <m/>
    <m/>
    <m/>
    <m/>
    <m/>
    <m/>
    <n v="0"/>
    <m/>
    <m/>
    <m/>
    <x v="7"/>
    <x v="1"/>
    <m/>
    <m/>
    <m/>
    <m/>
    <n v="2688"/>
    <m/>
    <m/>
    <m/>
    <m/>
    <m/>
    <m/>
    <m/>
    <m/>
    <m/>
    <m/>
    <m/>
    <s v="Kenna"/>
    <m/>
  </r>
  <r>
    <x v="0"/>
    <n v="87"/>
    <x v="95"/>
    <d v="2002-10-01T00:00:00"/>
    <x v="7"/>
    <n v="11"/>
    <m/>
    <x v="7"/>
    <n v="25"/>
    <x v="3"/>
    <s v="South Korea"/>
    <m/>
    <x v="5"/>
    <s v="Tropical Cyclone"/>
    <s v="Typhoon"/>
    <m/>
    <x v="0"/>
    <m/>
    <x v="0"/>
    <m/>
    <x v="0"/>
    <m/>
    <m/>
    <m/>
    <m/>
    <m/>
    <m/>
    <m/>
    <m/>
    <m/>
    <n v="120000"/>
    <m/>
    <n v="120000"/>
    <m/>
    <m/>
    <m/>
    <m/>
    <m/>
    <m/>
    <m/>
    <m/>
    <m/>
    <m/>
    <m/>
    <m/>
    <m/>
    <m/>
    <m/>
    <m/>
    <m/>
    <m/>
    <m/>
    <n v="10000"/>
    <n v="130000"/>
    <m/>
    <m/>
    <n v="5775"/>
    <x v="60"/>
    <x v="1"/>
    <m/>
    <m/>
    <m/>
    <m/>
    <n v="2686"/>
    <m/>
    <m/>
    <m/>
    <m/>
    <m/>
    <m/>
    <m/>
    <m/>
    <m/>
    <m/>
    <m/>
    <s v="Rusa"/>
    <s v="$10,000 from Alcoa for winter clothing in donor-specified province; $110,000 from CISCO &amp; Lucent for DPP training."/>
  </r>
  <r>
    <x v="0"/>
    <n v="88"/>
    <x v="96"/>
    <d v="2002-10-01T00:00:00"/>
    <x v="7"/>
    <n v="12"/>
    <m/>
    <x v="7"/>
    <n v="26"/>
    <x v="3"/>
    <s v="Italy"/>
    <m/>
    <x v="3"/>
    <s v="Earthquake"/>
    <s v="Earthquake"/>
    <m/>
    <x v="0"/>
    <m/>
    <x v="0"/>
    <m/>
    <x v="0"/>
    <m/>
    <m/>
    <m/>
    <m/>
    <m/>
    <m/>
    <m/>
    <m/>
    <m/>
    <n v="10000"/>
    <m/>
    <n v="10000"/>
    <m/>
    <m/>
    <m/>
    <m/>
    <m/>
    <m/>
    <m/>
    <m/>
    <m/>
    <m/>
    <m/>
    <m/>
    <m/>
    <m/>
    <m/>
    <m/>
    <m/>
    <m/>
    <m/>
    <m/>
    <n v="10000"/>
    <m/>
    <m/>
    <m/>
    <x v="6"/>
    <x v="1"/>
    <m/>
    <m/>
    <m/>
    <m/>
    <n v="2608"/>
    <m/>
    <m/>
    <m/>
    <m/>
    <m/>
    <m/>
    <m/>
    <m/>
    <m/>
    <m/>
    <m/>
    <m/>
    <s v="Verizon Pass through"/>
  </r>
  <r>
    <x v="0"/>
    <n v="89"/>
    <x v="97"/>
    <d v="2002-10-01T00:00:00"/>
    <x v="7"/>
    <n v="13"/>
    <m/>
    <x v="7"/>
    <n v="27"/>
    <x v="3"/>
    <s v="Indonesia"/>
    <m/>
    <x v="12"/>
    <s v="Terrorism"/>
    <s v="Terrorism"/>
    <m/>
    <x v="0"/>
    <m/>
    <x v="0"/>
    <m/>
    <x v="0"/>
    <m/>
    <m/>
    <m/>
    <m/>
    <m/>
    <m/>
    <m/>
    <m/>
    <m/>
    <n v="46670"/>
    <m/>
    <n v="46670"/>
    <m/>
    <m/>
    <m/>
    <m/>
    <m/>
    <m/>
    <m/>
    <m/>
    <m/>
    <m/>
    <m/>
    <m/>
    <m/>
    <m/>
    <m/>
    <m/>
    <m/>
    <m/>
    <m/>
    <m/>
    <n v="46670"/>
    <m/>
    <m/>
    <m/>
    <x v="61"/>
    <x v="1"/>
    <m/>
    <m/>
    <m/>
    <m/>
    <n v="2613"/>
    <m/>
    <m/>
    <m/>
    <m/>
    <m/>
    <m/>
    <m/>
    <m/>
    <m/>
    <m/>
    <m/>
    <s v="Bali"/>
    <s v="Exxon/Mobil provided  $30,000 for Indonesia (to be programmed by AusCross); Citigroup provided $10,000 (2099), G.E provided $5,000 (2898) and Assoc. of Chartered Accountants provided $1,670"/>
  </r>
  <r>
    <x v="0"/>
    <n v="89"/>
    <x v="98"/>
    <d v="2002-10-01T00:00:00"/>
    <x v="7"/>
    <n v="13"/>
    <m/>
    <x v="7"/>
    <n v="27"/>
    <x v="3"/>
    <s v="Australia"/>
    <m/>
    <x v="12"/>
    <s v="Terrorism"/>
    <s v="Terrorism"/>
    <m/>
    <x v="0"/>
    <m/>
    <x v="0"/>
    <m/>
    <x v="0"/>
    <m/>
    <m/>
    <m/>
    <m/>
    <m/>
    <m/>
    <m/>
    <m/>
    <m/>
    <n v="237898.78"/>
    <m/>
    <n v="237898.78"/>
    <n v="1"/>
    <m/>
    <m/>
    <m/>
    <m/>
    <m/>
    <m/>
    <m/>
    <m/>
    <m/>
    <m/>
    <m/>
    <m/>
    <m/>
    <m/>
    <m/>
    <m/>
    <m/>
    <m/>
    <m/>
    <n v="237898.78"/>
    <m/>
    <m/>
    <m/>
    <x v="62"/>
    <x v="1"/>
    <m/>
    <m/>
    <m/>
    <m/>
    <n v="2613"/>
    <m/>
    <m/>
    <m/>
    <m/>
    <m/>
    <m/>
    <m/>
    <m/>
    <m/>
    <m/>
    <m/>
    <s v="Bali"/>
    <s v="includes $151,228.89 from AP 2613 (estab. Oct 2002). Exxon/Mobil provided  $70,000; Anne Bike sent to Australia."/>
  </r>
  <r>
    <x v="0"/>
    <n v="90"/>
    <x v="99"/>
    <d v="2002-10-01T00:00:00"/>
    <x v="7"/>
    <n v="14"/>
    <m/>
    <x v="7"/>
    <n v="28"/>
    <x v="3"/>
    <s v="Vietnam"/>
    <m/>
    <x v="10"/>
    <s v="Fire"/>
    <s v="Urban Fire"/>
    <m/>
    <x v="0"/>
    <m/>
    <x v="0"/>
    <m/>
    <x v="0"/>
    <m/>
    <m/>
    <m/>
    <m/>
    <m/>
    <m/>
    <m/>
    <m/>
    <m/>
    <n v="100000"/>
    <m/>
    <n v="100000"/>
    <m/>
    <m/>
    <m/>
    <m/>
    <m/>
    <m/>
    <m/>
    <m/>
    <m/>
    <m/>
    <m/>
    <m/>
    <m/>
    <m/>
    <m/>
    <m/>
    <m/>
    <m/>
    <m/>
    <m/>
    <n v="100000"/>
    <m/>
    <m/>
    <n v="1000"/>
    <x v="5"/>
    <x v="1"/>
    <m/>
    <m/>
    <m/>
    <m/>
    <n v="2608"/>
    <m/>
    <m/>
    <m/>
    <m/>
    <m/>
    <m/>
    <m/>
    <m/>
    <m/>
    <m/>
    <m/>
    <s v="International Trade Center - HCM City"/>
    <s v="SDP developed for Starr Foundation contribution for $100,000"/>
  </r>
  <r>
    <x v="0"/>
    <n v="91"/>
    <x v="72"/>
    <d v="2002-10-01T00:00:00"/>
    <x v="7"/>
    <n v="15"/>
    <m/>
    <x v="7"/>
    <n v="29"/>
    <x v="2"/>
    <s v="Cuba"/>
    <m/>
    <x v="5"/>
    <s v="Tropical Cyclone"/>
    <s v="Hurricane"/>
    <m/>
    <x v="0"/>
    <m/>
    <x v="0"/>
    <m/>
    <x v="0"/>
    <m/>
    <m/>
    <m/>
    <m/>
    <m/>
    <m/>
    <n v="0"/>
    <n v="10000"/>
    <m/>
    <m/>
    <m/>
    <n v="10000"/>
    <m/>
    <m/>
    <m/>
    <m/>
    <m/>
    <m/>
    <m/>
    <m/>
    <m/>
    <m/>
    <m/>
    <m/>
    <m/>
    <m/>
    <m/>
    <m/>
    <m/>
    <m/>
    <m/>
    <m/>
    <n v="10000"/>
    <m/>
    <m/>
    <n v="1000"/>
    <x v="6"/>
    <x v="1"/>
    <m/>
    <m/>
    <m/>
    <m/>
    <n v="2898"/>
    <m/>
    <m/>
    <m/>
    <m/>
    <m/>
    <m/>
    <m/>
    <m/>
    <m/>
    <m/>
    <m/>
    <s v="Isidore / Lili"/>
    <s v="Toward the Federation Appeal"/>
  </r>
  <r>
    <x v="0"/>
    <n v="92"/>
    <x v="100"/>
    <d v="2002-10-01T00:00:00"/>
    <x v="7"/>
    <n v="16"/>
    <m/>
    <x v="7"/>
    <n v="30"/>
    <x v="1"/>
    <s v="Lesotho"/>
    <m/>
    <x v="14"/>
    <s v="Food Insecurity"/>
    <s v="Food Insecurity"/>
    <m/>
    <x v="0"/>
    <m/>
    <x v="0"/>
    <m/>
    <x v="0"/>
    <m/>
    <m/>
    <m/>
    <m/>
    <m/>
    <m/>
    <n v="0"/>
    <n v="25000"/>
    <m/>
    <m/>
    <m/>
    <n v="25000"/>
    <m/>
    <m/>
    <m/>
    <m/>
    <m/>
    <m/>
    <m/>
    <m/>
    <m/>
    <m/>
    <m/>
    <m/>
    <m/>
    <m/>
    <m/>
    <m/>
    <m/>
    <m/>
    <m/>
    <m/>
    <n v="25000"/>
    <m/>
    <m/>
    <n v="2500"/>
    <x v="8"/>
    <x v="1"/>
    <m/>
    <m/>
    <m/>
    <m/>
    <n v="2898"/>
    <m/>
    <m/>
    <m/>
    <m/>
    <m/>
    <m/>
    <m/>
    <m/>
    <m/>
    <m/>
    <m/>
    <m/>
    <s v="Toward the Federation Appeal for Southern Africa"/>
  </r>
  <r>
    <x v="0"/>
    <n v="93"/>
    <x v="7"/>
    <d v="2002-12-01T00:00:00"/>
    <x v="7"/>
    <n v="17"/>
    <m/>
    <x v="7"/>
    <n v="31"/>
    <x v="2"/>
    <s v="Costa Rica"/>
    <m/>
    <x v="2"/>
    <s v="General Floods"/>
    <s v="General Floods"/>
    <m/>
    <x v="0"/>
    <m/>
    <x v="0"/>
    <m/>
    <x v="0"/>
    <m/>
    <m/>
    <m/>
    <m/>
    <m/>
    <m/>
    <m/>
    <m/>
    <m/>
    <n v="1000"/>
    <m/>
    <n v="1000"/>
    <m/>
    <m/>
    <m/>
    <m/>
    <m/>
    <m/>
    <m/>
    <m/>
    <m/>
    <m/>
    <m/>
    <m/>
    <m/>
    <m/>
    <m/>
    <m/>
    <m/>
    <m/>
    <m/>
    <m/>
    <n v="1000"/>
    <m/>
    <m/>
    <m/>
    <x v="37"/>
    <x v="1"/>
    <m/>
    <m/>
    <m/>
    <m/>
    <n v="2898"/>
    <m/>
    <m/>
    <m/>
    <m/>
    <m/>
    <m/>
    <m/>
    <m/>
    <m/>
    <m/>
    <m/>
    <m/>
    <s v="Cash donation to National Society"/>
  </r>
  <r>
    <x v="0"/>
    <n v="94"/>
    <x v="80"/>
    <d v="2002-12-01T00:00:00"/>
    <x v="7"/>
    <n v="18"/>
    <m/>
    <x v="7"/>
    <n v="32"/>
    <x v="2"/>
    <s v="Panama"/>
    <m/>
    <x v="2"/>
    <s v="General Floods"/>
    <s v="General Floods"/>
    <m/>
    <x v="0"/>
    <m/>
    <x v="0"/>
    <m/>
    <x v="0"/>
    <m/>
    <m/>
    <m/>
    <m/>
    <m/>
    <m/>
    <m/>
    <m/>
    <m/>
    <n v="1345"/>
    <m/>
    <n v="1345"/>
    <m/>
    <m/>
    <m/>
    <n v="675"/>
    <m/>
    <m/>
    <m/>
    <m/>
    <m/>
    <m/>
    <m/>
    <m/>
    <m/>
    <m/>
    <m/>
    <m/>
    <m/>
    <m/>
    <m/>
    <m/>
    <n v="1345"/>
    <m/>
    <m/>
    <n v="675"/>
    <x v="63"/>
    <x v="1"/>
    <m/>
    <m/>
    <m/>
    <m/>
    <n v="2898"/>
    <m/>
    <m/>
    <m/>
    <m/>
    <m/>
    <m/>
    <m/>
    <m/>
    <m/>
    <m/>
    <m/>
    <m/>
    <s v="675 jerry cans from pre-positioned stocks"/>
  </r>
  <r>
    <x v="0"/>
    <n v="95"/>
    <x v="101"/>
    <d v="2002-12-01T00:00:00"/>
    <x v="7"/>
    <n v="19"/>
    <m/>
    <x v="7"/>
    <n v="33"/>
    <x v="1"/>
    <s v="Kenya"/>
    <m/>
    <x v="11"/>
    <s v="Parasitic"/>
    <s v="Parasitic"/>
    <m/>
    <x v="0"/>
    <m/>
    <x v="0"/>
    <m/>
    <x v="0"/>
    <m/>
    <m/>
    <m/>
    <m/>
    <m/>
    <m/>
    <m/>
    <m/>
    <m/>
    <n v="5000"/>
    <m/>
    <n v="5000"/>
    <m/>
    <m/>
    <m/>
    <m/>
    <m/>
    <m/>
    <m/>
    <m/>
    <m/>
    <m/>
    <m/>
    <m/>
    <m/>
    <m/>
    <m/>
    <m/>
    <m/>
    <m/>
    <m/>
    <m/>
    <n v="5000"/>
    <m/>
    <m/>
    <n v="500"/>
    <x v="46"/>
    <x v="1"/>
    <m/>
    <m/>
    <m/>
    <m/>
    <n v="2898"/>
    <m/>
    <m/>
    <m/>
    <m/>
    <m/>
    <m/>
    <m/>
    <m/>
    <m/>
    <m/>
    <m/>
    <s v="Malaria"/>
    <s v="Africa Region also donated $5,000 to KRC for a total of $10,000"/>
  </r>
  <r>
    <x v="0"/>
    <n v="96"/>
    <x v="102"/>
    <d v="2003-01-01T00:00:00"/>
    <x v="7"/>
    <n v="20"/>
    <m/>
    <x v="8"/>
    <n v="1"/>
    <x v="3"/>
    <s v="Solomon Islands"/>
    <m/>
    <x v="5"/>
    <s v="Tropical Cyclone"/>
    <s v="Cyclone"/>
    <m/>
    <x v="0"/>
    <m/>
    <x v="0"/>
    <m/>
    <x v="0"/>
    <m/>
    <m/>
    <m/>
    <m/>
    <m/>
    <m/>
    <n v="0"/>
    <n v="7242.1372799999999"/>
    <m/>
    <m/>
    <m/>
    <n v="7242.1372799999999"/>
    <m/>
    <m/>
    <m/>
    <m/>
    <m/>
    <m/>
    <m/>
    <m/>
    <m/>
    <m/>
    <m/>
    <m/>
    <m/>
    <m/>
    <m/>
    <m/>
    <m/>
    <m/>
    <m/>
    <m/>
    <n v="7242.1372799999999"/>
    <m/>
    <m/>
    <m/>
    <x v="64"/>
    <x v="1"/>
    <m/>
    <m/>
    <m/>
    <m/>
    <n v="2881"/>
    <m/>
    <m/>
    <m/>
    <m/>
    <m/>
    <m/>
    <m/>
    <m/>
    <m/>
    <m/>
    <m/>
    <s v="Zoe"/>
    <s v="FJD 14,369.32 for re-stocking Solomon Islands RC"/>
  </r>
  <r>
    <x v="0"/>
    <n v="97"/>
    <x v="0"/>
    <d v="2003-01-01T00:00:00"/>
    <x v="7"/>
    <n v="21"/>
    <m/>
    <x v="8"/>
    <n v="2"/>
    <x v="2"/>
    <s v="Mexico"/>
    <m/>
    <x v="3"/>
    <s v="Earthquake"/>
    <s v="Earthquake"/>
    <m/>
    <x v="0"/>
    <m/>
    <x v="0"/>
    <m/>
    <x v="0"/>
    <m/>
    <m/>
    <m/>
    <m/>
    <m/>
    <m/>
    <m/>
    <m/>
    <m/>
    <n v="350000"/>
    <m/>
    <n v="350000"/>
    <n v="3"/>
    <m/>
    <m/>
    <m/>
    <m/>
    <m/>
    <m/>
    <m/>
    <m/>
    <m/>
    <m/>
    <m/>
    <m/>
    <m/>
    <m/>
    <m/>
    <m/>
    <m/>
    <m/>
    <m/>
    <n v="350000"/>
    <m/>
    <m/>
    <n v="2000"/>
    <x v="65"/>
    <x v="1"/>
    <m/>
    <m/>
    <m/>
    <m/>
    <n v="2690"/>
    <m/>
    <m/>
    <m/>
    <m/>
    <m/>
    <m/>
    <m/>
    <m/>
    <m/>
    <m/>
    <m/>
    <m/>
    <s v="$100,000 donation from Wells Fargo was programmed by ARC in partnership with Mexican Red Cross (MRC). Steve McAndrew responded and 2 IRT members (Jerry Lisenby and M-C Brien) were subsequently deployed to manage the operation. Toyota donated $250,000 to the relief effort as a strict pass-through to the Mexican Red Cross."/>
  </r>
  <r>
    <x v="0"/>
    <n v="97"/>
    <x v="0"/>
    <d v="2003-01-01T00:00:00"/>
    <x v="7"/>
    <n v="21"/>
    <m/>
    <x v="8"/>
    <n v="2"/>
    <x v="2"/>
    <s v="Mexico"/>
    <m/>
    <x v="3"/>
    <s v="Earthquake"/>
    <s v="Earthquake"/>
    <m/>
    <x v="0"/>
    <m/>
    <x v="0"/>
    <m/>
    <x v="0"/>
    <m/>
    <m/>
    <m/>
    <m/>
    <m/>
    <m/>
    <m/>
    <m/>
    <m/>
    <n v="100000"/>
    <m/>
    <n v="100000"/>
    <m/>
    <m/>
    <m/>
    <m/>
    <m/>
    <m/>
    <m/>
    <m/>
    <m/>
    <m/>
    <m/>
    <m/>
    <m/>
    <m/>
    <m/>
    <m/>
    <m/>
    <m/>
    <m/>
    <m/>
    <n v="100000"/>
    <m/>
    <m/>
    <m/>
    <x v="5"/>
    <x v="1"/>
    <m/>
    <m/>
    <m/>
    <m/>
    <n v="2642"/>
    <m/>
    <m/>
    <m/>
    <m/>
    <m/>
    <m/>
    <m/>
    <m/>
    <m/>
    <m/>
    <m/>
    <m/>
    <s v="$100,000 from OFDA was programmed by ARC in partnership with Mexican Red Cross (MRC)."/>
  </r>
  <r>
    <x v="0"/>
    <n v="98"/>
    <x v="103"/>
    <d v="2003-02-01T00:00:00"/>
    <x v="7"/>
    <n v="22"/>
    <m/>
    <x v="8"/>
    <n v="3"/>
    <x v="3"/>
    <s v="South Korea"/>
    <m/>
    <x v="9"/>
    <s v="Rail"/>
    <s v="Fire"/>
    <m/>
    <x v="0"/>
    <m/>
    <x v="0"/>
    <m/>
    <x v="0"/>
    <m/>
    <m/>
    <m/>
    <m/>
    <m/>
    <m/>
    <m/>
    <m/>
    <m/>
    <n v="10000"/>
    <m/>
    <n v="10000"/>
    <m/>
    <m/>
    <m/>
    <m/>
    <m/>
    <m/>
    <m/>
    <m/>
    <m/>
    <m/>
    <m/>
    <m/>
    <m/>
    <m/>
    <m/>
    <m/>
    <m/>
    <m/>
    <m/>
    <m/>
    <n v="10000"/>
    <m/>
    <m/>
    <n v="1000"/>
    <x v="6"/>
    <x v="1"/>
    <m/>
    <m/>
    <m/>
    <m/>
    <n v="2608"/>
    <m/>
    <m/>
    <m/>
    <m/>
    <m/>
    <m/>
    <m/>
    <m/>
    <m/>
    <m/>
    <m/>
    <s v="Taegu Subway fire"/>
    <s v="Alcoa passthrough"/>
  </r>
  <r>
    <x v="0"/>
    <n v="99"/>
    <x v="104"/>
    <d v="2003-02-01T00:00:00"/>
    <x v="7"/>
    <n v="23"/>
    <m/>
    <x v="8"/>
    <n v="4"/>
    <x v="3"/>
    <s v="China"/>
    <m/>
    <x v="3"/>
    <s v="Earthquake"/>
    <s v="Earthquake"/>
    <m/>
    <x v="0"/>
    <m/>
    <x v="0"/>
    <m/>
    <x v="0"/>
    <m/>
    <m/>
    <m/>
    <m/>
    <m/>
    <m/>
    <m/>
    <m/>
    <m/>
    <n v="50000"/>
    <m/>
    <n v="50000"/>
    <m/>
    <m/>
    <m/>
    <m/>
    <m/>
    <m/>
    <m/>
    <m/>
    <m/>
    <m/>
    <m/>
    <m/>
    <m/>
    <m/>
    <m/>
    <m/>
    <m/>
    <m/>
    <m/>
    <m/>
    <n v="50000"/>
    <m/>
    <m/>
    <n v="1350"/>
    <x v="16"/>
    <x v="1"/>
    <m/>
    <m/>
    <m/>
    <m/>
    <s v="0000"/>
    <m/>
    <m/>
    <m/>
    <m/>
    <m/>
    <m/>
    <m/>
    <m/>
    <m/>
    <m/>
    <m/>
    <m/>
    <s v="Altria passthrough"/>
  </r>
  <r>
    <x v="0"/>
    <n v="100"/>
    <x v="105"/>
    <d v="2003-03-01T00:00:00"/>
    <x v="7"/>
    <n v="24"/>
    <m/>
    <x v="8"/>
    <n v="5"/>
    <x v="3"/>
    <s v="Iraq"/>
    <m/>
    <x v="8"/>
    <s v="Conflict"/>
    <s v="Conflict"/>
    <m/>
    <x v="0"/>
    <m/>
    <x v="0"/>
    <m/>
    <x v="0"/>
    <m/>
    <m/>
    <m/>
    <m/>
    <m/>
    <m/>
    <n v="1"/>
    <n v="100000"/>
    <n v="100000"/>
    <m/>
    <m/>
    <n v="200000"/>
    <m/>
    <m/>
    <m/>
    <n v="64200"/>
    <m/>
    <m/>
    <n v="34200"/>
    <n v="30000"/>
    <m/>
    <m/>
    <m/>
    <m/>
    <m/>
    <m/>
    <m/>
    <m/>
    <m/>
    <m/>
    <n v="221694"/>
    <m/>
    <n v="421694"/>
    <m/>
    <m/>
    <n v="54200"/>
    <x v="66"/>
    <x v="1"/>
    <m/>
    <m/>
    <m/>
    <m/>
    <n v="2689"/>
    <m/>
    <m/>
    <m/>
    <m/>
    <m/>
    <m/>
    <m/>
    <m/>
    <m/>
    <m/>
    <m/>
    <s v="Iraq"/>
    <m/>
  </r>
  <r>
    <x v="0"/>
    <n v="100"/>
    <x v="106"/>
    <d v="2003-03-01T00:00:00"/>
    <x v="7"/>
    <n v="24"/>
    <m/>
    <x v="8"/>
    <n v="5"/>
    <x v="3"/>
    <s v="Syria"/>
    <m/>
    <x v="8"/>
    <s v="Conflict"/>
    <s v="Conflict"/>
    <m/>
    <x v="0"/>
    <m/>
    <x v="0"/>
    <m/>
    <x v="0"/>
    <m/>
    <m/>
    <m/>
    <m/>
    <m/>
    <m/>
    <m/>
    <m/>
    <m/>
    <n v="15000"/>
    <m/>
    <n v="15000"/>
    <m/>
    <m/>
    <m/>
    <m/>
    <m/>
    <m/>
    <m/>
    <m/>
    <m/>
    <m/>
    <m/>
    <m/>
    <m/>
    <m/>
    <m/>
    <m/>
    <m/>
    <m/>
    <m/>
    <m/>
    <n v="15000"/>
    <m/>
    <m/>
    <n v="1000"/>
    <x v="18"/>
    <x v="1"/>
    <m/>
    <m/>
    <m/>
    <m/>
    <n v="2689"/>
    <m/>
    <m/>
    <m/>
    <m/>
    <m/>
    <m/>
    <m/>
    <m/>
    <m/>
    <m/>
    <m/>
    <s v="Iraq"/>
    <s v="PMN for SARC"/>
  </r>
  <r>
    <x v="0"/>
    <n v="100"/>
    <x v="36"/>
    <d v="2003-03-01T00:00:00"/>
    <x v="7"/>
    <n v="24"/>
    <m/>
    <x v="8"/>
    <n v="5"/>
    <x v="3"/>
    <s v="Jordan"/>
    <m/>
    <x v="8"/>
    <s v="Conflict"/>
    <s v="Conflict"/>
    <m/>
    <x v="0"/>
    <m/>
    <x v="0"/>
    <m/>
    <x v="0"/>
    <m/>
    <m/>
    <m/>
    <m/>
    <m/>
    <m/>
    <m/>
    <m/>
    <m/>
    <n v="15000"/>
    <m/>
    <n v="15000"/>
    <n v="2"/>
    <m/>
    <m/>
    <m/>
    <m/>
    <m/>
    <m/>
    <m/>
    <m/>
    <m/>
    <m/>
    <m/>
    <m/>
    <m/>
    <m/>
    <m/>
    <m/>
    <m/>
    <m/>
    <n v="17812"/>
    <n v="32812"/>
    <m/>
    <m/>
    <n v="1000"/>
    <x v="67"/>
    <x v="1"/>
    <m/>
    <m/>
    <m/>
    <m/>
    <n v="2689"/>
    <m/>
    <m/>
    <m/>
    <m/>
    <m/>
    <m/>
    <m/>
    <m/>
    <m/>
    <m/>
    <m/>
    <s v="Iraq"/>
    <s v="PMN for JRCS; Jensen &amp; Dmitryuk in Amman"/>
  </r>
  <r>
    <x v="0"/>
    <n v="100"/>
    <x v="107"/>
    <d v="2003-03-01T00:00:00"/>
    <x v="7"/>
    <n v="24"/>
    <m/>
    <x v="8"/>
    <n v="5"/>
    <x v="3"/>
    <s v="Turkey"/>
    <m/>
    <x v="8"/>
    <s v="Conflict"/>
    <s v="Conflict"/>
    <m/>
    <x v="0"/>
    <m/>
    <x v="0"/>
    <m/>
    <x v="0"/>
    <m/>
    <m/>
    <m/>
    <m/>
    <m/>
    <m/>
    <m/>
    <m/>
    <m/>
    <m/>
    <m/>
    <n v="0"/>
    <n v="1"/>
    <m/>
    <m/>
    <m/>
    <m/>
    <m/>
    <m/>
    <m/>
    <m/>
    <m/>
    <m/>
    <m/>
    <m/>
    <m/>
    <m/>
    <m/>
    <m/>
    <m/>
    <m/>
    <n v="17812"/>
    <n v="17812"/>
    <m/>
    <m/>
    <m/>
    <x v="68"/>
    <x v="1"/>
    <m/>
    <m/>
    <m/>
    <m/>
    <n v="2689"/>
    <m/>
    <m/>
    <m/>
    <m/>
    <m/>
    <m/>
    <m/>
    <m/>
    <m/>
    <m/>
    <m/>
    <s v="Iraq"/>
    <s v="McAndrew in Ankara"/>
  </r>
  <r>
    <x v="0"/>
    <n v="101"/>
    <x v="108"/>
    <d v="2003-05-01T00:00:00"/>
    <x v="7"/>
    <n v="25"/>
    <m/>
    <x v="8"/>
    <n v="6"/>
    <x v="2"/>
    <s v="Argentina"/>
    <m/>
    <x v="2"/>
    <s v="General Floods"/>
    <s v="General Floods"/>
    <m/>
    <x v="0"/>
    <m/>
    <x v="0"/>
    <m/>
    <x v="0"/>
    <m/>
    <m/>
    <m/>
    <m/>
    <m/>
    <m/>
    <n v="0"/>
    <n v="15000"/>
    <m/>
    <m/>
    <m/>
    <n v="15000"/>
    <n v="1"/>
    <m/>
    <m/>
    <m/>
    <m/>
    <m/>
    <m/>
    <m/>
    <m/>
    <m/>
    <m/>
    <m/>
    <m/>
    <m/>
    <m/>
    <m/>
    <m/>
    <m/>
    <m/>
    <m/>
    <n v="15000"/>
    <m/>
    <m/>
    <n v="1500"/>
    <x v="18"/>
    <x v="1"/>
    <m/>
    <m/>
    <m/>
    <m/>
    <n v="2898"/>
    <m/>
    <m/>
    <m/>
    <m/>
    <m/>
    <m/>
    <m/>
    <m/>
    <m/>
    <m/>
    <m/>
    <m/>
    <s v="Rob McKenney from PADRU"/>
  </r>
  <r>
    <x v="0"/>
    <n v="102"/>
    <x v="9"/>
    <d v="2003-05-01T00:00:00"/>
    <x v="7"/>
    <n v="26"/>
    <m/>
    <x v="8"/>
    <n v="7"/>
    <x v="3"/>
    <s v="Turkey"/>
    <m/>
    <x v="3"/>
    <s v="Earthquake"/>
    <s v="Earthquake"/>
    <m/>
    <x v="0"/>
    <m/>
    <x v="0"/>
    <m/>
    <x v="0"/>
    <m/>
    <m/>
    <m/>
    <m/>
    <m/>
    <m/>
    <m/>
    <m/>
    <m/>
    <m/>
    <m/>
    <n v="0"/>
    <n v="2"/>
    <m/>
    <m/>
    <n v="9000"/>
    <m/>
    <m/>
    <m/>
    <m/>
    <m/>
    <m/>
    <m/>
    <m/>
    <m/>
    <n v="9000"/>
    <m/>
    <m/>
    <m/>
    <m/>
    <n v="331380"/>
    <m/>
    <n v="331380"/>
    <m/>
    <m/>
    <n v="45000"/>
    <x v="69"/>
    <x v="1"/>
    <m/>
    <m/>
    <m/>
    <m/>
    <n v="2898"/>
    <m/>
    <m/>
    <m/>
    <m/>
    <m/>
    <m/>
    <m/>
    <m/>
    <m/>
    <m/>
    <m/>
    <s v="Bingol"/>
    <s v="Food Parcels paid for by Region; IRT Kelly Hurd sent to support TRCS distribution; IRT R. Chapman deployed to support TRCS"/>
  </r>
  <r>
    <x v="0"/>
    <n v="103"/>
    <x v="109"/>
    <d v="2003-05-01T00:00:00"/>
    <x v="7"/>
    <n v="27"/>
    <m/>
    <x v="8"/>
    <n v="8"/>
    <x v="3"/>
    <s v="China"/>
    <m/>
    <x v="11"/>
    <s v="Viral"/>
    <s v="Viral"/>
    <m/>
    <x v="0"/>
    <m/>
    <x v="0"/>
    <m/>
    <x v="0"/>
    <m/>
    <m/>
    <m/>
    <m/>
    <m/>
    <m/>
    <m/>
    <m/>
    <m/>
    <n v="32500"/>
    <m/>
    <n v="32500"/>
    <m/>
    <m/>
    <m/>
    <m/>
    <m/>
    <m/>
    <m/>
    <m/>
    <m/>
    <m/>
    <m/>
    <m/>
    <m/>
    <m/>
    <m/>
    <m/>
    <m/>
    <m/>
    <m/>
    <m/>
    <n v="32500"/>
    <m/>
    <m/>
    <n v="59000"/>
    <x v="70"/>
    <x v="1"/>
    <m/>
    <m/>
    <m/>
    <m/>
    <n v="2691"/>
    <m/>
    <m/>
    <m/>
    <m/>
    <m/>
    <m/>
    <m/>
    <m/>
    <m/>
    <m/>
    <m/>
    <s v="SARS"/>
    <s v="AMEX: $25,000 + $7,500"/>
  </r>
  <r>
    <x v="0"/>
    <n v="103"/>
    <x v="109"/>
    <d v="2003-05-01T00:00:00"/>
    <x v="7"/>
    <n v="27"/>
    <m/>
    <x v="8"/>
    <n v="8"/>
    <x v="3"/>
    <s v="China"/>
    <m/>
    <x v="11"/>
    <s v="Viral"/>
    <s v="Viral"/>
    <m/>
    <x v="0"/>
    <m/>
    <x v="0"/>
    <m/>
    <x v="0"/>
    <m/>
    <m/>
    <m/>
    <m/>
    <m/>
    <m/>
    <m/>
    <m/>
    <m/>
    <n v="370642"/>
    <m/>
    <n v="370642"/>
    <m/>
    <m/>
    <m/>
    <m/>
    <m/>
    <m/>
    <m/>
    <m/>
    <m/>
    <m/>
    <m/>
    <m/>
    <m/>
    <m/>
    <m/>
    <m/>
    <m/>
    <m/>
    <m/>
    <m/>
    <n v="370642"/>
    <m/>
    <m/>
    <n v="15000"/>
    <x v="71"/>
    <x v="1"/>
    <m/>
    <m/>
    <m/>
    <m/>
    <s v="0000"/>
    <m/>
    <m/>
    <m/>
    <m/>
    <m/>
    <m/>
    <m/>
    <m/>
    <m/>
    <m/>
    <m/>
    <s v="SARS"/>
    <s v="Pfizer: $200,000; JP Morgan/Chase: $128,000; Microsoft: $42,642"/>
  </r>
  <r>
    <x v="0"/>
    <n v="103"/>
    <x v="110"/>
    <d v="2003-05-01T00:00:00"/>
    <x v="7"/>
    <n v="27"/>
    <m/>
    <x v="8"/>
    <n v="8"/>
    <x v="3"/>
    <s v="Hong Kong"/>
    <m/>
    <x v="11"/>
    <s v="Viral"/>
    <s v="Viral"/>
    <m/>
    <x v="0"/>
    <m/>
    <x v="0"/>
    <m/>
    <x v="0"/>
    <m/>
    <m/>
    <m/>
    <m/>
    <m/>
    <m/>
    <m/>
    <m/>
    <m/>
    <n v="60000"/>
    <m/>
    <n v="60000"/>
    <m/>
    <m/>
    <m/>
    <m/>
    <m/>
    <m/>
    <m/>
    <m/>
    <m/>
    <m/>
    <m/>
    <m/>
    <m/>
    <m/>
    <m/>
    <m/>
    <m/>
    <m/>
    <m/>
    <m/>
    <n v="60000"/>
    <m/>
    <m/>
    <n v="72500"/>
    <x v="45"/>
    <x v="1"/>
    <m/>
    <m/>
    <m/>
    <m/>
    <n v="2060"/>
    <m/>
    <m/>
    <m/>
    <m/>
    <m/>
    <m/>
    <m/>
    <m/>
    <m/>
    <m/>
    <m/>
    <s v="SARS"/>
    <s v="$25,000 from AMEX and $35,000 from JP Morgan Chase (both) programmed against total invoice of $97,923.15 for 1.2 million alcohol swabs and 435,000 surgical masks"/>
  </r>
  <r>
    <x v="0"/>
    <n v="104"/>
    <x v="111"/>
    <d v="2003-05-01T00:00:00"/>
    <x v="7"/>
    <n v="28"/>
    <m/>
    <x v="8"/>
    <n v="9"/>
    <x v="3"/>
    <s v="Sri Lanka"/>
    <m/>
    <x v="2"/>
    <s v="General Floods"/>
    <s v="General Floods"/>
    <m/>
    <x v="0"/>
    <m/>
    <x v="0"/>
    <m/>
    <x v="0"/>
    <m/>
    <m/>
    <m/>
    <m/>
    <m/>
    <m/>
    <n v="0"/>
    <n v="21400"/>
    <m/>
    <m/>
    <m/>
    <n v="21400"/>
    <m/>
    <m/>
    <m/>
    <m/>
    <m/>
    <m/>
    <m/>
    <m/>
    <m/>
    <m/>
    <m/>
    <m/>
    <m/>
    <m/>
    <m/>
    <m/>
    <m/>
    <m/>
    <m/>
    <m/>
    <n v="21400"/>
    <m/>
    <m/>
    <n v="2862.1931568439049"/>
    <x v="72"/>
    <x v="1"/>
    <m/>
    <m/>
    <m/>
    <m/>
    <n v="2692"/>
    <m/>
    <m/>
    <m/>
    <m/>
    <m/>
    <m/>
    <m/>
    <m/>
    <m/>
    <m/>
    <m/>
    <m/>
    <s v="Funds provided through Citigroup's ADGP; Federation Appeal for $934,598 / 125,000 beneficiaries / 3 months"/>
  </r>
  <r>
    <x v="0"/>
    <n v="105"/>
    <x v="80"/>
    <d v="2003-07-01T00:00:00"/>
    <x v="8"/>
    <n v="1"/>
    <m/>
    <x v="8"/>
    <n v="10"/>
    <x v="2"/>
    <s v="Panama"/>
    <m/>
    <x v="2"/>
    <s v="General Floods"/>
    <s v="General Floods"/>
    <m/>
    <x v="0"/>
    <m/>
    <x v="0"/>
    <m/>
    <x v="0"/>
    <m/>
    <m/>
    <m/>
    <m/>
    <m/>
    <m/>
    <m/>
    <m/>
    <m/>
    <m/>
    <m/>
    <n v="0"/>
    <n v="1"/>
    <m/>
    <m/>
    <n v="6500"/>
    <m/>
    <n v="500"/>
    <m/>
    <m/>
    <m/>
    <m/>
    <m/>
    <n v="6000"/>
    <m/>
    <m/>
    <m/>
    <m/>
    <m/>
    <m/>
    <n v="16700"/>
    <m/>
    <n v="16700"/>
    <m/>
    <m/>
    <n v="3000"/>
    <x v="73"/>
    <x v="1"/>
    <m/>
    <m/>
    <m/>
    <m/>
    <n v="2898"/>
    <m/>
    <m/>
    <m/>
    <m/>
    <m/>
    <m/>
    <m/>
    <m/>
    <m/>
    <m/>
    <m/>
    <m/>
    <s v="hygiene kits (value $1,770) and bedsheets (500 packets of 12 at a total value of $15,000) from PADRU as part of a joint ARC/Federation/Panamanian Red Cross operation. Steve McAndrew was deployed from PADRU to oversee the distributions"/>
  </r>
  <r>
    <x v="0"/>
    <n v="106"/>
    <x v="112"/>
    <d v="2003-09-01T00:00:00"/>
    <x v="8"/>
    <n v="2"/>
    <m/>
    <x v="8"/>
    <n v="11"/>
    <x v="4"/>
    <s v="Canada"/>
    <m/>
    <x v="15"/>
    <s v="Forest Fire"/>
    <s v="Fire"/>
    <m/>
    <x v="0"/>
    <m/>
    <x v="0"/>
    <m/>
    <x v="0"/>
    <m/>
    <m/>
    <m/>
    <m/>
    <m/>
    <m/>
    <m/>
    <m/>
    <m/>
    <n v="10000"/>
    <m/>
    <n v="10000"/>
    <m/>
    <m/>
    <m/>
    <m/>
    <m/>
    <m/>
    <m/>
    <m/>
    <m/>
    <m/>
    <m/>
    <m/>
    <m/>
    <m/>
    <m/>
    <m/>
    <m/>
    <m/>
    <m/>
    <m/>
    <n v="10000"/>
    <m/>
    <m/>
    <n v="250"/>
    <x v="6"/>
    <x v="2"/>
    <m/>
    <m/>
    <m/>
    <m/>
    <n v="2099"/>
    <m/>
    <m/>
    <m/>
    <m/>
    <m/>
    <m/>
    <m/>
    <m/>
    <m/>
    <m/>
    <m/>
    <m/>
    <s v="$10,000 donation from Citigroup for forest fires in British Columbia (Citigroup $ kept in 2099 per a prior agreement)"/>
  </r>
  <r>
    <x v="0"/>
    <n v="107"/>
    <x v="113"/>
    <d v="2003-10-01T00:00:00"/>
    <x v="8"/>
    <n v="3"/>
    <m/>
    <x v="8"/>
    <n v="12"/>
    <x v="2"/>
    <s v="Dominican Republic"/>
    <m/>
    <x v="3"/>
    <s v="Earthquake"/>
    <s v="Earthquake"/>
    <m/>
    <x v="0"/>
    <m/>
    <x v="0"/>
    <m/>
    <x v="0"/>
    <m/>
    <m/>
    <m/>
    <m/>
    <m/>
    <m/>
    <m/>
    <m/>
    <m/>
    <m/>
    <m/>
    <n v="0"/>
    <m/>
    <m/>
    <m/>
    <m/>
    <m/>
    <m/>
    <m/>
    <m/>
    <m/>
    <m/>
    <m/>
    <m/>
    <m/>
    <m/>
    <m/>
    <m/>
    <m/>
    <m/>
    <n v="25000"/>
    <m/>
    <n v="25000"/>
    <m/>
    <m/>
    <n v="100"/>
    <x v="8"/>
    <x v="1"/>
    <m/>
    <m/>
    <m/>
    <m/>
    <n v="2694"/>
    <m/>
    <m/>
    <m/>
    <m/>
    <m/>
    <m/>
    <m/>
    <m/>
    <m/>
    <m/>
    <m/>
    <s v="Puerto Plata"/>
    <s v="$25,000 from Verizon (AP is shared with November 2003 floods in Cibao / Montecristi)"/>
  </r>
  <r>
    <x v="0"/>
    <n v="108"/>
    <x v="114"/>
    <d v="2003-05-01T00:00:00"/>
    <x v="8"/>
    <n v="4"/>
    <m/>
    <x v="8"/>
    <n v="13"/>
    <x v="1"/>
    <s v="Algeria"/>
    <m/>
    <x v="3"/>
    <s v="Earthquake"/>
    <s v="Earthquake"/>
    <m/>
    <x v="0"/>
    <m/>
    <x v="0"/>
    <m/>
    <x v="0"/>
    <m/>
    <m/>
    <m/>
    <m/>
    <m/>
    <m/>
    <m/>
    <m/>
    <m/>
    <m/>
    <m/>
    <n v="0"/>
    <m/>
    <m/>
    <m/>
    <n v="10000"/>
    <m/>
    <n v="10000"/>
    <m/>
    <m/>
    <m/>
    <m/>
    <m/>
    <m/>
    <m/>
    <m/>
    <m/>
    <m/>
    <m/>
    <m/>
    <n v="37200"/>
    <n v="28670"/>
    <n v="65870"/>
    <m/>
    <m/>
    <n v="50000"/>
    <x v="74"/>
    <x v="1"/>
    <m/>
    <m/>
    <m/>
    <m/>
    <n v="2693"/>
    <m/>
    <m/>
    <m/>
    <m/>
    <m/>
    <m/>
    <m/>
    <m/>
    <m/>
    <m/>
    <m/>
    <s v="RESPONSE IN FY 04"/>
    <s v="hygiene kits ($3.72 each) ex Bulgaria; $8,470 for transport, $1,200 demurrage, $19,000 to remove washing powder in Greece"/>
  </r>
  <r>
    <x v="0"/>
    <n v="109"/>
    <x v="115"/>
    <d v="2003-08-01T00:00:00"/>
    <x v="8"/>
    <n v="5"/>
    <m/>
    <x v="8"/>
    <n v="14"/>
    <x v="1"/>
    <s v="Liberia"/>
    <m/>
    <x v="8"/>
    <s v="Conflict"/>
    <s v="Conflict"/>
    <m/>
    <x v="0"/>
    <m/>
    <x v="0"/>
    <m/>
    <x v="0"/>
    <m/>
    <m/>
    <m/>
    <m/>
    <m/>
    <m/>
    <n v="0"/>
    <n v="35027"/>
    <m/>
    <m/>
    <m/>
    <n v="35027"/>
    <m/>
    <m/>
    <m/>
    <m/>
    <m/>
    <m/>
    <m/>
    <m/>
    <m/>
    <m/>
    <m/>
    <m/>
    <m/>
    <m/>
    <m/>
    <m/>
    <m/>
    <m/>
    <m/>
    <m/>
    <n v="35027"/>
    <m/>
    <m/>
    <n v="2500"/>
    <x v="75"/>
    <x v="1"/>
    <m/>
    <m/>
    <m/>
    <m/>
    <n v="2631"/>
    <m/>
    <m/>
    <m/>
    <m/>
    <m/>
    <m/>
    <m/>
    <m/>
    <m/>
    <m/>
    <m/>
    <m/>
    <s v="Funds from Region's budget previously sent to Geneva re-allocated  - signed PMN returned to IDRU in October 2003"/>
  </r>
  <r>
    <x v="0"/>
    <n v="110"/>
    <x v="6"/>
    <d v="2003-09-01T00:00:00"/>
    <x v="8"/>
    <n v="6"/>
    <m/>
    <x v="8"/>
    <n v="15"/>
    <x v="2"/>
    <s v="Mexico"/>
    <m/>
    <x v="2"/>
    <s v="General Floods"/>
    <s v="General Floods"/>
    <m/>
    <x v="0"/>
    <m/>
    <x v="0"/>
    <m/>
    <x v="0"/>
    <m/>
    <m/>
    <m/>
    <m/>
    <m/>
    <m/>
    <m/>
    <m/>
    <m/>
    <n v="10500"/>
    <m/>
    <n v="10500"/>
    <n v="2"/>
    <m/>
    <m/>
    <m/>
    <m/>
    <m/>
    <m/>
    <m/>
    <m/>
    <m/>
    <m/>
    <m/>
    <m/>
    <m/>
    <m/>
    <m/>
    <m/>
    <m/>
    <m/>
    <m/>
    <n v="10500"/>
    <m/>
    <m/>
    <n v="3000"/>
    <x v="76"/>
    <x v="1"/>
    <m/>
    <m/>
    <m/>
    <m/>
    <n v="2688"/>
    <m/>
    <m/>
    <m/>
    <m/>
    <m/>
    <m/>
    <m/>
    <m/>
    <m/>
    <m/>
    <m/>
    <m/>
    <s v="Hurricane Kenna funds ($11,636.16 minus 11.15%); Christine Strater and Nate Cooper deployed 5 October 2003"/>
  </r>
  <r>
    <x v="0"/>
    <n v="111"/>
    <x v="95"/>
    <d v="2003-10-01T00:00:00"/>
    <x v="8"/>
    <n v="7"/>
    <m/>
    <x v="8"/>
    <n v="16"/>
    <x v="3"/>
    <s v="South Korea"/>
    <m/>
    <x v="5"/>
    <s v="Tropical Cyclone"/>
    <s v="Typhoon"/>
    <m/>
    <x v="0"/>
    <m/>
    <x v="0"/>
    <m/>
    <x v="0"/>
    <m/>
    <m/>
    <m/>
    <m/>
    <m/>
    <m/>
    <m/>
    <m/>
    <m/>
    <n v="10000"/>
    <m/>
    <n v="10000"/>
    <m/>
    <m/>
    <m/>
    <m/>
    <m/>
    <m/>
    <m/>
    <m/>
    <m/>
    <m/>
    <m/>
    <m/>
    <m/>
    <m/>
    <m/>
    <m/>
    <m/>
    <m/>
    <m/>
    <m/>
    <n v="10000"/>
    <m/>
    <m/>
    <m/>
    <x v="6"/>
    <x v="1"/>
    <m/>
    <m/>
    <m/>
    <m/>
    <n v="2647"/>
    <m/>
    <m/>
    <m/>
    <m/>
    <m/>
    <m/>
    <m/>
    <m/>
    <m/>
    <m/>
    <m/>
    <s v="Maemi"/>
    <s v="Alcoa funds for re-stocking KNRC warehouse"/>
  </r>
  <r>
    <x v="0"/>
    <n v="112"/>
    <x v="116"/>
    <d v="2003-11-01T00:00:00"/>
    <x v="8"/>
    <n v="8"/>
    <m/>
    <x v="8"/>
    <n v="17"/>
    <x v="2"/>
    <s v="Dominican Republic"/>
    <m/>
    <x v="2"/>
    <s v="General Floods"/>
    <s v="General Floods"/>
    <m/>
    <x v="0"/>
    <m/>
    <x v="0"/>
    <m/>
    <x v="0"/>
    <m/>
    <m/>
    <m/>
    <m/>
    <m/>
    <m/>
    <m/>
    <m/>
    <m/>
    <m/>
    <m/>
    <n v="0"/>
    <n v="3"/>
    <s v="Relief ERU"/>
    <m/>
    <m/>
    <m/>
    <m/>
    <m/>
    <m/>
    <m/>
    <m/>
    <m/>
    <m/>
    <m/>
    <m/>
    <m/>
    <m/>
    <m/>
    <m/>
    <n v="50000"/>
    <m/>
    <n v="50000"/>
    <m/>
    <m/>
    <n v="500"/>
    <x v="16"/>
    <x v="1"/>
    <m/>
    <m/>
    <m/>
    <m/>
    <n v="2618"/>
    <m/>
    <m/>
    <m/>
    <m/>
    <m/>
    <m/>
    <m/>
    <m/>
    <m/>
    <m/>
    <m/>
    <s v="Cibao / Montecristi"/>
    <s v="$50,000 from OFDA; Greenhalgh, McAndrew and Chapman deployed in November 2003 on Relief ERU Pilot"/>
  </r>
  <r>
    <x v="0"/>
    <n v="112"/>
    <x v="116"/>
    <d v="2003-11-01T00:00:00"/>
    <x v="8"/>
    <n v="8"/>
    <m/>
    <x v="8"/>
    <n v="17"/>
    <x v="2"/>
    <s v="Dominican Republic"/>
    <m/>
    <x v="2"/>
    <s v="General Floods"/>
    <s v="General Floods"/>
    <m/>
    <x v="0"/>
    <m/>
    <x v="0"/>
    <m/>
    <x v="0"/>
    <m/>
    <m/>
    <m/>
    <m/>
    <m/>
    <m/>
    <m/>
    <m/>
    <m/>
    <m/>
    <m/>
    <n v="0"/>
    <m/>
    <m/>
    <m/>
    <m/>
    <m/>
    <m/>
    <m/>
    <m/>
    <m/>
    <m/>
    <m/>
    <m/>
    <m/>
    <m/>
    <m/>
    <m/>
    <m/>
    <m/>
    <m/>
    <m/>
    <n v="0"/>
    <m/>
    <m/>
    <m/>
    <x v="7"/>
    <x v="1"/>
    <m/>
    <m/>
    <m/>
    <m/>
    <n v="2694"/>
    <m/>
    <m/>
    <m/>
    <m/>
    <m/>
    <m/>
    <m/>
    <m/>
    <m/>
    <m/>
    <m/>
    <s v="Cibao / Montecristi"/>
    <s v="(AP is shared with October 2003 Earthquake in Puerto Plata)"/>
  </r>
  <r>
    <x v="0"/>
    <n v="113"/>
    <x v="117"/>
    <d v="2003-12-01T00:00:00"/>
    <x v="8"/>
    <n v="9"/>
    <m/>
    <x v="8"/>
    <n v="18"/>
    <x v="3"/>
    <s v="Iran"/>
    <m/>
    <x v="3"/>
    <s v="Earthquake"/>
    <s v="Earthquake"/>
    <m/>
    <x v="0"/>
    <m/>
    <x v="0"/>
    <m/>
    <x v="0"/>
    <m/>
    <m/>
    <m/>
    <m/>
    <m/>
    <m/>
    <n v="1"/>
    <n v="200000"/>
    <m/>
    <m/>
    <m/>
    <n v="200000"/>
    <n v="6"/>
    <s v="Relief ERU"/>
    <m/>
    <n v="115560"/>
    <m/>
    <n v="45000"/>
    <n v="27000"/>
    <m/>
    <m/>
    <n v="490"/>
    <m/>
    <m/>
    <m/>
    <m/>
    <m/>
    <m/>
    <m/>
    <m/>
    <n v="825763"/>
    <n v="150038.97999999998"/>
    <n v="1175801.98"/>
    <m/>
    <m/>
    <n v="225000"/>
    <x v="77"/>
    <x v="1"/>
    <m/>
    <m/>
    <m/>
    <m/>
    <n v="2019"/>
    <m/>
    <m/>
    <m/>
    <m/>
    <m/>
    <m/>
    <m/>
    <m/>
    <m/>
    <m/>
    <m/>
    <s v="Bam"/>
    <s v="Relief ERU deployed: McAndrew (TL), Stephenson, Stops, Parry, Strater &amp; Swadzka.  $200,000 PMN sent to Federation; Commodities provide: 10,000 towels and 20,000 nail clippers"/>
  </r>
  <r>
    <x v="0"/>
    <n v="113"/>
    <x v="117"/>
    <d v="2003-12-01T00:00:00"/>
    <x v="8"/>
    <n v="9"/>
    <m/>
    <x v="8"/>
    <n v="18"/>
    <x v="3"/>
    <s v="Iran"/>
    <m/>
    <x v="3"/>
    <s v="Earthquake"/>
    <s v="Earthquake"/>
    <m/>
    <x v="0"/>
    <m/>
    <x v="0"/>
    <m/>
    <x v="0"/>
    <m/>
    <m/>
    <m/>
    <m/>
    <m/>
    <m/>
    <m/>
    <m/>
    <m/>
    <m/>
    <m/>
    <n v="0"/>
    <m/>
    <m/>
    <m/>
    <n v="11"/>
    <m/>
    <m/>
    <m/>
    <m/>
    <m/>
    <n v="11"/>
    <m/>
    <m/>
    <m/>
    <m/>
    <m/>
    <m/>
    <m/>
    <m/>
    <n v="19975"/>
    <m/>
    <n v="19975"/>
    <m/>
    <m/>
    <n v="440"/>
    <x v="78"/>
    <x v="1"/>
    <m/>
    <m/>
    <m/>
    <m/>
    <n v="2616"/>
    <m/>
    <m/>
    <m/>
    <m/>
    <m/>
    <m/>
    <m/>
    <m/>
    <m/>
    <m/>
    <m/>
    <s v="Bam"/>
    <s v="Grant from Reuters / AlertNet"/>
  </r>
  <r>
    <x v="0"/>
    <n v="113"/>
    <x v="117"/>
    <d v="2003-12-01T00:00:00"/>
    <x v="8"/>
    <n v="9"/>
    <m/>
    <x v="8"/>
    <n v="18"/>
    <x v="3"/>
    <s v="Iran"/>
    <m/>
    <x v="3"/>
    <s v="Earthquake"/>
    <s v="Earthquake"/>
    <m/>
    <x v="0"/>
    <m/>
    <x v="0"/>
    <m/>
    <x v="0"/>
    <m/>
    <m/>
    <m/>
    <m/>
    <m/>
    <m/>
    <m/>
    <m/>
    <m/>
    <m/>
    <m/>
    <n v="0"/>
    <m/>
    <m/>
    <m/>
    <m/>
    <m/>
    <m/>
    <m/>
    <m/>
    <m/>
    <m/>
    <m/>
    <m/>
    <m/>
    <m/>
    <m/>
    <m/>
    <m/>
    <m/>
    <n v="60000"/>
    <m/>
    <n v="60000"/>
    <m/>
    <m/>
    <m/>
    <x v="45"/>
    <x v="1"/>
    <m/>
    <m/>
    <m/>
    <m/>
    <n v="2793"/>
    <m/>
    <m/>
    <m/>
    <m/>
    <m/>
    <m/>
    <m/>
    <m/>
    <m/>
    <m/>
    <m/>
    <s v="Bam"/>
    <s v="Grant from Semnani Foundation."/>
  </r>
  <r>
    <x v="0"/>
    <n v="114"/>
    <x v="118"/>
    <d v="2003-12-01T00:00:00"/>
    <x v="8"/>
    <n v="10"/>
    <m/>
    <x v="8"/>
    <n v="19"/>
    <x v="2"/>
    <s v="Panama"/>
    <m/>
    <x v="3"/>
    <s v="Earthquake"/>
    <s v="Earthquake"/>
    <m/>
    <x v="0"/>
    <m/>
    <x v="0"/>
    <m/>
    <x v="0"/>
    <m/>
    <m/>
    <m/>
    <m/>
    <m/>
    <m/>
    <m/>
    <m/>
    <m/>
    <m/>
    <m/>
    <n v="0"/>
    <m/>
    <m/>
    <m/>
    <n v="2300"/>
    <m/>
    <m/>
    <n v="1000"/>
    <m/>
    <m/>
    <m/>
    <m/>
    <n v="1100"/>
    <m/>
    <m/>
    <m/>
    <m/>
    <m/>
    <m/>
    <n v="6178"/>
    <m/>
    <n v="6178"/>
    <m/>
    <m/>
    <n v="550"/>
    <x v="79"/>
    <x v="1"/>
    <m/>
    <m/>
    <m/>
    <m/>
    <n v="2898"/>
    <m/>
    <m/>
    <m/>
    <m/>
    <m/>
    <m/>
    <m/>
    <m/>
    <m/>
    <m/>
    <m/>
    <m/>
    <s v="Supplies to Panama RC"/>
  </r>
  <r>
    <x v="0"/>
    <n v="115"/>
    <x v="119"/>
    <d v="2004-04-01T00:00:00"/>
    <x v="8"/>
    <n v="11"/>
    <m/>
    <x v="9"/>
    <n v="1"/>
    <x v="3"/>
    <s v="DPRK/North Korea"/>
    <m/>
    <x v="9"/>
    <s v="Rail"/>
    <s v="Explosion"/>
    <m/>
    <x v="0"/>
    <m/>
    <x v="0"/>
    <m/>
    <x v="0"/>
    <m/>
    <m/>
    <m/>
    <m/>
    <m/>
    <m/>
    <n v="1"/>
    <n v="110000"/>
    <m/>
    <m/>
    <m/>
    <n v="110000"/>
    <m/>
    <m/>
    <m/>
    <m/>
    <m/>
    <m/>
    <m/>
    <m/>
    <m/>
    <m/>
    <m/>
    <m/>
    <m/>
    <m/>
    <m/>
    <m/>
    <m/>
    <m/>
    <m/>
    <m/>
    <n v="110000"/>
    <m/>
    <m/>
    <n v="3300"/>
    <x v="80"/>
    <x v="1"/>
    <m/>
    <m/>
    <m/>
    <m/>
    <s v="2861 / 2790"/>
    <m/>
    <m/>
    <m/>
    <m/>
    <m/>
    <m/>
    <m/>
    <m/>
    <m/>
    <m/>
    <m/>
    <s v="Ryongchon"/>
    <s v="CASH: $10,000  from 2861 funds from Asia Region ; $100,000 from OFDA / 2790;"/>
  </r>
  <r>
    <x v="0"/>
    <n v="116"/>
    <x v="116"/>
    <d v="2004-05-01T00:00:00"/>
    <x v="8"/>
    <n v="12"/>
    <m/>
    <x v="9"/>
    <n v="2"/>
    <x v="2"/>
    <s v="Dominican Republic"/>
    <m/>
    <x v="2"/>
    <s v="General Floods"/>
    <s v="General Floods"/>
    <m/>
    <x v="0"/>
    <m/>
    <x v="0"/>
    <m/>
    <x v="0"/>
    <m/>
    <m/>
    <m/>
    <m/>
    <m/>
    <m/>
    <m/>
    <m/>
    <m/>
    <m/>
    <m/>
    <n v="0"/>
    <n v="1"/>
    <m/>
    <m/>
    <n v="10930"/>
    <m/>
    <m/>
    <m/>
    <n v="2350"/>
    <m/>
    <n v="150"/>
    <m/>
    <n v="5000"/>
    <m/>
    <m/>
    <n v="1000"/>
    <m/>
    <m/>
    <m/>
    <n v="205334.81245"/>
    <n v="14800"/>
    <n v="220134.81245"/>
    <m/>
    <m/>
    <n v="2500"/>
    <x v="81"/>
    <x v="1"/>
    <m/>
    <m/>
    <m/>
    <m/>
    <n v="2694"/>
    <m/>
    <m/>
    <m/>
    <m/>
    <m/>
    <m/>
    <m/>
    <m/>
    <m/>
    <m/>
    <m/>
    <s v="Jimani &amp; Duarte"/>
    <s v="Nate Cooper deployed to DR with PADRU; stocks deployed ($74,526.50) from PADRU includes 2,430 school kits; $89,000 worth of generators"/>
  </r>
  <r>
    <x v="0"/>
    <n v="116"/>
    <x v="120"/>
    <d v="2004-05-01T00:00:00"/>
    <x v="8"/>
    <n v="12"/>
    <m/>
    <x v="9"/>
    <n v="2"/>
    <x v="2"/>
    <s v="Haiti"/>
    <m/>
    <x v="2"/>
    <s v="General Floods"/>
    <s v="General Floods"/>
    <m/>
    <x v="0"/>
    <m/>
    <x v="0"/>
    <m/>
    <x v="0"/>
    <m/>
    <m/>
    <m/>
    <m/>
    <m/>
    <m/>
    <n v="0"/>
    <n v="20007"/>
    <m/>
    <m/>
    <m/>
    <n v="20007"/>
    <m/>
    <m/>
    <m/>
    <m/>
    <m/>
    <m/>
    <m/>
    <m/>
    <m/>
    <m/>
    <m/>
    <m/>
    <m/>
    <m/>
    <m/>
    <n v="2"/>
    <m/>
    <m/>
    <n v="16885.856"/>
    <n v="7665"/>
    <n v="44557.856"/>
    <m/>
    <m/>
    <n v="3000"/>
    <x v="82"/>
    <x v="1"/>
    <m/>
    <m/>
    <m/>
    <m/>
    <n v="2614"/>
    <m/>
    <m/>
    <m/>
    <m/>
    <m/>
    <m/>
    <m/>
    <m/>
    <m/>
    <m/>
    <m/>
    <s v="Eastern"/>
    <s v="PMN 0407052 ($18,000 + PSR) dated 7 July 2004; rental of two vehicles to be used in Haiti for 3 months each"/>
  </r>
  <r>
    <x v="0"/>
    <n v="116"/>
    <x v="121"/>
    <d v="2004-05-01T00:00:00"/>
    <x v="8"/>
    <n v="13"/>
    <m/>
    <x v="9"/>
    <n v="3"/>
    <x v="1"/>
    <s v="Malawi"/>
    <m/>
    <x v="11"/>
    <s v="Viral"/>
    <s v="Viral"/>
    <m/>
    <x v="0"/>
    <m/>
    <x v="0"/>
    <m/>
    <x v="0"/>
    <m/>
    <m/>
    <m/>
    <m/>
    <m/>
    <m/>
    <m/>
    <m/>
    <m/>
    <m/>
    <m/>
    <n v="0"/>
    <m/>
    <m/>
    <m/>
    <n v="12380"/>
    <m/>
    <m/>
    <m/>
    <m/>
    <m/>
    <m/>
    <m/>
    <n v="12360"/>
    <m/>
    <m/>
    <n v="20"/>
    <m/>
    <m/>
    <m/>
    <n v="61220"/>
    <m/>
    <n v="61220"/>
    <m/>
    <m/>
    <n v="6180"/>
    <x v="83"/>
    <x v="1"/>
    <m/>
    <m/>
    <m/>
    <m/>
    <n v="2898"/>
    <m/>
    <m/>
    <m/>
    <m/>
    <m/>
    <m/>
    <m/>
    <m/>
    <m/>
    <m/>
    <m/>
    <s v="HIV/AIDS - Home Care"/>
    <s v="ex London"/>
  </r>
  <r>
    <x v="0"/>
    <n v="116"/>
    <x v="116"/>
    <d v="2004-07-01T00:00:00"/>
    <x v="8"/>
    <n v="12"/>
    <m/>
    <x v="9"/>
    <n v="2"/>
    <x v="2"/>
    <s v="Dominican Republic"/>
    <m/>
    <x v="2"/>
    <s v="General Floods"/>
    <s v="General Floods"/>
    <m/>
    <x v="0"/>
    <m/>
    <x v="0"/>
    <m/>
    <x v="0"/>
    <m/>
    <m/>
    <m/>
    <m/>
    <m/>
    <m/>
    <m/>
    <m/>
    <m/>
    <m/>
    <m/>
    <n v="0"/>
    <n v="1"/>
    <m/>
    <m/>
    <m/>
    <m/>
    <m/>
    <m/>
    <m/>
    <m/>
    <m/>
    <m/>
    <m/>
    <m/>
    <m/>
    <m/>
    <m/>
    <m/>
    <m/>
    <n v="110266.26"/>
    <m/>
    <n v="110266.26"/>
    <m/>
    <m/>
    <n v="2500"/>
    <x v="84"/>
    <x v="1"/>
    <m/>
    <m/>
    <m/>
    <m/>
    <n v="2788"/>
    <m/>
    <m/>
    <m/>
    <m/>
    <m/>
    <m/>
    <m/>
    <m/>
    <m/>
    <m/>
    <m/>
    <s v="Jimani &amp; Duarte"/>
    <s v="Ricardo Caivano - Gates Foundation funds ($233,780 - 11.15% = $207,713.53 available - - 60% for DR)"/>
  </r>
  <r>
    <x v="0"/>
    <n v="116"/>
    <x v="120"/>
    <d v="2004-07-01T00:00:00"/>
    <x v="8"/>
    <n v="12"/>
    <m/>
    <x v="9"/>
    <n v="2"/>
    <x v="2"/>
    <s v="Haiti"/>
    <m/>
    <x v="2"/>
    <s v="General Floods"/>
    <s v="General Floods"/>
    <m/>
    <x v="0"/>
    <m/>
    <x v="0"/>
    <m/>
    <x v="0"/>
    <m/>
    <m/>
    <m/>
    <m/>
    <m/>
    <m/>
    <m/>
    <m/>
    <m/>
    <m/>
    <m/>
    <n v="0"/>
    <m/>
    <m/>
    <m/>
    <m/>
    <m/>
    <m/>
    <m/>
    <m/>
    <m/>
    <m/>
    <m/>
    <m/>
    <m/>
    <m/>
    <m/>
    <m/>
    <m/>
    <m/>
    <n v="97442.48"/>
    <m/>
    <n v="97442.48"/>
    <m/>
    <m/>
    <n v="3000"/>
    <x v="85"/>
    <x v="1"/>
    <m/>
    <m/>
    <m/>
    <m/>
    <n v="2788"/>
    <m/>
    <m/>
    <m/>
    <m/>
    <m/>
    <m/>
    <m/>
    <m/>
    <m/>
    <m/>
    <m/>
    <s v="Eastern"/>
    <s v="Ricardo Caivano - Gates Foundation funds ($233,780 - 11.15% = $207,713.53 available - - 40% for Haiti)"/>
  </r>
  <r>
    <x v="0"/>
    <n v="117"/>
    <x v="122"/>
    <d v="2004-05-01T00:00:00"/>
    <x v="8"/>
    <n v="14"/>
    <m/>
    <x v="9"/>
    <n v="4"/>
    <x v="2"/>
    <s v="Jamaica"/>
    <m/>
    <x v="8"/>
    <s v="Conflict"/>
    <s v="Conflict"/>
    <m/>
    <x v="0"/>
    <m/>
    <x v="0"/>
    <m/>
    <x v="0"/>
    <m/>
    <m/>
    <m/>
    <m/>
    <m/>
    <m/>
    <m/>
    <m/>
    <m/>
    <m/>
    <m/>
    <n v="0"/>
    <n v="0"/>
    <m/>
    <m/>
    <n v="1000"/>
    <m/>
    <n v="500"/>
    <m/>
    <m/>
    <m/>
    <m/>
    <m/>
    <n v="500"/>
    <m/>
    <m/>
    <m/>
    <m/>
    <m/>
    <m/>
    <n v="3000"/>
    <m/>
    <n v="3000"/>
    <m/>
    <m/>
    <n v="500"/>
    <x v="86"/>
    <x v="1"/>
    <m/>
    <m/>
    <m/>
    <m/>
    <n v="2898"/>
    <m/>
    <m/>
    <m/>
    <m/>
    <m/>
    <m/>
    <m/>
    <m/>
    <m/>
    <m/>
    <m/>
    <s v="Haiti - Refugee"/>
    <s v="PADRU stocks"/>
  </r>
  <r>
    <x v="0"/>
    <n v="119"/>
    <x v="123"/>
    <d v="2004-08-01T00:00:00"/>
    <x v="9"/>
    <n v="1"/>
    <m/>
    <x v="9"/>
    <n v="5"/>
    <x v="2"/>
    <s v="Paraguay"/>
    <m/>
    <x v="10"/>
    <s v="Fire"/>
    <s v="Urban Fire"/>
    <m/>
    <x v="0"/>
    <m/>
    <x v="0"/>
    <m/>
    <x v="0"/>
    <m/>
    <m/>
    <m/>
    <m/>
    <m/>
    <m/>
    <m/>
    <m/>
    <m/>
    <n v="18675"/>
    <m/>
    <n v="18675"/>
    <m/>
    <m/>
    <m/>
    <m/>
    <m/>
    <m/>
    <m/>
    <m/>
    <m/>
    <m/>
    <m/>
    <m/>
    <m/>
    <m/>
    <m/>
    <m/>
    <m/>
    <m/>
    <m/>
    <m/>
    <n v="18675"/>
    <m/>
    <m/>
    <m/>
    <x v="87"/>
    <x v="1"/>
    <m/>
    <m/>
    <m/>
    <m/>
    <n v="2816"/>
    <m/>
    <m/>
    <m/>
    <m/>
    <m/>
    <m/>
    <m/>
    <m/>
    <m/>
    <m/>
    <m/>
    <s v="Asuncion Supermarket"/>
    <s v="World Bank Employees; money arrived Oct 2004"/>
  </r>
  <r>
    <x v="0"/>
    <n v="120"/>
    <x v="124"/>
    <d v="2004-08-01T00:00:00"/>
    <x v="9"/>
    <n v="2"/>
    <m/>
    <x v="9"/>
    <n v="6"/>
    <x v="1"/>
    <s v="Chad"/>
    <m/>
    <x v="8"/>
    <s v="Conflict"/>
    <s v="Conflict"/>
    <m/>
    <x v="0"/>
    <m/>
    <x v="0"/>
    <m/>
    <x v="0"/>
    <m/>
    <m/>
    <m/>
    <m/>
    <m/>
    <m/>
    <n v="1"/>
    <n v="100000"/>
    <m/>
    <m/>
    <m/>
    <n v="100000"/>
    <m/>
    <m/>
    <m/>
    <m/>
    <m/>
    <m/>
    <m/>
    <m/>
    <m/>
    <m/>
    <m/>
    <m/>
    <m/>
    <m/>
    <m/>
    <m/>
    <m/>
    <m/>
    <m/>
    <m/>
    <n v="100000"/>
    <m/>
    <m/>
    <m/>
    <x v="5"/>
    <x v="1"/>
    <m/>
    <m/>
    <m/>
    <m/>
    <n v="9306"/>
    <m/>
    <m/>
    <m/>
    <m/>
    <m/>
    <m/>
    <m/>
    <m/>
    <m/>
    <m/>
    <m/>
    <s v="Darfur / Sudan"/>
    <s v="PMN Contribution to support Fed Appeal - Chad: Sudanese Refugees (from LDS)"/>
  </r>
  <r>
    <x v="0"/>
    <n v="120"/>
    <x v="125"/>
    <d v="2004-08-01T00:00:00"/>
    <x v="9"/>
    <n v="2"/>
    <m/>
    <x v="9"/>
    <n v="6"/>
    <x v="1"/>
    <s v="Sudan"/>
    <m/>
    <x v="8"/>
    <s v="Conflict"/>
    <s v="Conflict"/>
    <m/>
    <x v="0"/>
    <m/>
    <x v="0"/>
    <m/>
    <x v="0"/>
    <m/>
    <m/>
    <m/>
    <m/>
    <m/>
    <m/>
    <m/>
    <m/>
    <n v="242000"/>
    <m/>
    <m/>
    <n v="242000"/>
    <n v="1"/>
    <m/>
    <m/>
    <m/>
    <m/>
    <m/>
    <m/>
    <m/>
    <m/>
    <m/>
    <m/>
    <m/>
    <m/>
    <m/>
    <m/>
    <m/>
    <m/>
    <m/>
    <m/>
    <n v="5400"/>
    <n v="247400"/>
    <m/>
    <m/>
    <m/>
    <x v="88"/>
    <x v="1"/>
    <m/>
    <m/>
    <m/>
    <m/>
    <n v="2802"/>
    <m/>
    <m/>
    <m/>
    <m/>
    <m/>
    <m/>
    <m/>
    <m/>
    <m/>
    <m/>
    <m/>
    <s v="Darfur / Sudan"/>
    <s v="1. 2004 - L. Greenhalgh seconded to Fed, expenses $5400 2. 2006 - Pledge to ICRC Sudan Appeal, $242,000"/>
  </r>
  <r>
    <x v="0"/>
    <n v="121"/>
    <x v="19"/>
    <d v="2004-08-01T00:00:00"/>
    <x v="9"/>
    <n v="3"/>
    <m/>
    <x v="9"/>
    <n v="7"/>
    <x v="3"/>
    <s v="Bangladesh"/>
    <m/>
    <x v="2"/>
    <s v="General Floods"/>
    <s v="General Floods"/>
    <m/>
    <x v="0"/>
    <m/>
    <x v="0"/>
    <m/>
    <x v="0"/>
    <m/>
    <m/>
    <m/>
    <m/>
    <m/>
    <m/>
    <n v="0"/>
    <n v="35975"/>
    <m/>
    <m/>
    <m/>
    <n v="35975"/>
    <m/>
    <m/>
    <m/>
    <m/>
    <m/>
    <m/>
    <m/>
    <m/>
    <m/>
    <m/>
    <m/>
    <m/>
    <m/>
    <m/>
    <m/>
    <m/>
    <m/>
    <m/>
    <m/>
    <m/>
    <n v="35975"/>
    <m/>
    <m/>
    <m/>
    <x v="89"/>
    <x v="1"/>
    <m/>
    <m/>
    <m/>
    <m/>
    <n v="2017"/>
    <m/>
    <m/>
    <m/>
    <m/>
    <m/>
    <m/>
    <m/>
    <m/>
    <m/>
    <m/>
    <m/>
    <s v="Country-wide"/>
    <s v="PMN: $15,975 from Citigroup and $20,000 from AMEX"/>
  </r>
  <r>
    <x v="0"/>
    <n v="122"/>
    <x v="126"/>
    <d v="2004-08-01T00:00:00"/>
    <x v="9"/>
    <n v="4"/>
    <m/>
    <x v="9"/>
    <n v="8"/>
    <x v="3"/>
    <s v="Taiwan"/>
    <m/>
    <x v="5"/>
    <s v="Tropical Cyclone"/>
    <s v="Typhoon"/>
    <m/>
    <x v="0"/>
    <m/>
    <x v="0"/>
    <m/>
    <x v="0"/>
    <m/>
    <m/>
    <m/>
    <m/>
    <m/>
    <m/>
    <m/>
    <m/>
    <m/>
    <n v="59896.536212325685"/>
    <m/>
    <n v="59896.536212325685"/>
    <m/>
    <m/>
    <m/>
    <m/>
    <m/>
    <m/>
    <m/>
    <m/>
    <m/>
    <m/>
    <m/>
    <m/>
    <m/>
    <m/>
    <m/>
    <m/>
    <m/>
    <m/>
    <m/>
    <m/>
    <n v="59896.536212325685"/>
    <m/>
    <m/>
    <m/>
    <x v="90"/>
    <x v="1"/>
    <m/>
    <m/>
    <m/>
    <m/>
    <n v="2824"/>
    <m/>
    <m/>
    <m/>
    <m/>
    <m/>
    <m/>
    <m/>
    <m/>
    <m/>
    <m/>
    <m/>
    <s v="Mindulle"/>
    <s v="Pass through from Intel ($50,000), Synopsys Community Foundation ($10,000 - 11.15%) and San Gabriel Valley Chapter ($1,000 - 11.15%)"/>
  </r>
  <r>
    <x v="0"/>
    <n v="123"/>
    <x v="25"/>
    <d v="2004-09-01T00:00:00"/>
    <x v="9"/>
    <n v="5"/>
    <m/>
    <x v="9"/>
    <n v="9"/>
    <x v="2"/>
    <s v="Grenada"/>
    <m/>
    <x v="5"/>
    <s v="Tropical Cyclone"/>
    <s v="Hurricane"/>
    <m/>
    <x v="0"/>
    <m/>
    <x v="0"/>
    <m/>
    <x v="0"/>
    <m/>
    <m/>
    <m/>
    <m/>
    <m/>
    <m/>
    <n v="1"/>
    <n v="300000"/>
    <m/>
    <m/>
    <m/>
    <n v="300000"/>
    <n v="2"/>
    <m/>
    <m/>
    <n v="486"/>
    <m/>
    <m/>
    <m/>
    <n v="481"/>
    <m/>
    <n v="5"/>
    <m/>
    <m/>
    <m/>
    <m/>
    <m/>
    <m/>
    <m/>
    <m/>
    <n v="2452.19"/>
    <m/>
    <n v="302452.19"/>
    <m/>
    <m/>
    <m/>
    <x v="91"/>
    <x v="1"/>
    <m/>
    <m/>
    <m/>
    <m/>
    <n v="2024"/>
    <m/>
    <m/>
    <m/>
    <m/>
    <m/>
    <m/>
    <m/>
    <m/>
    <m/>
    <m/>
    <m/>
    <s v="Ivan"/>
    <s v="PMN - March 05; N. Cooper deployed to Grenada and Bahamas w/ PADRU; T. Reines deployed to Grenada.  5 Tents @ $299 each; Jerry Cans @ $1.99 each"/>
  </r>
  <r>
    <x v="0"/>
    <n v="123"/>
    <x v="73"/>
    <d v="2004-09-01T00:00:00"/>
    <x v="9"/>
    <n v="5"/>
    <m/>
    <x v="9"/>
    <n v="9"/>
    <x v="2"/>
    <s v="Jamaica"/>
    <m/>
    <x v="5"/>
    <s v="Tropical Cyclone"/>
    <s v="Hurricane"/>
    <m/>
    <x v="0"/>
    <m/>
    <x v="0"/>
    <m/>
    <x v="0"/>
    <m/>
    <m/>
    <m/>
    <m/>
    <m/>
    <m/>
    <n v="1"/>
    <n v="100000"/>
    <m/>
    <m/>
    <m/>
    <n v="100000"/>
    <n v="1"/>
    <m/>
    <m/>
    <n v="7314"/>
    <m/>
    <m/>
    <n v="5000"/>
    <n v="802"/>
    <m/>
    <m/>
    <m/>
    <m/>
    <m/>
    <m/>
    <n v="1105"/>
    <m/>
    <m/>
    <m/>
    <n v="31046.879999999997"/>
    <m/>
    <n v="131046.88"/>
    <m/>
    <m/>
    <m/>
    <x v="92"/>
    <x v="1"/>
    <m/>
    <m/>
    <m/>
    <m/>
    <n v="2024"/>
    <m/>
    <m/>
    <m/>
    <m/>
    <m/>
    <m/>
    <m/>
    <m/>
    <m/>
    <m/>
    <m/>
    <s v="Ivan"/>
    <s v="PMN - March 05; M. Parry deployed with FACT; Jerry Cans @ $1.99 each, blankets @ $3.03 each, 407 flashlights @ $1.20 each,  tarpaulins @ $12.50 each"/>
  </r>
  <r>
    <x v="0"/>
    <n v="123"/>
    <x v="127"/>
    <d v="2004-09-01T00:00:00"/>
    <x v="9"/>
    <n v="5"/>
    <m/>
    <x v="9"/>
    <n v="9"/>
    <x v="2"/>
    <s v="Cayman Islands"/>
    <m/>
    <x v="5"/>
    <s v="Tropical Cyclone"/>
    <s v="Hurricane"/>
    <m/>
    <x v="0"/>
    <m/>
    <x v="0"/>
    <m/>
    <x v="0"/>
    <m/>
    <m/>
    <m/>
    <m/>
    <m/>
    <m/>
    <n v="1"/>
    <n v="100000"/>
    <m/>
    <m/>
    <m/>
    <n v="100000"/>
    <n v="1"/>
    <m/>
    <m/>
    <n v="2346"/>
    <m/>
    <n v="1000"/>
    <m/>
    <n v="321"/>
    <m/>
    <n v="25"/>
    <m/>
    <m/>
    <m/>
    <m/>
    <m/>
    <m/>
    <m/>
    <m/>
    <n v="12853.79"/>
    <m/>
    <n v="112853.79000000001"/>
    <m/>
    <m/>
    <m/>
    <x v="93"/>
    <x v="1"/>
    <m/>
    <m/>
    <m/>
    <m/>
    <n v="2024"/>
    <m/>
    <m/>
    <m/>
    <m/>
    <m/>
    <m/>
    <m/>
    <m/>
    <m/>
    <m/>
    <m/>
    <s v="Ivan"/>
    <s v="PMN - March 05; tents @ $299 each; Jerrry Cans @$1.99 each; 1,000 flashlights @ $1.20 each; Hygiene Kits @ $3.54 loaned to British Red Cross"/>
  </r>
  <r>
    <x v="0"/>
    <n v="123"/>
    <x v="13"/>
    <d v="2004-09-01T00:00:00"/>
    <x v="9"/>
    <n v="5"/>
    <m/>
    <x v="9"/>
    <n v="9"/>
    <x v="2"/>
    <s v="Bahamas "/>
    <m/>
    <x v="5"/>
    <s v="Tropical Cyclone"/>
    <s v="Hurricane"/>
    <m/>
    <x v="0"/>
    <m/>
    <x v="0"/>
    <m/>
    <x v="0"/>
    <m/>
    <m/>
    <m/>
    <m/>
    <m/>
    <m/>
    <n v="1"/>
    <n v="100000"/>
    <m/>
    <m/>
    <m/>
    <n v="100000"/>
    <n v="4"/>
    <m/>
    <m/>
    <m/>
    <m/>
    <m/>
    <m/>
    <m/>
    <m/>
    <m/>
    <m/>
    <m/>
    <m/>
    <m/>
    <m/>
    <m/>
    <m/>
    <m/>
    <m/>
    <m/>
    <n v="100000"/>
    <m/>
    <m/>
    <m/>
    <x v="5"/>
    <x v="1"/>
    <m/>
    <m/>
    <m/>
    <m/>
    <n v="2024"/>
    <m/>
    <m/>
    <m/>
    <m/>
    <m/>
    <m/>
    <m/>
    <m/>
    <m/>
    <m/>
    <m/>
    <s v="Ivan"/>
    <s v="PMN - Jan 05; C. Garrison, S. Schaefer deployed 1 month; N. Cooper deployed several times"/>
  </r>
  <r>
    <x v="0"/>
    <n v="124"/>
    <x v="120"/>
    <d v="2004-09-01T00:00:00"/>
    <x v="9"/>
    <n v="6"/>
    <m/>
    <x v="9"/>
    <n v="10"/>
    <x v="2"/>
    <s v="Haiti"/>
    <m/>
    <x v="2"/>
    <s v="Storm Surge"/>
    <s v="Storm Surge"/>
    <m/>
    <x v="0"/>
    <m/>
    <x v="0"/>
    <m/>
    <x v="0"/>
    <m/>
    <m/>
    <m/>
    <m/>
    <m/>
    <m/>
    <n v="1"/>
    <n v="400000"/>
    <m/>
    <m/>
    <m/>
    <n v="400000"/>
    <n v="1"/>
    <m/>
    <m/>
    <n v="110"/>
    <m/>
    <m/>
    <m/>
    <m/>
    <m/>
    <m/>
    <m/>
    <m/>
    <m/>
    <m/>
    <n v="110"/>
    <m/>
    <m/>
    <m/>
    <n v="1375"/>
    <m/>
    <n v="401375"/>
    <m/>
    <m/>
    <m/>
    <x v="94"/>
    <x v="1"/>
    <m/>
    <m/>
    <m/>
    <m/>
    <n v="2614"/>
    <m/>
    <m/>
    <m/>
    <m/>
    <m/>
    <m/>
    <m/>
    <m/>
    <m/>
    <m/>
    <m/>
    <s v="TS Jeanne"/>
    <s v="Brigitte Gallis deployed; tarpaulins @ $12.50 each; PMN 400K out of AP 2024 Jan 05"/>
  </r>
  <r>
    <x v="0"/>
    <n v="125"/>
    <x v="7"/>
    <d v="2004-11-01T00:00:00"/>
    <x v="9"/>
    <n v="7"/>
    <m/>
    <x v="9"/>
    <n v="11"/>
    <x v="2"/>
    <s v="Costa Rica"/>
    <m/>
    <x v="2"/>
    <s v="General Floods"/>
    <s v="General Floods"/>
    <m/>
    <x v="0"/>
    <m/>
    <x v="0"/>
    <m/>
    <x v="0"/>
    <m/>
    <m/>
    <m/>
    <m/>
    <m/>
    <m/>
    <m/>
    <m/>
    <m/>
    <m/>
    <m/>
    <n v="0"/>
    <m/>
    <m/>
    <m/>
    <n v="750"/>
    <m/>
    <n v="750"/>
    <m/>
    <m/>
    <m/>
    <m/>
    <m/>
    <m/>
    <m/>
    <m/>
    <m/>
    <m/>
    <m/>
    <m/>
    <n v="2655"/>
    <m/>
    <n v="2655"/>
    <m/>
    <m/>
    <m/>
    <x v="95"/>
    <x v="1"/>
    <m/>
    <m/>
    <m/>
    <m/>
    <n v="2898"/>
    <m/>
    <m/>
    <m/>
    <m/>
    <m/>
    <m/>
    <m/>
    <m/>
    <m/>
    <m/>
    <m/>
    <m/>
    <s v="from PADRU @ $3.54 each"/>
  </r>
  <r>
    <x v="0"/>
    <n v="126"/>
    <x v="80"/>
    <d v="2004-12-01T00:00:00"/>
    <x v="9"/>
    <n v="8"/>
    <m/>
    <x v="9"/>
    <n v="12"/>
    <x v="2"/>
    <s v="Panama"/>
    <s v="Hydrometerological"/>
    <x v="2"/>
    <s v="General Floods"/>
    <s v="General Floods"/>
    <m/>
    <x v="0"/>
    <m/>
    <x v="0"/>
    <m/>
    <x v="0"/>
    <m/>
    <m/>
    <m/>
    <m/>
    <m/>
    <m/>
    <m/>
    <m/>
    <m/>
    <m/>
    <m/>
    <n v="0"/>
    <m/>
    <m/>
    <m/>
    <m/>
    <m/>
    <m/>
    <m/>
    <m/>
    <m/>
    <m/>
    <m/>
    <m/>
    <m/>
    <m/>
    <m/>
    <m/>
    <m/>
    <m/>
    <m/>
    <m/>
    <n v="0"/>
    <m/>
    <m/>
    <m/>
    <x v="7"/>
    <x v="1"/>
    <m/>
    <m/>
    <m/>
    <m/>
    <n v="2898"/>
    <m/>
    <m/>
    <m/>
    <m/>
    <m/>
    <m/>
    <m/>
    <m/>
    <m/>
    <m/>
    <m/>
    <s v="Darien"/>
    <s v="CANCELLED: 100 cases of laundry soap (5,000 bars = $7,200) and 5,000 bars of bath soap ($1,475)"/>
  </r>
  <r>
    <x v="0"/>
    <n v="127"/>
    <x v="128"/>
    <d v="2004-12-01T00:00:00"/>
    <x v="9"/>
    <n v="9"/>
    <m/>
    <x v="9"/>
    <n v="13"/>
    <x v="3"/>
    <s v="Sri Lanka"/>
    <s v="Hydrometerological"/>
    <x v="16"/>
    <s v="Tsunami"/>
    <s v="Tsunami"/>
    <m/>
    <x v="0"/>
    <m/>
    <x v="0"/>
    <m/>
    <x v="0"/>
    <m/>
    <m/>
    <m/>
    <m/>
    <m/>
    <m/>
    <n v="1"/>
    <n v="1837066.6666666667"/>
    <m/>
    <m/>
    <m/>
    <n v="1837066.6666666667"/>
    <n v="17"/>
    <s v="Relief ERU"/>
    <m/>
    <m/>
    <m/>
    <m/>
    <m/>
    <m/>
    <m/>
    <m/>
    <m/>
    <m/>
    <m/>
    <m/>
    <m/>
    <m/>
    <m/>
    <m/>
    <n v="2011842.8599999999"/>
    <n v="100000000"/>
    <n v="103848909.52666667"/>
    <m/>
    <m/>
    <m/>
    <x v="96"/>
    <x v="1"/>
    <m/>
    <m/>
    <m/>
    <m/>
    <n v="2695"/>
    <m/>
    <m/>
    <m/>
    <m/>
    <m/>
    <m/>
    <m/>
    <m/>
    <m/>
    <m/>
    <m/>
    <s v="S &amp; E Provinces"/>
    <s v="Parry, Ragan, Courville, Matthews, Caivano, Blake, Garrison, Szwadzka, Hurd, Chinn, Gaver, Brien, Reines, Thornton, Cummings, deployed with Relief ERU. Stephenson and Cooper deployed with British RC; Hagos deployed for 2 weeks in Feb 2005; L. Wilkinson (DP)   $5 million PMN sent to Federation for Appeal / 100K for emerg phase"/>
  </r>
  <r>
    <x v="0"/>
    <n v="127"/>
    <x v="129"/>
    <d v="2004-12-01T00:00:00"/>
    <x v="9"/>
    <n v="9"/>
    <m/>
    <x v="9"/>
    <n v="13"/>
    <x v="3"/>
    <s v="Indonesia"/>
    <s v="Hydrometerological"/>
    <x v="16"/>
    <s v="Tsunami"/>
    <s v="Tsunami"/>
    <m/>
    <x v="0"/>
    <m/>
    <x v="0"/>
    <m/>
    <x v="0"/>
    <m/>
    <m/>
    <m/>
    <m/>
    <m/>
    <m/>
    <n v="1"/>
    <n v="1666666.6666666667"/>
    <m/>
    <m/>
    <m/>
    <n v="1666666.6666666667"/>
    <n v="5"/>
    <s v="Relief ERU"/>
    <m/>
    <m/>
    <m/>
    <m/>
    <m/>
    <m/>
    <m/>
    <m/>
    <m/>
    <m/>
    <m/>
    <m/>
    <m/>
    <m/>
    <m/>
    <m/>
    <n v="2300506.4"/>
    <m/>
    <n v="3967173.0666666664"/>
    <m/>
    <m/>
    <m/>
    <x v="97"/>
    <x v="1"/>
    <m/>
    <m/>
    <m/>
    <m/>
    <n v="2695"/>
    <m/>
    <m/>
    <m/>
    <m/>
    <m/>
    <m/>
    <m/>
    <m/>
    <m/>
    <m/>
    <m/>
    <s v="N. Sumatra"/>
    <s v="O'Donnell, Michaud and Card deployed as w/ Relief ERU in Northern Sumatra; Greenhalgh on FACT.   $5 million PMN sent to Federation for Appeal; Caivano transferred from Sri Lanka to Indo; Karnes deployed as IRT (logs/ops) "/>
  </r>
  <r>
    <x v="0"/>
    <n v="127"/>
    <x v="130"/>
    <d v="2004-12-01T00:00:00"/>
    <x v="9"/>
    <n v="9"/>
    <m/>
    <x v="9"/>
    <n v="13"/>
    <x v="3"/>
    <s v="Maldives"/>
    <s v="Hydrometerological"/>
    <x v="16"/>
    <s v="Tsunami"/>
    <s v="Tsunami"/>
    <m/>
    <x v="0"/>
    <m/>
    <x v="0"/>
    <m/>
    <x v="0"/>
    <m/>
    <m/>
    <m/>
    <m/>
    <m/>
    <m/>
    <n v="1"/>
    <n v="1666666.6666666667"/>
    <m/>
    <m/>
    <m/>
    <n v="1666666.6666666667"/>
    <n v="2"/>
    <m/>
    <m/>
    <m/>
    <m/>
    <m/>
    <m/>
    <m/>
    <m/>
    <m/>
    <m/>
    <m/>
    <m/>
    <m/>
    <m/>
    <m/>
    <m/>
    <m/>
    <n v="155600"/>
    <m/>
    <n v="1822266.6666666667"/>
    <m/>
    <m/>
    <m/>
    <x v="98"/>
    <x v="1"/>
    <m/>
    <m/>
    <m/>
    <m/>
    <n v="2695"/>
    <m/>
    <m/>
    <m/>
    <m/>
    <m/>
    <m/>
    <m/>
    <m/>
    <m/>
    <m/>
    <m/>
    <s v="Country-wide"/>
    <s v="Hagos on FACT; $5 million PMN sent to Federation for Appeal; Gould wat/san IRT"/>
  </r>
  <r>
    <x v="0"/>
    <n v="128"/>
    <x v="131"/>
    <d v="2005-01-01T00:00:00"/>
    <x v="9"/>
    <n v="10"/>
    <m/>
    <x v="10"/>
    <n v="1"/>
    <x v="2"/>
    <s v="Guyana"/>
    <s v="Hydrometerological"/>
    <x v="2"/>
    <s v="General Floods"/>
    <s v="General Floods"/>
    <m/>
    <x v="0"/>
    <m/>
    <x v="0"/>
    <m/>
    <x v="0"/>
    <m/>
    <m/>
    <m/>
    <m/>
    <m/>
    <m/>
    <m/>
    <m/>
    <m/>
    <m/>
    <m/>
    <n v="0"/>
    <n v="2"/>
    <m/>
    <m/>
    <m/>
    <m/>
    <m/>
    <m/>
    <m/>
    <m/>
    <m/>
    <m/>
    <m/>
    <m/>
    <m/>
    <m/>
    <m/>
    <m/>
    <m/>
    <n v="10000"/>
    <n v="3100"/>
    <n v="13100"/>
    <m/>
    <m/>
    <m/>
    <x v="99"/>
    <x v="1"/>
    <m/>
    <m/>
    <m/>
    <m/>
    <n v="2774"/>
    <m/>
    <m/>
    <m/>
    <m/>
    <m/>
    <m/>
    <m/>
    <m/>
    <m/>
    <m/>
    <m/>
    <s v="Georgetown"/>
    <s v="Jim Gould and Jeffery Weiss deployed and purchased and shipped to the GRC $10,000 worth of individual and family First Aid Kits."/>
  </r>
  <r>
    <x v="0"/>
    <n v="129"/>
    <x v="132"/>
    <d v="2005-06-01T00:00:00"/>
    <x v="9"/>
    <n v="11"/>
    <m/>
    <x v="10"/>
    <n v="2"/>
    <x v="4"/>
    <s v="Canada"/>
    <s v="Hydrometerological"/>
    <x v="2"/>
    <s v="General Floods"/>
    <s v="General Floods"/>
    <m/>
    <x v="0"/>
    <m/>
    <x v="0"/>
    <m/>
    <x v="0"/>
    <m/>
    <m/>
    <m/>
    <m/>
    <m/>
    <m/>
    <m/>
    <m/>
    <m/>
    <n v="5000"/>
    <m/>
    <n v="5000"/>
    <m/>
    <m/>
    <m/>
    <m/>
    <m/>
    <m/>
    <m/>
    <m/>
    <m/>
    <m/>
    <m/>
    <m/>
    <m/>
    <m/>
    <m/>
    <m/>
    <m/>
    <m/>
    <m/>
    <m/>
    <n v="5000"/>
    <m/>
    <m/>
    <m/>
    <x v="46"/>
    <x v="1"/>
    <m/>
    <m/>
    <m/>
    <m/>
    <s v="N/A"/>
    <m/>
    <m/>
    <m/>
    <m/>
    <m/>
    <m/>
    <m/>
    <m/>
    <m/>
    <m/>
    <m/>
    <s v="Alberta Floods"/>
    <s v="Contribution from AmEx for the Alberta Floods (GID direct to CRC)."/>
  </r>
  <r>
    <x v="0"/>
    <n v="130"/>
    <x v="133"/>
    <d v="2005-07-01T00:00:00"/>
    <x v="10"/>
    <n v="1"/>
    <m/>
    <x v="10"/>
    <n v="3"/>
    <x v="2"/>
    <s v="Jamaica"/>
    <s v="Hydrometerological"/>
    <x v="5"/>
    <s v="Tropical Cyclone"/>
    <s v="Hurricane"/>
    <m/>
    <x v="1"/>
    <s v="IFRC"/>
    <x v="1"/>
    <s v="05EA14"/>
    <x v="0"/>
    <m/>
    <m/>
    <m/>
    <n v="35000"/>
    <m/>
    <m/>
    <n v="0"/>
    <n v="25000"/>
    <m/>
    <m/>
    <m/>
    <n v="25000"/>
    <m/>
    <m/>
    <m/>
    <n v="25"/>
    <m/>
    <m/>
    <m/>
    <m/>
    <m/>
    <n v="25"/>
    <m/>
    <m/>
    <m/>
    <m/>
    <m/>
    <m/>
    <m/>
    <m/>
    <n v="7475"/>
    <m/>
    <n v="32475"/>
    <m/>
    <m/>
    <n v="100"/>
    <x v="100"/>
    <x v="1"/>
    <m/>
    <m/>
    <m/>
    <m/>
    <n v="2024"/>
    <m/>
    <m/>
    <m/>
    <m/>
    <m/>
    <m/>
    <m/>
    <m/>
    <m/>
    <m/>
    <m/>
    <s v="Dennis / Emily"/>
    <s v="Ex PADRU"/>
  </r>
  <r>
    <x v="0"/>
    <n v="130"/>
    <x v="134"/>
    <d v="2005-07-01T00:00:00"/>
    <x v="10"/>
    <n v="1"/>
    <m/>
    <x v="10"/>
    <n v="3"/>
    <x v="2"/>
    <s v="Grenada"/>
    <s v="Hydrometerological"/>
    <x v="5"/>
    <s v="Tropical Cyclone"/>
    <s v="Hurricane"/>
    <m/>
    <x v="0"/>
    <m/>
    <x v="0"/>
    <m/>
    <x v="0"/>
    <m/>
    <m/>
    <m/>
    <m/>
    <m/>
    <m/>
    <n v="1"/>
    <n v="75000"/>
    <m/>
    <m/>
    <m/>
    <n v="75000"/>
    <m/>
    <m/>
    <m/>
    <m/>
    <m/>
    <m/>
    <m/>
    <m/>
    <m/>
    <m/>
    <m/>
    <m/>
    <m/>
    <m/>
    <m/>
    <m/>
    <m/>
    <m/>
    <m/>
    <m/>
    <n v="75000"/>
    <m/>
    <m/>
    <m/>
    <x v="56"/>
    <x v="1"/>
    <m/>
    <m/>
    <m/>
    <m/>
    <n v="2024"/>
    <m/>
    <m/>
    <m/>
    <m/>
    <m/>
    <m/>
    <m/>
    <m/>
    <m/>
    <m/>
    <m/>
    <s v="Dennis / Emily"/>
    <s v="$200,000 PMN sent: $100,000 to be divided between Jamaica and Grenada at Federation's discretion."/>
  </r>
  <r>
    <x v="0"/>
    <n v="130"/>
    <x v="135"/>
    <d v="2005-07-01T00:00:00"/>
    <x v="10"/>
    <n v="1"/>
    <m/>
    <x v="10"/>
    <n v="3"/>
    <x v="2"/>
    <s v="Haiti"/>
    <s v="Hydrometerological"/>
    <x v="5"/>
    <s v="Tropical Cyclone"/>
    <s v="Hurricane"/>
    <m/>
    <x v="0"/>
    <m/>
    <x v="0"/>
    <m/>
    <x v="0"/>
    <m/>
    <m/>
    <m/>
    <m/>
    <m/>
    <m/>
    <n v="1"/>
    <n v="100000"/>
    <m/>
    <m/>
    <m/>
    <n v="100000"/>
    <m/>
    <m/>
    <m/>
    <n v="9995"/>
    <m/>
    <m/>
    <m/>
    <m/>
    <m/>
    <m/>
    <m/>
    <m/>
    <m/>
    <m/>
    <m/>
    <m/>
    <m/>
    <m/>
    <n v="8693"/>
    <m/>
    <n v="108693"/>
    <m/>
    <m/>
    <m/>
    <x v="101"/>
    <x v="1"/>
    <m/>
    <m/>
    <m/>
    <m/>
    <n v="2614"/>
    <m/>
    <m/>
    <m/>
    <m/>
    <m/>
    <m/>
    <m/>
    <m/>
    <m/>
    <m/>
    <m/>
    <s v="Dennis / Emily"/>
    <s v="4,995 pcs laundry soap &amp; 5,000 pcs bath soap sent from PADRU; $200,000 PMN sent with $100,000 for Haiti"/>
  </r>
  <r>
    <x v="0"/>
    <n v="131"/>
    <x v="136"/>
    <d v="2005-07-01T00:00:00"/>
    <x v="10"/>
    <n v="2"/>
    <m/>
    <x v="10"/>
    <n v="4"/>
    <x v="1"/>
    <s v="Niger"/>
    <s v="Human Related"/>
    <x v="14"/>
    <s v="Food Insecurity"/>
    <s v="Food Insecurity"/>
    <m/>
    <x v="1"/>
    <s v="IFRC"/>
    <x v="2"/>
    <s v="05EA015"/>
    <x v="0"/>
    <m/>
    <m/>
    <m/>
    <n v="222000"/>
    <m/>
    <m/>
    <m/>
    <m/>
    <m/>
    <m/>
    <m/>
    <n v="0"/>
    <n v="3"/>
    <m/>
    <m/>
    <m/>
    <m/>
    <m/>
    <m/>
    <m/>
    <m/>
    <m/>
    <m/>
    <m/>
    <m/>
    <m/>
    <m/>
    <m/>
    <m/>
    <m/>
    <m/>
    <n v="36200"/>
    <n v="36200"/>
    <m/>
    <m/>
    <m/>
    <x v="102"/>
    <x v="1"/>
    <m/>
    <m/>
    <m/>
    <m/>
    <n v="2949"/>
    <m/>
    <m/>
    <m/>
    <m/>
    <m/>
    <m/>
    <m/>
    <m/>
    <m/>
    <m/>
    <m/>
    <s v="Sahel"/>
    <s v="Paying for secondments of Langdon Greenhalgh, Brigitte Gaillis and Tim Cummings to IFRC"/>
  </r>
  <r>
    <x v="0"/>
    <n v="132"/>
    <x v="137"/>
    <d v="2005-08-01T00:00:00"/>
    <x v="10"/>
    <n v="3"/>
    <m/>
    <x v="10"/>
    <n v="5"/>
    <x v="4"/>
    <s v="US"/>
    <s v="Hydrometerological"/>
    <x v="17"/>
    <s v="Tropical Cyclone"/>
    <s v="Hurricane"/>
    <m/>
    <x v="0"/>
    <m/>
    <x v="0"/>
    <m/>
    <x v="0"/>
    <m/>
    <m/>
    <m/>
    <m/>
    <m/>
    <m/>
    <m/>
    <m/>
    <m/>
    <m/>
    <m/>
    <n v="0"/>
    <n v="3"/>
    <m/>
    <m/>
    <m/>
    <m/>
    <m/>
    <m/>
    <m/>
    <m/>
    <m/>
    <m/>
    <m/>
    <m/>
    <m/>
    <m/>
    <m/>
    <m/>
    <m/>
    <m/>
    <m/>
    <n v="0"/>
    <m/>
    <m/>
    <m/>
    <x v="7"/>
    <x v="1"/>
    <m/>
    <m/>
    <m/>
    <m/>
    <m/>
    <m/>
    <m/>
    <m/>
    <m/>
    <m/>
    <m/>
    <m/>
    <m/>
    <m/>
    <m/>
    <m/>
    <s v="Katrina"/>
    <s v="Nate Cooper, Mark Smith and Lance Leverenz deployed to Mississippi, Lousiana and Alabama."/>
  </r>
  <r>
    <x v="0"/>
    <n v="133"/>
    <x v="138"/>
    <d v="2005-10-01T00:00:00"/>
    <x v="10"/>
    <n v="4"/>
    <m/>
    <x v="10"/>
    <n v="6"/>
    <x v="3"/>
    <s v="Pakistan"/>
    <s v="Geophysical"/>
    <x v="3"/>
    <s v="Earthquake"/>
    <s v="Earthquake"/>
    <n v="3500000"/>
    <x v="1"/>
    <s v="IFRC"/>
    <x v="3"/>
    <s v="05EA022"/>
    <x v="0"/>
    <m/>
    <m/>
    <m/>
    <n v="575000"/>
    <m/>
    <m/>
    <n v="1"/>
    <n v="6750000"/>
    <n v="1000000"/>
    <m/>
    <m/>
    <n v="7750000"/>
    <n v="4"/>
    <m/>
    <m/>
    <n v="325618"/>
    <m/>
    <n v="18000"/>
    <n v="222900"/>
    <m/>
    <n v="28000"/>
    <n v="5200"/>
    <n v="18000"/>
    <n v="30518"/>
    <m/>
    <m/>
    <n v="3000"/>
    <m/>
    <m/>
    <m/>
    <n v="4808310"/>
    <m/>
    <n v="12558310"/>
    <m/>
    <m/>
    <n v="120000"/>
    <x v="103"/>
    <x v="1"/>
    <m/>
    <m/>
    <m/>
    <m/>
    <s v="2897/2771/2769"/>
    <m/>
    <m/>
    <m/>
    <m/>
    <m/>
    <m/>
    <m/>
    <m/>
    <m/>
    <m/>
    <s v="y"/>
    <s v="North West Frontier Province (NWFP) and Pakistan Administered Kashmir (PAK)"/>
    <s v="CASH: Non-designated PMN to the Fed $1,850,000; PMN to the Fed designated for one month cost of helicopter relief operations for $400,000; PMN to the Fed designated for corrugated iron sheeting (~73,000 pc) for $1,500,000. SUPPLIES:  Shawls at $50,000. (Cost includes all inspection costs/ transporation costs as well as commodity cost); PEOPLE: Seconded John Manley to FACT team and Jim Stephenson to Fed relief/logistics team.(Cost includes all inspection costs/ transporation costs as well as commodity cost). ICRC - $1M 2006 - Winter Prep - PMN for 1.5 million (500k to household repair kits, 300k to CGI);   (Cost includes all inspection costs/ transporation costs as well as commodity cost); seconded C. Chaperon and N. Cooper to Fed for monitoring."/>
  </r>
  <r>
    <x v="0"/>
    <n v="134"/>
    <x v="139"/>
    <d v="2005-10-01T00:00:00"/>
    <x v="10"/>
    <n v="5"/>
    <m/>
    <x v="10"/>
    <n v="7"/>
    <x v="2"/>
    <s v="Guatemala"/>
    <s v="Hydrometerological"/>
    <x v="17"/>
    <s v="Tropical Cyclone"/>
    <s v="Hurricane"/>
    <m/>
    <x v="0"/>
    <m/>
    <x v="0"/>
    <m/>
    <x v="0"/>
    <m/>
    <m/>
    <m/>
    <m/>
    <m/>
    <m/>
    <n v="0"/>
    <n v="47581"/>
    <m/>
    <m/>
    <m/>
    <n v="47581"/>
    <m/>
    <m/>
    <m/>
    <m/>
    <m/>
    <m/>
    <m/>
    <m/>
    <m/>
    <m/>
    <m/>
    <m/>
    <m/>
    <m/>
    <m/>
    <m/>
    <m/>
    <m/>
    <m/>
    <m/>
    <n v="47581"/>
    <m/>
    <m/>
    <m/>
    <x v="104"/>
    <x v="1"/>
    <m/>
    <m/>
    <m/>
    <m/>
    <n v="2759"/>
    <m/>
    <m/>
    <m/>
    <m/>
    <m/>
    <m/>
    <m/>
    <m/>
    <m/>
    <m/>
    <m/>
    <s v="Stan"/>
    <s v="PMN contribution to support Federation's appeal relief operations."/>
  </r>
  <r>
    <x v="0"/>
    <n v="134"/>
    <x v="140"/>
    <d v="2005-10-01T00:00:00"/>
    <x v="10"/>
    <n v="5"/>
    <m/>
    <x v="10"/>
    <n v="7"/>
    <x v="2"/>
    <s v="Mexico"/>
    <s v="Hydrometerological"/>
    <x v="17"/>
    <s v="Tropical Cyclone"/>
    <s v="Hurricane"/>
    <m/>
    <x v="0"/>
    <m/>
    <x v="0"/>
    <m/>
    <x v="0"/>
    <m/>
    <m/>
    <m/>
    <m/>
    <m/>
    <m/>
    <n v="1"/>
    <n v="257378"/>
    <m/>
    <n v="85000"/>
    <m/>
    <n v="342378"/>
    <m/>
    <m/>
    <m/>
    <m/>
    <m/>
    <m/>
    <m/>
    <m/>
    <m/>
    <m/>
    <m/>
    <m/>
    <m/>
    <m/>
    <m/>
    <m/>
    <m/>
    <m/>
    <m/>
    <m/>
    <n v="342378"/>
    <m/>
    <m/>
    <m/>
    <x v="105"/>
    <x v="1"/>
    <m/>
    <m/>
    <m/>
    <m/>
    <n v="2020"/>
    <m/>
    <m/>
    <m/>
    <m/>
    <m/>
    <m/>
    <m/>
    <m/>
    <m/>
    <m/>
    <m/>
    <s v="Stan"/>
    <s v="CASH: Initial PMN contribution for $25,000 from IRF 2099 for Federation's Hurricane Stan Appeal.Additional PMN contribution for $83,568 from AP2760 for Federation's Hurricane Stan Appeal relief operations. Additional $124,453 PMN contribution from AP 2020 for Federation's Hurricane Stan Appeal relief operations in Mexico. $49,357 PMN contribution from AP2882  to support Federation's appeal relief operations.Cash to Mex RC: $35,000 from AP2760 for Initial direct contribution to the MRC to support their relief operation. Additional contribution of $50,000 from AP2020 to the MexRC to support their relief operation gift from Exxon Mobil and G&amp;E."/>
  </r>
  <r>
    <x v="1"/>
    <n v="135"/>
    <x v="141"/>
    <d v="2005-10-01T00:00:00"/>
    <x v="10"/>
    <n v="6"/>
    <m/>
    <x v="10"/>
    <n v="8"/>
    <x v="2"/>
    <s v="El Salvador"/>
    <s v="Geophysical"/>
    <x v="4"/>
    <s v="Volcanic Eruption"/>
    <s v="Volcanic Eruption"/>
    <m/>
    <x v="0"/>
    <m/>
    <x v="4"/>
    <s v="05EA020"/>
    <x v="0"/>
    <m/>
    <m/>
    <m/>
    <n v="21000"/>
    <m/>
    <m/>
    <n v="0"/>
    <n v="7034"/>
    <m/>
    <m/>
    <m/>
    <n v="7034"/>
    <n v="1"/>
    <m/>
    <m/>
    <m/>
    <m/>
    <m/>
    <m/>
    <m/>
    <m/>
    <m/>
    <m/>
    <m/>
    <m/>
    <m/>
    <m/>
    <m/>
    <m/>
    <m/>
    <m/>
    <m/>
    <n v="7034"/>
    <m/>
    <m/>
    <m/>
    <x v="106"/>
    <x v="1"/>
    <m/>
    <m/>
    <m/>
    <m/>
    <n v="2690"/>
    <m/>
    <m/>
    <m/>
    <m/>
    <m/>
    <m/>
    <m/>
    <m/>
    <m/>
    <m/>
    <m/>
    <s v="Also: Floods"/>
    <s v="Nate Cooper deployed on PADRU team and PMN contribution to support Federation's appeal  relief operation in response of floods and volcanic eruption in El Salvador."/>
  </r>
  <r>
    <x v="2"/>
    <n v="136"/>
    <x v="142"/>
    <d v="2005-10-01T00:00:00"/>
    <x v="10"/>
    <n v="7"/>
    <m/>
    <x v="10"/>
    <n v="9"/>
    <x v="2"/>
    <s v="Bahamas"/>
    <s v="Hydrometerological"/>
    <x v="5"/>
    <s v="Tropical Cyclone"/>
    <s v="Hurricane"/>
    <m/>
    <x v="0"/>
    <m/>
    <x v="5"/>
    <s v="05EA024"/>
    <x v="0"/>
    <m/>
    <m/>
    <m/>
    <m/>
    <m/>
    <m/>
    <m/>
    <m/>
    <m/>
    <m/>
    <m/>
    <n v="0"/>
    <m/>
    <m/>
    <m/>
    <n v="2371.9999999999995"/>
    <m/>
    <n v="2372"/>
    <m/>
    <m/>
    <m/>
    <m/>
    <m/>
    <m/>
    <m/>
    <m/>
    <m/>
    <m/>
    <m/>
    <m/>
    <n v="20597"/>
    <m/>
    <n v="20597"/>
    <m/>
    <m/>
    <n v="4000"/>
    <x v="107"/>
    <x v="1"/>
    <m/>
    <m/>
    <m/>
    <m/>
    <n v="2024"/>
    <m/>
    <m/>
    <m/>
    <m/>
    <m/>
    <m/>
    <m/>
    <m/>
    <m/>
    <m/>
    <m/>
    <s v="Wilma"/>
    <s v="$3.54 each + 6,200 (transport) = $14,596.88  plus shipping and handling"/>
  </r>
  <r>
    <x v="3"/>
    <n v="136"/>
    <x v="143"/>
    <d v="2005-10-01T00:00:00"/>
    <x v="10"/>
    <n v="7"/>
    <m/>
    <x v="10"/>
    <n v="9"/>
    <x v="2"/>
    <s v="Mexico"/>
    <s v="Hydrometerological"/>
    <x v="5"/>
    <s v="Tropical Cyclone"/>
    <s v="Hurricane"/>
    <n v="300000"/>
    <x v="0"/>
    <m/>
    <x v="6"/>
    <s v="05EA024"/>
    <x v="0"/>
    <m/>
    <m/>
    <m/>
    <m/>
    <m/>
    <m/>
    <n v="1"/>
    <n v="128869"/>
    <m/>
    <n v="325000"/>
    <m/>
    <n v="453869"/>
    <m/>
    <m/>
    <m/>
    <n v="4500"/>
    <m/>
    <n v="4500"/>
    <m/>
    <m/>
    <m/>
    <m/>
    <m/>
    <m/>
    <m/>
    <m/>
    <m/>
    <m/>
    <m/>
    <m/>
    <n v="43875"/>
    <m/>
    <n v="497744"/>
    <m/>
    <m/>
    <m/>
    <x v="108"/>
    <x v="1"/>
    <m/>
    <m/>
    <m/>
    <m/>
    <n v="2757"/>
    <m/>
    <m/>
    <m/>
    <m/>
    <m/>
    <m/>
    <m/>
    <m/>
    <m/>
    <m/>
    <m/>
    <s v="Wilma"/>
    <s v="CASH: $250,000 -Initital direct contribution from AP 2757 to the MexRC to support their relief operation in Cozumel, gift from Carnival Cruise Lines. 2) $75,000 additional direct contribution from AP 2020 to the MexRC to support their relief operations, gift from AmEx;.3) $100,000 PMN contribution from AP2758 to support Federation's appeal relief operations, 1. 62000 2. 38000 (10.06); 4) $28,869 PMN contribution from AP2757 to support Federation's appeal relief operations;    SUPPLIES: PADRU stocks valued at $43,875;"/>
  </r>
  <r>
    <x v="0"/>
    <n v="137"/>
    <x v="144"/>
    <d v="2005-10-01T00:00:00"/>
    <x v="10"/>
    <n v="8"/>
    <m/>
    <x v="10"/>
    <n v="10"/>
    <x v="3"/>
    <s v="Vietnam"/>
    <s v="Hydrometerological"/>
    <x v="5"/>
    <s v="Tropical Cyclone"/>
    <s v="Typhoon"/>
    <m/>
    <x v="1"/>
    <s v="IFRC"/>
    <x v="7"/>
    <s v="05EA019"/>
    <x v="1"/>
    <m/>
    <m/>
    <m/>
    <n v="25000"/>
    <m/>
    <m/>
    <n v="0"/>
    <n v="21068"/>
    <m/>
    <m/>
    <m/>
    <n v="21068"/>
    <m/>
    <m/>
    <m/>
    <m/>
    <m/>
    <m/>
    <m/>
    <m/>
    <m/>
    <m/>
    <m/>
    <m/>
    <m/>
    <m/>
    <m/>
    <m/>
    <m/>
    <m/>
    <m/>
    <m/>
    <n v="21068"/>
    <m/>
    <m/>
    <m/>
    <x v="109"/>
    <x v="1"/>
    <m/>
    <m/>
    <m/>
    <m/>
    <n v="2870"/>
    <m/>
    <m/>
    <m/>
    <m/>
    <m/>
    <m/>
    <m/>
    <m/>
    <m/>
    <m/>
    <m/>
    <s v="Central Vietnam"/>
    <s v="PMN to the Federtion to support Vietnam: Typhoon Damrey Emergency Appeal. The funds were from Boejing and the PMN was handled by the region."/>
  </r>
  <r>
    <x v="0"/>
    <n v="138"/>
    <x v="145"/>
    <d v="2005-11-01T00:00:00"/>
    <x v="10"/>
    <n v="9"/>
    <m/>
    <x v="10"/>
    <n v="11"/>
    <x v="2"/>
    <s v="Colombia"/>
    <s v="Geophysical"/>
    <x v="4"/>
    <s v="Volcanic Eruption"/>
    <s v="Volcanic Eruption"/>
    <m/>
    <x v="0"/>
    <m/>
    <x v="0"/>
    <m/>
    <x v="0"/>
    <m/>
    <m/>
    <m/>
    <m/>
    <m/>
    <m/>
    <m/>
    <m/>
    <m/>
    <m/>
    <m/>
    <n v="0"/>
    <m/>
    <m/>
    <m/>
    <n v="45"/>
    <m/>
    <m/>
    <m/>
    <m/>
    <m/>
    <n v="45"/>
    <m/>
    <m/>
    <m/>
    <m/>
    <m/>
    <m/>
    <m/>
    <m/>
    <n v="17402"/>
    <m/>
    <n v="17402"/>
    <m/>
    <m/>
    <m/>
    <x v="110"/>
    <x v="1"/>
    <m/>
    <m/>
    <m/>
    <m/>
    <n v="2898"/>
    <m/>
    <m/>
    <m/>
    <m/>
    <m/>
    <m/>
    <m/>
    <m/>
    <m/>
    <m/>
    <m/>
    <s v="Galeras Volcano"/>
    <s v="tents to the CRC - cost of shipping charged to 2099."/>
  </r>
  <r>
    <x v="0"/>
    <n v="139"/>
    <x v="146"/>
    <d v="2006-01-01T00:00:00"/>
    <x v="10"/>
    <n v="10"/>
    <m/>
    <x v="11"/>
    <n v="1"/>
    <x v="1"/>
    <s v="Lesotho"/>
    <s v="Hydrometerological"/>
    <x v="1"/>
    <s v="Drought"/>
    <s v="Drought"/>
    <m/>
    <x v="1"/>
    <s v="IFRC"/>
    <x v="0"/>
    <s v="05EA023"/>
    <x v="0"/>
    <m/>
    <m/>
    <m/>
    <n v="1500000"/>
    <m/>
    <m/>
    <n v="1"/>
    <n v="100000"/>
    <m/>
    <m/>
    <m/>
    <n v="100000"/>
    <n v="3"/>
    <m/>
    <m/>
    <m/>
    <m/>
    <m/>
    <m/>
    <m/>
    <m/>
    <m/>
    <m/>
    <m/>
    <m/>
    <m/>
    <m/>
    <m/>
    <m/>
    <m/>
    <m/>
    <m/>
    <n v="100000"/>
    <m/>
    <m/>
    <m/>
    <x v="5"/>
    <x v="2"/>
    <m/>
    <m/>
    <m/>
    <m/>
    <n v="2099"/>
    <m/>
    <m/>
    <m/>
    <m/>
    <m/>
    <m/>
    <m/>
    <m/>
    <m/>
    <m/>
    <m/>
    <s v="Food Crisis"/>
    <s v="PMN contribution to support Federation's appeal relief operations in Lesotho."/>
  </r>
  <r>
    <x v="0"/>
    <n v="139"/>
    <x v="147"/>
    <d v="2006-01-01T00:00:00"/>
    <x v="10"/>
    <n v="10"/>
    <m/>
    <x v="11"/>
    <n v="1"/>
    <x v="1"/>
    <s v="Malawi"/>
    <s v="Hydrometerological"/>
    <x v="1"/>
    <s v="Drought"/>
    <s v="Drought"/>
    <m/>
    <x v="0"/>
    <m/>
    <x v="0"/>
    <s v="05EA023"/>
    <x v="0"/>
    <m/>
    <m/>
    <m/>
    <m/>
    <m/>
    <m/>
    <n v="1"/>
    <n v="150000"/>
    <m/>
    <m/>
    <m/>
    <n v="150000"/>
    <m/>
    <m/>
    <m/>
    <m/>
    <m/>
    <m/>
    <m/>
    <m/>
    <m/>
    <m/>
    <m/>
    <m/>
    <m/>
    <m/>
    <m/>
    <m/>
    <m/>
    <m/>
    <m/>
    <m/>
    <n v="150000"/>
    <m/>
    <m/>
    <m/>
    <x v="13"/>
    <x v="2"/>
    <m/>
    <m/>
    <m/>
    <m/>
    <n v="2099"/>
    <m/>
    <m/>
    <m/>
    <m/>
    <m/>
    <m/>
    <m/>
    <m/>
    <m/>
    <m/>
    <m/>
    <s v="Food Crisis"/>
    <s v="PMN contribution to support Federation's appeal earmarked for Community Base Health Care Program to leverage NLRC funding."/>
  </r>
  <r>
    <x v="0"/>
    <n v="139"/>
    <x v="148"/>
    <d v="2006-01-01T00:00:00"/>
    <x v="10"/>
    <n v="10"/>
    <m/>
    <x v="11"/>
    <n v="1"/>
    <x v="1"/>
    <s v="Zimbabwe"/>
    <s v="Hydrometerological"/>
    <x v="1"/>
    <s v="Drought"/>
    <s v="Drought"/>
    <m/>
    <x v="0"/>
    <m/>
    <x v="0"/>
    <s v="05EA023"/>
    <x v="0"/>
    <m/>
    <m/>
    <m/>
    <m/>
    <m/>
    <m/>
    <n v="1"/>
    <n v="250000"/>
    <m/>
    <m/>
    <m/>
    <n v="250000"/>
    <m/>
    <m/>
    <m/>
    <m/>
    <m/>
    <m/>
    <m/>
    <m/>
    <m/>
    <m/>
    <m/>
    <m/>
    <m/>
    <m/>
    <m/>
    <m/>
    <m/>
    <m/>
    <m/>
    <m/>
    <n v="250000"/>
    <m/>
    <m/>
    <m/>
    <x v="35"/>
    <x v="2"/>
    <m/>
    <m/>
    <m/>
    <m/>
    <n v="2099"/>
    <m/>
    <m/>
    <m/>
    <m/>
    <m/>
    <m/>
    <m/>
    <m/>
    <m/>
    <m/>
    <m/>
    <s v="Food Crisis"/>
    <s v="PMN contribution to support Federation's appeal relief operations in Zimbabwe."/>
  </r>
  <r>
    <x v="0"/>
    <n v="139"/>
    <x v="149"/>
    <d v="2006-01-01T00:00:00"/>
    <x v="10"/>
    <n v="10"/>
    <m/>
    <x v="11"/>
    <n v="1"/>
    <x v="1"/>
    <s v="Zambia"/>
    <s v="Hydrometerological"/>
    <x v="1"/>
    <s v="Drought"/>
    <s v="Drought"/>
    <m/>
    <x v="0"/>
    <m/>
    <x v="8"/>
    <s v="05EA023"/>
    <x v="0"/>
    <m/>
    <m/>
    <m/>
    <m/>
    <m/>
    <m/>
    <n v="1"/>
    <n v="400000"/>
    <m/>
    <m/>
    <m/>
    <n v="400000"/>
    <m/>
    <m/>
    <m/>
    <m/>
    <m/>
    <m/>
    <m/>
    <m/>
    <m/>
    <m/>
    <m/>
    <m/>
    <m/>
    <m/>
    <m/>
    <m/>
    <m/>
    <m/>
    <m/>
    <m/>
    <n v="400000"/>
    <m/>
    <m/>
    <m/>
    <x v="111"/>
    <x v="2"/>
    <m/>
    <m/>
    <m/>
    <m/>
    <n v="2099"/>
    <m/>
    <m/>
    <m/>
    <m/>
    <m/>
    <m/>
    <m/>
    <m/>
    <m/>
    <m/>
    <m/>
    <s v="Food Crisis"/>
    <s v="$400K &amp; $100K PMN contribution to support Federation's appeal relief operations in Zambia."/>
  </r>
  <r>
    <x v="0"/>
    <n v="140"/>
    <x v="150"/>
    <d v="2006-03-01T00:00:00"/>
    <x v="10"/>
    <n v="11"/>
    <m/>
    <x v="11"/>
    <n v="2"/>
    <x v="1"/>
    <s v="Kenya"/>
    <s v="Hydrometerological"/>
    <x v="1"/>
    <s v="Drought"/>
    <s v="Drought"/>
    <m/>
    <x v="1"/>
    <s v="IFRC"/>
    <x v="9"/>
    <s v="MDRKE001"/>
    <x v="2"/>
    <m/>
    <m/>
    <m/>
    <n v="329000"/>
    <m/>
    <m/>
    <n v="1"/>
    <n v="150000"/>
    <m/>
    <m/>
    <m/>
    <n v="150000"/>
    <m/>
    <m/>
    <m/>
    <m/>
    <m/>
    <m/>
    <m/>
    <m/>
    <m/>
    <m/>
    <m/>
    <m/>
    <m/>
    <m/>
    <m/>
    <m/>
    <m/>
    <m/>
    <m/>
    <m/>
    <n v="150000"/>
    <m/>
    <m/>
    <m/>
    <x v="13"/>
    <x v="2"/>
    <m/>
    <m/>
    <m/>
    <m/>
    <n v="2099"/>
    <m/>
    <m/>
    <m/>
    <m/>
    <m/>
    <m/>
    <m/>
    <m/>
    <m/>
    <m/>
    <m/>
    <s v="E. Africa Appeal"/>
    <s v="PMN contribution to support Federation's appeal relief operations."/>
  </r>
  <r>
    <x v="0"/>
    <n v="141"/>
    <x v="151"/>
    <d v="2006-03-01T00:00:00"/>
    <x v="10"/>
    <n v="12"/>
    <m/>
    <x v="11"/>
    <n v="3"/>
    <x v="3"/>
    <s v="Iraq"/>
    <s v="Human Related"/>
    <x v="8"/>
    <s v="Conflict"/>
    <s v="Conflict"/>
    <m/>
    <x v="1"/>
    <s v="IFRC/ ICRC"/>
    <x v="0"/>
    <s v="MDRIQ001 / 05EA026 / REX 07/346"/>
    <x v="0"/>
    <m/>
    <m/>
    <m/>
    <n v="455000"/>
    <m/>
    <m/>
    <n v="1"/>
    <n v="88443"/>
    <n v="100000"/>
    <m/>
    <m/>
    <n v="188443"/>
    <m/>
    <m/>
    <m/>
    <m/>
    <m/>
    <m/>
    <m/>
    <m/>
    <m/>
    <m/>
    <m/>
    <m/>
    <m/>
    <m/>
    <m/>
    <m/>
    <m/>
    <m/>
    <m/>
    <m/>
    <n v="188443"/>
    <m/>
    <m/>
    <n v="455000"/>
    <x v="112"/>
    <x v="1"/>
    <m/>
    <m/>
    <m/>
    <m/>
    <n v="2689"/>
    <m/>
    <m/>
    <m/>
    <m/>
    <m/>
    <m/>
    <m/>
    <m/>
    <m/>
    <m/>
    <m/>
    <s v="Humanitarian Emergency"/>
    <s v="19,170 PMN to IFRC Iraq: Floods Appeal No. MDRIQ001 for 25,000 beneficiaries; 69,272.96 PMN to IFRC Iraq: Humanitarian Emergency Appeal No. 05 EA026 for 350,000 beneficiaries; 100,000 Cash Contribution to ICRC's emergency appeal for Iraq activities related to wat/san for 80,000 beneficiaries."/>
  </r>
  <r>
    <x v="4"/>
    <n v="142"/>
    <x v="152"/>
    <d v="2006-02-01T00:00:00"/>
    <x v="10"/>
    <n v="13"/>
    <m/>
    <x v="11"/>
    <n v="4"/>
    <x v="3"/>
    <s v="Timor-Leste"/>
    <s v="Hydrometerological"/>
    <x v="2"/>
    <s v="General Floods"/>
    <s v="General Floods"/>
    <m/>
    <x v="1"/>
    <s v="IFRC"/>
    <x v="10"/>
    <s v="MDRTP001"/>
    <x v="3"/>
    <m/>
    <m/>
    <m/>
    <n v="8400"/>
    <m/>
    <m/>
    <n v="1"/>
    <n v="50000"/>
    <m/>
    <m/>
    <m/>
    <n v="50000"/>
    <m/>
    <m/>
    <m/>
    <m/>
    <m/>
    <m/>
    <m/>
    <m/>
    <m/>
    <m/>
    <m/>
    <m/>
    <m/>
    <m/>
    <m/>
    <m/>
    <m/>
    <m/>
    <m/>
    <m/>
    <n v="50000"/>
    <m/>
    <m/>
    <n v="8400"/>
    <x v="16"/>
    <x v="2"/>
    <m/>
    <m/>
    <m/>
    <m/>
    <n v="2799"/>
    <m/>
    <m/>
    <m/>
    <m/>
    <m/>
    <m/>
    <m/>
    <m/>
    <m/>
    <m/>
    <m/>
    <s v="Oecusse, Ainaro, Viqueque, Bobonaro and Baucau Districts"/>
    <s v="PMN contribution to support the Federation's operation in response to the Timor-Leste: Storms and Floods Emergency Appeal No. MDRTP001."/>
  </r>
  <r>
    <x v="5"/>
    <n v="143"/>
    <x v="153"/>
    <d v="2006-02-01T00:00:00"/>
    <x v="10"/>
    <n v="14"/>
    <m/>
    <x v="11"/>
    <n v="5"/>
    <x v="3"/>
    <s v="Philippines"/>
    <s v="Hydrometerological"/>
    <x v="18"/>
    <s v="Landslide"/>
    <s v="Mudslide"/>
    <m/>
    <x v="1"/>
    <s v="IFRC"/>
    <x v="11"/>
    <s v="MDRPH001"/>
    <x v="4"/>
    <m/>
    <m/>
    <m/>
    <n v="8000"/>
    <m/>
    <m/>
    <n v="1"/>
    <n v="50000"/>
    <m/>
    <n v="5000"/>
    <m/>
    <n v="55000"/>
    <m/>
    <m/>
    <m/>
    <m/>
    <m/>
    <m/>
    <m/>
    <m/>
    <m/>
    <m/>
    <m/>
    <m/>
    <m/>
    <m/>
    <m/>
    <m/>
    <m/>
    <m/>
    <m/>
    <m/>
    <n v="55000"/>
    <m/>
    <m/>
    <n v="8000"/>
    <x v="113"/>
    <x v="1"/>
    <m/>
    <m/>
    <m/>
    <m/>
    <n v="2032"/>
    <m/>
    <m/>
    <m/>
    <m/>
    <m/>
    <m/>
    <m/>
    <m/>
    <m/>
    <m/>
    <m/>
    <s v="Southern Leyte"/>
    <s v="PMN contribution to support the Federation's operation in the Philippines: Landslides and Floods Emergency Appeal No. MDRPH001 in the amount of 50,000 USD; Amex donation to Philippines National Red Cross for their emergency operations in the amount of 5,000 USD."/>
  </r>
  <r>
    <x v="0"/>
    <n v="144"/>
    <x v="154"/>
    <d v="2006-05-01T00:00:00"/>
    <x v="10"/>
    <n v="15"/>
    <m/>
    <x v="11"/>
    <n v="6"/>
    <x v="1"/>
    <s v="Angola"/>
    <s v="Biological"/>
    <x v="11"/>
    <s v="Bacterial"/>
    <s v="Bacterial"/>
    <m/>
    <x v="0"/>
    <m/>
    <x v="0"/>
    <m/>
    <x v="0"/>
    <m/>
    <m/>
    <m/>
    <m/>
    <m/>
    <m/>
    <m/>
    <m/>
    <m/>
    <m/>
    <m/>
    <n v="0"/>
    <n v="1"/>
    <m/>
    <m/>
    <m/>
    <m/>
    <m/>
    <m/>
    <m/>
    <m/>
    <m/>
    <m/>
    <m/>
    <m/>
    <m/>
    <m/>
    <m/>
    <m/>
    <m/>
    <m/>
    <n v="5000"/>
    <n v="5000"/>
    <m/>
    <m/>
    <m/>
    <x v="46"/>
    <x v="2"/>
    <m/>
    <m/>
    <m/>
    <m/>
    <n v="2799"/>
    <m/>
    <m/>
    <m/>
    <m/>
    <m/>
    <m/>
    <m/>
    <m/>
    <m/>
    <m/>
    <m/>
    <s v="Cholera Outbreak"/>
    <s v="J. Koepsell as FACT Health"/>
  </r>
  <r>
    <x v="0"/>
    <n v="145"/>
    <x v="5"/>
    <d v="2006-04-01T00:00:00"/>
    <x v="10"/>
    <n v="16"/>
    <m/>
    <x v="11"/>
    <n v="7"/>
    <x v="1"/>
    <s v="Ethiopia"/>
    <s v="Hydrometerological"/>
    <x v="1"/>
    <s v="Drought"/>
    <s v="Drought"/>
    <m/>
    <x v="1"/>
    <s v="IFRC"/>
    <x v="12"/>
    <s v="MDRET001"/>
    <x v="5"/>
    <m/>
    <m/>
    <m/>
    <n v="36341"/>
    <m/>
    <m/>
    <n v="1"/>
    <n v="94461"/>
    <m/>
    <m/>
    <m/>
    <n v="94461"/>
    <m/>
    <m/>
    <m/>
    <m/>
    <m/>
    <m/>
    <m/>
    <m/>
    <m/>
    <m/>
    <m/>
    <m/>
    <m/>
    <m/>
    <m/>
    <m/>
    <m/>
    <m/>
    <m/>
    <m/>
    <n v="94461"/>
    <m/>
    <m/>
    <m/>
    <x v="114"/>
    <x v="2"/>
    <m/>
    <m/>
    <m/>
    <m/>
    <n v="2099"/>
    <m/>
    <m/>
    <m/>
    <m/>
    <m/>
    <m/>
    <m/>
    <m/>
    <m/>
    <m/>
    <m/>
    <m/>
    <s v="PMN contribution to support Ethiopa: Drought Appeal"/>
  </r>
  <r>
    <x v="0"/>
    <n v="146"/>
    <x v="155"/>
    <d v="2006-04-01T00:00:00"/>
    <x v="10"/>
    <n v="17"/>
    <m/>
    <x v="11"/>
    <n v="8"/>
    <x v="1"/>
    <s v="Somalia"/>
    <s v="Hydrometerological"/>
    <x v="1"/>
    <s v="Drought"/>
    <s v="Drought"/>
    <m/>
    <x v="1"/>
    <s v="ICRC"/>
    <x v="0"/>
    <m/>
    <x v="0"/>
    <m/>
    <m/>
    <m/>
    <m/>
    <m/>
    <m/>
    <n v="1"/>
    <m/>
    <n v="250000"/>
    <m/>
    <m/>
    <n v="250000"/>
    <m/>
    <m/>
    <m/>
    <m/>
    <m/>
    <m/>
    <m/>
    <m/>
    <m/>
    <m/>
    <m/>
    <m/>
    <m/>
    <m/>
    <m/>
    <m/>
    <m/>
    <m/>
    <m/>
    <m/>
    <n v="250000"/>
    <m/>
    <m/>
    <m/>
    <x v="35"/>
    <x v="2"/>
    <m/>
    <m/>
    <m/>
    <m/>
    <n v="2099"/>
    <m/>
    <m/>
    <m/>
    <m/>
    <m/>
    <m/>
    <m/>
    <m/>
    <m/>
    <m/>
    <m/>
    <m/>
    <s v="Pledge Letter to ICRC for Somalia Emergency Appeal"/>
  </r>
  <r>
    <x v="0"/>
    <n v="147"/>
    <x v="156"/>
    <d v="2006-04-01T00:00:00"/>
    <x v="10"/>
    <n v="18"/>
    <m/>
    <x v="11"/>
    <n v="9"/>
    <x v="3"/>
    <s v="Spain"/>
    <s v="Human Related"/>
    <x v="12"/>
    <s v="Terrorism"/>
    <s v="Terrorism"/>
    <m/>
    <x v="0"/>
    <m/>
    <x v="0"/>
    <m/>
    <x v="0"/>
    <m/>
    <m/>
    <m/>
    <m/>
    <m/>
    <m/>
    <m/>
    <m/>
    <m/>
    <n v="20000"/>
    <m/>
    <n v="20000"/>
    <m/>
    <m/>
    <m/>
    <m/>
    <m/>
    <m/>
    <m/>
    <m/>
    <m/>
    <m/>
    <m/>
    <m/>
    <m/>
    <m/>
    <m/>
    <m/>
    <m/>
    <m/>
    <m/>
    <m/>
    <n v="20000"/>
    <m/>
    <m/>
    <m/>
    <x v="25"/>
    <x v="1"/>
    <m/>
    <m/>
    <m/>
    <m/>
    <n v="2903"/>
    <m/>
    <m/>
    <m/>
    <m/>
    <m/>
    <m/>
    <m/>
    <m/>
    <m/>
    <m/>
    <m/>
    <s v="April 2004 MadridTrain Bombing"/>
    <s v="Suspense acct contribution following April 2004 bombing. Grant to Spain RC for DPP"/>
  </r>
  <r>
    <x v="0"/>
    <n v="148"/>
    <x v="157"/>
    <d v="2006-05-01T00:00:00"/>
    <x v="10"/>
    <n v="19"/>
    <m/>
    <x v="11"/>
    <n v="10"/>
    <x v="2"/>
    <s v="Colombia"/>
    <s v="Hydrometerological"/>
    <x v="2"/>
    <s v="General Floods"/>
    <m/>
    <m/>
    <x v="0"/>
    <m/>
    <x v="0"/>
    <m/>
    <x v="0"/>
    <m/>
    <m/>
    <m/>
    <m/>
    <m/>
    <n v="2500"/>
    <m/>
    <m/>
    <m/>
    <n v="50000"/>
    <m/>
    <n v="50000"/>
    <m/>
    <m/>
    <m/>
    <m/>
    <m/>
    <m/>
    <m/>
    <m/>
    <m/>
    <m/>
    <m/>
    <m/>
    <m/>
    <m/>
    <m/>
    <m/>
    <m/>
    <m/>
    <m/>
    <m/>
    <n v="50000"/>
    <m/>
    <m/>
    <m/>
    <x v="16"/>
    <x v="2"/>
    <m/>
    <m/>
    <m/>
    <m/>
    <n v="2799"/>
    <m/>
    <m/>
    <m/>
    <m/>
    <m/>
    <m/>
    <m/>
    <m/>
    <m/>
    <m/>
    <m/>
    <m/>
    <s v="OFDA award in support of ARC's proposal &quot;Colombia Floods 2006&quot; to support CRC emergency relief response."/>
  </r>
  <r>
    <x v="6"/>
    <n v="149"/>
    <x v="158"/>
    <d v="2006-05-01T00:00:00"/>
    <x v="10"/>
    <n v="20"/>
    <m/>
    <x v="11"/>
    <n v="11"/>
    <x v="3"/>
    <s v="Indonesia"/>
    <s v="Geophysical"/>
    <x v="3"/>
    <s v="Earthquake"/>
    <s v="Earthquake"/>
    <m/>
    <x v="1"/>
    <s v="IFRC"/>
    <x v="13"/>
    <s v="MDRID001"/>
    <x v="0"/>
    <m/>
    <m/>
    <m/>
    <n v="325000"/>
    <m/>
    <m/>
    <n v="1"/>
    <n v="1398250"/>
    <m/>
    <m/>
    <m/>
    <n v="1398250"/>
    <n v="7"/>
    <s v="Relief ERU"/>
    <m/>
    <m/>
    <m/>
    <m/>
    <m/>
    <m/>
    <m/>
    <m/>
    <m/>
    <m/>
    <m/>
    <m/>
    <m/>
    <m/>
    <m/>
    <m/>
    <m/>
    <n v="87500"/>
    <n v="1485750"/>
    <m/>
    <m/>
    <n v="13000"/>
    <x v="115"/>
    <x v="1"/>
    <m/>
    <m/>
    <m/>
    <m/>
    <s v="2930 / 2799"/>
    <m/>
    <m/>
    <m/>
    <m/>
    <m/>
    <m/>
    <m/>
    <m/>
    <m/>
    <m/>
    <m/>
    <s v="Yogyakarta"/>
    <s v="CASH: 1. PMN to Fed 119,000 from AP2930  2. PMN to Fed 179,250 from AP2930 earmarked for 80K sleeping mats 3. PMN from AP2930 to Fed 1 million earmarked for tarps (600K), PSP (100K), DM (300K); PMN contribution to support Fed appeal relief operations - joint w/ 119,000 from AP 2930 4. PEOPLE: Relief ERU deployed with N. Cooper, C. Blake, S. Rahman, B. Riester, T. Betz, C. Chaperon. PA B. Gillespie, Health S. Shetty, PSP team"/>
  </r>
  <r>
    <x v="0"/>
    <n v="150"/>
    <x v="88"/>
    <d v="2006-07-01T00:00:00"/>
    <x v="11"/>
    <n v="1"/>
    <m/>
    <x v="11"/>
    <n v="12"/>
    <x v="3"/>
    <s v="Romania"/>
    <s v="Hydrometerological"/>
    <x v="2"/>
    <s v="General Floods"/>
    <s v="General Floods"/>
    <m/>
    <x v="1"/>
    <s v="IFRC"/>
    <x v="14"/>
    <s v="MDRRO001"/>
    <x v="6"/>
    <m/>
    <m/>
    <m/>
    <n v="13000"/>
    <m/>
    <m/>
    <n v="0"/>
    <n v="5000"/>
    <m/>
    <m/>
    <m/>
    <n v="5000"/>
    <m/>
    <m/>
    <m/>
    <m/>
    <m/>
    <m/>
    <m/>
    <m/>
    <m/>
    <m/>
    <m/>
    <m/>
    <m/>
    <m/>
    <m/>
    <m/>
    <m/>
    <m/>
    <m/>
    <m/>
    <n v="5000"/>
    <m/>
    <m/>
    <m/>
    <x v="46"/>
    <x v="1"/>
    <m/>
    <m/>
    <m/>
    <m/>
    <n v="2685"/>
    <m/>
    <m/>
    <m/>
    <m/>
    <m/>
    <m/>
    <m/>
    <m/>
    <m/>
    <m/>
    <m/>
    <s v="Country-Wide"/>
    <s v="PMN contribution to support Federation's Emergency Appeal - AmEx contribution - from suspense acct"/>
  </r>
  <r>
    <x v="0"/>
    <n v="151"/>
    <x v="159"/>
    <d v="2006-07-01T00:00:00"/>
    <x v="11"/>
    <n v="2"/>
    <m/>
    <x v="11"/>
    <n v="13"/>
    <x v="3"/>
    <s v="Lebanon"/>
    <s v="Human Related"/>
    <x v="8"/>
    <s v="Conflict"/>
    <s v="Conflict"/>
    <m/>
    <x v="1"/>
    <s v="IFRC/ICRC"/>
    <x v="15"/>
    <s v="MDR81001 /REX 06/575"/>
    <x v="0"/>
    <m/>
    <m/>
    <m/>
    <n v="2000000"/>
    <m/>
    <m/>
    <n v="1"/>
    <n v="475000"/>
    <n v="1058600"/>
    <n v="356000"/>
    <m/>
    <n v="1889600"/>
    <m/>
    <m/>
    <m/>
    <m/>
    <m/>
    <m/>
    <m/>
    <m/>
    <m/>
    <m/>
    <m/>
    <m/>
    <m/>
    <m/>
    <m/>
    <m/>
    <m/>
    <m/>
    <m/>
    <m/>
    <n v="1889600"/>
    <m/>
    <m/>
    <m/>
    <x v="116"/>
    <x v="1"/>
    <m/>
    <m/>
    <m/>
    <m/>
    <s v="2099 /2649"/>
    <m/>
    <m/>
    <m/>
    <m/>
    <m/>
    <m/>
    <m/>
    <m/>
    <m/>
    <m/>
    <m/>
    <s v="Humanitarian Crisis"/>
    <s v="CASH: Contributions to ICRC - 1. $500,000 2. $150,000 3. $211,136 to MDA specifically from AP2099; Contributions to ICRC - 1. $150,000 2. 47,500 (Dow Chemical Com from AP2649 pany), Contribution to Fed $475,000 (Coca Cola) from AP2649; $200,000 grant to Palestinian Red Crescent for southern Lebanon; $156,000 grant to Lebanese Red Cross for ambulances"/>
  </r>
  <r>
    <x v="0"/>
    <n v="152"/>
    <x v="8"/>
    <d v="2006-08-01T00:00:00"/>
    <x v="11"/>
    <n v="3"/>
    <m/>
    <x v="11"/>
    <n v="14"/>
    <x v="3"/>
    <s v="China"/>
    <s v="Hydrometerological"/>
    <x v="2"/>
    <s v="General Floods"/>
    <s v="General Floods"/>
    <m/>
    <x v="1"/>
    <s v="IFRC"/>
    <x v="16"/>
    <s v="MDRCN001"/>
    <x v="7"/>
    <m/>
    <m/>
    <m/>
    <n v="240000"/>
    <m/>
    <m/>
    <n v="1"/>
    <n v="50000"/>
    <m/>
    <m/>
    <m/>
    <n v="50000"/>
    <m/>
    <m/>
    <m/>
    <m/>
    <m/>
    <m/>
    <m/>
    <m/>
    <m/>
    <m/>
    <m/>
    <m/>
    <m/>
    <m/>
    <m/>
    <m/>
    <m/>
    <m/>
    <m/>
    <m/>
    <n v="50000"/>
    <m/>
    <m/>
    <m/>
    <x v="16"/>
    <x v="2"/>
    <m/>
    <m/>
    <m/>
    <m/>
    <n v="2799"/>
    <m/>
    <m/>
    <m/>
    <m/>
    <m/>
    <m/>
    <m/>
    <m/>
    <m/>
    <m/>
    <m/>
    <m/>
    <s v="PMN contribution earmarked for procurement of rice to support Fed's China: Floods Appeal"/>
  </r>
  <r>
    <x v="7"/>
    <n v="153"/>
    <x v="160"/>
    <d v="2006-08-01T00:00:00"/>
    <x v="11"/>
    <n v="4"/>
    <m/>
    <x v="11"/>
    <n v="15"/>
    <x v="2"/>
    <s v="Ecuador"/>
    <s v="Geophysical"/>
    <x v="4"/>
    <s v="Volcanic Eruption"/>
    <s v="Volcanic Eruption"/>
    <m/>
    <x v="1"/>
    <s v="IFRC"/>
    <x v="17"/>
    <s v="MDREC002"/>
    <x v="8"/>
    <n v="1"/>
    <m/>
    <m/>
    <n v="5475"/>
    <m/>
    <m/>
    <m/>
    <m/>
    <m/>
    <n v="50000"/>
    <m/>
    <n v="50000"/>
    <m/>
    <m/>
    <m/>
    <m/>
    <m/>
    <m/>
    <m/>
    <m/>
    <m/>
    <m/>
    <m/>
    <m/>
    <m/>
    <m/>
    <m/>
    <m/>
    <m/>
    <m/>
    <m/>
    <m/>
    <n v="50000"/>
    <m/>
    <m/>
    <m/>
    <x v="16"/>
    <x v="2"/>
    <m/>
    <m/>
    <m/>
    <m/>
    <n v="2799"/>
    <m/>
    <m/>
    <m/>
    <m/>
    <m/>
    <m/>
    <m/>
    <m/>
    <m/>
    <m/>
    <m/>
    <s v="Tungurahua"/>
    <s v="OFDA award in support of ARC's proposal &quot;Tungurahua Volcano eruption&quot; to support the ERC emergency relief response."/>
  </r>
  <r>
    <x v="8"/>
    <n v="154"/>
    <x v="161"/>
    <d v="2006-08-01T00:00:00"/>
    <x v="11"/>
    <n v="5"/>
    <m/>
    <x v="11"/>
    <n v="16"/>
    <x v="1"/>
    <s v="Ethiopia"/>
    <s v="Hydrometerological"/>
    <x v="2"/>
    <s v="General Floods"/>
    <s v="General Floods"/>
    <m/>
    <x v="1"/>
    <s v="IFRC"/>
    <x v="18"/>
    <s v="MDRET003"/>
    <x v="9"/>
    <m/>
    <m/>
    <m/>
    <n v="25000"/>
    <m/>
    <m/>
    <n v="1"/>
    <n v="85000"/>
    <m/>
    <m/>
    <m/>
    <n v="85000"/>
    <n v="2"/>
    <m/>
    <m/>
    <m/>
    <m/>
    <m/>
    <m/>
    <m/>
    <m/>
    <m/>
    <m/>
    <m/>
    <m/>
    <m/>
    <m/>
    <m/>
    <m/>
    <m/>
    <m/>
    <m/>
    <n v="85000"/>
    <m/>
    <m/>
    <m/>
    <x v="117"/>
    <x v="1"/>
    <m/>
    <m/>
    <m/>
    <m/>
    <s v="2099 / 2648"/>
    <m/>
    <m/>
    <m/>
    <m/>
    <m/>
    <m/>
    <m/>
    <m/>
    <m/>
    <m/>
    <m/>
    <s v="Amhara"/>
    <s v="CASH: PMN from 2099 contribution to Fed Appeal earmarked for tarps, blankets, sleeping mats PEOPLE: Deployed J. Manley, Prog Coordinator, 2 mo. AND K.White, Prog Delegate, 2 mo. From AP 2648."/>
  </r>
  <r>
    <x v="9"/>
    <n v="155"/>
    <x v="162"/>
    <d v="2006-09-01T00:00:00"/>
    <x v="11"/>
    <n v="6"/>
    <m/>
    <x v="11"/>
    <n v="17"/>
    <x v="1"/>
    <s v="Sudan"/>
    <s v="Hydrometerological"/>
    <x v="2"/>
    <s v="General Floods"/>
    <s v="General Floods"/>
    <m/>
    <x v="1"/>
    <s v="IFRC"/>
    <x v="19"/>
    <s v="MDRSD002"/>
    <x v="10"/>
    <m/>
    <m/>
    <m/>
    <n v="15000"/>
    <m/>
    <m/>
    <n v="0"/>
    <n v="10000"/>
    <m/>
    <m/>
    <m/>
    <n v="10000"/>
    <m/>
    <m/>
    <m/>
    <n v="10000"/>
    <m/>
    <m/>
    <m/>
    <m/>
    <m/>
    <m/>
    <m/>
    <m/>
    <n v="10000"/>
    <m/>
    <m/>
    <m/>
    <m/>
    <m/>
    <n v="36900"/>
    <m/>
    <n v="46900"/>
    <m/>
    <m/>
    <m/>
    <x v="118"/>
    <x v="1"/>
    <m/>
    <m/>
    <m/>
    <m/>
    <n v="2802"/>
    <m/>
    <m/>
    <m/>
    <m/>
    <m/>
    <m/>
    <m/>
    <s v="N"/>
    <m/>
    <m/>
    <m/>
    <m/>
    <s v="Nets @ $3.69 each + $10,000 (transport) = $46,900"/>
  </r>
  <r>
    <x v="10"/>
    <n v="156"/>
    <x v="163"/>
    <d v="2006-10-01T00:00:00"/>
    <x v="11"/>
    <n v="7"/>
    <m/>
    <x v="11"/>
    <n v="18"/>
    <x v="3"/>
    <s v="Philippines"/>
    <s v="Hydrometerological"/>
    <x v="5"/>
    <s v="Tropical Cyclone"/>
    <s v="Typhoon"/>
    <m/>
    <x v="1"/>
    <s v="IFRC"/>
    <x v="20"/>
    <s v="MDRPH002"/>
    <x v="11"/>
    <m/>
    <m/>
    <m/>
    <n v="1030000"/>
    <m/>
    <m/>
    <n v="1"/>
    <n v="787000"/>
    <m/>
    <m/>
    <m/>
    <n v="787000"/>
    <n v="2"/>
    <m/>
    <m/>
    <m/>
    <m/>
    <m/>
    <m/>
    <m/>
    <m/>
    <m/>
    <m/>
    <m/>
    <m/>
    <m/>
    <m/>
    <m/>
    <m/>
    <m/>
    <m/>
    <n v="6500"/>
    <n v="793500"/>
    <m/>
    <m/>
    <m/>
    <x v="119"/>
    <x v="1"/>
    <m/>
    <m/>
    <m/>
    <m/>
    <n v="2032"/>
    <m/>
    <m/>
    <m/>
    <m/>
    <m/>
    <m/>
    <m/>
    <s v="N"/>
    <m/>
    <m/>
    <m/>
    <s v="Xangsane / Durian"/>
    <s v="PEOPLE: Deployed B. Gaillis, Ops Coordinator, 5 wks; Deployed C. Blake, FACT Relief, 3 wks. CASH: 2. PMN Fed Philippines: Typhoons $237,000 from AP2032; PMN Fed Philippines: Typhoon Xangsane Appeal $200,000 from AP2099;  3. PMN Fed Philippines: Typhoons $350K earmarked for CGI from AP2032;"/>
  </r>
  <r>
    <x v="11"/>
    <n v="157"/>
    <x v="164"/>
    <d v="2006-10-01T00:00:00"/>
    <x v="11"/>
    <n v="8"/>
    <m/>
    <x v="11"/>
    <n v="19"/>
    <x v="3"/>
    <s v="Vietnam"/>
    <s v="Hydrometerological"/>
    <x v="5"/>
    <s v="Tropical Cyclone"/>
    <s v="Typhoon"/>
    <m/>
    <x v="1"/>
    <s v="IFRC"/>
    <x v="21"/>
    <s v="MDRVN001"/>
    <x v="12"/>
    <m/>
    <m/>
    <m/>
    <n v="60400"/>
    <m/>
    <m/>
    <n v="1"/>
    <n v="63000"/>
    <m/>
    <m/>
    <m/>
    <n v="63000"/>
    <m/>
    <m/>
    <m/>
    <m/>
    <m/>
    <m/>
    <m/>
    <m/>
    <m/>
    <m/>
    <m/>
    <m/>
    <m/>
    <m/>
    <m/>
    <m/>
    <m/>
    <m/>
    <m/>
    <m/>
    <n v="63000"/>
    <m/>
    <m/>
    <m/>
    <x v="120"/>
    <x v="2"/>
    <m/>
    <m/>
    <m/>
    <m/>
    <n v="2799"/>
    <m/>
    <m/>
    <m/>
    <m/>
    <m/>
    <m/>
    <m/>
    <s v="Y"/>
    <m/>
    <m/>
    <m/>
    <s v="Xangsane"/>
    <s v="PMN Fed Vietnam from AP2799: Typhoon Xangsane Appeal $25,000; PMN Fed Vietnam from AP2870: Typhoon Xangsane $38,000"/>
  </r>
  <r>
    <x v="0"/>
    <n v="158"/>
    <x v="165"/>
    <d v="2006-11-01T00:00:00"/>
    <x v="11"/>
    <n v="9"/>
    <m/>
    <x v="11"/>
    <n v="20"/>
    <x v="1"/>
    <s v="Somalia"/>
    <s v="Human Related"/>
    <x v="8"/>
    <s v="Conflict"/>
    <s v="Conflict"/>
    <m/>
    <x v="0"/>
    <m/>
    <x v="0"/>
    <m/>
    <x v="0"/>
    <m/>
    <m/>
    <m/>
    <m/>
    <m/>
    <m/>
    <m/>
    <m/>
    <n v="50000"/>
    <m/>
    <m/>
    <n v="50000"/>
    <m/>
    <m/>
    <m/>
    <m/>
    <m/>
    <m/>
    <m/>
    <m/>
    <m/>
    <m/>
    <m/>
    <m/>
    <m/>
    <m/>
    <m/>
    <m/>
    <m/>
    <m/>
    <m/>
    <m/>
    <n v="50000"/>
    <m/>
    <m/>
    <m/>
    <x v="16"/>
    <x v="2"/>
    <m/>
    <m/>
    <m/>
    <m/>
    <n v="2799"/>
    <m/>
    <m/>
    <m/>
    <m/>
    <m/>
    <m/>
    <m/>
    <s v="Y"/>
    <m/>
    <m/>
    <m/>
    <s v="IDP"/>
    <s v="Contribution to ICRC 2006 Somalia Emergency Appeal - spec IDPs"/>
  </r>
  <r>
    <x v="12"/>
    <n v="159"/>
    <x v="81"/>
    <d v="2006-11-01T00:00:00"/>
    <x v="11"/>
    <n v="10"/>
    <m/>
    <x v="11"/>
    <n v="21"/>
    <x v="1"/>
    <s v="Kenya"/>
    <s v="Hydrometerological"/>
    <x v="2"/>
    <s v="General Floods"/>
    <s v="General Floods"/>
    <m/>
    <x v="1"/>
    <s v="IFRC"/>
    <x v="22"/>
    <s v="MDRKE003"/>
    <x v="13"/>
    <m/>
    <m/>
    <m/>
    <n v="563000"/>
    <m/>
    <m/>
    <n v="1"/>
    <n v="50000"/>
    <m/>
    <n v="30000"/>
    <m/>
    <n v="80000"/>
    <m/>
    <m/>
    <m/>
    <n v="20000"/>
    <m/>
    <m/>
    <m/>
    <m/>
    <m/>
    <m/>
    <m/>
    <m/>
    <n v="20000"/>
    <m/>
    <m/>
    <m/>
    <m/>
    <m/>
    <n v="120000"/>
    <m/>
    <n v="200000"/>
    <m/>
    <m/>
    <m/>
    <x v="121"/>
    <x v="1"/>
    <m/>
    <m/>
    <m/>
    <m/>
    <s v="2925 / 2099"/>
    <m/>
    <m/>
    <m/>
    <m/>
    <m/>
    <m/>
    <m/>
    <s v="N"/>
    <m/>
    <m/>
    <m/>
    <m/>
    <s v="CASH: From AP2925: 30K - IDR/IP grant directly to Kenya Red Cross; PMN to Fed - 50k from LDS; SUPPLIES: 20,000 (mosquito nets) @ $4.44 each + PSR, etc + $20,000 (transport) = $120,000 from AP2099"/>
  </r>
  <r>
    <x v="0"/>
    <n v="160"/>
    <x v="166"/>
    <d v="2006-11-01T00:00:00"/>
    <x v="11"/>
    <n v="11"/>
    <m/>
    <x v="11"/>
    <n v="22"/>
    <x v="1"/>
    <s v="Somalia"/>
    <s v="Hydrometerological"/>
    <x v="2"/>
    <s v="General Floods"/>
    <s v="General Floods"/>
    <m/>
    <x v="1"/>
    <s v="ICRC"/>
    <x v="23"/>
    <s v="REX 06/813"/>
    <x v="0"/>
    <m/>
    <m/>
    <m/>
    <n v="324000"/>
    <m/>
    <m/>
    <m/>
    <m/>
    <n v="100000"/>
    <m/>
    <m/>
    <n v="100000"/>
    <m/>
    <m/>
    <m/>
    <m/>
    <m/>
    <m/>
    <m/>
    <m/>
    <m/>
    <m/>
    <m/>
    <m/>
    <m/>
    <m/>
    <m/>
    <m/>
    <m/>
    <m/>
    <m/>
    <m/>
    <n v="100000"/>
    <m/>
    <m/>
    <m/>
    <x v="5"/>
    <x v="2"/>
    <m/>
    <m/>
    <m/>
    <m/>
    <n v="2099"/>
    <m/>
    <m/>
    <m/>
    <m/>
    <m/>
    <m/>
    <m/>
    <s v="N"/>
    <m/>
    <m/>
    <m/>
    <m/>
    <s v="Contribution to ICRC 2006 Somalia Emergency Appeal - spec those affected by floods"/>
  </r>
  <r>
    <x v="13"/>
    <n v="161"/>
    <x v="46"/>
    <d v="2007-02-01T00:00:00"/>
    <x v="11"/>
    <n v="12"/>
    <m/>
    <x v="12"/>
    <n v="1"/>
    <x v="1"/>
    <s v="Mozambique"/>
    <s v="Hydrometerological"/>
    <x v="2"/>
    <s v="General Floods"/>
    <s v="General Floods"/>
    <m/>
    <x v="1"/>
    <s v="IFRC"/>
    <x v="24"/>
    <s v="MDRMZ002"/>
    <x v="0"/>
    <m/>
    <m/>
    <m/>
    <n v="100000"/>
    <m/>
    <m/>
    <m/>
    <m/>
    <m/>
    <m/>
    <m/>
    <n v="0"/>
    <n v="2"/>
    <s v="Relief ERU"/>
    <m/>
    <n v="26950"/>
    <m/>
    <m/>
    <n v="7050"/>
    <m/>
    <m/>
    <m/>
    <m/>
    <m/>
    <m/>
    <m/>
    <n v="3900"/>
    <m/>
    <m/>
    <m/>
    <n v="200000"/>
    <n v="45000"/>
    <n v="245000"/>
    <m/>
    <m/>
    <m/>
    <x v="122"/>
    <x v="1"/>
    <m/>
    <m/>
    <m/>
    <m/>
    <s v="2099 /2936"/>
    <m/>
    <m/>
    <m/>
    <m/>
    <m/>
    <m/>
    <m/>
    <s v="N"/>
    <m/>
    <m/>
    <m/>
    <s v="Caia"/>
    <s v="SUPPLIES: 7050 blankets @ $3.75, 3900 tarps @ $14.20, 16,000 sleeping mats @ $1.70; PEOPLE: Relief ERU deployment - T. Reines, G. Guinta, 1 month, 2nd team rotation from  AP2936"/>
  </r>
  <r>
    <x v="14"/>
    <n v="162"/>
    <x v="48"/>
    <d v="2007-02-01T00:00:00"/>
    <x v="11"/>
    <n v="13"/>
    <m/>
    <x v="12"/>
    <n v="2"/>
    <x v="2"/>
    <s v="Bolivia"/>
    <s v="Hydrometerological"/>
    <x v="2"/>
    <s v="General Floods"/>
    <s v="General Floods"/>
    <m/>
    <x v="1"/>
    <s v="IFRC"/>
    <x v="25"/>
    <s v="MDRBO002"/>
    <x v="0"/>
    <m/>
    <m/>
    <m/>
    <n v="35940"/>
    <m/>
    <m/>
    <n v="1"/>
    <n v="150000"/>
    <m/>
    <m/>
    <m/>
    <n v="150000"/>
    <m/>
    <m/>
    <m/>
    <m/>
    <m/>
    <m/>
    <m/>
    <m/>
    <m/>
    <m/>
    <m/>
    <m/>
    <m/>
    <m/>
    <m/>
    <m/>
    <m/>
    <m/>
    <m/>
    <m/>
    <n v="150000"/>
    <m/>
    <m/>
    <m/>
    <x v="13"/>
    <x v="1"/>
    <m/>
    <m/>
    <m/>
    <m/>
    <s v="2099 / 2666"/>
    <m/>
    <m/>
    <m/>
    <m/>
    <m/>
    <m/>
    <m/>
    <s v="N"/>
    <m/>
    <m/>
    <m/>
    <m/>
    <s v="$50,000 PMN to Fed - unearmarked from 2099; $100,000  from 2666 - OFDA grant to Fed via PMN. Earmarked for 1500 food parcels, 1500 tool kits and remaining goes to transport costs."/>
  </r>
  <r>
    <x v="0"/>
    <n v="163"/>
    <x v="167"/>
    <d v="2007-03-01T00:00:00"/>
    <x v="11"/>
    <n v="14"/>
    <m/>
    <x v="12"/>
    <n v="3"/>
    <x v="3"/>
    <s v="Sri Lanka"/>
    <s v="Human Related"/>
    <x v="8"/>
    <s v="Conflict"/>
    <s v="Conflict"/>
    <m/>
    <x v="1"/>
    <s v="ICRC"/>
    <x v="26"/>
    <s v="REX 07/376"/>
    <x v="0"/>
    <m/>
    <m/>
    <m/>
    <n v="150000"/>
    <m/>
    <m/>
    <m/>
    <m/>
    <n v="2000000"/>
    <m/>
    <m/>
    <n v="2000000"/>
    <m/>
    <m/>
    <m/>
    <m/>
    <m/>
    <m/>
    <m/>
    <m/>
    <m/>
    <m/>
    <m/>
    <m/>
    <m/>
    <m/>
    <m/>
    <m/>
    <m/>
    <m/>
    <m/>
    <m/>
    <n v="2000000"/>
    <m/>
    <m/>
    <m/>
    <x v="123"/>
    <x v="1"/>
    <m/>
    <m/>
    <m/>
    <m/>
    <s v="2695 /2692"/>
    <m/>
    <m/>
    <m/>
    <m/>
    <m/>
    <m/>
    <m/>
    <s v="N"/>
    <m/>
    <m/>
    <m/>
    <m/>
    <s v="Contribution to ICRC 2007 Sri Lanka Emergency Appeal - to build the capacity of the SLRCS in disaster relief, IHL and overall cooperation. $320K earmarked to support ICRC HQ ops"/>
  </r>
  <r>
    <x v="0"/>
    <n v="164"/>
    <x v="168"/>
    <d v="2007-03-01T00:00:00"/>
    <x v="11"/>
    <n v="15"/>
    <m/>
    <x v="12"/>
    <n v="4"/>
    <x v="1"/>
    <s v="Madagascar"/>
    <s v="Hydrometerological"/>
    <x v="5"/>
    <s v="Tropical Cyclone"/>
    <s v="Cyclone"/>
    <m/>
    <x v="1"/>
    <s v="IFRC"/>
    <x v="27"/>
    <s v="MDRMG002"/>
    <x v="0"/>
    <m/>
    <m/>
    <m/>
    <n v="60000"/>
    <m/>
    <m/>
    <m/>
    <m/>
    <m/>
    <m/>
    <m/>
    <n v="0"/>
    <n v="5"/>
    <s v="Relief ERU"/>
    <m/>
    <n v="10000"/>
    <m/>
    <m/>
    <m/>
    <m/>
    <m/>
    <m/>
    <m/>
    <m/>
    <n v="1000"/>
    <m/>
    <m/>
    <m/>
    <m/>
    <m/>
    <n v="74000"/>
    <n v="28000"/>
    <n v="102000"/>
    <m/>
    <m/>
    <m/>
    <x v="124"/>
    <x v="1"/>
    <m/>
    <m/>
    <m/>
    <m/>
    <s v="2936 / 2799"/>
    <m/>
    <m/>
    <m/>
    <m/>
    <m/>
    <m/>
    <m/>
    <s v="N"/>
    <m/>
    <m/>
    <m/>
    <s v="Indlala / Jaya"/>
    <s v="SUPPLIES: 1000 Mosquito Nets - $74,000 from 2799; PEOPLE: Deployed B. Gaillis, FACT, 3 wks; Deployed Relief ERU - C. Chaperon, G. Matthews 4 wks; Deployed 2nd rotation of Relief ERU - J. Manley, S. Hagerich, 4 wks - $18,000 cost from 2936"/>
  </r>
  <r>
    <x v="15"/>
    <n v="165"/>
    <x v="169"/>
    <d v="2007-04-01T00:00:00"/>
    <x v="11"/>
    <n v="16"/>
    <m/>
    <x v="12"/>
    <n v="5"/>
    <x v="3"/>
    <s v="Solomon Islands"/>
    <s v="Geophysical"/>
    <x v="3"/>
    <s v="Tsunami"/>
    <s v="Tsunami"/>
    <m/>
    <x v="1"/>
    <s v="IFRC"/>
    <x v="28"/>
    <s v="MDRSB001"/>
    <x v="0"/>
    <m/>
    <m/>
    <m/>
    <n v="9000"/>
    <m/>
    <m/>
    <n v="1"/>
    <n v="50000"/>
    <m/>
    <m/>
    <m/>
    <n v="50000"/>
    <m/>
    <m/>
    <m/>
    <m/>
    <m/>
    <m/>
    <m/>
    <m/>
    <m/>
    <m/>
    <m/>
    <m/>
    <m/>
    <m/>
    <m/>
    <m/>
    <m/>
    <m/>
    <m/>
    <m/>
    <n v="50000"/>
    <m/>
    <m/>
    <m/>
    <x v="16"/>
    <x v="1"/>
    <m/>
    <m/>
    <m/>
    <m/>
    <n v="2881"/>
    <m/>
    <m/>
    <m/>
    <m/>
    <m/>
    <m/>
    <m/>
    <s v="N"/>
    <m/>
    <m/>
    <m/>
    <m/>
    <s v="PMN to Fed - unearmarked"/>
  </r>
  <r>
    <x v="0"/>
    <n v="166"/>
    <x v="170"/>
    <d v="2007-05-01T00:00:00"/>
    <x v="11"/>
    <n v="17"/>
    <m/>
    <x v="12"/>
    <n v="6"/>
    <x v="2"/>
    <s v="Colombia"/>
    <s v="Hydrometerological"/>
    <x v="2"/>
    <s v="General Floods"/>
    <s v="General Floods"/>
    <m/>
    <x v="0"/>
    <m/>
    <x v="0"/>
    <m/>
    <x v="0"/>
    <m/>
    <m/>
    <m/>
    <m/>
    <m/>
    <n v="3600"/>
    <m/>
    <m/>
    <m/>
    <n v="5000"/>
    <m/>
    <n v="5000"/>
    <m/>
    <m/>
    <m/>
    <m/>
    <m/>
    <m/>
    <m/>
    <m/>
    <m/>
    <m/>
    <m/>
    <m/>
    <m/>
    <m/>
    <m/>
    <m/>
    <m/>
    <m/>
    <m/>
    <m/>
    <n v="5000"/>
    <m/>
    <m/>
    <m/>
    <x v="46"/>
    <x v="2"/>
    <m/>
    <m/>
    <m/>
    <m/>
    <n v="2799"/>
    <m/>
    <m/>
    <m/>
    <m/>
    <m/>
    <m/>
    <m/>
    <s v="Y"/>
    <m/>
    <m/>
    <m/>
    <s v="Tolima"/>
    <s v="Grant to NS for NFIs, health team visits, general admin costs"/>
  </r>
  <r>
    <x v="0"/>
    <n v="167"/>
    <x v="171"/>
    <d v="2007-05-01T00:00:00"/>
    <x v="11"/>
    <n v="18"/>
    <m/>
    <x v="12"/>
    <n v="7"/>
    <x v="2"/>
    <s v="Mexico"/>
    <s v="Hydrometerological"/>
    <x v="5"/>
    <s v="Local Storm"/>
    <s v="Tornado"/>
    <m/>
    <x v="0"/>
    <s v="NS"/>
    <x v="0"/>
    <m/>
    <x v="0"/>
    <m/>
    <m/>
    <m/>
    <m/>
    <m/>
    <n v="3000"/>
    <m/>
    <m/>
    <m/>
    <n v="20000"/>
    <m/>
    <n v="20000"/>
    <m/>
    <m/>
    <m/>
    <m/>
    <m/>
    <m/>
    <m/>
    <m/>
    <m/>
    <m/>
    <m/>
    <m/>
    <m/>
    <m/>
    <m/>
    <m/>
    <m/>
    <m/>
    <m/>
    <m/>
    <n v="20000"/>
    <m/>
    <m/>
    <m/>
    <x v="25"/>
    <x v="1"/>
    <m/>
    <m/>
    <m/>
    <m/>
    <n v="2690"/>
    <m/>
    <m/>
    <m/>
    <m/>
    <m/>
    <m/>
    <m/>
    <s v="N"/>
    <m/>
    <m/>
    <m/>
    <s v="Coahuila"/>
    <s v="Grant to NS for NFIs - kitchen, hygiene, baby kits; laterns w/ radios"/>
  </r>
  <r>
    <x v="0"/>
    <n v="168"/>
    <x v="165"/>
    <d v="2007-06-01T00:00:00"/>
    <x v="11"/>
    <n v="19"/>
    <m/>
    <x v="12"/>
    <n v="8"/>
    <x v="1"/>
    <s v="Somalia"/>
    <s v="Human Related"/>
    <x v="8"/>
    <s v="Conflict"/>
    <s v="Conflict"/>
    <m/>
    <x v="1"/>
    <s v="ICRC"/>
    <x v="29"/>
    <s v="REX 07/347"/>
    <x v="0"/>
    <m/>
    <m/>
    <m/>
    <n v="612000"/>
    <m/>
    <m/>
    <n v="1"/>
    <m/>
    <n v="100000"/>
    <m/>
    <m/>
    <n v="100000"/>
    <m/>
    <m/>
    <m/>
    <m/>
    <m/>
    <m/>
    <m/>
    <m/>
    <m/>
    <m/>
    <m/>
    <m/>
    <m/>
    <m/>
    <m/>
    <m/>
    <m/>
    <m/>
    <m/>
    <m/>
    <n v="100000"/>
    <m/>
    <m/>
    <m/>
    <x v="5"/>
    <x v="1"/>
    <m/>
    <m/>
    <m/>
    <m/>
    <n v="2817"/>
    <m/>
    <m/>
    <m/>
    <m/>
    <m/>
    <m/>
    <m/>
    <s v="N"/>
    <m/>
    <m/>
    <m/>
    <m/>
    <s v="Contribution to ICRC 2007 Somalia Emergency Appeal: Budget Extension - support for capacity bldg."/>
  </r>
  <r>
    <x v="0"/>
    <n v="169"/>
    <x v="125"/>
    <d v="2007-06-01T00:00:00"/>
    <x v="11"/>
    <n v="20"/>
    <m/>
    <x v="12"/>
    <n v="9"/>
    <x v="1"/>
    <s v="Sudan"/>
    <s v="Human Related"/>
    <x v="8"/>
    <s v="Conflict"/>
    <s v="Conflict"/>
    <m/>
    <x v="1"/>
    <s v="ICRC"/>
    <x v="30"/>
    <s v="REX 07/207"/>
    <x v="0"/>
    <m/>
    <m/>
    <m/>
    <n v="125000"/>
    <m/>
    <m/>
    <m/>
    <m/>
    <n v="200000"/>
    <m/>
    <m/>
    <n v="200000"/>
    <m/>
    <m/>
    <m/>
    <m/>
    <m/>
    <m/>
    <m/>
    <m/>
    <m/>
    <m/>
    <m/>
    <m/>
    <m/>
    <m/>
    <m/>
    <m/>
    <m/>
    <m/>
    <m/>
    <m/>
    <n v="200000"/>
    <m/>
    <m/>
    <m/>
    <x v="121"/>
    <x v="1"/>
    <m/>
    <m/>
    <m/>
    <m/>
    <n v="2661"/>
    <m/>
    <m/>
    <m/>
    <m/>
    <m/>
    <m/>
    <m/>
    <s v="N"/>
    <m/>
    <m/>
    <m/>
    <m/>
    <s v="Contribution to ICRC 2007 Sudan Emergency Appeal: Budget Extension - support for capacity bldg."/>
  </r>
  <r>
    <x v="16"/>
    <n v="170"/>
    <x v="172"/>
    <d v="2007-07-01T00:00:00"/>
    <x v="12"/>
    <n v="1"/>
    <m/>
    <x v="12"/>
    <n v="10"/>
    <x v="3"/>
    <s v="Pakistan"/>
    <s v="Hydrometerological"/>
    <x v="5"/>
    <s v="Tropical Cyclone"/>
    <s v="Cyclone"/>
    <n v="1500000"/>
    <x v="1"/>
    <s v="IFRC"/>
    <x v="31"/>
    <s v="MDRPK001"/>
    <x v="0"/>
    <m/>
    <m/>
    <m/>
    <n v="257500"/>
    <m/>
    <m/>
    <n v="1"/>
    <n v="285000"/>
    <m/>
    <m/>
    <m/>
    <n v="285000"/>
    <n v="1"/>
    <m/>
    <m/>
    <m/>
    <m/>
    <m/>
    <m/>
    <m/>
    <m/>
    <m/>
    <m/>
    <m/>
    <m/>
    <m/>
    <m/>
    <m/>
    <m/>
    <m/>
    <m/>
    <n v="10000"/>
    <n v="295000"/>
    <m/>
    <m/>
    <m/>
    <x v="125"/>
    <x v="1"/>
    <m/>
    <m/>
    <m/>
    <m/>
    <s v="2099/2897"/>
    <m/>
    <m/>
    <m/>
    <m/>
    <m/>
    <m/>
    <m/>
    <s v="N"/>
    <m/>
    <m/>
    <m/>
    <s v="Yemyin"/>
    <s v="CASH: PMN to Fed - unearmarked; PEOPLE: T. Betz deployed on FACT as Relief/Logs Ap2897"/>
  </r>
  <r>
    <x v="17"/>
    <n v="171"/>
    <x v="19"/>
    <d v="2007-07-01T00:00:00"/>
    <x v="12"/>
    <n v="2"/>
    <m/>
    <x v="12"/>
    <n v="11"/>
    <x v="3"/>
    <s v="Bangladesh"/>
    <s v="Hydrometerological"/>
    <x v="2"/>
    <s v="General Floods"/>
    <s v="General Floods"/>
    <n v="2300000"/>
    <x v="1"/>
    <s v="IFRC"/>
    <x v="32"/>
    <s v="MDRBD002"/>
    <x v="14"/>
    <n v="0.95"/>
    <m/>
    <m/>
    <n v="1200000"/>
    <m/>
    <m/>
    <n v="1"/>
    <n v="124500"/>
    <m/>
    <m/>
    <m/>
    <n v="124500"/>
    <m/>
    <m/>
    <m/>
    <m/>
    <m/>
    <m/>
    <m/>
    <m/>
    <m/>
    <m/>
    <m/>
    <m/>
    <m/>
    <m/>
    <m/>
    <m/>
    <m/>
    <m/>
    <m/>
    <m/>
    <n v="124500"/>
    <m/>
    <m/>
    <m/>
    <x v="126"/>
    <x v="1"/>
    <m/>
    <m/>
    <m/>
    <m/>
    <s v="2017 / 2099"/>
    <m/>
    <m/>
    <m/>
    <m/>
    <m/>
    <m/>
    <m/>
    <s v="N"/>
    <m/>
    <m/>
    <m/>
    <m/>
    <s v="CASH: $24,500 PMN to Fed - unearmarked from 2017; $100,000 PMN to Fed - unearmarked from 2099;"/>
  </r>
  <r>
    <x v="0"/>
    <n v="172"/>
    <x v="105"/>
    <d v="2007-07-01T00:00:00"/>
    <x v="12"/>
    <n v="3"/>
    <m/>
    <x v="12"/>
    <n v="12"/>
    <x v="3"/>
    <s v="Iraq"/>
    <s v="Human Related"/>
    <x v="8"/>
    <s v="Conflict"/>
    <s v="Conflict"/>
    <n v="2000000"/>
    <x v="1"/>
    <s v="IFRC"/>
    <x v="33"/>
    <s v="MDR81002"/>
    <x v="15"/>
    <m/>
    <m/>
    <m/>
    <n v="250000"/>
    <m/>
    <m/>
    <n v="1"/>
    <n v="250000"/>
    <m/>
    <m/>
    <m/>
    <n v="250000"/>
    <m/>
    <m/>
    <m/>
    <m/>
    <m/>
    <m/>
    <m/>
    <m/>
    <m/>
    <m/>
    <m/>
    <m/>
    <m/>
    <m/>
    <m/>
    <m/>
    <m/>
    <m/>
    <m/>
    <m/>
    <n v="250000"/>
    <m/>
    <m/>
    <m/>
    <x v="35"/>
    <x v="2"/>
    <m/>
    <m/>
    <m/>
    <m/>
    <n v="2099"/>
    <m/>
    <m/>
    <m/>
    <m/>
    <m/>
    <m/>
    <m/>
    <s v="N"/>
    <m/>
    <m/>
    <m/>
    <s v="Refugees from Iraq in Syria and Jordan"/>
    <s v="PMN to Fed - unearmarked"/>
  </r>
  <r>
    <x v="18"/>
    <n v="173"/>
    <x v="162"/>
    <d v="2007-07-01T00:00:00"/>
    <x v="12"/>
    <n v="4"/>
    <m/>
    <x v="12"/>
    <n v="13"/>
    <x v="1"/>
    <s v="Sudan"/>
    <s v="Hydrometerological"/>
    <x v="2"/>
    <s v="General Floods"/>
    <s v="General Floods"/>
    <n v="365000"/>
    <x v="1"/>
    <s v="IFRC"/>
    <x v="34"/>
    <s v="MDRSD004"/>
    <x v="0"/>
    <m/>
    <m/>
    <m/>
    <n v="200000"/>
    <m/>
    <m/>
    <n v="1"/>
    <n v="100000"/>
    <m/>
    <m/>
    <m/>
    <n v="100000"/>
    <n v="1"/>
    <m/>
    <m/>
    <n v="10000"/>
    <m/>
    <m/>
    <m/>
    <m/>
    <m/>
    <m/>
    <m/>
    <m/>
    <n v="10000"/>
    <m/>
    <m/>
    <m/>
    <m/>
    <m/>
    <n v="44400"/>
    <n v="9000"/>
    <n v="153400"/>
    <m/>
    <m/>
    <m/>
    <x v="127"/>
    <x v="1"/>
    <m/>
    <m/>
    <m/>
    <m/>
    <s v="2802 /2099"/>
    <m/>
    <m/>
    <m/>
    <m/>
    <m/>
    <m/>
    <m/>
    <s v="N"/>
    <m/>
    <m/>
    <m/>
    <m/>
    <s v="CASH: $100,000 PMN to Fed earmarked for improved emergency shelters (Appeal obj 1) and tree saplings (obj 4) for 500 families from AP 2099; PEOPLE: N.Cooper deployed on FACT as Relief/Shelter"/>
  </r>
  <r>
    <x v="19"/>
    <n v="174"/>
    <x v="173"/>
    <d v="2007-07-01T00:00:00"/>
    <x v="12"/>
    <n v="5"/>
    <m/>
    <x v="12"/>
    <n v="15"/>
    <x v="3"/>
    <s v="United Kingdom"/>
    <s v="Hydrometerological"/>
    <x v="2"/>
    <s v="General Floods"/>
    <s v="General Floods"/>
    <n v="1000000"/>
    <x v="0"/>
    <m/>
    <x v="0"/>
    <m/>
    <x v="0"/>
    <m/>
    <m/>
    <m/>
    <m/>
    <m/>
    <m/>
    <m/>
    <m/>
    <m/>
    <n v="20188"/>
    <m/>
    <n v="20188"/>
    <m/>
    <m/>
    <m/>
    <m/>
    <m/>
    <m/>
    <m/>
    <m/>
    <m/>
    <m/>
    <m/>
    <m/>
    <m/>
    <m/>
    <m/>
    <m/>
    <m/>
    <m/>
    <m/>
    <m/>
    <n v="20188"/>
    <m/>
    <m/>
    <m/>
    <x v="128"/>
    <x v="1"/>
    <m/>
    <m/>
    <m/>
    <m/>
    <n v="2605"/>
    <m/>
    <m/>
    <m/>
    <m/>
    <m/>
    <m/>
    <m/>
    <s v="N"/>
    <m/>
    <m/>
    <m/>
    <m/>
    <s v="Grant letter to British Red Cross; 10,000 GBP donation from Cargill + individual donations"/>
  </r>
  <r>
    <x v="20"/>
    <n v="175"/>
    <x v="174"/>
    <d v="2007-08-01T00:00:00"/>
    <x v="12"/>
    <n v="6"/>
    <m/>
    <x v="12"/>
    <n v="16"/>
    <x v="3"/>
    <s v="Nepal"/>
    <s v="Hydrometerological"/>
    <x v="2"/>
    <s v="General Floods"/>
    <s v="General Floods"/>
    <n v="645000"/>
    <x v="1"/>
    <s v="IFRC"/>
    <x v="35"/>
    <m/>
    <x v="16"/>
    <m/>
    <s v="Y"/>
    <m/>
    <n v="150000"/>
    <m/>
    <m/>
    <n v="1"/>
    <n v="50000"/>
    <m/>
    <m/>
    <m/>
    <n v="50000"/>
    <m/>
    <m/>
    <m/>
    <m/>
    <m/>
    <m/>
    <m/>
    <m/>
    <m/>
    <m/>
    <m/>
    <m/>
    <m/>
    <m/>
    <m/>
    <m/>
    <m/>
    <m/>
    <m/>
    <m/>
    <n v="50000"/>
    <m/>
    <m/>
    <m/>
    <x v="16"/>
    <x v="2"/>
    <m/>
    <m/>
    <m/>
    <m/>
    <n v="2099"/>
    <m/>
    <m/>
    <m/>
    <m/>
    <m/>
    <m/>
    <m/>
    <s v="N"/>
    <m/>
    <m/>
    <m/>
    <m/>
    <s v="PMN to Fed - unearmarked"/>
  </r>
  <r>
    <x v="21"/>
    <n v="176"/>
    <x v="54"/>
    <d v="2007-08-01T00:00:00"/>
    <x v="12"/>
    <n v="7"/>
    <m/>
    <x v="12"/>
    <n v="17"/>
    <x v="2"/>
    <s v="Peru"/>
    <s v="Geophysical"/>
    <x v="3"/>
    <s v="Earthquake"/>
    <s v="Earthquake"/>
    <n v="655000"/>
    <x v="1"/>
    <s v="IFRC"/>
    <x v="36"/>
    <s v="MDRPE003"/>
    <x v="17"/>
    <n v="0.93"/>
    <m/>
    <m/>
    <n v="37500"/>
    <m/>
    <m/>
    <n v="1"/>
    <n v="300000"/>
    <m/>
    <m/>
    <m/>
    <n v="300000"/>
    <n v="6"/>
    <m/>
    <m/>
    <n v="16500"/>
    <m/>
    <n v="3500"/>
    <m/>
    <m/>
    <m/>
    <m/>
    <n v="2000"/>
    <m/>
    <m/>
    <m/>
    <n v="11000"/>
    <m/>
    <m/>
    <m/>
    <n v="214800"/>
    <n v="5000"/>
    <n v="519800"/>
    <m/>
    <m/>
    <m/>
    <x v="129"/>
    <x v="1"/>
    <m/>
    <m/>
    <m/>
    <m/>
    <n v="2816"/>
    <m/>
    <m/>
    <m/>
    <m/>
    <m/>
    <m/>
    <m/>
    <s v="N"/>
    <m/>
    <m/>
    <s v="y"/>
    <m/>
    <s v="CASH: 100K PMN Unearmarked, 200K PMN earmarked for hygiene kits, jerry cans and shelter kits + ops costs; SUPPLIES: hygiene kits @ $13.55; tarps @ $11.30; kitchen sets @ $14.55 + PSR; PEOPLE: C Michaud deployed on Relief ERU (2 days) replaced by L Aceves for 1 month; C Chaperon sent to deliver equipment; Roberto Brito and Richard Urrutia (early recovery assmt); Shelley Cheatham (Admin/Ops), Lee Malany (shelter) and Jessica (PSP early recovery delegate)"/>
  </r>
  <r>
    <x v="22"/>
    <n v="177"/>
    <x v="175"/>
    <d v="2007-08-01T00:00:00"/>
    <x v="12"/>
    <n v="8"/>
    <m/>
    <x v="12"/>
    <n v="18"/>
    <x v="2"/>
    <s v="Jamaica"/>
    <s v="Hydrometerological"/>
    <x v="5"/>
    <s v="Tropical Cyclone"/>
    <s v="Hurricane"/>
    <n v="210000"/>
    <x v="1"/>
    <s v="IFRC"/>
    <x v="37"/>
    <s v="MDR49001"/>
    <x v="0"/>
    <m/>
    <m/>
    <m/>
    <n v="108550"/>
    <m/>
    <n v="5000"/>
    <m/>
    <m/>
    <m/>
    <m/>
    <m/>
    <n v="0"/>
    <m/>
    <m/>
    <m/>
    <n v="2350"/>
    <m/>
    <n v="1000"/>
    <m/>
    <m/>
    <m/>
    <m/>
    <n v="1000"/>
    <m/>
    <m/>
    <m/>
    <n v="350"/>
    <m/>
    <m/>
    <m/>
    <n v="34565"/>
    <m/>
    <n v="34565"/>
    <m/>
    <m/>
    <m/>
    <x v="130"/>
    <x v="1"/>
    <m/>
    <m/>
    <m/>
    <m/>
    <n v="2837"/>
    <m/>
    <m/>
    <m/>
    <m/>
    <m/>
    <m/>
    <m/>
    <s v="N"/>
    <m/>
    <m/>
    <m/>
    <s v="Dean"/>
    <m/>
  </r>
  <r>
    <x v="22"/>
    <n v="177"/>
    <x v="175"/>
    <d v="2007-08-01T00:00:00"/>
    <x v="12"/>
    <n v="8"/>
    <m/>
    <x v="12"/>
    <n v="18"/>
    <x v="2"/>
    <s v="Mexico"/>
    <s v="Hydrometerological"/>
    <x v="5"/>
    <s v="Tropical Cyclone"/>
    <s v="Hurricane"/>
    <m/>
    <x v="0"/>
    <m/>
    <x v="0"/>
    <m/>
    <x v="0"/>
    <m/>
    <m/>
    <m/>
    <m/>
    <m/>
    <n v="24000"/>
    <m/>
    <m/>
    <m/>
    <n v="298680"/>
    <m/>
    <n v="298680"/>
    <n v="1"/>
    <m/>
    <m/>
    <m/>
    <m/>
    <m/>
    <m/>
    <m/>
    <m/>
    <m/>
    <m/>
    <m/>
    <m/>
    <m/>
    <m/>
    <m/>
    <m/>
    <m/>
    <m/>
    <m/>
    <n v="298680"/>
    <m/>
    <m/>
    <m/>
    <x v="131"/>
    <x v="1"/>
    <m/>
    <m/>
    <m/>
    <m/>
    <s v="2868 / 2099"/>
    <m/>
    <m/>
    <m/>
    <m/>
    <m/>
    <m/>
    <m/>
    <s v="N"/>
    <m/>
    <m/>
    <m/>
    <s v="Dean"/>
    <s v="CASH:  ARC grant ($76k) to MRC for hygiene kits, kitchen sets, and roofing materials for 670 families; ARC/OFDA subgrant to MRC ($222k) for 1,830 families; PEOPLE: Shelley Cheatham (Monitoring)"/>
  </r>
  <r>
    <x v="22"/>
    <n v="177"/>
    <x v="175"/>
    <d v="2007-08-01T00:00:00"/>
    <x v="12"/>
    <n v="8"/>
    <m/>
    <x v="12"/>
    <n v="18"/>
    <x v="2"/>
    <s v="Haiti"/>
    <s v="Hydrometerological"/>
    <x v="5"/>
    <s v="Tropical Cyclone"/>
    <s v="Hurricane"/>
    <m/>
    <x v="0"/>
    <m/>
    <x v="0"/>
    <m/>
    <x v="0"/>
    <m/>
    <m/>
    <m/>
    <m/>
    <m/>
    <m/>
    <m/>
    <m/>
    <m/>
    <n v="2500"/>
    <m/>
    <n v="2500"/>
    <n v="1"/>
    <m/>
    <m/>
    <m/>
    <m/>
    <m/>
    <m/>
    <m/>
    <m/>
    <m/>
    <m/>
    <m/>
    <m/>
    <m/>
    <m/>
    <m/>
    <m/>
    <m/>
    <m/>
    <m/>
    <n v="2500"/>
    <m/>
    <m/>
    <m/>
    <x v="132"/>
    <x v="1"/>
    <m/>
    <m/>
    <m/>
    <m/>
    <n v="2837"/>
    <m/>
    <m/>
    <m/>
    <m/>
    <m/>
    <m/>
    <m/>
    <s v="N"/>
    <m/>
    <m/>
    <m/>
    <s v="Dean"/>
    <s v="CASH: Grant to Haitian Red Cross - restock relief supplies; PEOPLE: Brigitte Gaillis (Contingency Planning)"/>
  </r>
  <r>
    <x v="23"/>
    <n v="178"/>
    <x v="176"/>
    <d v="2007-09-01T00:00:00"/>
    <x v="12"/>
    <n v="9"/>
    <m/>
    <x v="12"/>
    <n v="19"/>
    <x v="3"/>
    <s v="Greece"/>
    <s v="Hydrometerological"/>
    <x v="15"/>
    <s v="Forest Fire"/>
    <s v="Fire"/>
    <m/>
    <x v="0"/>
    <m/>
    <x v="0"/>
    <m/>
    <x v="0"/>
    <m/>
    <m/>
    <m/>
    <m/>
    <m/>
    <m/>
    <m/>
    <m/>
    <m/>
    <n v="40000"/>
    <m/>
    <n v="40000"/>
    <m/>
    <m/>
    <m/>
    <m/>
    <m/>
    <m/>
    <m/>
    <m/>
    <m/>
    <m/>
    <m/>
    <m/>
    <m/>
    <m/>
    <m/>
    <m/>
    <m/>
    <m/>
    <m/>
    <m/>
    <n v="40000"/>
    <m/>
    <m/>
    <m/>
    <x v="27"/>
    <x v="2"/>
    <m/>
    <m/>
    <m/>
    <m/>
    <n v="2099"/>
    <m/>
    <m/>
    <m/>
    <m/>
    <m/>
    <m/>
    <m/>
    <s v="N"/>
    <m/>
    <m/>
    <m/>
    <m/>
    <s v="UPS 25k, Gen Mills 15k - Grant letter"/>
  </r>
  <r>
    <x v="24"/>
    <n v="179"/>
    <x v="177"/>
    <d v="2007-09-01T00:00:00"/>
    <x v="12"/>
    <n v="10"/>
    <m/>
    <x v="12"/>
    <n v="20"/>
    <x v="2"/>
    <s v="Nicaragua"/>
    <s v="Hydrometerological"/>
    <x v="5"/>
    <s v="Tropical Cyclone"/>
    <s v="Hurricane"/>
    <n v="175000"/>
    <x v="1"/>
    <s v="IFRC"/>
    <x v="38"/>
    <s v="MDR43002"/>
    <x v="18"/>
    <m/>
    <m/>
    <m/>
    <n v="31658"/>
    <m/>
    <m/>
    <n v="1"/>
    <n v="50000"/>
    <m/>
    <m/>
    <m/>
    <n v="50000"/>
    <m/>
    <m/>
    <m/>
    <m/>
    <m/>
    <m/>
    <m/>
    <m/>
    <m/>
    <m/>
    <m/>
    <m/>
    <m/>
    <m/>
    <m/>
    <m/>
    <m/>
    <m/>
    <m/>
    <m/>
    <n v="50000"/>
    <m/>
    <m/>
    <m/>
    <x v="16"/>
    <x v="2"/>
    <m/>
    <m/>
    <m/>
    <m/>
    <n v="2099"/>
    <m/>
    <m/>
    <m/>
    <m/>
    <m/>
    <m/>
    <m/>
    <s v="N"/>
    <m/>
    <m/>
    <m/>
    <s v="Felix"/>
    <s v="PMN to Fed - earmarked $50,000 for Nicaragua and $22,500 for Honduras (includes $25,000 from Exxon for Honduras); "/>
  </r>
  <r>
    <x v="24"/>
    <n v="179"/>
    <x v="177"/>
    <d v="2007-09-01T00:00:00"/>
    <x v="12"/>
    <n v="10"/>
    <m/>
    <x v="12"/>
    <n v="20"/>
    <x v="2"/>
    <s v="Honduras"/>
    <s v="Hydrometerological"/>
    <x v="5"/>
    <s v="Tropical Cyclone"/>
    <s v="Hurricane"/>
    <m/>
    <x v="0"/>
    <m/>
    <x v="0"/>
    <m/>
    <x v="0"/>
    <m/>
    <m/>
    <m/>
    <m/>
    <m/>
    <m/>
    <n v="0"/>
    <n v="22500"/>
    <m/>
    <m/>
    <m/>
    <n v="22500"/>
    <m/>
    <m/>
    <m/>
    <m/>
    <m/>
    <m/>
    <m/>
    <m/>
    <m/>
    <m/>
    <m/>
    <m/>
    <m/>
    <m/>
    <m/>
    <m/>
    <m/>
    <m/>
    <m/>
    <m/>
    <n v="22500"/>
    <m/>
    <m/>
    <m/>
    <x v="133"/>
    <x v="2"/>
    <m/>
    <m/>
    <m/>
    <m/>
    <n v="2099"/>
    <m/>
    <m/>
    <m/>
    <m/>
    <m/>
    <m/>
    <m/>
    <s v="N"/>
    <m/>
    <m/>
    <m/>
    <s v="Felix"/>
    <m/>
  </r>
  <r>
    <x v="24"/>
    <n v="179"/>
    <x v="177"/>
    <d v="2007-09-01T00:00:00"/>
    <x v="12"/>
    <n v="10"/>
    <m/>
    <x v="12"/>
    <n v="20"/>
    <x v="2"/>
    <s v="Honduras"/>
    <s v="Hydrometerological"/>
    <x v="5"/>
    <s v="Tropical Cyclone"/>
    <s v="Hurricane"/>
    <m/>
    <x v="0"/>
    <m/>
    <x v="0"/>
    <m/>
    <x v="0"/>
    <m/>
    <m/>
    <m/>
    <m/>
    <m/>
    <m/>
    <n v="0"/>
    <n v="47500"/>
    <m/>
    <m/>
    <m/>
    <n v="47500"/>
    <m/>
    <m/>
    <m/>
    <m/>
    <m/>
    <m/>
    <m/>
    <m/>
    <m/>
    <m/>
    <m/>
    <m/>
    <m/>
    <m/>
    <m/>
    <m/>
    <m/>
    <m/>
    <m/>
    <m/>
    <n v="47500"/>
    <m/>
    <m/>
    <m/>
    <x v="134"/>
    <x v="1"/>
    <m/>
    <m/>
    <m/>
    <m/>
    <n v="2696"/>
    <m/>
    <m/>
    <m/>
    <m/>
    <m/>
    <m/>
    <m/>
    <s v="N"/>
    <m/>
    <m/>
    <m/>
    <s v="Felix"/>
    <s v="CASH: PMN to Fed - unearmarked"/>
  </r>
  <r>
    <x v="25"/>
    <n v="180"/>
    <x v="178"/>
    <d v="2007-09-01T00:00:00"/>
    <x v="12"/>
    <n v="11"/>
    <m/>
    <x v="12"/>
    <n v="21"/>
    <x v="3"/>
    <s v="Indonesia"/>
    <s v="Geophysical"/>
    <x v="3"/>
    <s v="Earthquake"/>
    <s v="Earthquake"/>
    <m/>
    <x v="0"/>
    <m/>
    <x v="0"/>
    <m/>
    <x v="0"/>
    <m/>
    <m/>
    <m/>
    <m/>
    <m/>
    <m/>
    <m/>
    <m/>
    <m/>
    <n v="3000"/>
    <m/>
    <n v="3000"/>
    <m/>
    <m/>
    <m/>
    <m/>
    <m/>
    <m/>
    <m/>
    <m/>
    <m/>
    <m/>
    <m/>
    <m/>
    <m/>
    <m/>
    <m/>
    <m/>
    <m/>
    <m/>
    <m/>
    <m/>
    <n v="3000"/>
    <m/>
    <m/>
    <m/>
    <x v="86"/>
    <x v="2"/>
    <m/>
    <m/>
    <m/>
    <m/>
    <n v="2799"/>
    <m/>
    <m/>
    <m/>
    <m/>
    <m/>
    <m/>
    <m/>
    <s v="Y"/>
    <m/>
    <m/>
    <m/>
    <s v="Bengkulu"/>
    <s v="Per diem for PMI response team"/>
  </r>
  <r>
    <x v="26"/>
    <n v="181"/>
    <x v="179"/>
    <d v="2007-09-01T00:00:00"/>
    <x v="12"/>
    <n v="12"/>
    <m/>
    <x v="12"/>
    <n v="22"/>
    <x v="1"/>
    <s v="Uganda"/>
    <s v="Hydrometerological"/>
    <x v="2"/>
    <s v="General Floods"/>
    <s v="General Floods"/>
    <n v="450000"/>
    <x v="1"/>
    <s v="IFRC"/>
    <x v="39"/>
    <s v="MDRUG006"/>
    <x v="0"/>
    <n v="0.64"/>
    <m/>
    <m/>
    <n v="125000"/>
    <m/>
    <m/>
    <m/>
    <m/>
    <m/>
    <m/>
    <m/>
    <n v="0"/>
    <n v="3"/>
    <s v="IT/Telecoms"/>
    <m/>
    <m/>
    <m/>
    <m/>
    <m/>
    <m/>
    <m/>
    <m/>
    <m/>
    <m/>
    <m/>
    <m/>
    <m/>
    <m/>
    <m/>
    <m/>
    <m/>
    <n v="17400"/>
    <n v="17400"/>
    <m/>
    <m/>
    <m/>
    <x v="135"/>
    <x v="2"/>
    <m/>
    <m/>
    <m/>
    <m/>
    <n v="2799"/>
    <m/>
    <m/>
    <m/>
    <m/>
    <m/>
    <m/>
    <m/>
    <s v="Y"/>
    <m/>
    <m/>
    <m/>
    <m/>
    <s v="C Chaperon (relief) and B Nandiga (wat/san) deployed on FACT.  M Million deployed on joint Danish-American IT/Telecom ERU."/>
  </r>
  <r>
    <x v="27"/>
    <n v="182"/>
    <x v="180"/>
    <d v="2007-09-01T00:00:00"/>
    <x v="12"/>
    <n v="13"/>
    <m/>
    <x v="12"/>
    <n v="23"/>
    <x v="1"/>
    <s v="Togo"/>
    <s v="Hydrometerological"/>
    <x v="2"/>
    <s v="General Floods"/>
    <s v="General Floods"/>
    <n v="185000"/>
    <x v="1"/>
    <s v="IFRC"/>
    <x v="40"/>
    <s v="MDR61002"/>
    <x v="19"/>
    <n v="0.95"/>
    <m/>
    <m/>
    <n v="94825"/>
    <m/>
    <m/>
    <n v="0"/>
    <n v="19970"/>
    <m/>
    <m/>
    <m/>
    <n v="19970"/>
    <m/>
    <m/>
    <m/>
    <m/>
    <m/>
    <m/>
    <m/>
    <m/>
    <m/>
    <m/>
    <m/>
    <m/>
    <m/>
    <m/>
    <m/>
    <m/>
    <m/>
    <m/>
    <m/>
    <m/>
    <n v="19970"/>
    <m/>
    <m/>
    <m/>
    <x v="136"/>
    <x v="2"/>
    <m/>
    <m/>
    <m/>
    <m/>
    <n v="2799"/>
    <m/>
    <m/>
    <m/>
    <m/>
    <m/>
    <m/>
    <m/>
    <s v="Y"/>
    <m/>
    <m/>
    <m/>
    <m/>
    <s v="PMN (CHF 10,300) to cover delegate costs for Youssouff Langui on FACT to Togo.  PMN (CHF 13,102) to cover costs for 3 RDRTs for one month."/>
  </r>
  <r>
    <x v="28"/>
    <n v="183"/>
    <x v="181"/>
    <d v="2007-10-01T00:00:00"/>
    <x v="12"/>
    <n v="14"/>
    <m/>
    <x v="12"/>
    <n v="24"/>
    <x v="2"/>
    <s v="Dominican Republic"/>
    <s v="Hydrometerological"/>
    <x v="5"/>
    <s v="Tropical Cyclone"/>
    <s v="Tropical Storm"/>
    <n v="200000"/>
    <x v="1"/>
    <s v="IFRC"/>
    <x v="41"/>
    <s v="MDR49002"/>
    <x v="20"/>
    <m/>
    <m/>
    <m/>
    <n v="52995"/>
    <m/>
    <m/>
    <n v="0"/>
    <n v="35000"/>
    <m/>
    <m/>
    <m/>
    <n v="35000"/>
    <m/>
    <m/>
    <m/>
    <n v="4000"/>
    <m/>
    <n v="1000"/>
    <m/>
    <m/>
    <m/>
    <m/>
    <n v="1000"/>
    <m/>
    <m/>
    <m/>
    <n v="2000"/>
    <m/>
    <m/>
    <m/>
    <n v="69055"/>
    <m/>
    <n v="104055"/>
    <m/>
    <m/>
    <m/>
    <x v="137"/>
    <x v="1"/>
    <m/>
    <m/>
    <m/>
    <m/>
    <n v="2694"/>
    <m/>
    <m/>
    <m/>
    <m/>
    <m/>
    <m/>
    <m/>
    <s v="N"/>
    <m/>
    <m/>
    <m/>
    <s v="Noel"/>
    <s v="PSR"/>
  </r>
  <r>
    <x v="28"/>
    <n v="183"/>
    <x v="181"/>
    <d v="2007-11-01T00:00:00"/>
    <x v="12"/>
    <n v="14"/>
    <m/>
    <x v="12"/>
    <n v="24"/>
    <x v="2"/>
    <s v="Haiti"/>
    <s v="Hydrometerological"/>
    <x v="5"/>
    <s v="Tropical Cyclone"/>
    <s v="Tropical Storm"/>
    <m/>
    <x v="0"/>
    <m/>
    <x v="0"/>
    <s v="MDR49002"/>
    <x v="0"/>
    <m/>
    <m/>
    <m/>
    <m/>
    <m/>
    <m/>
    <n v="1"/>
    <n v="50000"/>
    <m/>
    <m/>
    <m/>
    <n v="50000"/>
    <m/>
    <m/>
    <m/>
    <n v="2000"/>
    <m/>
    <m/>
    <n v="2000"/>
    <m/>
    <m/>
    <m/>
    <m/>
    <m/>
    <m/>
    <m/>
    <m/>
    <m/>
    <m/>
    <m/>
    <n v="8073"/>
    <m/>
    <n v="58073"/>
    <m/>
    <m/>
    <m/>
    <x v="138"/>
    <x v="1"/>
    <m/>
    <m/>
    <m/>
    <m/>
    <n v="2024"/>
    <m/>
    <m/>
    <m/>
    <m/>
    <m/>
    <m/>
    <m/>
    <s v="N"/>
    <m/>
    <m/>
    <m/>
    <s v="Noel"/>
    <s v="PSR"/>
  </r>
  <r>
    <x v="28"/>
    <n v="183"/>
    <x v="181"/>
    <d v="2007-11-01T00:00:00"/>
    <x v="12"/>
    <n v="14"/>
    <m/>
    <x v="12"/>
    <n v="24"/>
    <x v="2"/>
    <s v="Bahamas"/>
    <s v="Hydrometerological"/>
    <x v="5"/>
    <s v="Tropical Cyclone"/>
    <s v="Tropical Storm"/>
    <m/>
    <x v="0"/>
    <m/>
    <x v="0"/>
    <s v="MDR49002"/>
    <x v="0"/>
    <m/>
    <m/>
    <m/>
    <m/>
    <m/>
    <m/>
    <n v="0"/>
    <n v="30000"/>
    <m/>
    <m/>
    <m/>
    <n v="30000"/>
    <n v="2"/>
    <m/>
    <m/>
    <m/>
    <m/>
    <m/>
    <m/>
    <m/>
    <m/>
    <m/>
    <m/>
    <m/>
    <m/>
    <m/>
    <m/>
    <m/>
    <m/>
    <m/>
    <m/>
    <n v="7440"/>
    <n v="37440"/>
    <m/>
    <m/>
    <m/>
    <x v="139"/>
    <x v="1"/>
    <m/>
    <m/>
    <m/>
    <m/>
    <n v="2024"/>
    <m/>
    <m/>
    <m/>
    <m/>
    <m/>
    <m/>
    <m/>
    <s v="N"/>
    <m/>
    <m/>
    <m/>
    <s v="Noel"/>
    <s v="PEOPLE: O Abou-Samra, J Ferguson (cash/livelihoods); CASH: PMN to Fed ($10k for cash distribution project, $20k operational costs)"/>
  </r>
  <r>
    <x v="29"/>
    <n v="184"/>
    <x v="6"/>
    <d v="2007-11-01T00:00:00"/>
    <x v="12"/>
    <n v="15"/>
    <m/>
    <x v="12"/>
    <n v="25"/>
    <x v="2"/>
    <s v="Mexico"/>
    <s v="Hydrometerological"/>
    <x v="2"/>
    <s v="General Floods"/>
    <s v="General Floods"/>
    <n v="1000000"/>
    <x v="1"/>
    <s v="IFRC"/>
    <x v="42"/>
    <s v="MDRMX002"/>
    <x v="21"/>
    <n v="1"/>
    <m/>
    <m/>
    <n v="44380"/>
    <m/>
    <n v="10000"/>
    <n v="1"/>
    <n v="167077"/>
    <m/>
    <n v="350000"/>
    <m/>
    <n v="517077"/>
    <n v="1"/>
    <m/>
    <m/>
    <n v="15500"/>
    <m/>
    <n v="3500"/>
    <m/>
    <m/>
    <m/>
    <m/>
    <n v="2000"/>
    <m/>
    <n v="10000"/>
    <m/>
    <m/>
    <m/>
    <m/>
    <m/>
    <n v="143415"/>
    <n v="357"/>
    <n v="660849"/>
    <m/>
    <m/>
    <m/>
    <x v="140"/>
    <x v="1"/>
    <m/>
    <m/>
    <m/>
    <m/>
    <s v="2690/OFDA/2799 "/>
    <m/>
    <m/>
    <m/>
    <m/>
    <m/>
    <m/>
    <m/>
    <s v="N"/>
    <m/>
    <m/>
    <m/>
    <s v="Tabasco"/>
    <s v="CASH: Grants to MxRC ($50k from 2799 + $300k from 2690), PMN to Fed $167k (earmarked for 4,000 hygiene kits, 4,000 jerry cans, 4,000 buckets);  OFDA Grant; PEOPLE: W Romeril (info)"/>
  </r>
  <r>
    <x v="30"/>
    <n v="185"/>
    <x v="182"/>
    <d v="2007-11-01T00:00:00"/>
    <x v="12"/>
    <n v="16"/>
    <m/>
    <x v="12"/>
    <n v="26"/>
    <x v="3"/>
    <s v="Vietnam"/>
    <s v="Hydrometerological"/>
    <x v="5"/>
    <s v="Tropical Cyclone"/>
    <s v="Typhoon"/>
    <n v="600000"/>
    <x v="1"/>
    <s v="IFRC"/>
    <x v="43"/>
    <s v="MDRVN002"/>
    <x v="22"/>
    <n v="0.77"/>
    <m/>
    <m/>
    <n v="180000"/>
    <m/>
    <m/>
    <n v="1"/>
    <n v="115000"/>
    <m/>
    <m/>
    <m/>
    <n v="115000"/>
    <m/>
    <m/>
    <m/>
    <m/>
    <m/>
    <m/>
    <m/>
    <m/>
    <m/>
    <m/>
    <m/>
    <m/>
    <m/>
    <m/>
    <m/>
    <m/>
    <m/>
    <m/>
    <m/>
    <m/>
    <n v="115000"/>
    <m/>
    <m/>
    <m/>
    <x v="141"/>
    <x v="1"/>
    <m/>
    <m/>
    <m/>
    <m/>
    <s v="2099/ 2869"/>
    <m/>
    <m/>
    <m/>
    <m/>
    <m/>
    <m/>
    <m/>
    <s v="N"/>
    <m/>
    <s v="ARCT"/>
    <m/>
    <s v="Lekima"/>
    <s v="CASH: PMN  from AP 2099 to Fed unearmarked; PMN from AP 2869 to Fed earmarked purchase/dist household kits;  $100,000 from ARCT for shelter to Federation"/>
  </r>
  <r>
    <x v="17"/>
    <n v="186"/>
    <x v="183"/>
    <d v="2007-11-01T00:00:00"/>
    <x v="12"/>
    <n v="17"/>
    <m/>
    <x v="12"/>
    <n v="27"/>
    <x v="3"/>
    <s v="Bangladesh"/>
    <s v="Hydrometerological"/>
    <x v="5"/>
    <s v="Tropical Cyclone"/>
    <s v="Cyclone"/>
    <n v="8500000"/>
    <x v="1"/>
    <s v="IFRC"/>
    <x v="44"/>
    <s v="MDRBD002"/>
    <x v="23"/>
    <n v="0.66"/>
    <m/>
    <m/>
    <n v="1215000"/>
    <m/>
    <m/>
    <n v="1"/>
    <n v="1083856"/>
    <m/>
    <m/>
    <m/>
    <n v="1083856"/>
    <n v="3"/>
    <m/>
    <m/>
    <n v="39000"/>
    <m/>
    <n v="4000"/>
    <n v="25000"/>
    <m/>
    <m/>
    <m/>
    <m/>
    <m/>
    <m/>
    <m/>
    <n v="10000"/>
    <m/>
    <m/>
    <m/>
    <n v="260798"/>
    <n v="12000"/>
    <n v="1356654"/>
    <m/>
    <m/>
    <m/>
    <x v="142"/>
    <x v="1"/>
    <m/>
    <m/>
    <m/>
    <m/>
    <s v="2017/OFDA"/>
    <m/>
    <m/>
    <m/>
    <m/>
    <m/>
    <m/>
    <m/>
    <s v="N"/>
    <m/>
    <m/>
    <m/>
    <s v="Sidr"/>
    <s v="CASH:  1st PMN ($100k unearmarked from AP 2099), 2nd PMN ($100k earmarked to tsunami affected areas from AP 2546), 3rd PMN ($300k earmarked for shelter and wat/san from OFDA), 4th PMN ($583k earmarked for shelter and wat/san from OFDA); SUPPLIES: + PSR; PEOPLE: Nek Alam (wat/san); S Wiseman (wat/san), L Malany (shelter)"/>
  </r>
  <r>
    <x v="31"/>
    <n v="187"/>
    <x v="184"/>
    <d v="2007-11-01T00:00:00"/>
    <x v="12"/>
    <n v="18"/>
    <m/>
    <x v="12"/>
    <n v="28"/>
    <x v="3"/>
    <s v="Papua New Guinea"/>
    <s v="Hydrometerological"/>
    <x v="5"/>
    <s v="Tropical Cyclone"/>
    <s v="Cyclone"/>
    <n v="162000"/>
    <x v="1"/>
    <s v="IFRC"/>
    <x v="45"/>
    <s v="MDRPG002"/>
    <x v="24"/>
    <n v="0.76"/>
    <m/>
    <m/>
    <n v="13000"/>
    <m/>
    <m/>
    <n v="0"/>
    <n v="23750"/>
    <m/>
    <m/>
    <m/>
    <n v="23750"/>
    <m/>
    <m/>
    <m/>
    <m/>
    <m/>
    <m/>
    <m/>
    <m/>
    <m/>
    <m/>
    <m/>
    <m/>
    <m/>
    <m/>
    <m/>
    <m/>
    <m/>
    <m/>
    <m/>
    <m/>
    <n v="23750"/>
    <m/>
    <m/>
    <m/>
    <x v="143"/>
    <x v="1"/>
    <m/>
    <m/>
    <m/>
    <m/>
    <n v="2881"/>
    <m/>
    <m/>
    <m/>
    <m/>
    <m/>
    <m/>
    <m/>
    <s v="N"/>
    <m/>
    <m/>
    <m/>
    <s v="Guba"/>
    <s v="CASH: PMN to Fed unearmarked"/>
  </r>
  <r>
    <x v="0"/>
    <n v="188"/>
    <x v="185"/>
    <d v="2008-01-01T00:00:00"/>
    <x v="12"/>
    <n v="19"/>
    <m/>
    <x v="13"/>
    <n v="1"/>
    <x v="1"/>
    <s v="Kenya"/>
    <s v="Human Related"/>
    <x v="19"/>
    <s v="Civil Unrest"/>
    <s v="Civil Unrest"/>
    <n v="500000"/>
    <x v="1"/>
    <s v="ICRC"/>
    <x v="46"/>
    <m/>
    <x v="25"/>
    <m/>
    <m/>
    <m/>
    <n v="500000"/>
    <m/>
    <m/>
    <n v="1"/>
    <m/>
    <n v="250000"/>
    <n v="50000"/>
    <m/>
    <n v="300000"/>
    <m/>
    <m/>
    <m/>
    <m/>
    <m/>
    <m/>
    <m/>
    <m/>
    <m/>
    <m/>
    <m/>
    <m/>
    <m/>
    <m/>
    <m/>
    <m/>
    <m/>
    <m/>
    <m/>
    <m/>
    <n v="300000"/>
    <m/>
    <m/>
    <m/>
    <x v="144"/>
    <x v="1"/>
    <m/>
    <m/>
    <m/>
    <m/>
    <s v="2002 / 2099"/>
    <m/>
    <m/>
    <m/>
    <m/>
    <m/>
    <m/>
    <m/>
    <s v="N"/>
    <m/>
    <m/>
    <m/>
    <s v="Elections"/>
    <s v="CASH: 50k to KRCS  from 2799 and 50k to ICRC from 2002; CASH from 2099: 200k to ICRC"/>
  </r>
  <r>
    <x v="32"/>
    <n v="189"/>
    <x v="186"/>
    <d v="2008-02-01T00:00:00"/>
    <x v="12"/>
    <n v="20"/>
    <m/>
    <x v="13"/>
    <n v="2"/>
    <x v="3"/>
    <s v="China"/>
    <s v="Hydrometerological"/>
    <x v="5"/>
    <s v="Winter Storm"/>
    <s v="Snowstorm"/>
    <n v="7800000"/>
    <x v="0"/>
    <m/>
    <x v="47"/>
    <m/>
    <x v="0"/>
    <m/>
    <m/>
    <m/>
    <s v="n/a"/>
    <m/>
    <s v="n/a"/>
    <m/>
    <m/>
    <m/>
    <n v="867000"/>
    <m/>
    <n v="867000"/>
    <m/>
    <m/>
    <m/>
    <m/>
    <m/>
    <m/>
    <m/>
    <m/>
    <m/>
    <m/>
    <m/>
    <m/>
    <m/>
    <m/>
    <m/>
    <m/>
    <m/>
    <m/>
    <m/>
    <m/>
    <n v="867000"/>
    <m/>
    <m/>
    <m/>
    <x v="145"/>
    <x v="1"/>
    <m/>
    <m/>
    <m/>
    <m/>
    <n v="2060"/>
    <m/>
    <m/>
    <m/>
    <m/>
    <m/>
    <m/>
    <m/>
    <s v="N"/>
    <m/>
    <m/>
    <s v="y"/>
    <m/>
    <s v="CASH: Bilateral to RCSC"/>
  </r>
  <r>
    <x v="0"/>
    <n v="190"/>
    <x v="187"/>
    <d v="2008-02-01T00:00:00"/>
    <x v="12"/>
    <n v="21"/>
    <m/>
    <x v="13"/>
    <n v="3"/>
    <x v="1"/>
    <s v="Guyana"/>
    <s v="Human Related"/>
    <x v="19"/>
    <s v="Civil Unrest"/>
    <s v="Civil Unrest"/>
    <m/>
    <x v="0"/>
    <m/>
    <x v="47"/>
    <m/>
    <x v="0"/>
    <m/>
    <m/>
    <m/>
    <n v="0"/>
    <m/>
    <n v="0"/>
    <m/>
    <m/>
    <m/>
    <n v="2400"/>
    <m/>
    <n v="2400"/>
    <n v="2"/>
    <m/>
    <m/>
    <m/>
    <m/>
    <m/>
    <m/>
    <m/>
    <m/>
    <m/>
    <m/>
    <m/>
    <m/>
    <m/>
    <m/>
    <m/>
    <m/>
    <m/>
    <m/>
    <n v="10000"/>
    <n v="12400"/>
    <m/>
    <m/>
    <m/>
    <x v="146"/>
    <x v="2"/>
    <m/>
    <m/>
    <m/>
    <m/>
    <n v="2799"/>
    <m/>
    <m/>
    <m/>
    <m/>
    <m/>
    <m/>
    <m/>
    <s v="Y"/>
    <m/>
    <m/>
    <m/>
    <s v="Violence"/>
    <s v="PEOPLE: G. Dodge, V. Vibhakar to Guyana for PSP ($10k) CASH: cash to NS $2,400 - total both $12,400"/>
  </r>
  <r>
    <x v="0"/>
    <n v="191"/>
    <x v="125"/>
    <d v="2008-02-01T00:00:00"/>
    <x v="12"/>
    <n v="22"/>
    <m/>
    <x v="13"/>
    <n v="4"/>
    <x v="1"/>
    <s v="Sudan"/>
    <s v="Human Related"/>
    <x v="8"/>
    <s v="Conflict"/>
    <s v="Conflict"/>
    <n v="2000000"/>
    <x v="1"/>
    <s v="ICRC"/>
    <x v="48"/>
    <m/>
    <x v="26"/>
    <m/>
    <m/>
    <m/>
    <n v="600000"/>
    <m/>
    <m/>
    <n v="1"/>
    <m/>
    <n v="714000"/>
    <m/>
    <m/>
    <n v="714000"/>
    <m/>
    <m/>
    <m/>
    <m/>
    <m/>
    <m/>
    <m/>
    <m/>
    <m/>
    <m/>
    <m/>
    <m/>
    <m/>
    <m/>
    <m/>
    <m/>
    <m/>
    <m/>
    <m/>
    <m/>
    <n v="714000"/>
    <m/>
    <m/>
    <m/>
    <x v="147"/>
    <x v="1"/>
    <m/>
    <m/>
    <m/>
    <m/>
    <n v="2661"/>
    <m/>
    <m/>
    <m/>
    <m/>
    <m/>
    <m/>
    <m/>
    <s v="N"/>
    <m/>
    <m/>
    <m/>
    <m/>
    <s v="CASH: 714k to ICRC from Coca Cola"/>
  </r>
  <r>
    <x v="33"/>
    <n v="192"/>
    <x v="188"/>
    <d v="2008-02-01T00:00:00"/>
    <x v="12"/>
    <n v="23"/>
    <m/>
    <x v="13"/>
    <n v="5"/>
    <x v="2"/>
    <s v="Ecuador"/>
    <s v="Hydrometerological"/>
    <x v="2"/>
    <s v="General Floods"/>
    <s v="General Floods"/>
    <n v="315000"/>
    <x v="0"/>
    <s v="?"/>
    <x v="49"/>
    <m/>
    <x v="8"/>
    <m/>
    <m/>
    <m/>
    <n v="15220"/>
    <m/>
    <n v="6445"/>
    <m/>
    <m/>
    <m/>
    <n v="245000"/>
    <m/>
    <n v="245000"/>
    <m/>
    <m/>
    <m/>
    <m/>
    <m/>
    <m/>
    <m/>
    <m/>
    <m/>
    <m/>
    <m/>
    <m/>
    <m/>
    <m/>
    <m/>
    <m/>
    <m/>
    <m/>
    <m/>
    <m/>
    <n v="245000"/>
    <m/>
    <m/>
    <m/>
    <x v="122"/>
    <x v="1"/>
    <m/>
    <m/>
    <m/>
    <m/>
    <s v="2597 / 2099"/>
    <m/>
    <m/>
    <m/>
    <m/>
    <m/>
    <m/>
    <m/>
    <s v="N"/>
    <m/>
    <m/>
    <m/>
    <s v="Pacific Coast"/>
    <s v="CASH from 2597: OFDA grant for procurement of NFIs - nets, clean-up kits, kitchen sets;  CASH from 2099: To ERC for purchase of food parcels "/>
  </r>
  <r>
    <x v="0"/>
    <n v="193"/>
    <x v="105"/>
    <d v="2008-03-08T00:00:00"/>
    <x v="12"/>
    <n v="24"/>
    <m/>
    <x v="13"/>
    <n v="6"/>
    <x v="3"/>
    <s v="Iraq"/>
    <s v="Human Related"/>
    <x v="8"/>
    <s v="Conflict"/>
    <s v="Conflict"/>
    <n v="4000000"/>
    <x v="1"/>
    <s v="IFRC"/>
    <x v="50"/>
    <m/>
    <x v="27"/>
    <m/>
    <m/>
    <m/>
    <n v="900000"/>
    <m/>
    <m/>
    <n v="1"/>
    <n v="269000"/>
    <m/>
    <m/>
    <m/>
    <n v="269000"/>
    <m/>
    <m/>
    <m/>
    <m/>
    <m/>
    <m/>
    <m/>
    <m/>
    <m/>
    <m/>
    <m/>
    <m/>
    <m/>
    <m/>
    <m/>
    <m/>
    <m/>
    <m/>
    <m/>
    <m/>
    <n v="269000"/>
    <m/>
    <m/>
    <m/>
    <x v="148"/>
    <x v="1"/>
    <m/>
    <m/>
    <m/>
    <m/>
    <s v="2099/2689"/>
    <m/>
    <m/>
    <m/>
    <m/>
    <m/>
    <m/>
    <m/>
    <s v="N"/>
    <m/>
    <m/>
    <m/>
    <s v="Country-wide"/>
    <s v="CASH from 2099: $250k Earmarked for OD and M&amp;E; CASH from 2689: $19k Earmarked for OD and M&amp;E;"/>
  </r>
  <r>
    <x v="34"/>
    <n v="194"/>
    <x v="189"/>
    <d v="2008-03-08T00:00:00"/>
    <x v="12"/>
    <n v="25"/>
    <m/>
    <x v="13"/>
    <n v="7"/>
    <x v="1"/>
    <s v="Madagascar"/>
    <s v="Hydrometerological"/>
    <x v="5"/>
    <s v="Tropical Cyclone"/>
    <s v="Cyclone"/>
    <n v="322000"/>
    <x v="1"/>
    <s v="IFRC"/>
    <x v="51"/>
    <s v="MDRMG003"/>
    <x v="8"/>
    <m/>
    <m/>
    <m/>
    <n v="50000"/>
    <m/>
    <m/>
    <m/>
    <m/>
    <m/>
    <m/>
    <m/>
    <n v="0"/>
    <m/>
    <m/>
    <m/>
    <n v="10000"/>
    <m/>
    <m/>
    <m/>
    <m/>
    <m/>
    <m/>
    <m/>
    <m/>
    <n v="10000"/>
    <m/>
    <m/>
    <m/>
    <m/>
    <m/>
    <n v="50000"/>
    <m/>
    <n v="50000"/>
    <m/>
    <m/>
    <m/>
    <x v="16"/>
    <x v="2"/>
    <m/>
    <m/>
    <m/>
    <m/>
    <n v="2799"/>
    <m/>
    <m/>
    <m/>
    <m/>
    <m/>
    <m/>
    <m/>
    <s v="Y"/>
    <m/>
    <m/>
    <m/>
    <s v="Ivan"/>
    <m/>
  </r>
  <r>
    <x v="35"/>
    <n v="195"/>
    <x v="190"/>
    <d v="2008-03-08T00:00:00"/>
    <x v="12"/>
    <n v="26"/>
    <m/>
    <x v="13"/>
    <n v="8"/>
    <x v="1"/>
    <s v="Mozambique"/>
    <s v="Hydrometerological"/>
    <x v="2"/>
    <s v="General Floods"/>
    <s v="General Floods"/>
    <n v="400000"/>
    <x v="1"/>
    <m/>
    <x v="52"/>
    <m/>
    <x v="28"/>
    <m/>
    <m/>
    <m/>
    <n v="97550"/>
    <m/>
    <n v="15000"/>
    <n v="1"/>
    <n v="300000"/>
    <m/>
    <m/>
    <m/>
    <n v="300000"/>
    <m/>
    <m/>
    <m/>
    <m/>
    <m/>
    <m/>
    <m/>
    <m/>
    <m/>
    <m/>
    <m/>
    <m/>
    <m/>
    <m/>
    <m/>
    <m/>
    <m/>
    <m/>
    <m/>
    <m/>
    <n v="300000"/>
    <m/>
    <m/>
    <m/>
    <x v="144"/>
    <x v="1"/>
    <m/>
    <m/>
    <m/>
    <m/>
    <s v="2099/($200k)/2869 ($100k)"/>
    <m/>
    <m/>
    <m/>
    <m/>
    <m/>
    <m/>
    <m/>
    <s v="N"/>
    <m/>
    <s v="ARCT"/>
    <m/>
    <s v="Southern Africa"/>
    <s v="CASH: 285k earmarked shelter/relief activities, 15k earmarked for RDRT costs x3; 2099 = $200k/ 2869 = $100k. Note ARCT funds used - $100,000 to Federation for shelter, see ARCT 2008 report."/>
  </r>
  <r>
    <x v="35"/>
    <n v="196"/>
    <x v="190"/>
    <d v="2008-03-08T00:00:00"/>
    <x v="12"/>
    <n v="27"/>
    <m/>
    <x v="13"/>
    <n v="9"/>
    <x v="1"/>
    <s v="Tanzania"/>
    <s v="Hydrometerological"/>
    <x v="2"/>
    <s v="General Floods"/>
    <s v="General Floods"/>
    <n v="2700"/>
    <x v="0"/>
    <m/>
    <x v="47"/>
    <m/>
    <x v="0"/>
    <m/>
    <m/>
    <m/>
    <n v="2700"/>
    <m/>
    <m/>
    <m/>
    <m/>
    <m/>
    <n v="48500"/>
    <m/>
    <n v="48500"/>
    <m/>
    <m/>
    <m/>
    <m/>
    <m/>
    <m/>
    <m/>
    <m/>
    <m/>
    <m/>
    <m/>
    <m/>
    <m/>
    <m/>
    <m/>
    <m/>
    <m/>
    <m/>
    <m/>
    <m/>
    <n v="48500"/>
    <m/>
    <m/>
    <m/>
    <x v="149"/>
    <x v="1"/>
    <m/>
    <m/>
    <m/>
    <m/>
    <n v="2002"/>
    <m/>
    <m/>
    <m/>
    <m/>
    <m/>
    <m/>
    <m/>
    <s v="N"/>
    <m/>
    <m/>
    <m/>
    <s v="Flood/Mine"/>
    <s v="CASH: Grant letter to TRCS, relief/shelter"/>
  </r>
  <r>
    <x v="36"/>
    <n v="197"/>
    <x v="191"/>
    <d v="2008-05-08T00:00:00"/>
    <x v="12"/>
    <n v="28"/>
    <m/>
    <x v="13"/>
    <n v="10"/>
    <x v="3"/>
    <s v="Myanmar"/>
    <s v="Hydrometerological"/>
    <x v="5"/>
    <s v="Tropical Cyclone"/>
    <s v="Cyclone"/>
    <n v="2400000"/>
    <x v="1"/>
    <s v="IFRC"/>
    <x v="53"/>
    <s v="MDRMM002"/>
    <x v="29"/>
    <n v="0.9"/>
    <m/>
    <m/>
    <n v="500000"/>
    <m/>
    <m/>
    <n v="1"/>
    <n v="250000"/>
    <m/>
    <m/>
    <m/>
    <n v="250000"/>
    <n v="1"/>
    <m/>
    <n v="1"/>
    <n v="205000"/>
    <m/>
    <m/>
    <n v="25000"/>
    <m/>
    <m/>
    <m/>
    <n v="5000"/>
    <m/>
    <n v="20000"/>
    <m/>
    <n v="9995"/>
    <m/>
    <m/>
    <m/>
    <n v="900000"/>
    <m/>
    <n v="1150000"/>
    <m/>
    <m/>
    <m/>
    <x v="129"/>
    <x v="1"/>
    <m/>
    <m/>
    <m/>
    <m/>
    <s v="2594 / 2875"/>
    <m/>
    <m/>
    <m/>
    <m/>
    <m/>
    <m/>
    <m/>
    <s v="N"/>
    <m/>
    <m/>
    <s v="y"/>
    <s v="Nargis"/>
    <s v="SUPPLIES from 2594: OFDA  jerry cans, plus roughly 60k transport and associated costs; SUPPLIES from 2875: $1,150,000 plus transport"/>
  </r>
  <r>
    <x v="37"/>
    <n v="198"/>
    <x v="192"/>
    <d v="2008-05-08T00:00:00"/>
    <x v="12"/>
    <n v="29"/>
    <m/>
    <x v="13"/>
    <n v="11"/>
    <x v="3"/>
    <s v="China"/>
    <s v="Geophysical"/>
    <x v="3"/>
    <s v="Earthquake"/>
    <s v="Earthquake"/>
    <n v="10000000"/>
    <x v="1"/>
    <s v="IFRC"/>
    <x v="54"/>
    <s v="MDRCN003"/>
    <x v="30"/>
    <n v="0.65"/>
    <m/>
    <m/>
    <n v="500000"/>
    <m/>
    <m/>
    <n v="1"/>
    <n v="10000000"/>
    <m/>
    <m/>
    <m/>
    <n v="10000000"/>
    <n v="3"/>
    <m/>
    <m/>
    <m/>
    <m/>
    <m/>
    <m/>
    <m/>
    <m/>
    <m/>
    <m/>
    <m/>
    <m/>
    <m/>
    <m/>
    <m/>
    <m/>
    <m/>
    <m/>
    <m/>
    <n v="10000000"/>
    <m/>
    <m/>
    <m/>
    <x v="150"/>
    <x v="1"/>
    <m/>
    <m/>
    <m/>
    <m/>
    <n v="2060"/>
    <m/>
    <m/>
    <m/>
    <m/>
    <m/>
    <m/>
    <m/>
    <s v="N"/>
    <m/>
    <m/>
    <s v="y"/>
    <s v="Sichuan"/>
    <s v="CASH: Unearmarked PMN; PEOPLE: R. Rayyis 1 wk info gathering, T. Betz 3 wk relief/logs/monitoring del; S. Thornton 6 mo relief del"/>
  </r>
  <r>
    <x v="38"/>
    <n v="199"/>
    <x v="193"/>
    <d v="2008-06-08T00:00:00"/>
    <x v="12"/>
    <n v="32"/>
    <m/>
    <x v="13"/>
    <n v="14"/>
    <x v="1"/>
    <s v="Ethiopia"/>
    <s v="Human Related"/>
    <x v="14"/>
    <s v="Food Insecurity"/>
    <s v="Food Insecurity"/>
    <n v="4500000"/>
    <x v="1"/>
    <s v="IFRC"/>
    <x v="55"/>
    <s v="MDRET005"/>
    <x v="31"/>
    <m/>
    <m/>
    <m/>
    <n v="76075"/>
    <m/>
    <m/>
    <n v="1"/>
    <n v="100000"/>
    <m/>
    <m/>
    <m/>
    <n v="100000"/>
    <m/>
    <m/>
    <m/>
    <m/>
    <m/>
    <m/>
    <m/>
    <m/>
    <m/>
    <m/>
    <m/>
    <m/>
    <m/>
    <m/>
    <m/>
    <m/>
    <m/>
    <m/>
    <m/>
    <m/>
    <n v="100000"/>
    <m/>
    <m/>
    <m/>
    <x v="5"/>
    <x v="1"/>
    <m/>
    <m/>
    <m/>
    <m/>
    <n v="2949"/>
    <m/>
    <m/>
    <m/>
    <m/>
    <m/>
    <m/>
    <m/>
    <s v="N"/>
    <m/>
    <m/>
    <m/>
    <m/>
    <s v="CASH: PMN earmarked for procurement, transport, distribution of food"/>
  </r>
  <r>
    <x v="0"/>
    <n v="200"/>
    <x v="194"/>
    <d v="2008-06-08T00:00:00"/>
    <x v="12"/>
    <n v="30"/>
    <m/>
    <x v="13"/>
    <n v="12"/>
    <x v="1"/>
    <s v="South Africa"/>
    <s v="Human Related"/>
    <x v="19"/>
    <s v="Civil Unrest"/>
    <s v="Civil Unrest"/>
    <n v="50000"/>
    <x v="0"/>
    <m/>
    <x v="47"/>
    <m/>
    <x v="0"/>
    <m/>
    <m/>
    <m/>
    <n v="30000"/>
    <m/>
    <n v="0"/>
    <m/>
    <m/>
    <m/>
    <m/>
    <m/>
    <n v="0"/>
    <n v="1"/>
    <m/>
    <m/>
    <m/>
    <m/>
    <m/>
    <m/>
    <m/>
    <m/>
    <m/>
    <m/>
    <m/>
    <m/>
    <m/>
    <m/>
    <m/>
    <m/>
    <m/>
    <m/>
    <n v="10000"/>
    <n v="10000"/>
    <m/>
    <m/>
    <m/>
    <x v="6"/>
    <x v="2"/>
    <m/>
    <m/>
    <m/>
    <m/>
    <n v="2799"/>
    <m/>
    <m/>
    <m/>
    <m/>
    <m/>
    <m/>
    <m/>
    <s v="Y"/>
    <m/>
    <m/>
    <m/>
    <s v="Urban Violence"/>
    <s v="PEOPLE: C. Bell bilateral - dev systems/tracking"/>
  </r>
  <r>
    <x v="39"/>
    <n v="201"/>
    <x v="195"/>
    <d v="2008-06-08T00:00:00"/>
    <x v="12"/>
    <n v="31"/>
    <m/>
    <x v="13"/>
    <n v="13"/>
    <x v="2"/>
    <s v="Chile"/>
    <s v="Hydrometerological"/>
    <x v="2"/>
    <s v="General Floods"/>
    <s v="General Floods"/>
    <n v="50000"/>
    <x v="0"/>
    <m/>
    <x v="47"/>
    <m/>
    <x v="0"/>
    <m/>
    <m/>
    <m/>
    <n v="4000"/>
    <m/>
    <n v="1250"/>
    <n v="0"/>
    <n v="2000"/>
    <m/>
    <m/>
    <m/>
    <n v="2000"/>
    <n v="1"/>
    <m/>
    <m/>
    <m/>
    <m/>
    <m/>
    <m/>
    <m/>
    <m/>
    <m/>
    <m/>
    <m/>
    <m/>
    <m/>
    <m/>
    <m/>
    <m/>
    <m/>
    <m/>
    <m/>
    <n v="2000"/>
    <m/>
    <m/>
    <m/>
    <x v="55"/>
    <x v="2"/>
    <m/>
    <m/>
    <m/>
    <m/>
    <n v="2799"/>
    <m/>
    <m/>
    <m/>
    <m/>
    <m/>
    <m/>
    <m/>
    <s v="Y"/>
    <m/>
    <m/>
    <m/>
    <m/>
    <s v="PEOPLE: S. DiPretoro, w/RIT, cash voucher/market assessment"/>
  </r>
  <r>
    <x v="40"/>
    <n v="202"/>
    <x v="196"/>
    <d v="2008-06-08T00:00:00"/>
    <x v="12"/>
    <n v="33"/>
    <m/>
    <x v="13"/>
    <n v="15"/>
    <x v="3"/>
    <s v="Philippines"/>
    <s v="Hydrometerological"/>
    <x v="5"/>
    <s v="Tropical Cyclone"/>
    <s v="Typhoon"/>
    <n v="4800000"/>
    <x v="1"/>
    <s v="IFRC"/>
    <x v="56"/>
    <s v="MDRPH004"/>
    <x v="32"/>
    <n v="1"/>
    <m/>
    <m/>
    <n v="30000"/>
    <m/>
    <m/>
    <n v="1"/>
    <n v="185000"/>
    <m/>
    <m/>
    <m/>
    <n v="185000"/>
    <n v="1"/>
    <m/>
    <m/>
    <m/>
    <m/>
    <m/>
    <m/>
    <m/>
    <m/>
    <m/>
    <m/>
    <m/>
    <m/>
    <m/>
    <m/>
    <m/>
    <m/>
    <m/>
    <m/>
    <m/>
    <n v="185000"/>
    <m/>
    <m/>
    <m/>
    <x v="151"/>
    <x v="1"/>
    <m/>
    <m/>
    <m/>
    <m/>
    <s v="2032/2799/2869"/>
    <m/>
    <m/>
    <m/>
    <m/>
    <m/>
    <m/>
    <m/>
    <s v="N"/>
    <m/>
    <s v="ARCT"/>
    <m/>
    <s v="Fengshen"/>
    <s v="CASH: 1st PMN (135K)earmarked for typhoon-resistant shelter construction, and DP programs, 2nd (50k) earmarked for shelters after IFRC reported severe underfunding; 1st PMN: AP 2869 - $80,938.17, AP 2799 - $45,211.83. AP 2032 - $8,850.00 / 2nd PMN: AP 2799 - $50,000 PEOPLE: G. Bicego, wat/san assessment team, Fed will pay all expenses. Note: ARCT Funds $100,000 used for shelter to Federation as noted in ARCT report for 2008."/>
  </r>
  <r>
    <x v="0"/>
    <n v="203"/>
    <x v="197"/>
    <d v="2008-07-08T00:00:00"/>
    <x v="13"/>
    <n v="1"/>
    <m/>
    <x v="13"/>
    <n v="16"/>
    <x v="3"/>
    <s v="Yemen"/>
    <s v="Human Related"/>
    <x v="8"/>
    <s v="Conflict"/>
    <s v="Conflict"/>
    <n v="77000"/>
    <x v="1"/>
    <s v="ICRC"/>
    <x v="57"/>
    <m/>
    <x v="33"/>
    <m/>
    <m/>
    <m/>
    <n v="80500"/>
    <m/>
    <m/>
    <n v="1"/>
    <m/>
    <n v="50000"/>
    <m/>
    <m/>
    <n v="50000"/>
    <m/>
    <m/>
    <m/>
    <s v="-"/>
    <m/>
    <m/>
    <m/>
    <m/>
    <m/>
    <m/>
    <m/>
    <m/>
    <m/>
    <m/>
    <m/>
    <m/>
    <m/>
    <m/>
    <m/>
    <m/>
    <n v="50000"/>
    <m/>
    <m/>
    <m/>
    <x v="16"/>
    <x v="2"/>
    <m/>
    <m/>
    <m/>
    <m/>
    <n v="2799"/>
    <m/>
    <m/>
    <m/>
    <m/>
    <m/>
    <m/>
    <m/>
    <s v="Y"/>
    <m/>
    <m/>
    <m/>
    <s v="Believing Youth"/>
    <s v="CASH: $50,000 Pledge Letter to ICRC"/>
  </r>
  <r>
    <x v="41"/>
    <n v="204"/>
    <x v="198"/>
    <d v="2008-07-01T00:00:00"/>
    <x v="13"/>
    <n v="2"/>
    <m/>
    <x v="13"/>
    <n v="17"/>
    <x v="2"/>
    <s v="Suriname"/>
    <s v="Hydrometerological"/>
    <x v="2"/>
    <s v="General Floods"/>
    <s v="General Floods"/>
    <n v="49090"/>
    <x v="1"/>
    <s v="IFRC"/>
    <x v="58"/>
    <s v="MDRSR002"/>
    <x v="0"/>
    <m/>
    <m/>
    <m/>
    <n v="3000"/>
    <m/>
    <m/>
    <m/>
    <m/>
    <m/>
    <m/>
    <m/>
    <s v="-"/>
    <n v="2"/>
    <s v="IT/Telecoms"/>
    <n v="2"/>
    <s v="-"/>
    <m/>
    <m/>
    <m/>
    <m/>
    <m/>
    <m/>
    <m/>
    <m/>
    <m/>
    <m/>
    <m/>
    <m/>
    <m/>
    <m/>
    <s v="-"/>
    <s v="-"/>
    <m/>
    <m/>
    <m/>
    <m/>
    <x v="152"/>
    <x v="2"/>
    <m/>
    <m/>
    <m/>
    <m/>
    <n v="2799"/>
    <m/>
    <m/>
    <m/>
    <m/>
    <m/>
    <m/>
    <m/>
    <s v="Y"/>
    <m/>
    <m/>
    <m/>
    <m/>
    <s v="PEOPLE: M. Million, R. Palmer IT capacity bldg"/>
  </r>
  <r>
    <x v="42"/>
    <n v="205"/>
    <x v="199"/>
    <d v="2008-08-01T00:00:00"/>
    <x v="13"/>
    <n v="3"/>
    <m/>
    <x v="13"/>
    <n v="18"/>
    <x v="3"/>
    <s v="Ukraine"/>
    <s v="Hydrometerological"/>
    <x v="2"/>
    <s v="General Floods"/>
    <s v="General Floods"/>
    <n v="30000"/>
    <x v="1"/>
    <s v="IFRC"/>
    <x v="59"/>
    <s v="MDR67003"/>
    <x v="34"/>
    <n v="0.54"/>
    <m/>
    <m/>
    <n v="60000"/>
    <m/>
    <m/>
    <n v="1"/>
    <n v="44250"/>
    <m/>
    <m/>
    <m/>
    <n v="44250"/>
    <m/>
    <m/>
    <m/>
    <s v="-"/>
    <m/>
    <m/>
    <m/>
    <m/>
    <m/>
    <m/>
    <m/>
    <m/>
    <m/>
    <m/>
    <m/>
    <m/>
    <m/>
    <m/>
    <m/>
    <m/>
    <n v="44250"/>
    <m/>
    <m/>
    <m/>
    <x v="153"/>
    <x v="1"/>
    <m/>
    <m/>
    <m/>
    <m/>
    <n v="2048"/>
    <m/>
    <m/>
    <m/>
    <m/>
    <m/>
    <m/>
    <m/>
    <s v="N"/>
    <m/>
    <m/>
    <m/>
    <m/>
    <s v="CASH: $44,280 PMN unearmarked, Boeing donation"/>
  </r>
  <r>
    <x v="0"/>
    <n v="206"/>
    <x v="200"/>
    <d v="2008-08-01T00:00:00"/>
    <x v="13"/>
    <n v="4"/>
    <m/>
    <x v="13"/>
    <n v="19"/>
    <x v="3"/>
    <s v="Georgia"/>
    <s v="Human Related"/>
    <x v="8"/>
    <s v="Conflict"/>
    <s v="Conflict"/>
    <n v="72000"/>
    <x v="1"/>
    <s v="ICRC"/>
    <x v="60"/>
    <s v="REX08/555"/>
    <x v="0"/>
    <m/>
    <m/>
    <m/>
    <n v="50000"/>
    <m/>
    <m/>
    <n v="1"/>
    <m/>
    <n v="100000"/>
    <m/>
    <m/>
    <n v="100000"/>
    <m/>
    <m/>
    <m/>
    <s v="-"/>
    <m/>
    <m/>
    <m/>
    <m/>
    <m/>
    <m/>
    <m/>
    <m/>
    <m/>
    <m/>
    <m/>
    <m/>
    <m/>
    <m/>
    <m/>
    <m/>
    <n v="100000"/>
    <m/>
    <m/>
    <m/>
    <x v="5"/>
    <x v="2"/>
    <m/>
    <m/>
    <m/>
    <m/>
    <n v="2799"/>
    <m/>
    <m/>
    <m/>
    <m/>
    <m/>
    <m/>
    <m/>
    <s v="Y"/>
    <m/>
    <m/>
    <m/>
    <s v="S. Ossetia"/>
    <s v="CASH: $100,000 Pledge Letter to ICRC"/>
  </r>
  <r>
    <x v="43"/>
    <n v="207"/>
    <x v="174"/>
    <d v="2008-09-08T00:00:00"/>
    <x v="13"/>
    <n v="5"/>
    <m/>
    <x v="13"/>
    <n v="20"/>
    <x v="3"/>
    <s v="Nepal"/>
    <s v="Hydrometerological"/>
    <x v="2"/>
    <s v="General Floods"/>
    <s v="General Floods"/>
    <n v="70000"/>
    <x v="1"/>
    <s v="IFRC"/>
    <x v="61"/>
    <s v="MDRNP002"/>
    <x v="35"/>
    <n v="0.72"/>
    <m/>
    <m/>
    <n v="150000"/>
    <m/>
    <m/>
    <n v="1"/>
    <n v="50000"/>
    <m/>
    <m/>
    <m/>
    <n v="50000"/>
    <m/>
    <m/>
    <m/>
    <s v="-"/>
    <m/>
    <m/>
    <m/>
    <m/>
    <m/>
    <m/>
    <m/>
    <m/>
    <m/>
    <m/>
    <m/>
    <m/>
    <m/>
    <m/>
    <m/>
    <m/>
    <n v="50000"/>
    <m/>
    <m/>
    <m/>
    <x v="16"/>
    <x v="2"/>
    <m/>
    <m/>
    <m/>
    <m/>
    <n v="2799"/>
    <m/>
    <m/>
    <m/>
    <m/>
    <m/>
    <m/>
    <m/>
    <s v="Y"/>
    <m/>
    <m/>
    <m/>
    <s v="Koshi River Embankment Breach"/>
    <s v="CASH: PMN $50,000 unearmarked to Fed"/>
  </r>
  <r>
    <x v="44"/>
    <n v="208"/>
    <x v="201"/>
    <d v="2008-09-08T00:00:00"/>
    <x v="13"/>
    <n v="6"/>
    <m/>
    <x v="13"/>
    <n v="21"/>
    <x v="2"/>
    <s v="Haiti"/>
    <s v="Hydrometerological"/>
    <x v="5"/>
    <s v="Tropical Cyclone"/>
    <s v="Hurricane"/>
    <n v="800000"/>
    <x v="1"/>
    <s v="IFRC"/>
    <x v="62"/>
    <s v="MDRHT005"/>
    <x v="36"/>
    <n v="1.04"/>
    <m/>
    <m/>
    <n v="50000"/>
    <m/>
    <m/>
    <n v="1"/>
    <n v="283682"/>
    <m/>
    <m/>
    <m/>
    <n v="283682"/>
    <n v="5"/>
    <s v="Relief ERU"/>
    <n v="5"/>
    <n v="19100"/>
    <m/>
    <n v="4000"/>
    <m/>
    <m/>
    <n v="4800"/>
    <m/>
    <n v="3000"/>
    <m/>
    <n v="6000"/>
    <m/>
    <n v="1300"/>
    <m/>
    <m/>
    <m/>
    <n v="340000"/>
    <m/>
    <n v="1532876"/>
    <m/>
    <m/>
    <m/>
    <x v="154"/>
    <x v="1"/>
    <m/>
    <m/>
    <m/>
    <m/>
    <s v="2869/2885/ 2591"/>
    <m/>
    <m/>
    <m/>
    <m/>
    <m/>
    <m/>
    <m/>
    <s v="N"/>
    <m/>
    <s v="OFDA grant for $500,000; ARCT funds used - $100,000"/>
    <s v="y"/>
    <s v="Gustav, Hanna, Ike"/>
    <s v="CASH: $100K PMN from AP 2885 earmarked for shelter kits from ARCT; PEOPLE: B. Gaillis (FACT TL), Relief ERU - C. Chaperon (TL), M. Marek, 2nd round - M. Marek (TL), J. Manley, G. Matthews, value at 50k to Fed;  OFDA grant for $500,000. SUPPLIES plus transport/PSR"/>
  </r>
  <r>
    <x v="45"/>
    <n v="209"/>
    <x v="202"/>
    <d v="2008-09-08T00:00:00"/>
    <x v="13"/>
    <n v="7"/>
    <m/>
    <x v="13"/>
    <n v="22"/>
    <x v="2"/>
    <s v="Bahamas"/>
    <s v="Hydrometerological"/>
    <x v="5"/>
    <s v="Tropical Cyclone"/>
    <s v="Hurricane"/>
    <n v="9750"/>
    <x v="1"/>
    <s v="IFRC"/>
    <x v="63"/>
    <s v="MDR49003"/>
    <x v="37"/>
    <n v="0.77"/>
    <m/>
    <m/>
    <n v="20000"/>
    <m/>
    <m/>
    <n v="1"/>
    <n v="121044"/>
    <m/>
    <m/>
    <m/>
    <n v="121044"/>
    <n v="1"/>
    <m/>
    <n v="1"/>
    <s v="-"/>
    <m/>
    <m/>
    <m/>
    <m/>
    <m/>
    <m/>
    <m/>
    <m/>
    <m/>
    <m/>
    <m/>
    <m/>
    <m/>
    <m/>
    <m/>
    <m/>
    <n v="121044"/>
    <m/>
    <m/>
    <m/>
    <x v="155"/>
    <x v="2"/>
    <m/>
    <m/>
    <m/>
    <m/>
    <n v="2799"/>
    <m/>
    <m/>
    <m/>
    <m/>
    <m/>
    <m/>
    <m/>
    <s v="Y"/>
    <m/>
    <m/>
    <s v="y"/>
    <s v="Bahamas, Jamaica"/>
    <s v="CASH: PMN $100,000 earmarked for Bahamas and Jamaica; PEOPLE: C. Hammond (RIT)"/>
  </r>
  <r>
    <x v="45"/>
    <n v="209"/>
    <x v="203"/>
    <d v="2008-09-08T00:00:00"/>
    <x v="13"/>
    <n v="7"/>
    <m/>
    <x v="13"/>
    <n v="22"/>
    <x v="2"/>
    <s v="Jamaica"/>
    <s v="Hydrometerological"/>
    <x v="5"/>
    <s v="Tropical Cyclone"/>
    <s v="Hurricane"/>
    <n v="4000"/>
    <x v="0"/>
    <m/>
    <x v="64"/>
    <s v="MDR49003"/>
    <x v="0"/>
    <m/>
    <m/>
    <m/>
    <s v="-"/>
    <m/>
    <s v="-"/>
    <m/>
    <m/>
    <m/>
    <m/>
    <m/>
    <m/>
    <m/>
    <m/>
    <m/>
    <s v="-"/>
    <m/>
    <m/>
    <m/>
    <m/>
    <m/>
    <m/>
    <m/>
    <m/>
    <m/>
    <m/>
    <m/>
    <m/>
    <m/>
    <m/>
    <m/>
    <m/>
    <s v="-"/>
    <m/>
    <m/>
    <m/>
    <x v="156"/>
    <x v="1"/>
    <m/>
    <m/>
    <m/>
    <m/>
    <m/>
    <m/>
    <m/>
    <m/>
    <m/>
    <m/>
    <m/>
    <m/>
    <s v="N"/>
    <m/>
    <m/>
    <s v="y"/>
    <s v="Bahamas, Jamaica"/>
    <s v="CASH: PMN earmarked for Bahamas and Jamaica"/>
  </r>
  <r>
    <x v="45"/>
    <n v="210"/>
    <x v="204"/>
    <d v="2008-09-08T00:00:00"/>
    <x v="13"/>
    <n v="8"/>
    <m/>
    <x v="13"/>
    <n v="23"/>
    <x v="2"/>
    <s v="Cuba"/>
    <s v="Hydrometerological"/>
    <x v="5"/>
    <s v="Tropical Cyclone"/>
    <s v="Hurricane"/>
    <n v="2900000"/>
    <x v="1"/>
    <s v="IFRC"/>
    <x v="65"/>
    <s v="MDRCU001"/>
    <x v="38"/>
    <n v="0.66"/>
    <m/>
    <m/>
    <n v="60000"/>
    <m/>
    <n v="10380"/>
    <n v="1"/>
    <n v="1129943"/>
    <m/>
    <m/>
    <m/>
    <n v="1129943"/>
    <m/>
    <m/>
    <m/>
    <s v="-"/>
    <m/>
    <m/>
    <m/>
    <m/>
    <m/>
    <m/>
    <m/>
    <m/>
    <m/>
    <m/>
    <m/>
    <m/>
    <m/>
    <m/>
    <m/>
    <m/>
    <n v="1129943"/>
    <m/>
    <m/>
    <m/>
    <x v="157"/>
    <x v="2"/>
    <m/>
    <m/>
    <m/>
    <m/>
    <n v="2099"/>
    <m/>
    <m/>
    <m/>
    <m/>
    <m/>
    <m/>
    <m/>
    <s v="N"/>
    <m/>
    <m/>
    <s v="y"/>
    <s v="Gustav, Ike"/>
    <s v="CASH: PMN unearmarked - OFAC license received"/>
  </r>
  <r>
    <x v="46"/>
    <n v="211"/>
    <x v="205"/>
    <d v="2008-10-01T00:00:00"/>
    <x v="13"/>
    <n v="9"/>
    <m/>
    <x v="13"/>
    <n v="24"/>
    <x v="2"/>
    <s v="Nicaragua"/>
    <s v="Hydrometerological"/>
    <x v="2"/>
    <s v="Storm Surge"/>
    <s v="Storm Surge"/>
    <s v="-"/>
    <x v="0"/>
    <m/>
    <x v="64"/>
    <m/>
    <x v="0"/>
    <m/>
    <m/>
    <m/>
    <s v="-"/>
    <m/>
    <s v="-"/>
    <m/>
    <m/>
    <m/>
    <m/>
    <m/>
    <m/>
    <m/>
    <m/>
    <m/>
    <s v="-"/>
    <m/>
    <m/>
    <m/>
    <m/>
    <m/>
    <m/>
    <m/>
    <m/>
    <m/>
    <m/>
    <m/>
    <m/>
    <m/>
    <m/>
    <m/>
    <m/>
    <s v="-"/>
    <m/>
    <m/>
    <m/>
    <x v="156"/>
    <x v="1"/>
    <m/>
    <m/>
    <m/>
    <m/>
    <m/>
    <m/>
    <m/>
    <m/>
    <m/>
    <m/>
    <m/>
    <m/>
    <s v="N"/>
    <m/>
    <m/>
    <s v="y"/>
    <m/>
    <m/>
  </r>
  <r>
    <x v="46"/>
    <n v="211"/>
    <x v="205"/>
    <d v="2008-10-01T00:00:00"/>
    <x v="13"/>
    <n v="9"/>
    <m/>
    <x v="13"/>
    <n v="24"/>
    <x v="2"/>
    <s v="Honduras"/>
    <s v="Hydrometerological"/>
    <x v="2"/>
    <s v="Storm Surge"/>
    <s v="Storm Surge"/>
    <s v="-"/>
    <x v="0"/>
    <m/>
    <x v="64"/>
    <m/>
    <x v="0"/>
    <m/>
    <m/>
    <m/>
    <s v="-"/>
    <m/>
    <s v="-"/>
    <n v="0"/>
    <n v="25000"/>
    <m/>
    <m/>
    <m/>
    <m/>
    <m/>
    <m/>
    <m/>
    <s v="-"/>
    <m/>
    <m/>
    <m/>
    <m/>
    <m/>
    <m/>
    <m/>
    <m/>
    <m/>
    <m/>
    <m/>
    <m/>
    <m/>
    <m/>
    <m/>
    <m/>
    <s v="-"/>
    <m/>
    <m/>
    <m/>
    <x v="156"/>
    <x v="1"/>
    <m/>
    <m/>
    <m/>
    <m/>
    <n v="2882"/>
    <m/>
    <m/>
    <m/>
    <m/>
    <m/>
    <m/>
    <m/>
    <s v="N"/>
    <m/>
    <m/>
    <s v="y"/>
    <m/>
    <s v="CASH: PMN 25k earmarked to Honduras from 2882"/>
  </r>
  <r>
    <x v="46"/>
    <n v="211"/>
    <x v="205"/>
    <d v="2008-10-01T00:00:00"/>
    <x v="13"/>
    <n v="9"/>
    <m/>
    <x v="13"/>
    <n v="24"/>
    <x v="2"/>
    <s v="[rollup]"/>
    <s v="Hydrometerological"/>
    <x v="2"/>
    <s v="Storm Surge"/>
    <s v="Storm Surge"/>
    <n v="328000"/>
    <x v="1"/>
    <s v="IFRC"/>
    <x v="66"/>
    <s v="MDR43004"/>
    <x v="39"/>
    <n v="0.67"/>
    <m/>
    <m/>
    <n v="32000"/>
    <m/>
    <m/>
    <n v="1"/>
    <n v="246683"/>
    <m/>
    <m/>
    <m/>
    <n v="246683"/>
    <m/>
    <m/>
    <m/>
    <s v="-"/>
    <m/>
    <m/>
    <m/>
    <m/>
    <m/>
    <m/>
    <m/>
    <m/>
    <m/>
    <m/>
    <m/>
    <m/>
    <m/>
    <m/>
    <m/>
    <m/>
    <n v="246683"/>
    <m/>
    <m/>
    <m/>
    <x v="158"/>
    <x v="1"/>
    <m/>
    <m/>
    <m/>
    <m/>
    <s v="2799 /2882 /2869"/>
    <m/>
    <m/>
    <m/>
    <m/>
    <m/>
    <m/>
    <m/>
    <s v="N"/>
    <m/>
    <s v="ARCT funds used - $100,000"/>
    <s v="y"/>
    <m/>
    <s v="CASH: PMN 100k from 2799 unearmarked; PMN 91k - ( $88,500 from 2869 ARCT and $2,500 from 2799); $25,000 from 2882 earmarked for Honduras"/>
  </r>
  <r>
    <x v="46"/>
    <n v="211"/>
    <x v="205"/>
    <d v="2008-10-01T00:00:00"/>
    <x v="13"/>
    <n v="9"/>
    <m/>
    <x v="13"/>
    <n v="24"/>
    <x v="2"/>
    <s v="Guatemala"/>
    <s v="Hydrometerological"/>
    <x v="2"/>
    <s v="Storm Surge"/>
    <s v="Storm Surge"/>
    <m/>
    <x v="0"/>
    <m/>
    <x v="0"/>
    <m/>
    <x v="0"/>
    <m/>
    <m/>
    <m/>
    <m/>
    <m/>
    <m/>
    <m/>
    <m/>
    <m/>
    <m/>
    <m/>
    <m/>
    <m/>
    <m/>
    <m/>
    <s v="-"/>
    <m/>
    <m/>
    <m/>
    <m/>
    <m/>
    <m/>
    <m/>
    <m/>
    <m/>
    <m/>
    <m/>
    <m/>
    <m/>
    <m/>
    <m/>
    <m/>
    <m/>
    <m/>
    <m/>
    <m/>
    <x v="7"/>
    <x v="1"/>
    <m/>
    <m/>
    <m/>
    <m/>
    <m/>
    <m/>
    <m/>
    <m/>
    <m/>
    <m/>
    <m/>
    <m/>
    <s v="N"/>
    <m/>
    <m/>
    <s v="y"/>
    <m/>
    <m/>
  </r>
  <r>
    <x v="47"/>
    <n v="212"/>
    <x v="206"/>
    <d v="2008-11-08T00:00:00"/>
    <x v="13"/>
    <n v="10"/>
    <m/>
    <x v="13"/>
    <n v="25"/>
    <x v="3"/>
    <s v="Pakistan"/>
    <s v="Geophysical"/>
    <x v="3"/>
    <s v="Earthquake"/>
    <s v="Earthquake"/>
    <n v="366000"/>
    <x v="1"/>
    <s v="ICRC &amp; IFRC"/>
    <x v="67"/>
    <s v="REX08/722 &amp; MDRPK002"/>
    <x v="0"/>
    <m/>
    <m/>
    <m/>
    <n v="37930"/>
    <m/>
    <m/>
    <m/>
    <m/>
    <m/>
    <n v="100000"/>
    <m/>
    <n v="100000"/>
    <m/>
    <m/>
    <m/>
    <s v="-"/>
    <m/>
    <m/>
    <m/>
    <m/>
    <m/>
    <m/>
    <m/>
    <m/>
    <m/>
    <m/>
    <m/>
    <m/>
    <m/>
    <m/>
    <m/>
    <m/>
    <n v="100000"/>
    <m/>
    <m/>
    <n v="37930"/>
    <x v="5"/>
    <x v="2"/>
    <m/>
    <m/>
    <m/>
    <m/>
    <n v="2799"/>
    <m/>
    <m/>
    <m/>
    <m/>
    <m/>
    <m/>
    <m/>
    <s v="Y"/>
    <m/>
    <m/>
    <m/>
    <s v="Baluchistan"/>
    <s v="CASH: $100,000 to purchase relief supplies."/>
  </r>
  <r>
    <x v="48"/>
    <n v="213"/>
    <x v="21"/>
    <d v="2008-11-08T00:00:00"/>
    <x v="13"/>
    <n v="11"/>
    <m/>
    <x v="13"/>
    <n v="26"/>
    <x v="3"/>
    <s v="Vietnam"/>
    <s v="Hydrometerological"/>
    <x v="2"/>
    <s v="General Floods"/>
    <s v="General Floods"/>
    <n v="600000"/>
    <x v="1"/>
    <s v="IFRC"/>
    <x v="68"/>
    <s v="MDRVN005"/>
    <x v="40"/>
    <n v="0.47"/>
    <m/>
    <m/>
    <n v="300000"/>
    <m/>
    <m/>
    <n v="1"/>
    <n v="50000"/>
    <m/>
    <m/>
    <m/>
    <n v="50000"/>
    <m/>
    <m/>
    <m/>
    <s v="-"/>
    <m/>
    <m/>
    <m/>
    <m/>
    <m/>
    <m/>
    <m/>
    <m/>
    <m/>
    <m/>
    <m/>
    <m/>
    <m/>
    <m/>
    <m/>
    <m/>
    <n v="50000"/>
    <m/>
    <m/>
    <m/>
    <x v="16"/>
    <x v="2"/>
    <m/>
    <m/>
    <m/>
    <m/>
    <n v="2799"/>
    <m/>
    <m/>
    <m/>
    <m/>
    <m/>
    <m/>
    <m/>
    <s v="Y"/>
    <m/>
    <m/>
    <m/>
    <s v="North and Central Regions"/>
    <s v="CASH: PMN 50k unearmarked "/>
  </r>
  <r>
    <x v="49"/>
    <n v="214"/>
    <x v="207"/>
    <d v="2008-12-09T00:00:00"/>
    <x v="13"/>
    <n v="12"/>
    <m/>
    <x v="13"/>
    <n v="27"/>
    <x v="2"/>
    <s v="Costa Rica"/>
    <s v="Hydrometerological"/>
    <x v="2"/>
    <s v="General Floods"/>
    <m/>
    <s v="-"/>
    <x v="0"/>
    <m/>
    <x v="64"/>
    <m/>
    <x v="0"/>
    <m/>
    <m/>
    <m/>
    <s v="-"/>
    <m/>
    <s v="-"/>
    <m/>
    <m/>
    <m/>
    <m/>
    <m/>
    <m/>
    <m/>
    <m/>
    <m/>
    <s v="-"/>
    <m/>
    <m/>
    <m/>
    <m/>
    <m/>
    <m/>
    <m/>
    <m/>
    <m/>
    <m/>
    <m/>
    <m/>
    <m/>
    <m/>
    <m/>
    <m/>
    <s v="-"/>
    <m/>
    <m/>
    <m/>
    <x v="156"/>
    <x v="1"/>
    <m/>
    <m/>
    <m/>
    <m/>
    <m/>
    <m/>
    <m/>
    <m/>
    <m/>
    <m/>
    <m/>
    <m/>
    <s v="N"/>
    <m/>
    <m/>
    <m/>
    <m/>
    <m/>
  </r>
  <r>
    <x v="50"/>
    <n v="214"/>
    <x v="207"/>
    <d v="2008-12-08T00:00:00"/>
    <x v="13"/>
    <n v="12"/>
    <m/>
    <x v="13"/>
    <n v="27"/>
    <x v="2"/>
    <s v="Panama"/>
    <s v="Hydrometerological"/>
    <x v="2"/>
    <s v="General Floods"/>
    <m/>
    <n v="40158"/>
    <x v="1"/>
    <s v="IFRC"/>
    <x v="69"/>
    <s v="MDR43005"/>
    <x v="41"/>
    <n v="0.39"/>
    <m/>
    <m/>
    <n v="15000"/>
    <m/>
    <m/>
    <n v="1"/>
    <n v="100000"/>
    <m/>
    <m/>
    <m/>
    <n v="100000"/>
    <m/>
    <m/>
    <m/>
    <s v="-"/>
    <m/>
    <m/>
    <m/>
    <m/>
    <m/>
    <m/>
    <m/>
    <m/>
    <m/>
    <m/>
    <m/>
    <m/>
    <m/>
    <m/>
    <m/>
    <m/>
    <n v="100000"/>
    <m/>
    <m/>
    <m/>
    <x v="5"/>
    <x v="2"/>
    <m/>
    <m/>
    <m/>
    <m/>
    <n v="2799"/>
    <m/>
    <m/>
    <m/>
    <m/>
    <m/>
    <m/>
    <m/>
    <s v="Y"/>
    <m/>
    <m/>
    <m/>
    <m/>
    <s v="CASH: PMN $100,000 for Fed Appeal"/>
  </r>
  <r>
    <x v="0"/>
    <n v="215"/>
    <x v="208"/>
    <d v="2008-12-11T00:00:00"/>
    <x v="13"/>
    <n v="13"/>
    <m/>
    <x v="13"/>
    <n v="28"/>
    <x v="1"/>
    <s v="Ethiopia"/>
    <s v="Human Related"/>
    <x v="14"/>
    <s v="Food Insecurity"/>
    <m/>
    <s v="-"/>
    <x v="0"/>
    <m/>
    <x v="64"/>
    <m/>
    <x v="0"/>
    <m/>
    <m/>
    <m/>
    <s v="-"/>
    <m/>
    <s v="-"/>
    <m/>
    <m/>
    <m/>
    <m/>
    <m/>
    <m/>
    <m/>
    <m/>
    <m/>
    <s v="-"/>
    <m/>
    <m/>
    <m/>
    <m/>
    <m/>
    <m/>
    <m/>
    <m/>
    <m/>
    <m/>
    <m/>
    <m/>
    <m/>
    <m/>
    <m/>
    <m/>
    <s v="-"/>
    <m/>
    <m/>
    <m/>
    <x v="156"/>
    <x v="1"/>
    <m/>
    <m/>
    <m/>
    <m/>
    <m/>
    <m/>
    <m/>
    <m/>
    <m/>
    <m/>
    <m/>
    <m/>
    <s v="N"/>
    <m/>
    <m/>
    <m/>
    <m/>
    <m/>
  </r>
  <r>
    <x v="0"/>
    <n v="215"/>
    <x v="208"/>
    <d v="2008-12-12T00:00:00"/>
    <x v="13"/>
    <n v="13"/>
    <m/>
    <x v="13"/>
    <n v="28"/>
    <x v="1"/>
    <s v="Kenya"/>
    <s v="Human Related"/>
    <x v="14"/>
    <s v="Food Insecurity"/>
    <m/>
    <s v="-"/>
    <x v="0"/>
    <m/>
    <x v="64"/>
    <m/>
    <x v="0"/>
    <m/>
    <m/>
    <m/>
    <s v="-"/>
    <m/>
    <s v="-"/>
    <m/>
    <m/>
    <m/>
    <m/>
    <m/>
    <m/>
    <m/>
    <m/>
    <m/>
    <s v="-"/>
    <m/>
    <m/>
    <m/>
    <m/>
    <m/>
    <m/>
    <m/>
    <m/>
    <m/>
    <m/>
    <m/>
    <m/>
    <m/>
    <m/>
    <m/>
    <m/>
    <s v="-"/>
    <m/>
    <m/>
    <m/>
    <x v="156"/>
    <x v="1"/>
    <m/>
    <m/>
    <m/>
    <m/>
    <m/>
    <m/>
    <m/>
    <m/>
    <m/>
    <m/>
    <m/>
    <m/>
    <s v="N"/>
    <m/>
    <m/>
    <m/>
    <m/>
    <m/>
  </r>
  <r>
    <x v="0"/>
    <n v="215"/>
    <x v="208"/>
    <d v="2008-12-13T00:00:00"/>
    <x v="13"/>
    <n v="13"/>
    <m/>
    <x v="13"/>
    <n v="28"/>
    <x v="1"/>
    <s v="Somalia"/>
    <s v="Human Related"/>
    <x v="14"/>
    <s v="Food Insecurity"/>
    <m/>
    <s v="-"/>
    <x v="0"/>
    <m/>
    <x v="64"/>
    <m/>
    <x v="0"/>
    <m/>
    <m/>
    <m/>
    <s v="-"/>
    <m/>
    <s v="-"/>
    <m/>
    <m/>
    <m/>
    <m/>
    <m/>
    <m/>
    <m/>
    <m/>
    <m/>
    <s v="-"/>
    <m/>
    <m/>
    <m/>
    <m/>
    <m/>
    <m/>
    <m/>
    <m/>
    <m/>
    <m/>
    <m/>
    <m/>
    <m/>
    <m/>
    <m/>
    <m/>
    <s v="-"/>
    <m/>
    <m/>
    <m/>
    <x v="156"/>
    <x v="1"/>
    <m/>
    <m/>
    <m/>
    <m/>
    <m/>
    <m/>
    <m/>
    <m/>
    <m/>
    <m/>
    <m/>
    <m/>
    <s v="N"/>
    <m/>
    <m/>
    <m/>
    <m/>
    <m/>
  </r>
  <r>
    <x v="51"/>
    <n v="215"/>
    <x v="208"/>
    <d v="2008-12-10T00:00:00"/>
    <x v="13"/>
    <n v="13"/>
    <m/>
    <x v="13"/>
    <n v="28"/>
    <x v="1"/>
    <s v="Djibouti"/>
    <s v="Human Related"/>
    <x v="14"/>
    <s v="Food Insecurity"/>
    <m/>
    <n v="16800000"/>
    <x v="1"/>
    <s v="IFRC"/>
    <x v="70"/>
    <s v="MDR64003"/>
    <x v="8"/>
    <n v="0.09"/>
    <s v="Y"/>
    <n v="118830"/>
    <n v="2488500"/>
    <m/>
    <m/>
    <m/>
    <m/>
    <m/>
    <n v="500000"/>
    <m/>
    <m/>
    <n v="1"/>
    <m/>
    <n v="1"/>
    <s v="-"/>
    <m/>
    <m/>
    <m/>
    <m/>
    <m/>
    <m/>
    <m/>
    <m/>
    <m/>
    <m/>
    <m/>
    <m/>
    <m/>
    <m/>
    <m/>
    <m/>
    <n v="0"/>
    <m/>
    <m/>
    <m/>
    <x v="7"/>
    <x v="2"/>
    <m/>
    <m/>
    <m/>
    <m/>
    <n v="2799"/>
    <m/>
    <m/>
    <m/>
    <m/>
    <m/>
    <m/>
    <m/>
    <s v="Y"/>
    <m/>
    <m/>
    <m/>
    <m/>
    <s v="PEOPLE: T. Reines, relief del on Fed assessment team x3 wks (entire Horn of Africa); CASH: Intially $500,000 was approved but issues related to the programming and the appeal kept these funds from being disbursed to IFRC appeal. Eventually appeal was cancelled. Instead, ARC provided the resources to a British Red Cross led effort in Djibouti around livelihoods that was consistent with the appeal and recognized by the Federation as such."/>
  </r>
  <r>
    <x v="0"/>
    <n v="216"/>
    <x v="209"/>
    <d v="2008-12-14T00:00:00"/>
    <x v="13"/>
    <n v="14"/>
    <m/>
    <x v="13"/>
    <n v="29"/>
    <x v="1"/>
    <s v="Uganda"/>
    <s v="Human Related"/>
    <x v="8"/>
    <s v="Conflict"/>
    <s v="Conflict"/>
    <n v="280000"/>
    <x v="1"/>
    <s v="IFRC"/>
    <x v="71"/>
    <s v="MDR64004"/>
    <x v="42"/>
    <n v="0.62"/>
    <s v="Y"/>
    <n v="201571"/>
    <n v="60000"/>
    <m/>
    <m/>
    <n v="1"/>
    <n v="50000"/>
    <m/>
    <m/>
    <m/>
    <n v="50000"/>
    <n v="1"/>
    <m/>
    <n v="1"/>
    <s v="-"/>
    <m/>
    <m/>
    <m/>
    <m/>
    <m/>
    <m/>
    <m/>
    <m/>
    <m/>
    <m/>
    <m/>
    <m/>
    <m/>
    <m/>
    <m/>
    <m/>
    <n v="50000"/>
    <m/>
    <m/>
    <m/>
    <x v="16"/>
    <x v="2"/>
    <m/>
    <m/>
    <m/>
    <m/>
    <n v="2799"/>
    <m/>
    <m/>
    <m/>
    <m/>
    <m/>
    <m/>
    <m/>
    <s v="Y"/>
    <m/>
    <m/>
    <m/>
    <m/>
    <s v="CASH: $50,000 PMN to Appeal earmarked to Uganda. PEOPLE: B. Banks, seconded to NBO as backfill DM coordinator deployed to Uganda on Fed assessment"/>
  </r>
  <r>
    <x v="52"/>
    <n v="217"/>
    <x v="210"/>
    <d v="2008-12-17T00:00:00"/>
    <x v="13"/>
    <n v="15"/>
    <m/>
    <x v="13"/>
    <n v="30"/>
    <x v="1"/>
    <s v="Zimbabwe"/>
    <s v="Biological"/>
    <x v="11"/>
    <s v="Disease"/>
    <s v="Cholera"/>
    <n v="50000"/>
    <x v="1"/>
    <s v="IFRC"/>
    <x v="72"/>
    <s v="MDRZW004"/>
    <x v="43"/>
    <n v="0.64"/>
    <s v="Y"/>
    <n v="359374"/>
    <n v="1500000"/>
    <m/>
    <m/>
    <n v="1"/>
    <n v="100000"/>
    <m/>
    <m/>
    <m/>
    <n v="100000"/>
    <m/>
    <m/>
    <m/>
    <s v="-"/>
    <m/>
    <m/>
    <m/>
    <m/>
    <m/>
    <m/>
    <m/>
    <m/>
    <m/>
    <m/>
    <m/>
    <m/>
    <m/>
    <m/>
    <m/>
    <m/>
    <n v="100000"/>
    <m/>
    <m/>
    <m/>
    <x v="5"/>
    <x v="2"/>
    <m/>
    <m/>
    <m/>
    <m/>
    <n v="2799"/>
    <m/>
    <m/>
    <m/>
    <m/>
    <m/>
    <m/>
    <m/>
    <s v="Y"/>
    <m/>
    <m/>
    <m/>
    <m/>
    <s v="CASH: PMN $100k to IFRC from 2799 - 75% operational needs, 25% support costs."/>
  </r>
  <r>
    <x v="0"/>
    <n v="218"/>
    <x v="211"/>
    <d v="2008-12-17T00:00:00"/>
    <x v="13"/>
    <n v="16"/>
    <m/>
    <x v="13"/>
    <n v="31"/>
    <x v="3"/>
    <s v="Israel"/>
    <s v="Human Related"/>
    <x v="8"/>
    <s v="Conflict"/>
    <s v="Conflict"/>
    <s v="-"/>
    <x v="1"/>
    <s v="ICRC/Ntl Socs"/>
    <x v="64"/>
    <m/>
    <x v="0"/>
    <m/>
    <m/>
    <m/>
    <s v="-"/>
    <m/>
    <s v="-"/>
    <m/>
    <m/>
    <s v=" "/>
    <n v="200000"/>
    <m/>
    <m/>
    <m/>
    <m/>
    <m/>
    <s v="-"/>
    <m/>
    <m/>
    <m/>
    <m/>
    <m/>
    <m/>
    <m/>
    <m/>
    <m/>
    <m/>
    <m/>
    <m/>
    <m/>
    <m/>
    <m/>
    <m/>
    <s v="-"/>
    <m/>
    <m/>
    <m/>
    <x v="156"/>
    <x v="2"/>
    <m/>
    <m/>
    <m/>
    <m/>
    <n v="2099"/>
    <m/>
    <m/>
    <m/>
    <m/>
    <m/>
    <m/>
    <m/>
    <s v="N"/>
    <m/>
    <m/>
    <m/>
    <m/>
    <s v="CASH: 5 Jan 09 - $250,000 from 2799 RRF to ICRC;  9 Jan 09 $250,000 from 2799 RRF, to PRCS;  30 Jan 09 $200,000 from 2099 IRF to MDA;  5 Feb 09: $110,625 from 2010 Middle East, to PRCS appeal, and $110,625, 2010 Middle East to ICRC appeal."/>
  </r>
  <r>
    <x v="0"/>
    <n v="218"/>
    <x v="212"/>
    <d v="2008-12-17T00:00:00"/>
    <x v="13"/>
    <n v="16"/>
    <m/>
    <x v="13"/>
    <n v="31"/>
    <x v="3"/>
    <s v="Palestine"/>
    <s v="Human Related"/>
    <x v="8"/>
    <s v="Conflict"/>
    <s v="Conflict"/>
    <n v="90000"/>
    <x v="1"/>
    <s v="ICRC/Ntl Socs"/>
    <x v="0"/>
    <m/>
    <x v="0"/>
    <m/>
    <s v="Y"/>
    <n v="310244"/>
    <n v="50000"/>
    <m/>
    <m/>
    <n v="1"/>
    <m/>
    <n v="360625"/>
    <n v="560625"/>
    <m/>
    <n v="921250"/>
    <m/>
    <m/>
    <m/>
    <s v="-"/>
    <m/>
    <m/>
    <m/>
    <m/>
    <m/>
    <m/>
    <m/>
    <m/>
    <m/>
    <m/>
    <m/>
    <m/>
    <m/>
    <m/>
    <m/>
    <m/>
    <n v="921250"/>
    <m/>
    <m/>
    <m/>
    <x v="159"/>
    <x v="1"/>
    <m/>
    <m/>
    <m/>
    <m/>
    <s v="2799/2099/2010"/>
    <m/>
    <m/>
    <m/>
    <m/>
    <m/>
    <m/>
    <m/>
    <s v="N"/>
    <m/>
    <m/>
    <m/>
    <m/>
    <s v="CASH: 5 Jan 09 - $250,000 from 2799 RRF to ICRC;  9 Jan 09 $250,000 from 2799 RRF, to PRCS;  30 Jan 09 $200,000 from 2099 IRF to MDA;  5 Feb 09: $110,625 from 2010 Middle East, to PRCS appeal, and $110,625, 2010 Middle East to ICRC appeal."/>
  </r>
  <r>
    <x v="53"/>
    <n v="219"/>
    <x v="213"/>
    <d v="2009-01-08T00:00:00"/>
    <x v="13"/>
    <n v="17"/>
    <s v="Q3"/>
    <x v="14"/>
    <n v="2"/>
    <x v="2"/>
    <s v="Costa Rica"/>
    <s v="Geophysical"/>
    <x v="3"/>
    <s v="Earthquake"/>
    <s v="Earthquake"/>
    <n v="2943"/>
    <x v="2"/>
    <m/>
    <x v="64"/>
    <m/>
    <x v="0"/>
    <m/>
    <s v="Y"/>
    <n v="49273"/>
    <s v="-"/>
    <s v="Y"/>
    <n v="640"/>
    <m/>
    <m/>
    <m/>
    <n v="62250"/>
    <m/>
    <n v="62250"/>
    <n v="2"/>
    <m/>
    <n v="2"/>
    <m/>
    <m/>
    <m/>
    <m/>
    <m/>
    <m/>
    <m/>
    <m/>
    <m/>
    <m/>
    <m/>
    <m/>
    <m/>
    <m/>
    <m/>
    <m/>
    <n v="11950"/>
    <n v="74200"/>
    <m/>
    <m/>
    <m/>
    <x v="160"/>
    <x v="1"/>
    <m/>
    <m/>
    <m/>
    <m/>
    <n v="2882"/>
    <m/>
    <m/>
    <m/>
    <m/>
    <m/>
    <m/>
    <m/>
    <s v="N"/>
    <m/>
    <m/>
    <m/>
    <s v="Earthquake"/>
    <s v="CASH: Bilateral to CRRC; PEOPLE: S. DiPretoro, A. Vargas"/>
  </r>
  <r>
    <x v="54"/>
    <n v="220"/>
    <x v="214"/>
    <d v="2009-02-07T00:00:00"/>
    <x v="13"/>
    <n v="18"/>
    <s v="Q3"/>
    <x v="14"/>
    <n v="3"/>
    <x v="3"/>
    <s v="Australia"/>
    <s v="Hydrometerological"/>
    <x v="15"/>
    <m/>
    <m/>
    <n v="22000"/>
    <x v="2"/>
    <m/>
    <x v="0"/>
    <m/>
    <x v="0"/>
    <m/>
    <m/>
    <m/>
    <m/>
    <s v="Y"/>
    <m/>
    <m/>
    <m/>
    <m/>
    <n v="1520000"/>
    <m/>
    <n v="1520000"/>
    <m/>
    <m/>
    <m/>
    <m/>
    <m/>
    <m/>
    <m/>
    <m/>
    <m/>
    <m/>
    <m/>
    <m/>
    <m/>
    <m/>
    <m/>
    <m/>
    <m/>
    <m/>
    <m/>
    <m/>
    <n v="1520000"/>
    <m/>
    <m/>
    <m/>
    <x v="161"/>
    <x v="1"/>
    <m/>
    <m/>
    <m/>
    <m/>
    <n v="2881"/>
    <m/>
    <m/>
    <m/>
    <m/>
    <m/>
    <m/>
    <m/>
    <s v="N"/>
    <m/>
    <m/>
    <m/>
    <m/>
    <s v="CASH: ARC coordinated US corporate donations to joint domestic AusRC &amp; Ntl Govt appeal -  totaled $1,250,000 - sent August 2009"/>
  </r>
  <r>
    <x v="0"/>
    <n v="221"/>
    <x v="167"/>
    <d v="2009-03-05T00:00:00"/>
    <x v="13"/>
    <n v="19"/>
    <s v="Q3"/>
    <x v="14"/>
    <n v="4"/>
    <x v="3"/>
    <s v="Sri Lanka"/>
    <s v="Human Related"/>
    <x v="8"/>
    <m/>
    <m/>
    <n v="250000"/>
    <x v="1"/>
    <s v="ICRC"/>
    <x v="0"/>
    <m/>
    <x v="0"/>
    <m/>
    <m/>
    <m/>
    <m/>
    <m/>
    <n v="20000"/>
    <n v="1"/>
    <m/>
    <n v="500000"/>
    <m/>
    <m/>
    <n v="500000"/>
    <n v="1"/>
    <m/>
    <n v="1"/>
    <m/>
    <m/>
    <m/>
    <m/>
    <m/>
    <m/>
    <m/>
    <m/>
    <m/>
    <m/>
    <m/>
    <m/>
    <m/>
    <m/>
    <m/>
    <m/>
    <m/>
    <n v="500000"/>
    <m/>
    <m/>
    <m/>
    <x v="162"/>
    <x v="1"/>
    <m/>
    <m/>
    <m/>
    <m/>
    <s v="TRP"/>
    <m/>
    <m/>
    <m/>
    <m/>
    <m/>
    <m/>
    <m/>
    <s v="N"/>
    <m/>
    <m/>
    <m/>
    <s v="Sri Lanka Conflict"/>
    <s v="CASH: $500,000 to ICRC for baby kits to IDPs in camps. PEOPLE: Gina Guinta ICRC volunteer to work in IDP camps doing relief distribution, 30 days."/>
  </r>
  <r>
    <x v="55"/>
    <n v="222"/>
    <x v="157"/>
    <d v="2009-03-19T00:00:00"/>
    <x v="13"/>
    <n v="20"/>
    <s v="Q3"/>
    <x v="14"/>
    <n v="5"/>
    <x v="2"/>
    <s v="Colombia"/>
    <s v="Hydrometerological"/>
    <x v="2"/>
    <m/>
    <m/>
    <n v="31250"/>
    <x v="1"/>
    <s v="IFRC"/>
    <x v="73"/>
    <s v="MDRCO006"/>
    <x v="0"/>
    <n v="0.99"/>
    <s v="Y"/>
    <n v="152369"/>
    <n v="25000"/>
    <m/>
    <m/>
    <m/>
    <m/>
    <m/>
    <m/>
    <m/>
    <m/>
    <m/>
    <m/>
    <m/>
    <n v="8000"/>
    <m/>
    <m/>
    <m/>
    <n v="8000"/>
    <m/>
    <m/>
    <m/>
    <m/>
    <m/>
    <m/>
    <m/>
    <m/>
    <m/>
    <m/>
    <n v="30000"/>
    <m/>
    <n v="30000"/>
    <m/>
    <m/>
    <m/>
    <x v="163"/>
    <x v="2"/>
    <m/>
    <m/>
    <m/>
    <m/>
    <n v="2799"/>
    <m/>
    <m/>
    <m/>
    <m/>
    <m/>
    <m/>
    <m/>
    <s v="Y"/>
    <m/>
    <m/>
    <m/>
    <s v="Colombia Floods"/>
    <s v="SUPPLIES: 8,000 ARC Jerry Cans from stock at PADRU shipped to IFRC in Colombia."/>
  </r>
  <r>
    <x v="56"/>
    <n v="223"/>
    <x v="96"/>
    <d v="2009-04-07T00:00:00"/>
    <x v="13"/>
    <n v="21"/>
    <s v="Q4"/>
    <x v="14"/>
    <n v="6"/>
    <x v="3"/>
    <s v="Italy"/>
    <s v="Geophysical"/>
    <x v="3"/>
    <m/>
    <m/>
    <n v="48000"/>
    <x v="2"/>
    <m/>
    <x v="0"/>
    <m/>
    <x v="0"/>
    <m/>
    <s v="Y"/>
    <n v="613944"/>
    <m/>
    <s v="Y"/>
    <m/>
    <m/>
    <m/>
    <m/>
    <n v="981315"/>
    <m/>
    <n v="981315"/>
    <m/>
    <m/>
    <m/>
    <m/>
    <m/>
    <m/>
    <m/>
    <m/>
    <m/>
    <m/>
    <m/>
    <m/>
    <m/>
    <m/>
    <m/>
    <m/>
    <m/>
    <m/>
    <m/>
    <m/>
    <n v="981315"/>
    <m/>
    <m/>
    <m/>
    <x v="164"/>
    <x v="1"/>
    <m/>
    <m/>
    <m/>
    <m/>
    <s v="2799/2697"/>
    <m/>
    <m/>
    <m/>
    <m/>
    <m/>
    <m/>
    <m/>
    <s v="N"/>
    <m/>
    <m/>
    <m/>
    <s v="L'Aquila Earthquake"/>
    <s v="CASH: $50,000 to Italian Red Cross from RRF 2799 - later repaid by 2697 when raised; Receiving donor funds to AP 2697 from public and chapters. Additional $522,180 from donor funds sent 5/29/09. Final amount in Aug. 2009"/>
  </r>
  <r>
    <x v="57"/>
    <n v="224"/>
    <x v="215"/>
    <d v="2009-05-15T00:00:00"/>
    <x v="13"/>
    <n v="22"/>
    <s v="Q4"/>
    <x v="14"/>
    <n v="7"/>
    <x v="1"/>
    <s v="Namibia"/>
    <s v="Hydrometerological"/>
    <x v="2"/>
    <m/>
    <m/>
    <n v="700000"/>
    <x v="1"/>
    <s v="IFRC"/>
    <x v="74"/>
    <s v="MDRNA004"/>
    <x v="44"/>
    <n v="0.91"/>
    <s v="Y"/>
    <n v="128552"/>
    <n v="20000"/>
    <m/>
    <m/>
    <n v="1"/>
    <n v="50000"/>
    <m/>
    <m/>
    <m/>
    <n v="50000"/>
    <m/>
    <m/>
    <m/>
    <m/>
    <m/>
    <m/>
    <m/>
    <m/>
    <m/>
    <m/>
    <m/>
    <m/>
    <m/>
    <m/>
    <m/>
    <m/>
    <m/>
    <m/>
    <m/>
    <m/>
    <n v="50000"/>
    <m/>
    <m/>
    <m/>
    <x v="16"/>
    <x v="2"/>
    <m/>
    <m/>
    <m/>
    <m/>
    <n v="2799"/>
    <m/>
    <m/>
    <m/>
    <m/>
    <m/>
    <m/>
    <m/>
    <s v="Y"/>
    <m/>
    <m/>
    <m/>
    <m/>
    <s v="CASH: $50k to IFRC from 2799 earmarked for relief supplies"/>
  </r>
  <r>
    <x v="0"/>
    <n v="225"/>
    <x v="216"/>
    <d v="2009-05-15T00:00:00"/>
    <x v="13"/>
    <n v="23"/>
    <s v="Q4"/>
    <x v="14"/>
    <n v="8"/>
    <x v="1"/>
    <s v="Sudan"/>
    <s v="Biological"/>
    <x v="11"/>
    <m/>
    <m/>
    <n v="25000000"/>
    <x v="1"/>
    <s v="IFRC"/>
    <x v="75"/>
    <s v="MDR61004; MDR64004; MDR63002"/>
    <x v="45"/>
    <s v="various"/>
    <s v="Y"/>
    <n v="315628"/>
    <n v="25000000"/>
    <m/>
    <m/>
    <n v="1"/>
    <n v="200000"/>
    <m/>
    <m/>
    <m/>
    <n v="200000"/>
    <m/>
    <m/>
    <m/>
    <m/>
    <m/>
    <m/>
    <m/>
    <m/>
    <m/>
    <m/>
    <m/>
    <m/>
    <m/>
    <m/>
    <m/>
    <m/>
    <m/>
    <m/>
    <m/>
    <m/>
    <n v="200000"/>
    <m/>
    <m/>
    <m/>
    <x v="121"/>
    <x v="1"/>
    <m/>
    <m/>
    <m/>
    <m/>
    <n v="2869"/>
    <m/>
    <m/>
    <m/>
    <m/>
    <m/>
    <s v="Y"/>
    <m/>
    <s v="N"/>
    <m/>
    <s v="ARCT Funds used - $200,000"/>
    <m/>
    <s v="Polio - Sudan"/>
    <s v="CASH: $200k to IFRC earmarked for Sudan vaccination campaign from ARCT - funds went out as of August 2009."/>
  </r>
  <r>
    <x v="0"/>
    <n v="226"/>
    <x v="217"/>
    <d v="2009-05-15T00:00:00"/>
    <x v="13"/>
    <n v="24"/>
    <s v="Q4"/>
    <x v="14"/>
    <n v="9"/>
    <x v="3"/>
    <s v="Pakistan"/>
    <s v="Human Related"/>
    <x v="8"/>
    <m/>
    <m/>
    <n v="2000000"/>
    <x v="1"/>
    <s v="IFRC"/>
    <x v="76"/>
    <s v="MDRPK003"/>
    <x v="46"/>
    <n v="0.45"/>
    <m/>
    <m/>
    <n v="91000"/>
    <m/>
    <m/>
    <n v="1"/>
    <n v="250000"/>
    <m/>
    <m/>
    <m/>
    <n v="250000"/>
    <m/>
    <m/>
    <m/>
    <n v="5150"/>
    <m/>
    <m/>
    <m/>
    <m/>
    <m/>
    <m/>
    <m/>
    <m/>
    <m/>
    <m/>
    <m/>
    <m/>
    <m/>
    <m/>
    <n v="80000"/>
    <m/>
    <n v="330000"/>
    <m/>
    <m/>
    <m/>
    <x v="165"/>
    <x v="2"/>
    <m/>
    <m/>
    <m/>
    <m/>
    <n v="2799"/>
    <m/>
    <m/>
    <m/>
    <m/>
    <m/>
    <m/>
    <m/>
    <s v="Y"/>
    <m/>
    <m/>
    <m/>
    <s v="Pakistan Complex Emergency"/>
    <s v="SUPPLIES: $80,000 bilateral for beds and mattresses to be transported to PRCS for IDP camps. CASH: $250,000 earmarked for NFIs. on June 26 to support Federation Appeal. "/>
  </r>
  <r>
    <x v="58"/>
    <n v="227"/>
    <x v="218"/>
    <d v="2009-06-26T00:00:00"/>
    <x v="13"/>
    <n v="25"/>
    <s v="Q4"/>
    <x v="14"/>
    <n v="10"/>
    <x v="3"/>
    <s v="Bangladesh"/>
    <s v="Hydrometerological"/>
    <x v="5"/>
    <m/>
    <m/>
    <n v="3928238"/>
    <x v="1"/>
    <s v="IFRC"/>
    <x v="75"/>
    <s v="MDRBD004"/>
    <x v="8"/>
    <m/>
    <s v="Y"/>
    <n v="230677"/>
    <n v="184000"/>
    <m/>
    <m/>
    <m/>
    <m/>
    <m/>
    <m/>
    <m/>
    <m/>
    <n v="1"/>
    <m/>
    <n v="1"/>
    <m/>
    <m/>
    <m/>
    <m/>
    <m/>
    <m/>
    <m/>
    <m/>
    <m/>
    <m/>
    <m/>
    <m/>
    <m/>
    <m/>
    <m/>
    <m/>
    <m/>
    <n v="0"/>
    <m/>
    <m/>
    <m/>
    <x v="7"/>
    <x v="1"/>
    <m/>
    <m/>
    <m/>
    <m/>
    <n v="2017"/>
    <m/>
    <m/>
    <m/>
    <m/>
    <m/>
    <m/>
    <m/>
    <s v="N"/>
    <m/>
    <m/>
    <m/>
    <s v="Bangladesh Cyclone Aila"/>
    <s v="PEOPLE: Relief Operations Support Delegate: Travis Betz deployed 4 weeks as a Relief Operations Support Delegate to provide support to the Bangladesh Delegation and affected National Society in response to Cyclone Aila. "/>
  </r>
  <r>
    <x v="59"/>
    <n v="228"/>
    <x v="219"/>
    <d v="2009-08-12T00:00:00"/>
    <x v="14"/>
    <n v="1"/>
    <s v="Q1"/>
    <x v="14"/>
    <n v="11"/>
    <x v="3"/>
    <s v="Tajikistan"/>
    <s v="Hydrometerological"/>
    <x v="2"/>
    <m/>
    <m/>
    <n v="12000"/>
    <x v="1"/>
    <s v="IFRC"/>
    <x v="77"/>
    <s v="MDRTJ005"/>
    <x v="47"/>
    <n v="0.61"/>
    <s v="Y"/>
    <n v="118472"/>
    <n v="4320"/>
    <m/>
    <n v="165"/>
    <m/>
    <n v="11500"/>
    <m/>
    <m/>
    <m/>
    <n v="11500"/>
    <m/>
    <m/>
    <m/>
    <m/>
    <m/>
    <m/>
    <m/>
    <m/>
    <m/>
    <m/>
    <m/>
    <m/>
    <m/>
    <m/>
    <m/>
    <m/>
    <m/>
    <m/>
    <m/>
    <m/>
    <n v="11500"/>
    <m/>
    <m/>
    <m/>
    <x v="166"/>
    <x v="2"/>
    <m/>
    <m/>
    <m/>
    <m/>
    <n v="2799"/>
    <m/>
    <m/>
    <m/>
    <m/>
    <m/>
    <m/>
    <m/>
    <s v="Y"/>
    <m/>
    <m/>
    <m/>
    <m/>
    <s v="CASH: $11,500 (plus cost recovery) to IFRC Appeal from 2799"/>
  </r>
  <r>
    <x v="60"/>
    <n v="229"/>
    <x v="220"/>
    <d v="2009-09-01T00:00:00"/>
    <x v="14"/>
    <n v="2"/>
    <s v="Q1"/>
    <x v="14"/>
    <n v="12"/>
    <x v="3"/>
    <s v="Syria"/>
    <s v="Hydrometerological"/>
    <x v="1"/>
    <m/>
    <m/>
    <n v="1300000"/>
    <x v="1"/>
    <s v="IFRC"/>
    <x v="78"/>
    <s v="MDRSY001"/>
    <x v="48"/>
    <n v="0.34"/>
    <s v="Y"/>
    <n v="303195"/>
    <n v="260000"/>
    <m/>
    <m/>
    <n v="1"/>
    <n v="50000"/>
    <m/>
    <m/>
    <m/>
    <n v="50000"/>
    <m/>
    <m/>
    <m/>
    <m/>
    <m/>
    <m/>
    <m/>
    <m/>
    <m/>
    <m/>
    <m/>
    <m/>
    <m/>
    <m/>
    <m/>
    <m/>
    <m/>
    <m/>
    <m/>
    <m/>
    <n v="50000"/>
    <m/>
    <m/>
    <m/>
    <x v="16"/>
    <x v="1"/>
    <m/>
    <m/>
    <m/>
    <m/>
    <n v="2869"/>
    <m/>
    <m/>
    <m/>
    <m/>
    <m/>
    <s v="Y"/>
    <m/>
    <s v="N"/>
    <m/>
    <s v="ARCT Funds used"/>
    <m/>
    <m/>
    <s v="CASH: $50,000 from ARCT for Overlooked Disasters Fund (plus cost recovery to be covered from RRF 2799)"/>
  </r>
  <r>
    <x v="61"/>
    <n v="230"/>
    <x v="221"/>
    <d v="2009-09-10T00:00:00"/>
    <x v="14"/>
    <n v="3"/>
    <s v="Q1"/>
    <x v="14"/>
    <n v="13"/>
    <x v="1"/>
    <s v="Burkina Faso"/>
    <s v="Hydrometerological"/>
    <x v="2"/>
    <m/>
    <m/>
    <n v="600000"/>
    <x v="1"/>
    <s v="IFRC"/>
    <x v="79"/>
    <s v="MDRBF008 &amp; MDRSN002"/>
    <x v="8"/>
    <n v="0.32"/>
    <s v="Y"/>
    <n v="419190"/>
    <n v="40000"/>
    <m/>
    <m/>
    <m/>
    <m/>
    <m/>
    <m/>
    <m/>
    <n v="0"/>
    <n v="1"/>
    <m/>
    <n v="1"/>
    <m/>
    <m/>
    <n v="7500"/>
    <n v="37500"/>
    <n v="7500"/>
    <n v="7500"/>
    <n v="500"/>
    <n v="7500"/>
    <m/>
    <m/>
    <m/>
    <m/>
    <m/>
    <m/>
    <m/>
    <m/>
    <m/>
    <n v="0"/>
    <m/>
    <m/>
    <m/>
    <x v="7"/>
    <x v="2"/>
    <m/>
    <m/>
    <m/>
    <m/>
    <n v="2799"/>
    <m/>
    <m/>
    <m/>
    <m/>
    <m/>
    <m/>
    <m/>
    <s v="Y"/>
    <m/>
    <m/>
    <m/>
    <m/>
    <s v="PEOPLE: John Manley deployed to Burkina Faso as FACT team member for 1 month. "/>
  </r>
  <r>
    <x v="62"/>
    <n v="230"/>
    <x v="222"/>
    <d v="2009-09-10T00:00:00"/>
    <x v="14"/>
    <n v="3"/>
    <s v="Q1"/>
    <x v="14"/>
    <n v="13"/>
    <x v="1"/>
    <s v="Senegal"/>
    <s v="Hydrometerological"/>
    <x v="2"/>
    <m/>
    <m/>
    <n v="156000"/>
    <x v="1"/>
    <s v="IFRC"/>
    <x v="11"/>
    <s v="MDRBF008 &amp; MDRSN002"/>
    <x v="8"/>
    <n v="0.47"/>
    <s v="Y"/>
    <n v="419190"/>
    <n v="25000"/>
    <m/>
    <m/>
    <m/>
    <m/>
    <m/>
    <m/>
    <m/>
    <n v="0"/>
    <n v="3"/>
    <s v="Relief ERU"/>
    <n v="3"/>
    <m/>
    <m/>
    <m/>
    <m/>
    <m/>
    <m/>
    <m/>
    <m/>
    <m/>
    <m/>
    <m/>
    <m/>
    <m/>
    <m/>
    <m/>
    <m/>
    <m/>
    <n v="0"/>
    <m/>
    <m/>
    <m/>
    <x v="7"/>
    <x v="2"/>
    <m/>
    <m/>
    <m/>
    <m/>
    <n v="2799"/>
    <m/>
    <m/>
    <m/>
    <m/>
    <m/>
    <m/>
    <m/>
    <s v="Y"/>
    <m/>
    <m/>
    <m/>
    <m/>
    <s v="PEOPLE: 3 ERU team members deployed jointly with DanishRC for 1 month: Steve McAndrew – ERU Team leader, Shinko Mondori- ERU team member, Luis Matnog- ERU team member . ERUs are part of Appeal Mob table so we can claim multilateral beneficiaries."/>
  </r>
  <r>
    <x v="63"/>
    <n v="231"/>
    <x v="223"/>
    <d v="2009-09-03T00:00:00"/>
    <x v="14"/>
    <n v="4"/>
    <s v="Q1"/>
    <x v="14"/>
    <n v="14"/>
    <x v="2"/>
    <s v="Mexico"/>
    <s v="Hydrometerological"/>
    <x v="20"/>
    <m/>
    <m/>
    <n v="100000"/>
    <x v="2"/>
    <m/>
    <x v="0"/>
    <m/>
    <x v="0"/>
    <m/>
    <s v="Y"/>
    <n v="319632"/>
    <m/>
    <s v="Y"/>
    <n v="15000"/>
    <m/>
    <m/>
    <m/>
    <m/>
    <m/>
    <n v="0"/>
    <n v="1"/>
    <m/>
    <n v="1"/>
    <n v="13840"/>
    <s v="mixed"/>
    <n v="1840"/>
    <m/>
    <m/>
    <m/>
    <m/>
    <n v="3000"/>
    <m/>
    <n v="6000"/>
    <m/>
    <m/>
    <m/>
    <n v="3000"/>
    <m/>
    <n v="259500"/>
    <m/>
    <n v="259500"/>
    <m/>
    <m/>
    <m/>
    <x v="167"/>
    <x v="2"/>
    <m/>
    <m/>
    <m/>
    <m/>
    <s v="2799  + OFDA"/>
    <m/>
    <m/>
    <m/>
    <m/>
    <m/>
    <m/>
    <s v="Y"/>
    <s v="N"/>
    <m/>
    <m/>
    <m/>
    <m/>
    <s v="SUPPLIES: Bilateral to Mexican RC: 1,840 hygiene kits from stock at PADRU, 3,000 kitchen sets from stock at PADRU, 3,000 reconstruction kits to be procured locally. Funding: For 1,840  hygiene kits ($60,000) from 2799; 3,000 kitchen sets ($75,000) from OFDA; 3,000 reconstruction kits ($124,500) from OFDA.  PEOPLE: Jono Anzalone deployed to do M &amp; E for relief distribution."/>
  </r>
  <r>
    <x v="64"/>
    <n v="232"/>
    <x v="224"/>
    <d v="2009-09-02T00:00:00"/>
    <x v="14"/>
    <n v="5"/>
    <s v="Q1"/>
    <x v="14"/>
    <n v="15"/>
    <x v="3"/>
    <s v="Indonesia"/>
    <s v="Geophysical"/>
    <x v="3"/>
    <m/>
    <m/>
    <n v="90000"/>
    <x v="2"/>
    <m/>
    <x v="0"/>
    <m/>
    <x v="0"/>
    <m/>
    <s v="N"/>
    <m/>
    <m/>
    <s v="Y"/>
    <m/>
    <m/>
    <m/>
    <m/>
    <m/>
    <m/>
    <n v="0"/>
    <n v="1"/>
    <m/>
    <n v="1"/>
    <m/>
    <m/>
    <m/>
    <m/>
    <m/>
    <m/>
    <m/>
    <m/>
    <m/>
    <m/>
    <m/>
    <m/>
    <m/>
    <m/>
    <m/>
    <m/>
    <m/>
    <n v="0"/>
    <m/>
    <m/>
    <m/>
    <x v="7"/>
    <x v="2"/>
    <m/>
    <m/>
    <m/>
    <m/>
    <n v="2799"/>
    <m/>
    <m/>
    <m/>
    <m/>
    <m/>
    <m/>
    <m/>
    <s v="Y"/>
    <m/>
    <m/>
    <m/>
    <m/>
    <s v="PEOPLE: Cristina Hammond deployed to fill the role of IFRC Shelter Cluster Information Manager for Java Earthquake response - 4 weeks."/>
  </r>
  <r>
    <x v="65"/>
    <n v="233"/>
    <x v="225"/>
    <d v="2009-09-02T00:00:00"/>
    <x v="14"/>
    <n v="6"/>
    <s v="Q1"/>
    <x v="14"/>
    <n v="16"/>
    <x v="3"/>
    <s v="Philippines"/>
    <s v="Hydrometerological"/>
    <x v="20"/>
    <m/>
    <m/>
    <n v="1000000"/>
    <x v="1"/>
    <s v="IFRC"/>
    <x v="80"/>
    <s v="MDRPH005"/>
    <x v="49"/>
    <n v="0.53"/>
    <s v="Y"/>
    <n v="242000"/>
    <n v="200000"/>
    <m/>
    <n v="50000"/>
    <n v="1"/>
    <n v="550000"/>
    <m/>
    <n v="500000"/>
    <m/>
    <n v="1050000"/>
    <n v="2"/>
    <m/>
    <n v="2"/>
    <n v="22300"/>
    <s v="Y"/>
    <m/>
    <n v="4000"/>
    <n v="10000"/>
    <m/>
    <m/>
    <n v="1500"/>
    <m/>
    <n v="6800"/>
    <m/>
    <m/>
    <m/>
    <m/>
    <m/>
    <n v="118000"/>
    <m/>
    <n v="1168000"/>
    <m/>
    <m/>
    <m/>
    <x v="168"/>
    <x v="1"/>
    <m/>
    <m/>
    <m/>
    <m/>
    <n v="2698"/>
    <m/>
    <m/>
    <m/>
    <m/>
    <m/>
    <m/>
    <s v="Y"/>
    <s v="N"/>
    <m/>
    <s v="OFDA grant for $500,000 for NFIs"/>
    <m/>
    <m/>
    <s v="Philippines: SUPPLIES: approx $118,000 in relief supplies from KL warehouse. CASH: $550,000 = $250,000 PMN to Philippines Appeal for early recovery (plus cost recovery) +$300,000 PMN to Philippines appeal for shelter, relief and watsan (plus cost recovery); plus OFDA grant for $500,000 for locally procured NFIs l w/ARC mgmt through Philippines RC (counted as cash to Ntl Soc). PEOPLE: 1) Mariza Rogers deployed as shelter coordinator delegate for one month - started Oct. 5.  2) Cristina Hammond deployed to implement OFDA NFI distribution Oct. 16 for one month"/>
  </r>
  <r>
    <x v="66"/>
    <n v="233"/>
    <x v="226"/>
    <d v="2009-09-02T00:00:00"/>
    <x v="14"/>
    <n v="6"/>
    <s v="Q1"/>
    <x v="14"/>
    <n v="16"/>
    <x v="3"/>
    <s v="Vietnam"/>
    <s v="Hydrometerological"/>
    <x v="20"/>
    <m/>
    <m/>
    <n v="3000000"/>
    <x v="1"/>
    <s v="IFRC"/>
    <x v="81"/>
    <s v="MDRRVN006"/>
    <x v="50"/>
    <n v="0.77"/>
    <s v="Y"/>
    <n v="324167"/>
    <n v="270000"/>
    <m/>
    <m/>
    <n v="1"/>
    <n v="450000"/>
    <m/>
    <n v="500000"/>
    <m/>
    <n v="950000"/>
    <n v="1"/>
    <m/>
    <n v="1"/>
    <m/>
    <m/>
    <m/>
    <m/>
    <m/>
    <m/>
    <m/>
    <m/>
    <m/>
    <m/>
    <m/>
    <m/>
    <m/>
    <m/>
    <m/>
    <m/>
    <m/>
    <n v="950000"/>
    <n v="1200000"/>
    <m/>
    <m/>
    <x v="169"/>
    <x v="1"/>
    <m/>
    <m/>
    <m/>
    <m/>
    <n v="2698"/>
    <m/>
    <m/>
    <m/>
    <m/>
    <m/>
    <m/>
    <s v="Y"/>
    <s v="N"/>
    <m/>
    <s v="OFDA grant for $500,000 for cash transfer programming"/>
    <m/>
    <m/>
    <s v="Vietnam: CASH: Cash: $450,000 total:  $50,000 PMN Oct. 2 + $300,000 PMN Oct. 5 to Federation Vietnam Appeal - earmarked for shelter, NFIs and Wat/San + $100,000 PMN to Vietnam Appeal for DRR (plus cost recovery). OFDA grant for $500,000 for cash programming; PEOPLE: Michael Zeleke delegate to Vietnam to work on cash programming."/>
  </r>
  <r>
    <x v="67"/>
    <n v="234"/>
    <x v="227"/>
    <d v="2009-09-02T00:00:00"/>
    <x v="14"/>
    <n v="7"/>
    <s v="Q1"/>
    <x v="14"/>
    <n v="17"/>
    <x v="3"/>
    <s v="Indonesia"/>
    <s v="Geophysical"/>
    <x v="3"/>
    <m/>
    <m/>
    <n v="1000000"/>
    <x v="1"/>
    <s v="IFRC"/>
    <x v="82"/>
    <s v="MDRID004"/>
    <x v="51"/>
    <n v="0.93"/>
    <s v="Y"/>
    <n v="227106"/>
    <n v="100000"/>
    <m/>
    <n v="25000"/>
    <n v="1"/>
    <m/>
    <m/>
    <n v="500000"/>
    <m/>
    <n v="500000"/>
    <n v="1"/>
    <m/>
    <n v="1"/>
    <n v="44181"/>
    <s v="Y"/>
    <m/>
    <n v="20981"/>
    <m/>
    <m/>
    <m/>
    <m/>
    <m/>
    <n v="13200"/>
    <m/>
    <n v="10000"/>
    <m/>
    <m/>
    <m/>
    <n v="400000"/>
    <m/>
    <n v="900000"/>
    <n v="764192.86"/>
    <m/>
    <m/>
    <x v="170"/>
    <x v="1"/>
    <m/>
    <m/>
    <m/>
    <m/>
    <n v="2930"/>
    <m/>
    <m/>
    <m/>
    <m/>
    <m/>
    <m/>
    <s v="Y"/>
    <s v="N"/>
    <m/>
    <s v="OFDA grant for $500,000 for NFIs"/>
    <m/>
    <m/>
    <s v="CASH: OFDA grant for $500,000 to fund NFIs; SUPPLIES: 44,180 supplies (cost: $400,000) from KL warehouse; PEOPLE: Alex Mahoney onsite 3 weeks to coordinate OFDA NFIs distribution."/>
  </r>
  <r>
    <x v="68"/>
    <n v="235"/>
    <x v="228"/>
    <d v="2009-10-01T00:00:00"/>
    <x v="14"/>
    <n v="8"/>
    <s v="Q2"/>
    <x v="14"/>
    <n v="18"/>
    <x v="3"/>
    <s v="Samoa"/>
    <s v="Hydrometerological"/>
    <x v="16"/>
    <m/>
    <m/>
    <n v="10000"/>
    <x v="1"/>
    <s v="IFRC"/>
    <x v="83"/>
    <s v="MDRWS001"/>
    <x v="52"/>
    <n v="0.25"/>
    <s v="Y"/>
    <n v="313729"/>
    <n v="5000"/>
    <m/>
    <n v="2500"/>
    <n v="1"/>
    <n v="100000"/>
    <m/>
    <m/>
    <m/>
    <n v="100000"/>
    <m/>
    <m/>
    <m/>
    <m/>
    <m/>
    <m/>
    <m/>
    <m/>
    <m/>
    <m/>
    <m/>
    <m/>
    <m/>
    <m/>
    <m/>
    <m/>
    <m/>
    <m/>
    <m/>
    <m/>
    <n v="100000"/>
    <m/>
    <m/>
    <m/>
    <x v="5"/>
    <x v="2"/>
    <m/>
    <m/>
    <m/>
    <m/>
    <n v="2799"/>
    <m/>
    <m/>
    <m/>
    <m/>
    <m/>
    <m/>
    <m/>
    <s v="Y"/>
    <m/>
    <m/>
    <m/>
    <m/>
    <s v="CASH: $100,000 PMN to Federation Appeal from Rapid Response Fund"/>
  </r>
  <r>
    <x v="69"/>
    <n v="236"/>
    <x v="33"/>
    <d v="2009-10-27T00:00:00"/>
    <x v="14"/>
    <n v="9"/>
    <s v="Q2"/>
    <x v="14"/>
    <n v="19"/>
    <x v="3"/>
    <s v="India"/>
    <s v="Hydrometerological"/>
    <x v="2"/>
    <m/>
    <m/>
    <n v="4100000"/>
    <x v="1"/>
    <s v="NS"/>
    <x v="84"/>
    <s v="MDRIN004"/>
    <x v="8"/>
    <m/>
    <s v="Y"/>
    <n v="51364"/>
    <n v="125000"/>
    <m/>
    <m/>
    <m/>
    <m/>
    <m/>
    <m/>
    <m/>
    <n v="0"/>
    <m/>
    <m/>
    <m/>
    <n v="7500"/>
    <s v="N"/>
    <m/>
    <m/>
    <m/>
    <m/>
    <m/>
    <n v="7500"/>
    <m/>
    <m/>
    <m/>
    <m/>
    <m/>
    <m/>
    <m/>
    <n v="190000"/>
    <m/>
    <n v="190000"/>
    <m/>
    <m/>
    <m/>
    <x v="171"/>
    <x v="1"/>
    <m/>
    <m/>
    <m/>
    <m/>
    <s v="2003/2695"/>
    <m/>
    <m/>
    <m/>
    <m/>
    <m/>
    <m/>
    <m/>
    <s v="N"/>
    <m/>
    <m/>
    <m/>
    <m/>
    <s v="SUPPLIES: In response to Indian RC national appeal, ARC locally procured approx 2,700 kitchen sets to deliver to Indian RC, using APs 2003 (India R &amp; D) and 2695 (TRP funds for Andra Pradesh DM) - this effectively closes out these APs ($190,000 spent total)"/>
  </r>
  <r>
    <x v="70"/>
    <n v="237"/>
    <x v="229"/>
    <d v="2009-11-05T00:00:00"/>
    <x v="14"/>
    <n v="10"/>
    <s v="Q2"/>
    <x v="14"/>
    <n v="20"/>
    <x v="1"/>
    <s v="Kenya"/>
    <s v="Hydrometerological"/>
    <x v="1"/>
    <m/>
    <m/>
    <n v="3800000"/>
    <x v="1"/>
    <s v="IFRC"/>
    <x v="85"/>
    <s v="MDRKE009"/>
    <x v="53"/>
    <n v="0.06"/>
    <s v="Y"/>
    <n v="500000"/>
    <n v="1692428"/>
    <m/>
    <n v="21668"/>
    <n v="1"/>
    <n v="100000"/>
    <m/>
    <m/>
    <m/>
    <n v="100000"/>
    <m/>
    <m/>
    <m/>
    <m/>
    <m/>
    <m/>
    <m/>
    <m/>
    <m/>
    <m/>
    <m/>
    <m/>
    <m/>
    <m/>
    <m/>
    <m/>
    <m/>
    <m/>
    <m/>
    <m/>
    <n v="100000"/>
    <m/>
    <m/>
    <m/>
    <x v="5"/>
    <x v="2"/>
    <m/>
    <m/>
    <m/>
    <m/>
    <n v="2799"/>
    <m/>
    <m/>
    <m/>
    <m/>
    <m/>
    <m/>
    <m/>
    <s v="Y"/>
    <m/>
    <m/>
    <m/>
    <m/>
    <s v="CASH: $100,000 PMN to Federation Appeal from Rapid Response Fund earmarked for seeds."/>
  </r>
  <r>
    <x v="71"/>
    <n v="238"/>
    <x v="120"/>
    <d v="2009-11-12T00:00:00"/>
    <x v="14"/>
    <n v="11"/>
    <s v="Q2"/>
    <x v="14"/>
    <n v="21"/>
    <x v="2"/>
    <s v="Haiti"/>
    <s v="Hydrometerological"/>
    <x v="2"/>
    <m/>
    <m/>
    <n v="2500"/>
    <x v="2"/>
    <m/>
    <x v="0"/>
    <m/>
    <x v="0"/>
    <m/>
    <s v="Y"/>
    <n v="103918"/>
    <n v="2500"/>
    <s v="Y"/>
    <m/>
    <m/>
    <m/>
    <m/>
    <m/>
    <m/>
    <n v="0"/>
    <n v="1"/>
    <m/>
    <n v="1"/>
    <m/>
    <m/>
    <m/>
    <m/>
    <m/>
    <m/>
    <m/>
    <m/>
    <m/>
    <m/>
    <m/>
    <m/>
    <m/>
    <m/>
    <m/>
    <m/>
    <m/>
    <n v="0"/>
    <m/>
    <m/>
    <m/>
    <x v="7"/>
    <x v="1"/>
    <m/>
    <m/>
    <m/>
    <m/>
    <n v="2885"/>
    <m/>
    <m/>
    <m/>
    <m/>
    <m/>
    <m/>
    <m/>
    <s v="N"/>
    <m/>
    <m/>
    <m/>
    <m/>
    <s v="PEOPLE: John Manley deployed to Haiti NRC as a RIT for DREF operation."/>
  </r>
  <r>
    <x v="72"/>
    <n v="239"/>
    <x v="230"/>
    <d v="2009-11-16T00:00:00"/>
    <x v="14"/>
    <n v="12"/>
    <s v="Q2"/>
    <x v="14"/>
    <n v="22"/>
    <x v="2"/>
    <s v="El Salvador"/>
    <s v="Hydrometerological"/>
    <x v="2"/>
    <m/>
    <m/>
    <n v="75000"/>
    <x v="1"/>
    <s v="IFRC"/>
    <x v="86"/>
    <s v="MDRSV002"/>
    <x v="54"/>
    <n v="0.92"/>
    <s v="Y"/>
    <n v="180614"/>
    <n v="10000"/>
    <m/>
    <m/>
    <n v="1"/>
    <n v="243605"/>
    <m/>
    <m/>
    <m/>
    <n v="243605"/>
    <m/>
    <m/>
    <m/>
    <n v="1000"/>
    <s v="Y"/>
    <n v="500"/>
    <m/>
    <m/>
    <m/>
    <m/>
    <n v="500"/>
    <m/>
    <m/>
    <m/>
    <m/>
    <m/>
    <m/>
    <m/>
    <n v="31240"/>
    <m/>
    <n v="274845"/>
    <m/>
    <m/>
    <m/>
    <x v="172"/>
    <x v="1"/>
    <m/>
    <m/>
    <m/>
    <m/>
    <n v="2882"/>
    <m/>
    <m/>
    <m/>
    <m/>
    <m/>
    <s v="Y"/>
    <m/>
    <s v="N"/>
    <m/>
    <s v="UPS donated $50,000; ARCT Funds applied for as of 11/18/09"/>
    <s v="ARCT"/>
    <m/>
    <s v="CASH: $193,603 to Federation Appeal earmarked for transitional shelter; SUPPLIES: $24,500 in kitchen sets and hygiene kits. "/>
  </r>
  <r>
    <x v="73"/>
    <n v="240"/>
    <x v="231"/>
    <d v="2010-01-12T00:00:00"/>
    <x v="14"/>
    <n v="13"/>
    <s v="Q3"/>
    <x v="15"/>
    <n v="1"/>
    <x v="2"/>
    <s v="Haiti"/>
    <s v="Geophysical"/>
    <x v="3"/>
    <m/>
    <m/>
    <n v="2000000"/>
    <x v="1"/>
    <s v="IFRC"/>
    <x v="87"/>
    <s v="MDRHT008"/>
    <x v="0"/>
    <n v="0.94"/>
    <s v="Y"/>
    <n v="491265"/>
    <n v="400000"/>
    <m/>
    <m/>
    <n v="1"/>
    <n v="30000000"/>
    <n v="4377346.43"/>
    <m/>
    <m/>
    <m/>
    <n v="82"/>
    <s v=" IT/Telecoms; Relief ERU"/>
    <n v="85"/>
    <n v="5143307"/>
    <s v="Y"/>
    <m/>
    <m/>
    <m/>
    <m/>
    <m/>
    <m/>
    <m/>
    <m/>
    <m/>
    <m/>
    <m/>
    <m/>
    <m/>
    <n v="15266353"/>
    <m/>
    <n v="139611532"/>
    <n v="337000000"/>
    <m/>
    <m/>
    <x v="173"/>
    <x v="1"/>
    <m/>
    <m/>
    <m/>
    <m/>
    <n v="2888"/>
    <m/>
    <m/>
    <m/>
    <m/>
    <m/>
    <m/>
    <m/>
    <s v="N"/>
    <m/>
    <s v="various - notably online and text donations from individuals; telethons. "/>
    <s v="definitely!"/>
    <n v="476611532"/>
    <s v="As of June 30 2010: CASH &amp; SUPPLIES: See detailed donor report, mob table, etc. for specific amounts to Federation, amount spent, etc. Raised: $468 million. PEOPLE: 65+ deployed to Haiti, DR and PADRU: Relief and IT/Telecoms ERU deployed, and various delegates to Fed and ARC delegation in Haiti, to Fed at PADRU, to Fed logistics in Santo Domingo, DR, plus NHQ to backfill. See the Deployments History tab in this spreadsheet or the RAPs for list of all personnel deploying and roles. "/>
  </r>
  <r>
    <x v="74"/>
    <n v="241"/>
    <x v="232"/>
    <d v="2010-01-25T00:00:00"/>
    <x v="14"/>
    <n v="14"/>
    <s v="Q3"/>
    <x v="15"/>
    <n v="2"/>
    <x v="1"/>
    <s v="Tanzania"/>
    <m/>
    <x v="2"/>
    <m/>
    <m/>
    <n v="50000"/>
    <x v="1"/>
    <s v="IFRC"/>
    <x v="88"/>
    <s v="MDRTZ010"/>
    <x v="55"/>
    <n v="0.89"/>
    <s v="Y"/>
    <n v="313536"/>
    <n v="23000"/>
    <m/>
    <m/>
    <n v="1"/>
    <n v="200000"/>
    <m/>
    <m/>
    <m/>
    <n v="200000"/>
    <m/>
    <m/>
    <m/>
    <m/>
    <m/>
    <m/>
    <m/>
    <m/>
    <m/>
    <m/>
    <m/>
    <m/>
    <m/>
    <m/>
    <m/>
    <m/>
    <m/>
    <m/>
    <m/>
    <m/>
    <n v="200000"/>
    <m/>
    <m/>
    <m/>
    <x v="121"/>
    <x v="1"/>
    <m/>
    <m/>
    <m/>
    <m/>
    <n v="2869"/>
    <m/>
    <m/>
    <m/>
    <m/>
    <m/>
    <s v="Y"/>
    <m/>
    <s v="N"/>
    <m/>
    <s v="ARCT funds - $200,000"/>
    <s v="ARCT"/>
    <m/>
    <s v="CASH: Anne Ray Charitable Trust funds applied $200,000 towards water and sanitation equipment."/>
  </r>
  <r>
    <x v="75"/>
    <n v="242"/>
    <x v="233"/>
    <d v="2010-02-27T00:00:00"/>
    <x v="14"/>
    <n v="15"/>
    <s v="Q3"/>
    <x v="15"/>
    <n v="3"/>
    <x v="2"/>
    <s v="Chile"/>
    <m/>
    <x v="3"/>
    <m/>
    <m/>
    <n v="2000000"/>
    <x v="1"/>
    <s v="IFRC"/>
    <x v="89"/>
    <s v="MDRCL006"/>
    <x v="56"/>
    <n v="0.79"/>
    <s v="Y"/>
    <n v="279350"/>
    <n v="100000"/>
    <m/>
    <m/>
    <n v="1"/>
    <n v="500000"/>
    <m/>
    <n v="500000"/>
    <m/>
    <n v="1000000"/>
    <n v="2"/>
    <m/>
    <n v="2"/>
    <n v="6160"/>
    <s v="Y"/>
    <n v="1160"/>
    <m/>
    <n v="5000"/>
    <m/>
    <m/>
    <m/>
    <m/>
    <m/>
    <m/>
    <m/>
    <m/>
    <m/>
    <m/>
    <n v="96000"/>
    <m/>
    <n v="1096000"/>
    <n v="5304000"/>
    <m/>
    <m/>
    <x v="174"/>
    <x v="1"/>
    <m/>
    <m/>
    <m/>
    <m/>
    <n v="2896"/>
    <m/>
    <m/>
    <m/>
    <m/>
    <m/>
    <m/>
    <m/>
    <s v="N"/>
    <m/>
    <m/>
    <m/>
    <m/>
    <s v="CASH: $50,000 made available from IRF as initial response. $450,000 made available in subsequent week. SUPPLIES: 5,000 jerry cans; 1,160 hygiene kits. PEOPLE: Alvaro Garita  - Relief delegate, Gonzalo Aquino - Water and Sanitation  delegate."/>
  </r>
  <r>
    <x v="76"/>
    <n v="243"/>
    <x v="104"/>
    <d v="2010-04-10T00:00:00"/>
    <x v="14"/>
    <n v="16"/>
    <s v="Q4"/>
    <x v="15"/>
    <n v="4"/>
    <x v="3"/>
    <s v="China"/>
    <m/>
    <x v="3"/>
    <m/>
    <m/>
    <n v="100000"/>
    <x v="1"/>
    <s v="NS"/>
    <x v="0"/>
    <m/>
    <x v="0"/>
    <m/>
    <m/>
    <m/>
    <s v="tbd"/>
    <m/>
    <m/>
    <m/>
    <n v="0"/>
    <m/>
    <n v="500000"/>
    <m/>
    <n v="500000"/>
    <m/>
    <m/>
    <m/>
    <m/>
    <m/>
    <m/>
    <n v="198970"/>
    <m/>
    <m/>
    <m/>
    <m/>
    <m/>
    <m/>
    <m/>
    <m/>
    <m/>
    <m/>
    <m/>
    <m/>
    <m/>
    <n v="500000"/>
    <m/>
    <n v="500000"/>
    <m/>
    <x v="175"/>
    <x v="1"/>
    <m/>
    <m/>
    <m/>
    <m/>
    <n v="2571"/>
    <m/>
    <m/>
    <m/>
    <m/>
    <m/>
    <m/>
    <m/>
    <s v="N"/>
    <m/>
    <m/>
    <m/>
    <m/>
    <s v="National Society has issued it own appeal. ARC decided to contribute $500,000 after June 30 2010.  An additional $500,000 will go to future community disaster preparedness."/>
  </r>
  <r>
    <x v="77"/>
    <n v="244"/>
    <x v="234"/>
    <d v="2010-05-10T00:00:00"/>
    <x v="14"/>
    <n v="17"/>
    <s v="Q4"/>
    <x v="15"/>
    <n v="5"/>
    <x v="3"/>
    <s v="Mongolia"/>
    <m/>
    <x v="21"/>
    <m/>
    <m/>
    <n v="507000"/>
    <x v="1"/>
    <s v="IFRC"/>
    <x v="90"/>
    <s v="    MDRMN004"/>
    <x v="57"/>
    <n v="0.35"/>
    <s v="Y"/>
    <n v="93924"/>
    <n v="13600"/>
    <m/>
    <m/>
    <n v="1"/>
    <n v="145000"/>
    <m/>
    <m/>
    <m/>
    <n v="145000"/>
    <m/>
    <m/>
    <m/>
    <m/>
    <m/>
    <m/>
    <m/>
    <m/>
    <m/>
    <m/>
    <m/>
    <m/>
    <m/>
    <m/>
    <m/>
    <m/>
    <m/>
    <m/>
    <m/>
    <m/>
    <n v="145000"/>
    <m/>
    <m/>
    <m/>
    <x v="176"/>
    <x v="1"/>
    <m/>
    <m/>
    <m/>
    <m/>
    <n v="2869"/>
    <m/>
    <m/>
    <m/>
    <m/>
    <m/>
    <s v="Y"/>
    <m/>
    <s v="N"/>
    <m/>
    <s v="ARCT"/>
    <s v="ARCT"/>
    <m/>
    <s v="CASH: $145,000 contribution made to Federation appeal from Anne Ray Charitable Trust (ARCT) funds"/>
  </r>
  <r>
    <x v="0"/>
    <n v="245"/>
    <x v="235"/>
    <d v="2010-05-20T00:00:00"/>
    <x v="14"/>
    <n v="18"/>
    <s v="Q4"/>
    <x v="15"/>
    <n v="6"/>
    <x v="3"/>
    <s v="Nepal"/>
    <m/>
    <x v="11"/>
    <m/>
    <m/>
    <n v="67000"/>
    <x v="1"/>
    <s v="IFRC"/>
    <x v="91"/>
    <m/>
    <x v="0"/>
    <m/>
    <s v="Y"/>
    <n v="179855"/>
    <n v="189000"/>
    <m/>
    <m/>
    <n v="1"/>
    <n v="50000"/>
    <m/>
    <m/>
    <m/>
    <n v="50000"/>
    <m/>
    <m/>
    <m/>
    <m/>
    <m/>
    <m/>
    <m/>
    <m/>
    <m/>
    <m/>
    <m/>
    <m/>
    <m/>
    <m/>
    <m/>
    <m/>
    <m/>
    <m/>
    <m/>
    <m/>
    <n v="50000"/>
    <m/>
    <m/>
    <m/>
    <x v="16"/>
    <x v="2"/>
    <m/>
    <m/>
    <m/>
    <m/>
    <n v="2799"/>
    <m/>
    <m/>
    <m/>
    <m/>
    <m/>
    <m/>
    <m/>
    <s v="Y"/>
    <m/>
    <m/>
    <m/>
    <m/>
    <s v="CASH: $50,000 towards Federation appeal."/>
  </r>
  <r>
    <x v="78"/>
    <n v="246"/>
    <x v="236"/>
    <d v="2010-06-01T00:00:00"/>
    <x v="14"/>
    <n v="19"/>
    <s v="Q4"/>
    <x v="15"/>
    <n v="7"/>
    <x v="2"/>
    <s v="Guatemala"/>
    <m/>
    <x v="17"/>
    <m/>
    <m/>
    <n v="173518"/>
    <x v="1"/>
    <s v="IFRC"/>
    <x v="92"/>
    <s v="MDRGT002"/>
    <x v="58"/>
    <m/>
    <s v="Y"/>
    <n v="307254"/>
    <n v="7500"/>
    <m/>
    <n v="1250"/>
    <n v="1"/>
    <n v="100000"/>
    <m/>
    <m/>
    <m/>
    <n v="100000"/>
    <m/>
    <m/>
    <m/>
    <n v="9900"/>
    <s v="Y"/>
    <n v="1000"/>
    <n v="7500"/>
    <n v="900"/>
    <m/>
    <m/>
    <n v="500"/>
    <m/>
    <m/>
    <m/>
    <m/>
    <m/>
    <m/>
    <m/>
    <n v="80000"/>
    <m/>
    <n v="180000"/>
    <m/>
    <m/>
    <m/>
    <x v="177"/>
    <x v="2"/>
    <m/>
    <m/>
    <m/>
    <m/>
    <n v="2799"/>
    <m/>
    <m/>
    <m/>
    <m/>
    <m/>
    <m/>
    <m/>
    <s v="Y"/>
    <m/>
    <m/>
    <m/>
    <m/>
    <s v="CASH: $100,000 to Federation appeal. SUPPLIES: $80,000 in relief supplies from PADRU."/>
  </r>
  <r>
    <x v="79"/>
    <n v="247"/>
    <x v="237"/>
    <d v="2010-06-01T00:00:00"/>
    <x v="14"/>
    <n v="20"/>
    <s v="Q4"/>
    <x v="15"/>
    <n v="8"/>
    <x v="3"/>
    <s v="Kyrgyzstan"/>
    <m/>
    <x v="8"/>
    <m/>
    <m/>
    <n v="375000"/>
    <x v="1"/>
    <s v="ICRC /IFRC"/>
    <x v="93"/>
    <s v="MDRUZ002"/>
    <x v="0"/>
    <m/>
    <s v="Y"/>
    <n v="269348"/>
    <n v="124000"/>
    <m/>
    <m/>
    <n v="1"/>
    <n v="50000"/>
    <n v="50000"/>
    <m/>
    <m/>
    <n v="100000"/>
    <m/>
    <m/>
    <m/>
    <m/>
    <m/>
    <m/>
    <m/>
    <m/>
    <m/>
    <m/>
    <m/>
    <m/>
    <m/>
    <m/>
    <m/>
    <m/>
    <m/>
    <m/>
    <m/>
    <m/>
    <n v="100000"/>
    <m/>
    <m/>
    <m/>
    <x v="5"/>
    <x v="1"/>
    <m/>
    <m/>
    <m/>
    <m/>
    <s v="2955/2799"/>
    <m/>
    <m/>
    <m/>
    <m/>
    <m/>
    <m/>
    <m/>
    <s v="Y"/>
    <m/>
    <m/>
    <m/>
    <m/>
    <s v="CASH: $50,000 to ICRC Kyrgyzstan appeal; $50,000 to IFRC Kyrgyzstan appeal; $100,000 to IFRC Uzbekistan appeal (this amount from GM donation). "/>
  </r>
  <r>
    <x v="79"/>
    <n v="247"/>
    <x v="237"/>
    <d v="2010-06-01T00:00:00"/>
    <x v="14"/>
    <n v="20"/>
    <s v="Q4"/>
    <x v="15"/>
    <n v="8"/>
    <x v="3"/>
    <s v="Uzbekistan"/>
    <m/>
    <x v="8"/>
    <m/>
    <m/>
    <m/>
    <x v="1"/>
    <s v="IFRC"/>
    <x v="94"/>
    <s v="MDRKG007"/>
    <x v="59"/>
    <m/>
    <m/>
    <m/>
    <n v="5265"/>
    <m/>
    <m/>
    <n v="1"/>
    <n v="100000"/>
    <m/>
    <m/>
    <m/>
    <n v="100000"/>
    <m/>
    <m/>
    <m/>
    <m/>
    <m/>
    <m/>
    <m/>
    <m/>
    <m/>
    <m/>
    <m/>
    <m/>
    <m/>
    <m/>
    <m/>
    <m/>
    <m/>
    <m/>
    <m/>
    <m/>
    <n v="100000"/>
    <m/>
    <m/>
    <m/>
    <x v="5"/>
    <x v="1"/>
    <m/>
    <m/>
    <m/>
    <m/>
    <s v="2955/2799"/>
    <m/>
    <m/>
    <m/>
    <m/>
    <m/>
    <m/>
    <m/>
    <s v="Y"/>
    <m/>
    <m/>
    <m/>
    <m/>
    <s v="see above"/>
  </r>
  <r>
    <x v="80"/>
    <n v="248"/>
    <x v="238"/>
    <d v="2010-08-02T00:00:00"/>
    <x v="15"/>
    <n v="1"/>
    <s v="Q1"/>
    <x v="15"/>
    <n v="9"/>
    <x v="3"/>
    <s v="Pakistan"/>
    <m/>
    <x v="2"/>
    <m/>
    <m/>
    <n v="20000000"/>
    <x v="1"/>
    <s v="IFRC &amp; ICRC"/>
    <x v="95"/>
    <s v="MDRPK006"/>
    <x v="60"/>
    <m/>
    <s v="Y"/>
    <n v="239406"/>
    <n v="2600000"/>
    <m/>
    <m/>
    <n v="1"/>
    <n v="4100000"/>
    <m/>
    <m/>
    <m/>
    <n v="4850000"/>
    <n v="2"/>
    <m/>
    <n v="2"/>
    <n v="99900"/>
    <s v="Y"/>
    <m/>
    <n v="35000"/>
    <n v="15000"/>
    <n v="3650"/>
    <m/>
    <n v="10000"/>
    <m/>
    <n v="20000"/>
    <m/>
    <n v="10000"/>
    <m/>
    <n v="6250"/>
    <m/>
    <n v="824977"/>
    <m/>
    <n v="5674977"/>
    <n v="2525023"/>
    <m/>
    <m/>
    <x v="178"/>
    <x v="2"/>
    <m/>
    <m/>
    <m/>
    <m/>
    <n v="2799"/>
    <m/>
    <n v="2699"/>
    <m/>
    <m/>
    <m/>
    <m/>
    <m/>
    <s v="Y"/>
    <m/>
    <m/>
    <m/>
    <m/>
    <s v="CASH: $100,000 PMN to Federation Appeal from AP2799/RRF - not to be replenished; $3,000,000 ($3M) PMN to Federation Appeal from AP2699 earmarked for relief &amp; emergency shelter;  $300,000 PMN to Federation Appeal from AP 2699 earmarked for relief &amp; emergency shelter; $700,000 PMN to Federation Appeal from AP2699 earmarked for relief; $1,000,000 allocated to contribution to the Measles Initiative, recipient organization TBD._x000a_SUPPLIES: Relief supplies from both KL and Dubai warehouses - emptied both - approx $1M total including transport; PEOPLE: Robin Younger and Christophe Lobry-Boulanger deployed fro Relief coordination cell to PRCS support. Raj Zafar was used from Federation Delegation for surge support for  Federation in Islamabad._x000a_$8.2M raised - remainder put into 'early recovery' column"/>
  </r>
  <r>
    <x v="0"/>
    <n v="249"/>
    <x v="6"/>
    <d v="2010-10-01T00:00:00"/>
    <x v="15"/>
    <n v="2"/>
    <s v="Q2"/>
    <x v="15"/>
    <n v="10"/>
    <x v="2"/>
    <s v="Mexico"/>
    <m/>
    <x v="2"/>
    <m/>
    <m/>
    <n v="500000"/>
    <x v="2"/>
    <m/>
    <x v="0"/>
    <m/>
    <x v="0"/>
    <m/>
    <s v="N"/>
    <m/>
    <m/>
    <s v="Y"/>
    <n v="50000"/>
    <m/>
    <m/>
    <m/>
    <n v="200000"/>
    <m/>
    <n v="200000"/>
    <m/>
    <m/>
    <m/>
    <m/>
    <m/>
    <m/>
    <m/>
    <m/>
    <m/>
    <m/>
    <m/>
    <m/>
    <m/>
    <m/>
    <m/>
    <m/>
    <m/>
    <m/>
    <m/>
    <m/>
    <n v="200000"/>
    <m/>
    <m/>
    <m/>
    <x v="121"/>
    <x v="2"/>
    <m/>
    <m/>
    <m/>
    <m/>
    <s v="2869/ARCT"/>
    <m/>
    <m/>
    <m/>
    <m/>
    <m/>
    <s v="Y"/>
    <m/>
    <s v="N"/>
    <m/>
    <s v="ARCT funds - $200,000"/>
    <s v="ARCT"/>
    <m/>
    <s v="CASH: $200,000 bilateral contribution/grant letter to Mexican Red Cross for relief - paid by ARCT funds."/>
  </r>
  <r>
    <x v="81"/>
    <n v="250"/>
    <x v="21"/>
    <d v="2010-10-18T00:00:00"/>
    <x v="15"/>
    <n v="3"/>
    <s v="Q2"/>
    <x v="15"/>
    <n v="11"/>
    <x v="3"/>
    <s v="Vietnam"/>
    <m/>
    <x v="2"/>
    <m/>
    <m/>
    <n v="660000"/>
    <x v="1"/>
    <s v="IFRC"/>
    <x v="96"/>
    <s v="MDRVN007"/>
    <x v="61"/>
    <m/>
    <s v="Y"/>
    <n v="160853"/>
    <n v="120000"/>
    <m/>
    <m/>
    <m/>
    <n v="30000"/>
    <m/>
    <m/>
    <m/>
    <n v="30000"/>
    <m/>
    <m/>
    <m/>
    <m/>
    <m/>
    <m/>
    <m/>
    <m/>
    <m/>
    <m/>
    <m/>
    <m/>
    <m/>
    <m/>
    <m/>
    <m/>
    <m/>
    <m/>
    <m/>
    <m/>
    <n v="30000"/>
    <m/>
    <m/>
    <m/>
    <x v="163"/>
    <x v="2"/>
    <m/>
    <m/>
    <m/>
    <m/>
    <n v="2799"/>
    <m/>
    <m/>
    <m/>
    <m/>
    <m/>
    <m/>
    <m/>
    <s v="Y"/>
    <m/>
    <m/>
    <m/>
    <m/>
    <s v="CASH: $30,000 PMN to Federation Appeal from 2799 (RRF) earmarked for relief."/>
  </r>
  <r>
    <x v="82"/>
    <n v="251"/>
    <x v="239"/>
    <d v="2010-10-24T00:00:00"/>
    <x v="15"/>
    <n v="4"/>
    <s v="Q2"/>
    <x v="15"/>
    <n v="12"/>
    <x v="2"/>
    <s v="Haiti/ Dominican  Republic"/>
    <m/>
    <x v="11"/>
    <m/>
    <m/>
    <m/>
    <x v="1"/>
    <s v="IFRC"/>
    <x v="97"/>
    <s v="MDR49007"/>
    <x v="62"/>
    <m/>
    <s v="Y"/>
    <n v="80618"/>
    <n v="1500000"/>
    <m/>
    <m/>
    <n v="1"/>
    <n v="2166133"/>
    <m/>
    <m/>
    <m/>
    <n v="2320081"/>
    <m/>
    <m/>
    <m/>
    <m/>
    <m/>
    <m/>
    <m/>
    <m/>
    <m/>
    <m/>
    <m/>
    <m/>
    <m/>
    <m/>
    <m/>
    <m/>
    <m/>
    <m/>
    <n v="694910"/>
    <m/>
    <n v="16068357"/>
    <m/>
    <m/>
    <m/>
    <x v="179"/>
    <x v="1"/>
    <s v="P"/>
    <m/>
    <m/>
    <m/>
    <n v="2888"/>
    <m/>
    <m/>
    <m/>
    <m/>
    <m/>
    <m/>
    <m/>
    <s v="N"/>
    <m/>
    <m/>
    <m/>
    <m/>
    <s v="Spent figure directly from HAP as of May 2011. ARC committed to spend $14 million on Cholera. See HAP for additional details._x000a_CASH: $566,133 PMN to Federation Appeal: $537,500 earmarked for Haiti AP2888; $28,634 earmarked for Dominican Republic from AP2884; $1.6 million PMN for relief supplies; Funding transportation/flights of supplies for Partners in Health etc. Funding supplies, etc._x000a_SUPPLIES:Hygiene promotion, soap, oral rehydration salts, water tablets and chlorine for water purification, 5,000 Cots for medical facilities, Transport of medical supplies, vehicle for Haitian Red Cross. _x000a_PEOPLE: 6 ARC Haiti staff deployed for Red Cross Emergency Response Teams for Cholera outbreak in northern Haiti. _x000a_See latest response report and RAP for full details of items provided. "/>
  </r>
  <r>
    <x v="83"/>
    <n v="252"/>
    <x v="240"/>
    <d v="2010-10-26T00:00:00"/>
    <x v="15"/>
    <n v="5"/>
    <s v="Q2"/>
    <x v="15"/>
    <n v="13"/>
    <x v="3"/>
    <s v="Philippines"/>
    <m/>
    <x v="17"/>
    <m/>
    <m/>
    <n v="2000000"/>
    <x v="1"/>
    <s v="IFRC"/>
    <x v="98"/>
    <s v="MDRPH006"/>
    <x v="63"/>
    <m/>
    <s v="Y"/>
    <n v="214855"/>
    <n v="60000"/>
    <m/>
    <m/>
    <m/>
    <n v="30000"/>
    <m/>
    <m/>
    <m/>
    <n v="30000"/>
    <m/>
    <m/>
    <m/>
    <m/>
    <m/>
    <m/>
    <m/>
    <m/>
    <m/>
    <m/>
    <m/>
    <m/>
    <m/>
    <m/>
    <m/>
    <m/>
    <m/>
    <m/>
    <m/>
    <m/>
    <n v="30000"/>
    <m/>
    <m/>
    <m/>
    <x v="163"/>
    <x v="2"/>
    <m/>
    <m/>
    <m/>
    <m/>
    <n v="2032"/>
    <n v="30000"/>
    <m/>
    <m/>
    <m/>
    <m/>
    <m/>
    <m/>
    <s v="N"/>
    <m/>
    <m/>
    <m/>
    <m/>
    <s v="CASH: $30,000 PMN to Federation Appeal from 2032 earmarked for relief distribution."/>
  </r>
  <r>
    <x v="84"/>
    <n v="253"/>
    <x v="241"/>
    <d v="2010-11-08T00:00:00"/>
    <x v="15"/>
    <n v="6"/>
    <s v="Q2"/>
    <x v="15"/>
    <n v="14"/>
    <x v="3"/>
    <s v="Indonesia"/>
    <m/>
    <x v="22"/>
    <m/>
    <m/>
    <n v="215000"/>
    <x v="1"/>
    <s v="IFRC"/>
    <x v="99"/>
    <s v="MDRID006"/>
    <x v="64"/>
    <m/>
    <s v="Y"/>
    <m/>
    <n v="25000"/>
    <m/>
    <m/>
    <n v="1"/>
    <n v="50000"/>
    <m/>
    <m/>
    <m/>
    <n v="50000"/>
    <m/>
    <m/>
    <m/>
    <m/>
    <m/>
    <m/>
    <m/>
    <m/>
    <m/>
    <m/>
    <m/>
    <m/>
    <m/>
    <m/>
    <m/>
    <m/>
    <m/>
    <m/>
    <m/>
    <m/>
    <n v="50000"/>
    <m/>
    <m/>
    <m/>
    <x v="16"/>
    <x v="2"/>
    <m/>
    <m/>
    <m/>
    <m/>
    <n v="2799"/>
    <m/>
    <m/>
    <m/>
    <m/>
    <m/>
    <m/>
    <m/>
    <s v="Y"/>
    <m/>
    <m/>
    <m/>
    <m/>
    <s v="CASH: $50,000 PMN to Federation Appeal from 2799 earmarked for relief."/>
  </r>
  <r>
    <x v="85"/>
    <n v="254"/>
    <x v="242"/>
    <d v="2010-11-03T00:00:00"/>
    <x v="15"/>
    <n v="7"/>
    <s v="Q2"/>
    <x v="15"/>
    <n v="15"/>
    <x v="2"/>
    <s v="Saint Lucia/ Saint Vincent and the Grenadines/ Barbados "/>
    <m/>
    <x v="17"/>
    <m/>
    <m/>
    <n v="9500"/>
    <x v="1"/>
    <s v="IFRC"/>
    <x v="100"/>
    <s v="MDR49006"/>
    <x v="65"/>
    <m/>
    <m/>
    <m/>
    <n v="7500"/>
    <m/>
    <m/>
    <n v="1"/>
    <n v="145000"/>
    <m/>
    <m/>
    <m/>
    <n v="145000"/>
    <n v="6"/>
    <m/>
    <n v="6"/>
    <m/>
    <m/>
    <m/>
    <m/>
    <m/>
    <m/>
    <m/>
    <m/>
    <m/>
    <m/>
    <m/>
    <m/>
    <m/>
    <m/>
    <m/>
    <m/>
    <m/>
    <n v="145000"/>
    <m/>
    <m/>
    <m/>
    <x v="176"/>
    <x v="2"/>
    <m/>
    <m/>
    <m/>
    <m/>
    <n v="2799"/>
    <m/>
    <m/>
    <m/>
    <m/>
    <m/>
    <m/>
    <m/>
    <s v="Y"/>
    <m/>
    <m/>
    <m/>
    <m/>
    <s v="CASH: $75,000 PMN to Federation Appeal from 2799 earmarked for relief. $70,000 PMN to Federation appeal earmarked for relief supplies for St. Lucia (see RAP). PEOPLE: Six bilateral staff from ARC Haiti office deployed on Federation Emergency Response Teams."/>
  </r>
  <r>
    <x v="0"/>
    <n v="255"/>
    <x v="243"/>
    <d v="2010-11-09T00:00:00"/>
    <x v="15"/>
    <n v="8"/>
    <s v="Q2"/>
    <x v="15"/>
    <n v="16"/>
    <x v="2"/>
    <s v="Belize"/>
    <m/>
    <x v="17"/>
    <m/>
    <m/>
    <m/>
    <x v="2"/>
    <m/>
    <x v="0"/>
    <s v="MDRBZ002"/>
    <x v="0"/>
    <m/>
    <s v="Y"/>
    <n v="56303"/>
    <m/>
    <m/>
    <n v="4639"/>
    <m/>
    <m/>
    <m/>
    <n v="80000"/>
    <m/>
    <n v="80000"/>
    <n v="1"/>
    <m/>
    <n v="1"/>
    <m/>
    <m/>
    <m/>
    <m/>
    <m/>
    <m/>
    <m/>
    <m/>
    <m/>
    <m/>
    <m/>
    <m/>
    <m/>
    <m/>
    <m/>
    <m/>
    <m/>
    <n v="80000"/>
    <m/>
    <m/>
    <m/>
    <x v="9"/>
    <x v="2"/>
    <m/>
    <m/>
    <m/>
    <m/>
    <n v="2799"/>
    <m/>
    <m/>
    <m/>
    <m/>
    <m/>
    <m/>
    <m/>
    <s v="Y"/>
    <m/>
    <m/>
    <m/>
    <m/>
    <s v="CASH: $80,000 bilateral contribution by grant letter to Belize Red Cross earmarked for emergency shelter. _x000a_PEOPLE: Laura Havesi deployed for emergency shelter support and cash voucher program."/>
  </r>
  <r>
    <x v="86"/>
    <n v="256"/>
    <x v="7"/>
    <d v="2010-11-10T00:00:00"/>
    <x v="15"/>
    <n v="9"/>
    <s v="Q2"/>
    <x v="15"/>
    <n v="17"/>
    <x v="2"/>
    <s v="Costa Rica"/>
    <m/>
    <x v="2"/>
    <m/>
    <m/>
    <n v="13500"/>
    <x v="2"/>
    <m/>
    <x v="0"/>
    <m/>
    <x v="0"/>
    <m/>
    <s v="Y"/>
    <n v="123611"/>
    <n v="1000"/>
    <s v="Y"/>
    <m/>
    <m/>
    <m/>
    <m/>
    <n v="322330"/>
    <m/>
    <n v="322330"/>
    <m/>
    <m/>
    <m/>
    <m/>
    <m/>
    <m/>
    <m/>
    <m/>
    <m/>
    <m/>
    <m/>
    <m/>
    <m/>
    <m/>
    <m/>
    <m/>
    <m/>
    <m/>
    <m/>
    <m/>
    <n v="322330"/>
    <m/>
    <m/>
    <m/>
    <x v="180"/>
    <x v="1"/>
    <m/>
    <m/>
    <m/>
    <m/>
    <s v="2760 OFDA "/>
    <m/>
    <m/>
    <m/>
    <m/>
    <m/>
    <m/>
    <s v="Y"/>
    <s v="N"/>
    <m/>
    <s v="OFDA"/>
    <m/>
    <m/>
    <s v="CASH: OFDA grant for $322,330 for distribution of relief supplies; small cash transfer program; disaster risk reduction workshops  "/>
  </r>
  <r>
    <x v="87"/>
    <n v="257"/>
    <x v="244"/>
    <d v="2010-12-16T00:00:00"/>
    <x v="15"/>
    <n v="10"/>
    <s v="Q2"/>
    <x v="15"/>
    <n v="18"/>
    <x v="2"/>
    <s v="Colombia"/>
    <m/>
    <x v="2"/>
    <m/>
    <m/>
    <n v="1500000"/>
    <x v="1"/>
    <s v="IFRC"/>
    <x v="101"/>
    <s v="MDRCO008"/>
    <x v="66"/>
    <m/>
    <s v="Y"/>
    <n v="64807"/>
    <n v="71500"/>
    <m/>
    <n v="1500"/>
    <n v="1"/>
    <n v="80000"/>
    <m/>
    <n v="120000"/>
    <m/>
    <n v="200000"/>
    <m/>
    <m/>
    <m/>
    <n v="6000"/>
    <s v="Y"/>
    <m/>
    <m/>
    <m/>
    <m/>
    <m/>
    <m/>
    <m/>
    <n v="6000"/>
    <m/>
    <m/>
    <m/>
    <m/>
    <m/>
    <n v="40000"/>
    <m/>
    <n v="240000"/>
    <m/>
    <m/>
    <m/>
    <x v="181"/>
    <x v="1"/>
    <s v="C"/>
    <m/>
    <m/>
    <m/>
    <n v="2799"/>
    <m/>
    <n v="2025"/>
    <n v="155000"/>
    <m/>
    <m/>
    <m/>
    <m/>
    <s v="Y"/>
    <m/>
    <s v="Dow - $120,000; Merck - $10,000; Citigroup - $25,000. "/>
    <m/>
    <m/>
    <s v="SUPPLIES: IFRC mob table contribution: 6,000 mosquito nets @ $40,000; CASH: $80,000 cash pledge to Federation appeal - MDRCO008 earmarked for NFIs for relief distribution; Bilateral $120,000 bilateral contribution for health and DRR programming. "/>
  </r>
  <r>
    <x v="88"/>
    <n v="258"/>
    <x v="80"/>
    <d v="2010-11-30T00:00:00"/>
    <x v="15"/>
    <n v="11"/>
    <s v="Q2"/>
    <x v="15"/>
    <n v="19"/>
    <x v="2"/>
    <s v="Panama"/>
    <m/>
    <x v="2"/>
    <m/>
    <m/>
    <n v="6200"/>
    <x v="1"/>
    <s v="IFRC"/>
    <x v="102"/>
    <s v="MDRPA007"/>
    <x v="0"/>
    <m/>
    <s v="Y"/>
    <n v="82608"/>
    <n v="10225"/>
    <m/>
    <n v="300"/>
    <m/>
    <m/>
    <m/>
    <m/>
    <m/>
    <m/>
    <m/>
    <m/>
    <m/>
    <n v="1714"/>
    <s v="Y"/>
    <n v="214"/>
    <n v="1500"/>
    <m/>
    <m/>
    <m/>
    <m/>
    <m/>
    <m/>
    <m/>
    <m/>
    <m/>
    <m/>
    <m/>
    <n v="9812"/>
    <m/>
    <n v="9812"/>
    <m/>
    <m/>
    <m/>
    <x v="182"/>
    <x v="2"/>
    <m/>
    <m/>
    <m/>
    <m/>
    <n v="2799"/>
    <m/>
    <m/>
    <m/>
    <m/>
    <m/>
    <m/>
    <m/>
    <s v="Y"/>
    <m/>
    <m/>
    <m/>
    <m/>
    <s v="SUPPPLIES: 1,500 blankets and 214 hygiene kits at $9,812 from PADRU."/>
  </r>
  <r>
    <x v="89"/>
    <n v="259"/>
    <x v="245"/>
    <d v="2011-02-28T00:00:00"/>
    <x v="15"/>
    <n v="12"/>
    <s v="Q3"/>
    <x v="16"/>
    <n v="1"/>
    <x v="3"/>
    <s v="Tunisia"/>
    <m/>
    <x v="19"/>
    <m/>
    <m/>
    <m/>
    <x v="1"/>
    <s v="IFRC &amp; ICRC"/>
    <x v="103"/>
    <s v="MDR82001 &amp; REX2011/114"/>
    <x v="0"/>
    <m/>
    <s v="Y"/>
    <n v="431000"/>
    <n v="306000"/>
    <m/>
    <m/>
    <n v="1"/>
    <n v="297270"/>
    <n v="100000"/>
    <m/>
    <m/>
    <n v="397270"/>
    <n v="5"/>
    <m/>
    <m/>
    <n v="1500"/>
    <s v="Y"/>
    <m/>
    <m/>
    <m/>
    <m/>
    <m/>
    <m/>
    <m/>
    <m/>
    <m/>
    <n v="1500"/>
    <m/>
    <m/>
    <m/>
    <n v="43000"/>
    <m/>
    <n v="440270"/>
    <m/>
    <m/>
    <m/>
    <x v="183"/>
    <x v="1"/>
    <s v="P"/>
    <n v="154218"/>
    <m/>
    <m/>
    <s v="2869/ARCT"/>
    <m/>
    <n v="2010"/>
    <m/>
    <n v="2799"/>
    <s v="FACT deployment expenses"/>
    <s v="Y"/>
    <m/>
    <s v="N"/>
    <m/>
    <s v="Online designation on redcross.org.  An overwhelming majority of the $150k funds raised were through the online designation. ARCT/ 2869; AP 2010, Middle East R&amp;D – revenue;  2099, IRF – 100k to ICRC (replenished by 2010); 2799, RRF – FACT deployment expenses + PMN for Syria"/>
    <m/>
    <m/>
    <s v="CASH: 1) $100,000 to ICRC earmarked for Tunisia from AP2010; PMN for $162,270 earmarked for locally procured supplies by AP2869/ARCT; 2) $135,000 PMN from AP 2799 for $44,000 and AP 2831/ ARCT for $91,000 earmarked for Syria for local procurement of food parcels. SUPPLIES:1500 tarps from Dubai warehouse as of March 2011; PEOPLE: Deployed for FACT team members: Langdon Greenhalgh, FACT team leader; Marian Spivey-Estrada, FACT Info &amp; Reporting; Colin Chaperon, FACT relief coordinator; Gina Guinta, FACT Info &amp; Reporting - 2nd round; Laura Hevesi FACT relief coordinator."/>
  </r>
  <r>
    <x v="90"/>
    <n v="260"/>
    <x v="246"/>
    <d v="2011-02-23T00:00:00"/>
    <x v="15"/>
    <n v="13"/>
    <s v="Q3"/>
    <x v="16"/>
    <n v="2"/>
    <x v="3"/>
    <s v="New Zealand"/>
    <m/>
    <x v="3"/>
    <m/>
    <m/>
    <m/>
    <x v="2"/>
    <m/>
    <x v="0"/>
    <m/>
    <x v="0"/>
    <m/>
    <m/>
    <m/>
    <n v="47800"/>
    <s v="Y"/>
    <m/>
    <m/>
    <m/>
    <m/>
    <n v="826450"/>
    <m/>
    <n v="826450"/>
    <m/>
    <m/>
    <m/>
    <m/>
    <m/>
    <m/>
    <m/>
    <m/>
    <m/>
    <m/>
    <m/>
    <m/>
    <m/>
    <m/>
    <m/>
    <m/>
    <m/>
    <m/>
    <m/>
    <m/>
    <n v="826450"/>
    <m/>
    <m/>
    <m/>
    <x v="184"/>
    <x v="1"/>
    <s v="P"/>
    <n v="898367"/>
    <d v="2011-04-19T00:00:00"/>
    <d v="2011-04-19T00:00:00"/>
    <n v="2881"/>
    <m/>
    <m/>
    <m/>
    <m/>
    <m/>
    <m/>
    <m/>
    <s v="N"/>
    <m/>
    <m/>
    <m/>
    <m/>
    <s v="CASH: Two grant letters to be made - $772,000 on April 12, 2011; second one for $54,450 June 23, 2011"/>
  </r>
  <r>
    <x v="0"/>
    <n v="261"/>
    <x v="247"/>
    <d v="2011-03-01T00:00:00"/>
    <x v="15"/>
    <n v="14"/>
    <s v="Q3"/>
    <x v="16"/>
    <n v="3"/>
    <x v="2"/>
    <s v="Paraguay"/>
    <m/>
    <x v="11"/>
    <m/>
    <m/>
    <m/>
    <x v="2"/>
    <m/>
    <x v="0"/>
    <m/>
    <x v="0"/>
    <m/>
    <s v="N"/>
    <m/>
    <m/>
    <s v="Y"/>
    <n v="2000"/>
    <m/>
    <m/>
    <m/>
    <n v="56000"/>
    <m/>
    <n v="56000"/>
    <m/>
    <m/>
    <m/>
    <m/>
    <m/>
    <m/>
    <m/>
    <m/>
    <m/>
    <m/>
    <m/>
    <m/>
    <m/>
    <m/>
    <m/>
    <m/>
    <m/>
    <m/>
    <m/>
    <m/>
    <n v="56000"/>
    <m/>
    <m/>
    <m/>
    <x v="185"/>
    <x v="1"/>
    <s v="C"/>
    <n v="56000"/>
    <d v="2011-02-28T00:00:00"/>
    <d v="2011-02-28T00:00:00"/>
    <n v="2025"/>
    <m/>
    <m/>
    <m/>
    <m/>
    <m/>
    <m/>
    <m/>
    <s v="N"/>
    <m/>
    <s v="Part of GE $250,000 contribution for Brazil Floods and went to various South American disasters."/>
    <m/>
    <m/>
    <s v="CASH: $50,000 Bilateral contribution via grant letter to Paraguay Red Cross for Dengue outbreak activities."/>
  </r>
  <r>
    <x v="91"/>
    <n v="262"/>
    <x v="248"/>
    <d v="2011-03-11T00:00:00"/>
    <x v="15"/>
    <n v="15"/>
    <s v="Q3"/>
    <x v="16"/>
    <n v="4"/>
    <x v="3"/>
    <s v="Japan"/>
    <m/>
    <x v="23"/>
    <m/>
    <m/>
    <n v="300000"/>
    <x v="2"/>
    <m/>
    <x v="0"/>
    <m/>
    <x v="0"/>
    <m/>
    <m/>
    <m/>
    <n v="225000"/>
    <s v="Y"/>
    <m/>
    <m/>
    <m/>
    <m/>
    <n v="256000000"/>
    <n v="1500000"/>
    <n v="259800000"/>
    <n v="3"/>
    <m/>
    <m/>
    <m/>
    <m/>
    <m/>
    <m/>
    <m/>
    <m/>
    <m/>
    <m/>
    <m/>
    <m/>
    <m/>
    <m/>
    <m/>
    <m/>
    <m/>
    <m/>
    <m/>
    <n v="259800000"/>
    <m/>
    <m/>
    <m/>
    <x v="186"/>
    <x v="1"/>
    <s v="P"/>
    <n v="307256521"/>
    <d v="2011-12-01T00:00:00"/>
    <s v="ongoing"/>
    <n v="2687"/>
    <m/>
    <n v="2841"/>
    <m/>
    <m/>
    <m/>
    <m/>
    <m/>
    <s v="N"/>
    <m/>
    <m/>
    <m/>
    <m/>
    <s v="CASH: Bilateral contribution via grant letter to Japanese Red Cross  for response activities: 1) $10M March 14, 2) $50M - April 1; 3) $40M - April 11; 4) $30M - April 29; 5) $30M - May 12; 6) $46 M - June 10; 7) $35M - July 11;  8) $15M - Aug. 28_x000a_Additional cash grants to JRCS will occur. _x000a_To other agencies: 1) $500,000 - March 21 -World Food Programme; 2) $1M total -  $3M - April 11 - IOM; Note refund from IOM due to programming - $2M October 2011. _x000a_ARC internal: $300,000 - March 21 - Service to Armed Forces; _x000a_PEOPLE: Nan Buzard on high level Fed Liaison trip; Tom Alcedo to Fed Liaison team; John Manley to Fed Liaison team."/>
  </r>
  <r>
    <x v="92"/>
    <n v="263"/>
    <x v="48"/>
    <d v="2011-03-23T00:00:00"/>
    <x v="15"/>
    <n v="16"/>
    <s v="Q3"/>
    <x v="16"/>
    <n v="5"/>
    <x v="2"/>
    <s v="Bolivia"/>
    <m/>
    <x v="2"/>
    <m/>
    <m/>
    <n v="70000"/>
    <x v="1"/>
    <s v="IFRC"/>
    <x v="104"/>
    <s v="MDRBO006"/>
    <x v="67"/>
    <m/>
    <m/>
    <m/>
    <n v="2500"/>
    <m/>
    <m/>
    <n v="1"/>
    <n v="182000"/>
    <m/>
    <m/>
    <m/>
    <n v="182000"/>
    <m/>
    <m/>
    <m/>
    <m/>
    <m/>
    <m/>
    <m/>
    <m/>
    <m/>
    <m/>
    <m/>
    <m/>
    <m/>
    <m/>
    <m/>
    <m/>
    <m/>
    <m/>
    <m/>
    <m/>
    <n v="182000"/>
    <m/>
    <m/>
    <m/>
    <x v="187"/>
    <x v="1"/>
    <s v="C"/>
    <n v="200000"/>
    <d v="2011-05-10T00:00:00"/>
    <d v="2011-05-10T00:00:00"/>
    <s v="2869/ARCT"/>
    <n v="100000"/>
    <n v="2025"/>
    <n v="100000"/>
    <m/>
    <m/>
    <s v="Y"/>
    <m/>
    <s v="N"/>
    <m/>
    <s v="ARCT funding - $100,000. GE corporate contribution - $100,000."/>
    <m/>
    <m/>
    <s v="CASH: 1) PMN for $91,000 from ARCT IERRF funds for appeal. 2) Second PMN for $91,000 from 2025 - South America R &amp; D"/>
  </r>
  <r>
    <x v="93"/>
    <n v="264"/>
    <x v="249"/>
    <d v="2011-04-01T00:00:00"/>
    <x v="15"/>
    <n v="17"/>
    <s v="Q4"/>
    <x v="16"/>
    <n v="6"/>
    <x v="1"/>
    <s v="Liberia"/>
    <m/>
    <x v="24"/>
    <m/>
    <m/>
    <m/>
    <x v="1"/>
    <s v="IFRC"/>
    <x v="105"/>
    <s v="MDR61007"/>
    <x v="68"/>
    <m/>
    <m/>
    <m/>
    <n v="67500"/>
    <m/>
    <m/>
    <n v="1"/>
    <n v="150000"/>
    <m/>
    <m/>
    <m/>
    <n v="150000"/>
    <m/>
    <m/>
    <m/>
    <m/>
    <m/>
    <m/>
    <m/>
    <m/>
    <m/>
    <m/>
    <m/>
    <m/>
    <m/>
    <m/>
    <m/>
    <m/>
    <m/>
    <m/>
    <m/>
    <m/>
    <n v="150000"/>
    <m/>
    <m/>
    <m/>
    <x v="13"/>
    <x v="2"/>
    <m/>
    <m/>
    <m/>
    <m/>
    <n v="2799"/>
    <m/>
    <m/>
    <m/>
    <m/>
    <m/>
    <m/>
    <m/>
    <s v="Y"/>
    <m/>
    <m/>
    <m/>
    <m/>
    <s v="CASH: Contribution to Federation appeal MDR61007 for $150,000 for Liberia earmarked for relief and operations. "/>
  </r>
  <r>
    <x v="94"/>
    <n v="265"/>
    <x v="215"/>
    <d v="2011-03-25T00:00:00"/>
    <x v="15"/>
    <n v="18"/>
    <s v="Q4"/>
    <x v="16"/>
    <n v="7"/>
    <x v="1"/>
    <s v="Namibia"/>
    <m/>
    <x v="2"/>
    <m/>
    <m/>
    <n v="228500"/>
    <x v="1"/>
    <s v="IFRC"/>
    <x v="106"/>
    <s v="MDRNA006"/>
    <x v="69"/>
    <m/>
    <m/>
    <m/>
    <n v="37457"/>
    <m/>
    <m/>
    <n v="1"/>
    <n v="50000"/>
    <m/>
    <m/>
    <m/>
    <n v="50000"/>
    <m/>
    <m/>
    <m/>
    <m/>
    <m/>
    <m/>
    <m/>
    <m/>
    <m/>
    <m/>
    <m/>
    <m/>
    <m/>
    <m/>
    <m/>
    <m/>
    <m/>
    <m/>
    <m/>
    <m/>
    <n v="50000"/>
    <m/>
    <m/>
    <m/>
    <x v="16"/>
    <x v="2"/>
    <m/>
    <m/>
    <m/>
    <m/>
    <n v="2799"/>
    <m/>
    <m/>
    <m/>
    <m/>
    <m/>
    <m/>
    <m/>
    <s v="Y"/>
    <m/>
    <m/>
    <m/>
    <m/>
    <s v="CASH: Contribution to Namibia floods Federation appeal MDRNA006 for $50,000 earmarked for emergency shelter and watsan. "/>
  </r>
  <r>
    <x v="95"/>
    <n v="266"/>
    <x v="250"/>
    <d v="2011-07-28T00:00:00"/>
    <x v="16"/>
    <n v="1"/>
    <s v="Q1"/>
    <x v="16"/>
    <n v="8"/>
    <x v="1"/>
    <s v="Somalia/ Kenya/ Ethiopia/ Tanzania"/>
    <m/>
    <x v="1"/>
    <m/>
    <m/>
    <n v="13300000"/>
    <x v="1"/>
    <s v="IFRC &amp; ICRC"/>
    <x v="107"/>
    <s v="Various - see RAP"/>
    <x v="0"/>
    <m/>
    <m/>
    <m/>
    <n v="2840000"/>
    <m/>
    <m/>
    <n v="4"/>
    <n v="1700000"/>
    <n v="1113000"/>
    <m/>
    <m/>
    <n v="2813000"/>
    <m/>
    <m/>
    <m/>
    <m/>
    <s v="Y"/>
    <m/>
    <m/>
    <m/>
    <n v="4900"/>
    <m/>
    <m/>
    <m/>
    <n v="20000"/>
    <m/>
    <m/>
    <m/>
    <m/>
    <m/>
    <n v="122000"/>
    <m/>
    <n v="2935000"/>
    <m/>
    <m/>
    <m/>
    <x v="188"/>
    <x v="1"/>
    <s v="P"/>
    <n v="4185949"/>
    <d v="2011-12-01T00:00:00"/>
    <s v="ongoing"/>
    <s v="2831/ARCT"/>
    <n v="200000"/>
    <n v="2836"/>
    <n v="2553000"/>
    <n v="2099"/>
    <n v="200000"/>
    <s v="Y"/>
    <m/>
    <s v="N"/>
    <s v="Y"/>
    <s v="ARCT -2831 FY12 fund - $200,000"/>
    <m/>
    <m/>
    <s v="CASH: 1) $582,000 +$531,000 contribution to ICRC emergency appeal EA2011 for Somalia - sources:  $182,000 from ARCT/2831, $200,000 + $531,000 from 2836, and $200,000 from IRF/2099 per Sr VP; 2). PMN $1,000,000 contribution to Kenya Drought appeal MDRKE016 from 2836; 3) PMN for$600,000 contribution to Ethiopia appeal MDRE010 from 2836; 4) PMN for $100,000 for Tanzania Drought appeal MDRTZ012 from 2836."/>
  </r>
  <r>
    <x v="96"/>
    <n v="267"/>
    <x v="251"/>
    <d v="2011-08-24T00:00:00"/>
    <x v="16"/>
    <n v="2"/>
    <s v="Q1"/>
    <x v="16"/>
    <n v="9"/>
    <x v="3"/>
    <s v="DPRK/North Korea"/>
    <m/>
    <x v="2"/>
    <m/>
    <m/>
    <n v="45000"/>
    <x v="1"/>
    <s v="IFRC"/>
    <x v="108"/>
    <s v="MDRKP003"/>
    <x v="70"/>
    <m/>
    <s v="Y"/>
    <n v="575551"/>
    <n v="30000"/>
    <m/>
    <m/>
    <n v="1"/>
    <n v="50000"/>
    <m/>
    <m/>
    <m/>
    <n v="50000"/>
    <m/>
    <m/>
    <m/>
    <m/>
    <m/>
    <m/>
    <m/>
    <m/>
    <m/>
    <m/>
    <m/>
    <m/>
    <m/>
    <m/>
    <m/>
    <m/>
    <m/>
    <m/>
    <m/>
    <m/>
    <n v="50000"/>
    <m/>
    <m/>
    <m/>
    <x v="16"/>
    <x v="2"/>
    <m/>
    <m/>
    <m/>
    <m/>
    <n v="2799"/>
    <m/>
    <m/>
    <m/>
    <m/>
    <m/>
    <m/>
    <m/>
    <s v="Y"/>
    <m/>
    <m/>
    <m/>
    <m/>
    <s v="CASH: $50,000 contribution to appeal earmarked for food procurement, from 2799/RRF."/>
  </r>
  <r>
    <x v="97"/>
    <n v="268"/>
    <x v="19"/>
    <d v="2011-08-31T00:00:00"/>
    <x v="16"/>
    <n v="3"/>
    <s v="Q1"/>
    <x v="16"/>
    <n v="10"/>
    <x v="3"/>
    <s v="Bangladesh"/>
    <m/>
    <x v="2"/>
    <m/>
    <m/>
    <n v="700000"/>
    <x v="1"/>
    <s v="IFRC"/>
    <x v="109"/>
    <s v="MDRBD009"/>
    <x v="71"/>
    <m/>
    <s v="Y"/>
    <m/>
    <n v="50000"/>
    <m/>
    <m/>
    <n v="1"/>
    <n v="50000"/>
    <m/>
    <m/>
    <m/>
    <n v="50000"/>
    <m/>
    <m/>
    <m/>
    <m/>
    <m/>
    <m/>
    <m/>
    <m/>
    <m/>
    <m/>
    <m/>
    <m/>
    <m/>
    <m/>
    <m/>
    <m/>
    <m/>
    <m/>
    <m/>
    <m/>
    <n v="50000"/>
    <m/>
    <m/>
    <m/>
    <x v="16"/>
    <x v="2"/>
    <m/>
    <m/>
    <m/>
    <m/>
    <n v="2799"/>
    <m/>
    <m/>
    <m/>
    <m/>
    <m/>
    <m/>
    <m/>
    <s v="Y"/>
    <m/>
    <m/>
    <m/>
    <m/>
    <s v="CASH: $50,000 contribution to appeal earmarked for relilef distribution from 2799/RRF."/>
  </r>
  <r>
    <x v="98"/>
    <n v="269"/>
    <x v="252"/>
    <d v="2011-09-12T00:00:00"/>
    <x v="16"/>
    <n v="4"/>
    <s v="Q1"/>
    <x v="16"/>
    <n v="11"/>
    <x v="3"/>
    <s v="Pakistan"/>
    <m/>
    <x v="2"/>
    <m/>
    <m/>
    <n v="5000000"/>
    <x v="1"/>
    <s v="IFRC"/>
    <x v="110"/>
    <s v="MDRPK007"/>
    <x v="72"/>
    <m/>
    <s v="Y"/>
    <m/>
    <n v="105000"/>
    <m/>
    <m/>
    <n v="1"/>
    <n v="50000"/>
    <m/>
    <m/>
    <m/>
    <n v="50000"/>
    <m/>
    <m/>
    <m/>
    <m/>
    <m/>
    <m/>
    <m/>
    <m/>
    <m/>
    <m/>
    <m/>
    <m/>
    <m/>
    <m/>
    <m/>
    <m/>
    <m/>
    <m/>
    <m/>
    <m/>
    <n v="50000"/>
    <m/>
    <m/>
    <m/>
    <x v="16"/>
    <x v="2"/>
    <m/>
    <m/>
    <m/>
    <m/>
    <n v="2799"/>
    <m/>
    <m/>
    <m/>
    <m/>
    <m/>
    <m/>
    <m/>
    <s v="Y"/>
    <m/>
    <m/>
    <m/>
    <m/>
    <s v="CASH: $50,000 contribution to appeal earmarked for relilef distribution from 2799/RRF."/>
  </r>
  <r>
    <x v="99"/>
    <n v="270"/>
    <x v="163"/>
    <d v="2011-10-06T00:00:00"/>
    <x v="16"/>
    <n v="5"/>
    <s v="Q2"/>
    <x v="16"/>
    <n v="12"/>
    <x v="3"/>
    <s v="Philippines"/>
    <m/>
    <x v="17"/>
    <m/>
    <m/>
    <n v="3200000"/>
    <x v="1"/>
    <s v="IFRC"/>
    <x v="111"/>
    <s v="MDRPH007"/>
    <x v="70"/>
    <m/>
    <s v="Y"/>
    <m/>
    <n v="250000"/>
    <m/>
    <m/>
    <n v="1"/>
    <n v="50000"/>
    <m/>
    <m/>
    <m/>
    <n v="50000"/>
    <m/>
    <m/>
    <m/>
    <m/>
    <m/>
    <m/>
    <m/>
    <m/>
    <m/>
    <m/>
    <m/>
    <m/>
    <m/>
    <m/>
    <m/>
    <m/>
    <m/>
    <m/>
    <m/>
    <m/>
    <n v="50000"/>
    <m/>
    <m/>
    <m/>
    <x v="16"/>
    <x v="2"/>
    <m/>
    <m/>
    <m/>
    <m/>
    <n v="2799"/>
    <m/>
    <m/>
    <m/>
    <m/>
    <m/>
    <m/>
    <m/>
    <s v="Y"/>
    <m/>
    <m/>
    <m/>
    <m/>
    <s v="CASH: $50,000 contribution to appeal earmarked for relilef distribution from 2799/RRF."/>
  </r>
  <r>
    <x v="100"/>
    <n v="271"/>
    <x v="205"/>
    <d v="2011-10-20T00:00:00"/>
    <x v="16"/>
    <n v="6"/>
    <s v="Q2"/>
    <x v="16"/>
    <n v="13"/>
    <x v="2"/>
    <s v="El Salvador/ Honduras/ Guatemala/ Nicaragua"/>
    <m/>
    <x v="2"/>
    <m/>
    <m/>
    <n v="638000"/>
    <x v="1"/>
    <s v="IFRC"/>
    <x v="112"/>
    <s v="MDRGT003 / MDRSV004"/>
    <x v="0"/>
    <m/>
    <s v="Y"/>
    <m/>
    <n v="2500"/>
    <s v="Y"/>
    <n v="9000"/>
    <n v="1"/>
    <m/>
    <m/>
    <n v="48940"/>
    <m/>
    <n v="48940"/>
    <n v="3"/>
    <m/>
    <n v="3"/>
    <m/>
    <s v="Y"/>
    <n v="2300"/>
    <n v="11500"/>
    <n v="4600"/>
    <m/>
    <m/>
    <m/>
    <m/>
    <n v="4600"/>
    <m/>
    <n v="3000"/>
    <m/>
    <m/>
    <m/>
    <n v="255000"/>
    <m/>
    <n v="303940"/>
    <m/>
    <m/>
    <m/>
    <x v="189"/>
    <x v="1"/>
    <s v="C"/>
    <m/>
    <m/>
    <d v="2011-11-03T00:00:00"/>
    <s v="2831/ARCT"/>
    <n v="200000"/>
    <n v="2882"/>
    <n v="103940"/>
    <m/>
    <m/>
    <s v="Y"/>
    <m/>
    <s v="N"/>
    <m/>
    <s v="ARCT - 2831 FY12 fund - $200,000"/>
    <m/>
    <m/>
    <s v="CASH: $17,190 bilateral grant letter to El Salvador Red Cross for distribution costs; $18,125 bilateral grant letter to Honduras Red Cross for distribution costs; $13,625 bilateral grant letter to Nicaragua Red Cross for distribution costs._x000a_SUPPLIES: Bilateral contributions - see RAPs for detail: Supplies for 500 families  to Nicaraguan Red Cross valued at$61,000; supplies for 800 families for El Salvador Red Cross valued at$73,000; supplies for 500 families to Honduras Red Cross valued at $60,000. Multilateral contribution - supplies from Guatemala appeal mob table  for 500 families to Guatemalan Red Cross valued at $61,000. _x000a_PEOPLE:  Three Panama delegation-based ARC staff deployed as disaster management liasons: Raymundo Ortega to assist Nicaragua Red Cross; Luis Guzman to assist El Salvador Red Cross; Alvaro Garita to assist Honduras Red Cross."/>
  </r>
  <r>
    <x v="101"/>
    <n v="272"/>
    <x v="253"/>
    <d v="2011-10-26T00:00:00"/>
    <x v="16"/>
    <n v="7"/>
    <s v="Q2"/>
    <x v="16"/>
    <n v="14"/>
    <x v="3"/>
    <s v="Turkey"/>
    <m/>
    <x v="3"/>
    <m/>
    <m/>
    <n v="250000"/>
    <x v="1"/>
    <s v="IFRC"/>
    <x v="113"/>
    <s v="MDRTR002"/>
    <x v="73"/>
    <m/>
    <m/>
    <m/>
    <n v="60000"/>
    <m/>
    <m/>
    <n v="1"/>
    <n v="809000"/>
    <m/>
    <m/>
    <m/>
    <n v="809000"/>
    <m/>
    <m/>
    <m/>
    <m/>
    <m/>
    <m/>
    <m/>
    <m/>
    <m/>
    <m/>
    <m/>
    <m/>
    <m/>
    <m/>
    <m/>
    <m/>
    <m/>
    <m/>
    <m/>
    <m/>
    <n v="809000"/>
    <m/>
    <m/>
    <m/>
    <x v="190"/>
    <x v="1"/>
    <s v="C"/>
    <n v="915000"/>
    <d v="2011-11-22T00:00:00"/>
    <s v="ongoing"/>
    <n v="2814"/>
    <m/>
    <m/>
    <m/>
    <m/>
    <m/>
    <m/>
    <m/>
    <s v="N"/>
    <m/>
    <s v="2814 - Turkey Relief &amp;  Development. Designated fundraising from corporations only. 2799/RRF funds were used for first $100,000, but later reimbursed by 2814 funds."/>
    <m/>
    <m/>
    <s v="CASH: 1) Oct 26 - $100,000 PMN contribution to Federation appeal earmarked for relief - originally paid by RRF/2799, but later reimbursed by AP 2814. 2) Nov 22 - $709,000 PMN earmarked for shelter.  (Previous Nov 3 PMN contribution to Federation appeal for $500,000 earmarked for relief was nulled as relief objective filled)."/>
  </r>
  <r>
    <x v="0"/>
    <n v="273"/>
    <x v="6"/>
    <d v="2011-11-01T00:00:00"/>
    <x v="16"/>
    <n v="8"/>
    <s v="Q2"/>
    <x v="16"/>
    <n v="15"/>
    <x v="2"/>
    <s v="Mexico"/>
    <m/>
    <x v="2"/>
    <m/>
    <m/>
    <n v="318846"/>
    <x v="2"/>
    <m/>
    <x v="0"/>
    <s v="bilateral request"/>
    <x v="0"/>
    <m/>
    <m/>
    <m/>
    <m/>
    <s v="Y"/>
    <n v="45000"/>
    <m/>
    <m/>
    <m/>
    <n v="270000"/>
    <m/>
    <n v="270000"/>
    <m/>
    <m/>
    <m/>
    <m/>
    <m/>
    <m/>
    <m/>
    <m/>
    <m/>
    <m/>
    <m/>
    <m/>
    <m/>
    <m/>
    <m/>
    <m/>
    <m/>
    <m/>
    <m/>
    <m/>
    <n v="270000"/>
    <m/>
    <m/>
    <m/>
    <x v="191"/>
    <x v="1"/>
    <s v="C"/>
    <n v="287000"/>
    <d v="2011-11-01T00:00:00"/>
    <d v="2011-11-01T00:00:00"/>
    <n v="2020"/>
    <m/>
    <m/>
    <m/>
    <m/>
    <m/>
    <m/>
    <m/>
    <s v="N"/>
    <m/>
    <m/>
    <m/>
    <m/>
    <s v="CASH: A bilateral grant to the Mexican Red Cross for prcurement of food parcels and clean up kits for 9,000 families /45,000 people."/>
  </r>
  <r>
    <x v="102"/>
    <n v="274"/>
    <x v="21"/>
    <d v="2011-11-10T00:00:00"/>
    <x v="16"/>
    <n v="9"/>
    <s v="Q2"/>
    <x v="16"/>
    <n v="16"/>
    <x v="3"/>
    <s v="Vietnam"/>
    <m/>
    <x v="2"/>
    <m/>
    <m/>
    <n v="590000"/>
    <x v="1"/>
    <s v="IFRC"/>
    <x v="114"/>
    <s v="MDRVN009"/>
    <x v="74"/>
    <m/>
    <m/>
    <m/>
    <n v="42000"/>
    <m/>
    <m/>
    <n v="1"/>
    <n v="50000"/>
    <m/>
    <m/>
    <m/>
    <n v="50000"/>
    <m/>
    <m/>
    <m/>
    <m/>
    <m/>
    <m/>
    <m/>
    <m/>
    <m/>
    <m/>
    <m/>
    <m/>
    <m/>
    <m/>
    <m/>
    <m/>
    <m/>
    <m/>
    <m/>
    <m/>
    <n v="50000"/>
    <m/>
    <m/>
    <m/>
    <x v="16"/>
    <x v="2"/>
    <m/>
    <m/>
    <m/>
    <m/>
    <n v="2799"/>
    <m/>
    <m/>
    <m/>
    <m/>
    <m/>
    <m/>
    <m/>
    <s v="Y"/>
    <m/>
    <m/>
    <m/>
    <m/>
    <s v="CASH: PMN contribution of $50,000 towards appeal, earmarked for relief objective."/>
  </r>
  <r>
    <x v="103"/>
    <n v="275"/>
    <x v="254"/>
    <d v="2011-11-10T00:00:00"/>
    <x v="16"/>
    <n v="10"/>
    <s v="Q2"/>
    <x v="16"/>
    <n v="17"/>
    <x v="3"/>
    <s v="Thailand"/>
    <m/>
    <x v="2"/>
    <m/>
    <m/>
    <n v="3400000"/>
    <x v="2"/>
    <m/>
    <x v="0"/>
    <s v="regional plan"/>
    <x v="0"/>
    <m/>
    <m/>
    <m/>
    <m/>
    <m/>
    <m/>
    <n v="1"/>
    <n v="167000"/>
    <m/>
    <m/>
    <m/>
    <n v="167000"/>
    <m/>
    <m/>
    <m/>
    <m/>
    <m/>
    <m/>
    <m/>
    <m/>
    <m/>
    <m/>
    <m/>
    <m/>
    <m/>
    <m/>
    <m/>
    <m/>
    <m/>
    <m/>
    <m/>
    <m/>
    <n v="167000"/>
    <m/>
    <m/>
    <m/>
    <x v="192"/>
    <x v="1"/>
    <s v="C"/>
    <n v="189000"/>
    <d v="2011-11-22T00:00:00"/>
    <d v="2011-11-17T00:00:00"/>
    <n v="2689"/>
    <m/>
    <m/>
    <m/>
    <m/>
    <m/>
    <m/>
    <m/>
    <s v="N"/>
    <m/>
    <s v="2689 - Southeast Asia Typhoons and Floods. Designated funding for corporate  contributions only.  $189k raised as of 11/22"/>
    <m/>
    <m/>
    <s v="CASH: $167,000 Cash grant to Intl Federation Regional Country Plan (not appeal) due to Thai RC not wanting an appeal."/>
  </r>
  <r>
    <x v="0"/>
    <n v="276"/>
    <x v="157"/>
    <d v="2011-12-02T00:00:00"/>
    <x v="16"/>
    <n v="11"/>
    <s v="Q2"/>
    <x v="16"/>
    <n v="18"/>
    <x v="2"/>
    <s v="Colombia"/>
    <m/>
    <x v="2"/>
    <m/>
    <m/>
    <n v="410420"/>
    <x v="2"/>
    <m/>
    <x v="0"/>
    <m/>
    <x v="0"/>
    <m/>
    <m/>
    <m/>
    <m/>
    <s v="Y"/>
    <m/>
    <m/>
    <m/>
    <m/>
    <n v="100000"/>
    <m/>
    <n v="100000"/>
    <m/>
    <m/>
    <m/>
    <m/>
    <m/>
    <m/>
    <m/>
    <m/>
    <m/>
    <m/>
    <m/>
    <m/>
    <m/>
    <m/>
    <m/>
    <m/>
    <m/>
    <m/>
    <m/>
    <m/>
    <n v="100000"/>
    <m/>
    <m/>
    <m/>
    <x v="5"/>
    <x v="2"/>
    <m/>
    <m/>
    <m/>
    <m/>
    <n v="2799"/>
    <m/>
    <m/>
    <m/>
    <m/>
    <m/>
    <m/>
    <m/>
    <s v="Y"/>
    <m/>
    <m/>
    <m/>
    <m/>
    <s v="CASH: $100,000 grant letter bilaterally to Colombian Red Cross in response to their proposal to fund part of their plan of action."/>
  </r>
</pivotCacheRecords>
</file>

<file path=xl/pivotCache/pivotCacheRecords12.xml><?xml version="1.0" encoding="utf-8"?>
<pivotCacheRecords xmlns="http://schemas.openxmlformats.org/spreadsheetml/2006/main" xmlns:r="http://schemas.openxmlformats.org/officeDocument/2006/relationships" count="359">
  <r>
    <m/>
    <s v="a"/>
    <x v="0"/>
    <d v="1985-09-01T00:00:00"/>
    <x v="0"/>
    <m/>
    <m/>
    <x v="0"/>
    <m/>
    <x v="0"/>
    <m/>
    <m/>
    <x v="0"/>
    <m/>
    <m/>
    <x v="0"/>
    <x v="0"/>
    <m/>
    <m/>
    <m/>
    <m/>
    <m/>
    <m/>
    <m/>
    <m/>
    <x v="0"/>
    <m/>
    <m/>
    <m/>
    <m/>
    <m/>
    <m/>
    <m/>
    <m/>
    <m/>
    <m/>
    <m/>
    <m/>
    <m/>
    <m/>
    <m/>
    <m/>
    <m/>
    <m/>
    <m/>
    <m/>
    <m/>
    <m/>
    <m/>
    <m/>
    <m/>
    <m/>
    <m/>
    <m/>
    <m/>
    <m/>
    <m/>
    <x v="0"/>
    <x v="0"/>
    <m/>
    <m/>
    <m/>
    <m/>
    <m/>
    <m/>
    <m/>
    <m/>
    <m/>
    <m/>
    <m/>
    <m/>
    <m/>
    <m/>
    <m/>
    <m/>
    <m/>
    <m/>
  </r>
  <r>
    <m/>
    <s v="b"/>
    <x v="1"/>
    <d v="1988-12-01T00:00:00"/>
    <x v="1"/>
    <m/>
    <m/>
    <x v="1"/>
    <m/>
    <x v="0"/>
    <m/>
    <m/>
    <x v="0"/>
    <m/>
    <m/>
    <x v="0"/>
    <x v="0"/>
    <m/>
    <m/>
    <m/>
    <m/>
    <m/>
    <m/>
    <m/>
    <m/>
    <x v="0"/>
    <m/>
    <m/>
    <m/>
    <m/>
    <m/>
    <m/>
    <m/>
    <m/>
    <m/>
    <m/>
    <m/>
    <m/>
    <m/>
    <m/>
    <m/>
    <m/>
    <m/>
    <m/>
    <m/>
    <m/>
    <m/>
    <m/>
    <m/>
    <m/>
    <m/>
    <m/>
    <m/>
    <m/>
    <m/>
    <m/>
    <m/>
    <x v="1"/>
    <x v="0"/>
    <m/>
    <m/>
    <m/>
    <m/>
    <m/>
    <m/>
    <m/>
    <m/>
    <m/>
    <m/>
    <m/>
    <m/>
    <m/>
    <m/>
    <m/>
    <m/>
    <m/>
    <m/>
  </r>
  <r>
    <m/>
    <s v="c"/>
    <x v="2"/>
    <d v="1994-06-01T00:00:00"/>
    <x v="2"/>
    <m/>
    <m/>
    <x v="2"/>
    <m/>
    <x v="0"/>
    <m/>
    <m/>
    <x v="0"/>
    <m/>
    <m/>
    <x v="0"/>
    <x v="0"/>
    <m/>
    <m/>
    <m/>
    <m/>
    <m/>
    <m/>
    <m/>
    <m/>
    <x v="0"/>
    <m/>
    <m/>
    <m/>
    <m/>
    <m/>
    <m/>
    <m/>
    <m/>
    <m/>
    <m/>
    <m/>
    <m/>
    <m/>
    <m/>
    <m/>
    <m/>
    <m/>
    <m/>
    <m/>
    <m/>
    <m/>
    <m/>
    <m/>
    <m/>
    <m/>
    <m/>
    <m/>
    <m/>
    <m/>
    <m/>
    <m/>
    <x v="2"/>
    <x v="0"/>
    <m/>
    <m/>
    <m/>
    <m/>
    <m/>
    <m/>
    <m/>
    <m/>
    <m/>
    <m/>
    <m/>
    <m/>
    <m/>
    <m/>
    <m/>
    <m/>
    <m/>
    <m/>
  </r>
  <r>
    <m/>
    <s v="d"/>
    <x v="3"/>
    <d v="1998-10-01T00:00:00"/>
    <x v="3"/>
    <m/>
    <m/>
    <x v="3"/>
    <m/>
    <x v="0"/>
    <m/>
    <m/>
    <x v="0"/>
    <m/>
    <m/>
    <x v="1"/>
    <x v="0"/>
    <m/>
    <m/>
    <m/>
    <m/>
    <m/>
    <m/>
    <m/>
    <m/>
    <x v="0"/>
    <m/>
    <m/>
    <m/>
    <m/>
    <m/>
    <m/>
    <m/>
    <m/>
    <m/>
    <m/>
    <m/>
    <m/>
    <m/>
    <m/>
    <m/>
    <m/>
    <m/>
    <m/>
    <m/>
    <m/>
    <m/>
    <m/>
    <m/>
    <m/>
    <m/>
    <m/>
    <m/>
    <m/>
    <m/>
    <m/>
    <m/>
    <x v="3"/>
    <x v="0"/>
    <m/>
    <m/>
    <m/>
    <m/>
    <m/>
    <m/>
    <m/>
    <m/>
    <m/>
    <m/>
    <m/>
    <m/>
    <m/>
    <m/>
    <m/>
    <m/>
    <m/>
    <m/>
  </r>
  <r>
    <m/>
    <s v="e"/>
    <x v="4"/>
    <d v="1999-03-01T00:00:00"/>
    <x v="3"/>
    <m/>
    <m/>
    <x v="4"/>
    <m/>
    <x v="0"/>
    <m/>
    <m/>
    <x v="0"/>
    <m/>
    <m/>
    <x v="0"/>
    <x v="0"/>
    <m/>
    <m/>
    <m/>
    <m/>
    <m/>
    <m/>
    <m/>
    <m/>
    <x v="0"/>
    <m/>
    <m/>
    <m/>
    <m/>
    <m/>
    <m/>
    <m/>
    <m/>
    <m/>
    <m/>
    <m/>
    <m/>
    <m/>
    <m/>
    <m/>
    <m/>
    <m/>
    <m/>
    <m/>
    <m/>
    <m/>
    <m/>
    <m/>
    <m/>
    <m/>
    <m/>
    <m/>
    <m/>
    <m/>
    <m/>
    <m/>
    <x v="4"/>
    <x v="0"/>
    <m/>
    <m/>
    <m/>
    <m/>
    <m/>
    <m/>
    <m/>
    <m/>
    <m/>
    <m/>
    <m/>
    <m/>
    <m/>
    <m/>
    <m/>
    <m/>
    <m/>
    <m/>
  </r>
  <r>
    <m/>
    <n v="1"/>
    <x v="5"/>
    <d v="1999-06-01T00:00:00"/>
    <x v="3"/>
    <n v="1"/>
    <m/>
    <x v="4"/>
    <n v="1"/>
    <x v="1"/>
    <s v="Ethiopia"/>
    <m/>
    <x v="1"/>
    <s v="Drought"/>
    <s v="Drought"/>
    <x v="0"/>
    <x v="0"/>
    <m/>
    <m/>
    <m/>
    <m/>
    <m/>
    <m/>
    <m/>
    <m/>
    <x v="0"/>
    <m/>
    <n v="1"/>
    <n v="100000"/>
    <m/>
    <m/>
    <m/>
    <n v="100000"/>
    <n v="0"/>
    <m/>
    <m/>
    <m/>
    <m/>
    <m/>
    <m/>
    <m/>
    <m/>
    <m/>
    <m/>
    <m/>
    <m/>
    <m/>
    <m/>
    <m/>
    <m/>
    <m/>
    <m/>
    <m/>
    <n v="100000"/>
    <m/>
    <m/>
    <n v="7159.297959242117"/>
    <x v="5"/>
    <x v="1"/>
    <m/>
    <m/>
    <m/>
    <m/>
    <n v="2898"/>
    <m/>
    <m/>
    <m/>
    <m/>
    <m/>
    <m/>
    <m/>
    <m/>
    <m/>
    <m/>
    <m/>
    <m/>
    <s v="Region response"/>
  </r>
  <r>
    <m/>
    <n v="2"/>
    <x v="6"/>
    <d v="1999-06-01T00:00:00"/>
    <x v="3"/>
    <n v="2"/>
    <m/>
    <x v="4"/>
    <n v="2"/>
    <x v="2"/>
    <s v="Mexico"/>
    <m/>
    <x v="2"/>
    <s v="General Floods"/>
    <s v="General Floods"/>
    <x v="0"/>
    <x v="0"/>
    <m/>
    <m/>
    <m/>
    <m/>
    <m/>
    <m/>
    <m/>
    <m/>
    <x v="0"/>
    <m/>
    <m/>
    <m/>
    <m/>
    <n v="100000"/>
    <m/>
    <n v="100000"/>
    <n v="1"/>
    <m/>
    <m/>
    <m/>
    <m/>
    <m/>
    <m/>
    <m/>
    <m/>
    <m/>
    <m/>
    <m/>
    <m/>
    <m/>
    <m/>
    <m/>
    <m/>
    <m/>
    <m/>
    <m/>
    <n v="100000"/>
    <m/>
    <m/>
    <n v="34050"/>
    <x v="5"/>
    <x v="1"/>
    <m/>
    <m/>
    <m/>
    <m/>
    <n v="2898"/>
    <m/>
    <m/>
    <m/>
    <m/>
    <m/>
    <m/>
    <m/>
    <m/>
    <m/>
    <m/>
    <m/>
    <m/>
    <m/>
  </r>
  <r>
    <m/>
    <n v="3"/>
    <x v="7"/>
    <d v="1999-06-01T00:00:00"/>
    <x v="3"/>
    <n v="3"/>
    <m/>
    <x v="4"/>
    <n v="3"/>
    <x v="2"/>
    <s v="Costa Rica"/>
    <m/>
    <x v="2"/>
    <s v="General Floods"/>
    <s v="General Floods"/>
    <x v="0"/>
    <x v="0"/>
    <m/>
    <m/>
    <m/>
    <m/>
    <m/>
    <m/>
    <m/>
    <m/>
    <x v="0"/>
    <m/>
    <n v="0"/>
    <n v="10000"/>
    <m/>
    <m/>
    <m/>
    <n v="10000"/>
    <n v="0"/>
    <m/>
    <m/>
    <m/>
    <m/>
    <m/>
    <m/>
    <m/>
    <m/>
    <m/>
    <m/>
    <m/>
    <m/>
    <m/>
    <m/>
    <m/>
    <m/>
    <m/>
    <m/>
    <m/>
    <n v="10000"/>
    <m/>
    <m/>
    <n v="1000"/>
    <x v="6"/>
    <x v="1"/>
    <m/>
    <m/>
    <m/>
    <m/>
    <n v="2898"/>
    <m/>
    <m/>
    <m/>
    <m/>
    <m/>
    <m/>
    <m/>
    <m/>
    <m/>
    <m/>
    <m/>
    <m/>
    <s v="Region response"/>
  </r>
  <r>
    <m/>
    <n v="4"/>
    <x v="8"/>
    <d v="1999-08-01T00:00:00"/>
    <x v="4"/>
    <n v="1"/>
    <m/>
    <x v="4"/>
    <n v="4"/>
    <x v="3"/>
    <s v="China"/>
    <m/>
    <x v="2"/>
    <s v="General Floods"/>
    <s v="General Floods"/>
    <x v="0"/>
    <x v="0"/>
    <m/>
    <m/>
    <m/>
    <m/>
    <m/>
    <m/>
    <m/>
    <m/>
    <x v="0"/>
    <m/>
    <n v="1"/>
    <n v="100000"/>
    <m/>
    <m/>
    <m/>
    <n v="100000"/>
    <n v="0"/>
    <m/>
    <m/>
    <m/>
    <m/>
    <m/>
    <m/>
    <m/>
    <m/>
    <m/>
    <m/>
    <m/>
    <m/>
    <m/>
    <m/>
    <m/>
    <m/>
    <m/>
    <m/>
    <m/>
    <n v="100000"/>
    <m/>
    <m/>
    <n v="15080.681646810435"/>
    <x v="5"/>
    <x v="1"/>
    <m/>
    <m/>
    <m/>
    <m/>
    <n v="2060"/>
    <m/>
    <m/>
    <m/>
    <m/>
    <m/>
    <m/>
    <m/>
    <m/>
    <m/>
    <m/>
    <m/>
    <m/>
    <s v="Region response"/>
  </r>
  <r>
    <m/>
    <n v="5"/>
    <x v="9"/>
    <d v="1999-08-01T00:00:00"/>
    <x v="4"/>
    <n v="2"/>
    <m/>
    <x v="4"/>
    <n v="5"/>
    <x v="3"/>
    <s v="Turkey"/>
    <m/>
    <x v="3"/>
    <s v="Earthquake"/>
    <s v="Earthquake"/>
    <x v="0"/>
    <x v="0"/>
    <m/>
    <m/>
    <m/>
    <m/>
    <m/>
    <m/>
    <m/>
    <m/>
    <x v="0"/>
    <m/>
    <m/>
    <m/>
    <m/>
    <m/>
    <m/>
    <n v="0"/>
    <n v="20"/>
    <m/>
    <m/>
    <m/>
    <m/>
    <m/>
    <m/>
    <m/>
    <m/>
    <m/>
    <m/>
    <m/>
    <m/>
    <m/>
    <m/>
    <m/>
    <m/>
    <m/>
    <n v="0"/>
    <n v="0"/>
    <n v="0"/>
    <m/>
    <m/>
    <m/>
    <x v="7"/>
    <x v="1"/>
    <m/>
    <m/>
    <m/>
    <m/>
    <n v="2814"/>
    <m/>
    <m/>
    <m/>
    <m/>
    <m/>
    <m/>
    <m/>
    <m/>
    <m/>
    <m/>
    <m/>
    <m/>
    <s v="Total expenses combined with (#19, below)"/>
  </r>
  <r>
    <m/>
    <n v="6"/>
    <x v="10"/>
    <d v="1999-08-01T00:00:00"/>
    <x v="4"/>
    <n v="3"/>
    <m/>
    <x v="4"/>
    <n v="6"/>
    <x v="2"/>
    <s v="Nicaragua"/>
    <m/>
    <x v="4"/>
    <s v="Volcanic Eruption"/>
    <s v="Volcanic Eruption"/>
    <x v="0"/>
    <x v="0"/>
    <m/>
    <m/>
    <m/>
    <m/>
    <m/>
    <m/>
    <m/>
    <m/>
    <x v="0"/>
    <m/>
    <m/>
    <m/>
    <m/>
    <n v="10000"/>
    <m/>
    <n v="10000"/>
    <n v="2"/>
    <m/>
    <m/>
    <m/>
    <m/>
    <m/>
    <m/>
    <m/>
    <m/>
    <m/>
    <m/>
    <m/>
    <m/>
    <m/>
    <m/>
    <m/>
    <m/>
    <m/>
    <m/>
    <m/>
    <n v="10000"/>
    <m/>
    <m/>
    <n v="1000"/>
    <x v="6"/>
    <x v="1"/>
    <m/>
    <m/>
    <m/>
    <m/>
    <n v="2898"/>
    <m/>
    <m/>
    <m/>
    <m/>
    <m/>
    <m/>
    <m/>
    <m/>
    <m/>
    <m/>
    <m/>
    <m/>
    <s v="Gisla Dewey and Carol Schimke sent to assist and observe"/>
  </r>
  <r>
    <m/>
    <n v="7"/>
    <x v="11"/>
    <d v="1999-08-01T00:00:00"/>
    <x v="4"/>
    <n v="4"/>
    <m/>
    <x v="4"/>
    <n v="7"/>
    <x v="3"/>
    <s v="Cambodia"/>
    <m/>
    <x v="2"/>
    <s v="General Floods"/>
    <s v="General Floods"/>
    <x v="0"/>
    <x v="0"/>
    <m/>
    <m/>
    <m/>
    <m/>
    <m/>
    <m/>
    <m/>
    <m/>
    <x v="0"/>
    <m/>
    <n v="0"/>
    <n v="25000"/>
    <m/>
    <m/>
    <m/>
    <n v="25000"/>
    <n v="0"/>
    <m/>
    <m/>
    <m/>
    <m/>
    <m/>
    <m/>
    <m/>
    <m/>
    <m/>
    <m/>
    <m/>
    <m/>
    <m/>
    <m/>
    <m/>
    <m/>
    <m/>
    <m/>
    <m/>
    <n v="25000"/>
    <m/>
    <m/>
    <n v="1321.7075933422946"/>
    <x v="8"/>
    <x v="1"/>
    <m/>
    <m/>
    <m/>
    <m/>
    <n v="2898"/>
    <m/>
    <m/>
    <m/>
    <m/>
    <m/>
    <m/>
    <m/>
    <m/>
    <m/>
    <m/>
    <m/>
    <m/>
    <s v="Region response"/>
  </r>
  <r>
    <m/>
    <n v="8"/>
    <x v="12"/>
    <d v="1999-09-01T00:00:00"/>
    <x v="4"/>
    <n v="5"/>
    <m/>
    <x v="4"/>
    <n v="8"/>
    <x v="3"/>
    <s v="Greece"/>
    <m/>
    <x v="3"/>
    <s v="Earthquake"/>
    <s v="Earthquake"/>
    <x v="0"/>
    <x v="0"/>
    <m/>
    <m/>
    <m/>
    <m/>
    <m/>
    <m/>
    <m/>
    <m/>
    <x v="0"/>
    <m/>
    <n v="1"/>
    <n v="80000"/>
    <m/>
    <m/>
    <m/>
    <n v="80000"/>
    <n v="0"/>
    <m/>
    <m/>
    <m/>
    <m/>
    <m/>
    <m/>
    <m/>
    <m/>
    <m/>
    <m/>
    <m/>
    <m/>
    <m/>
    <m/>
    <m/>
    <m/>
    <m/>
    <m/>
    <m/>
    <n v="80000"/>
    <m/>
    <m/>
    <n v="2580.0991790124413"/>
    <x v="9"/>
    <x v="1"/>
    <m/>
    <m/>
    <m/>
    <m/>
    <n v="2898"/>
    <m/>
    <m/>
    <m/>
    <m/>
    <m/>
    <m/>
    <m/>
    <m/>
    <m/>
    <m/>
    <m/>
    <m/>
    <m/>
  </r>
  <r>
    <m/>
    <n v="9"/>
    <x v="13"/>
    <d v="1999-09-01T00:00:00"/>
    <x v="4"/>
    <n v="6"/>
    <m/>
    <x v="4"/>
    <n v="9"/>
    <x v="2"/>
    <s v="Bahamas"/>
    <m/>
    <x v="5"/>
    <s v="Tropical Cyclone"/>
    <s v="Hurricane"/>
    <x v="0"/>
    <x v="0"/>
    <m/>
    <m/>
    <m/>
    <m/>
    <m/>
    <m/>
    <m/>
    <m/>
    <x v="0"/>
    <m/>
    <m/>
    <m/>
    <m/>
    <n v="25000"/>
    <m/>
    <n v="25000"/>
    <n v="3"/>
    <m/>
    <m/>
    <m/>
    <m/>
    <m/>
    <m/>
    <m/>
    <m/>
    <m/>
    <m/>
    <m/>
    <m/>
    <m/>
    <m/>
    <m/>
    <m/>
    <m/>
    <n v="97443"/>
    <n v="9750"/>
    <n v="132193"/>
    <m/>
    <m/>
    <n v="12383.247348462506"/>
    <x v="10"/>
    <x v="1"/>
    <m/>
    <m/>
    <m/>
    <m/>
    <n v="2898"/>
    <m/>
    <m/>
    <m/>
    <m/>
    <m/>
    <m/>
    <m/>
    <m/>
    <m/>
    <m/>
    <m/>
    <s v="Floyd"/>
    <s v="Hygiene kits, plastic sheeting, flashlights,batteries, bedsheets, and tents"/>
  </r>
  <r>
    <m/>
    <n v="10"/>
    <x v="14"/>
    <d v="1999-09-01T00:00:00"/>
    <x v="4"/>
    <n v="7"/>
    <m/>
    <x v="4"/>
    <n v="10"/>
    <x v="3"/>
    <s v="Taiwan"/>
    <m/>
    <x v="3"/>
    <s v="Earthquake"/>
    <s v="Earthquake"/>
    <x v="0"/>
    <x v="0"/>
    <m/>
    <m/>
    <m/>
    <m/>
    <m/>
    <m/>
    <m/>
    <m/>
    <x v="0"/>
    <m/>
    <n v="1"/>
    <n v="1200000"/>
    <m/>
    <m/>
    <m/>
    <n v="1200000"/>
    <n v="0"/>
    <m/>
    <m/>
    <m/>
    <m/>
    <m/>
    <m/>
    <m/>
    <m/>
    <m/>
    <m/>
    <m/>
    <m/>
    <m/>
    <m/>
    <m/>
    <m/>
    <m/>
    <m/>
    <m/>
    <n v="1200000"/>
    <m/>
    <m/>
    <n v="54838.842352037951"/>
    <x v="11"/>
    <x v="1"/>
    <m/>
    <m/>
    <m/>
    <m/>
    <n v="2824"/>
    <m/>
    <m/>
    <m/>
    <m/>
    <m/>
    <m/>
    <m/>
    <m/>
    <m/>
    <m/>
    <m/>
    <m/>
    <s v="Money sent to Federation"/>
  </r>
  <r>
    <m/>
    <n v="11"/>
    <x v="15"/>
    <d v="1999-09-01T00:00:00"/>
    <x v="4"/>
    <n v="8"/>
    <m/>
    <x v="4"/>
    <n v="11"/>
    <x v="3"/>
    <s v="Japan"/>
    <m/>
    <x v="6"/>
    <s v="Radiation"/>
    <s v="Radiation"/>
    <x v="0"/>
    <x v="0"/>
    <m/>
    <m/>
    <m/>
    <m/>
    <m/>
    <m/>
    <m/>
    <m/>
    <x v="0"/>
    <m/>
    <m/>
    <m/>
    <m/>
    <m/>
    <m/>
    <n v="0"/>
    <n v="0"/>
    <m/>
    <m/>
    <m/>
    <m/>
    <m/>
    <m/>
    <m/>
    <m/>
    <m/>
    <m/>
    <m/>
    <m/>
    <m/>
    <m/>
    <m/>
    <m/>
    <m/>
    <n v="200"/>
    <m/>
    <n v="200"/>
    <m/>
    <m/>
    <m/>
    <x v="12"/>
    <x v="1"/>
    <m/>
    <m/>
    <m/>
    <m/>
    <n v="2898"/>
    <m/>
    <m/>
    <m/>
    <m/>
    <m/>
    <m/>
    <m/>
    <m/>
    <m/>
    <m/>
    <m/>
    <s v="Nuclear Power Plant"/>
    <s v="Manuals related to Nuclear disasters sent to JRCS"/>
  </r>
  <r>
    <m/>
    <n v="12"/>
    <x v="0"/>
    <d v="1999-09-01T00:00:00"/>
    <x v="4"/>
    <n v="9"/>
    <m/>
    <x v="4"/>
    <n v="12"/>
    <x v="2"/>
    <s v="Mexico"/>
    <m/>
    <x v="3"/>
    <s v="Earthquake"/>
    <s v="Earthquake"/>
    <x v="0"/>
    <x v="0"/>
    <m/>
    <m/>
    <m/>
    <m/>
    <m/>
    <m/>
    <m/>
    <m/>
    <x v="0"/>
    <m/>
    <m/>
    <m/>
    <m/>
    <n v="150000"/>
    <m/>
    <n v="150000"/>
    <n v="3"/>
    <m/>
    <m/>
    <m/>
    <m/>
    <m/>
    <m/>
    <m/>
    <m/>
    <m/>
    <m/>
    <m/>
    <m/>
    <m/>
    <m/>
    <m/>
    <m/>
    <m/>
    <m/>
    <m/>
    <n v="150000"/>
    <m/>
    <m/>
    <m/>
    <x v="13"/>
    <x v="1"/>
    <m/>
    <m/>
    <m/>
    <m/>
    <n v="2020"/>
    <m/>
    <m/>
    <m/>
    <m/>
    <m/>
    <m/>
    <m/>
    <m/>
    <m/>
    <m/>
    <m/>
    <m/>
    <m/>
  </r>
  <r>
    <m/>
    <n v="13"/>
    <x v="16"/>
    <d v="1999-10-01T00:00:00"/>
    <x v="4"/>
    <n v="10"/>
    <m/>
    <x v="4"/>
    <n v="13"/>
    <x v="2"/>
    <s v="Mexico"/>
    <m/>
    <x v="7"/>
    <s v="General Floods"/>
    <s v="General Floods"/>
    <x v="0"/>
    <x v="0"/>
    <m/>
    <m/>
    <m/>
    <m/>
    <m/>
    <m/>
    <m/>
    <m/>
    <x v="0"/>
    <m/>
    <m/>
    <m/>
    <m/>
    <n v="200000"/>
    <m/>
    <n v="200000"/>
    <n v="4"/>
    <m/>
    <m/>
    <m/>
    <m/>
    <m/>
    <m/>
    <m/>
    <m/>
    <m/>
    <m/>
    <m/>
    <m/>
    <m/>
    <m/>
    <m/>
    <m/>
    <m/>
    <m/>
    <n v="5000"/>
    <n v="205000"/>
    <m/>
    <m/>
    <n v="12000"/>
    <x v="14"/>
    <x v="1"/>
    <m/>
    <m/>
    <m/>
    <m/>
    <n v="2020"/>
    <m/>
    <m/>
    <m/>
    <m/>
    <m/>
    <m/>
    <m/>
    <m/>
    <m/>
    <m/>
    <m/>
    <m/>
    <m/>
  </r>
  <r>
    <m/>
    <n v="14"/>
    <x v="17"/>
    <d v="1999-10-01T00:00:00"/>
    <x v="4"/>
    <n v="11"/>
    <m/>
    <x v="4"/>
    <n v="14"/>
    <x v="3"/>
    <s v="Russian Fed."/>
    <m/>
    <x v="8"/>
    <s v="Conflict"/>
    <s v="Conflict"/>
    <x v="0"/>
    <x v="0"/>
    <m/>
    <m/>
    <m/>
    <m/>
    <m/>
    <m/>
    <m/>
    <m/>
    <x v="0"/>
    <m/>
    <m/>
    <m/>
    <m/>
    <n v="75000"/>
    <m/>
    <n v="75000"/>
    <n v="0"/>
    <m/>
    <m/>
    <n v="76700"/>
    <m/>
    <n v="11200"/>
    <n v="55000"/>
    <n v="10500"/>
    <m/>
    <m/>
    <m/>
    <m/>
    <m/>
    <m/>
    <m/>
    <m/>
    <m/>
    <m/>
    <n v="535134"/>
    <m/>
    <n v="610134"/>
    <m/>
    <m/>
    <n v="55000"/>
    <x v="15"/>
    <x v="1"/>
    <m/>
    <m/>
    <m/>
    <m/>
    <n v="2045"/>
    <m/>
    <m/>
    <m/>
    <m/>
    <m/>
    <m/>
    <m/>
    <m/>
    <m/>
    <m/>
    <m/>
    <s v="Chechnya"/>
    <s v="Chechnya:  Response handled by Regional desk, winter clothing for 3,000 people, 55,000 blankets, 10,500 Jerry cans, 11,200 hygiene parcels."/>
  </r>
  <r>
    <m/>
    <n v="15"/>
    <x v="18"/>
    <d v="1999-10-01T00:00:00"/>
    <x v="4"/>
    <n v="12"/>
    <m/>
    <x v="4"/>
    <n v="15"/>
    <x v="3"/>
    <s v="Timor-Leste"/>
    <m/>
    <x v="8"/>
    <s v="Conflict"/>
    <s v="Conflict"/>
    <x v="0"/>
    <x v="0"/>
    <m/>
    <m/>
    <m/>
    <m/>
    <m/>
    <m/>
    <m/>
    <m/>
    <x v="0"/>
    <m/>
    <m/>
    <m/>
    <m/>
    <n v="10000"/>
    <m/>
    <n v="10000"/>
    <n v="1"/>
    <m/>
    <m/>
    <m/>
    <m/>
    <m/>
    <m/>
    <m/>
    <m/>
    <m/>
    <m/>
    <m/>
    <m/>
    <m/>
    <m/>
    <m/>
    <m/>
    <m/>
    <m/>
    <m/>
    <n v="10000"/>
    <m/>
    <m/>
    <m/>
    <x v="6"/>
    <x v="1"/>
    <m/>
    <m/>
    <m/>
    <m/>
    <n v="2898"/>
    <m/>
    <m/>
    <m/>
    <m/>
    <m/>
    <m/>
    <m/>
    <m/>
    <m/>
    <m/>
    <m/>
    <s v="Referendum"/>
    <s v="Kevin Kelley sent."/>
  </r>
  <r>
    <m/>
    <n v="16"/>
    <x v="19"/>
    <d v="1999-10-01T00:00:00"/>
    <x v="4"/>
    <n v="13"/>
    <m/>
    <x v="4"/>
    <n v="16"/>
    <x v="3"/>
    <s v="Bangladesh"/>
    <m/>
    <x v="2"/>
    <s v="General Floods"/>
    <s v="General Floods"/>
    <x v="0"/>
    <x v="0"/>
    <m/>
    <m/>
    <m/>
    <m/>
    <m/>
    <m/>
    <m/>
    <m/>
    <x v="0"/>
    <m/>
    <n v="0"/>
    <n v="25000"/>
    <m/>
    <m/>
    <m/>
    <n v="25000"/>
    <n v="0"/>
    <m/>
    <m/>
    <m/>
    <m/>
    <m/>
    <m/>
    <m/>
    <m/>
    <m/>
    <m/>
    <m/>
    <m/>
    <m/>
    <m/>
    <m/>
    <m/>
    <m/>
    <m/>
    <m/>
    <n v="25000"/>
    <m/>
    <m/>
    <n v="2500"/>
    <x v="8"/>
    <x v="1"/>
    <m/>
    <m/>
    <m/>
    <m/>
    <n v="2898"/>
    <m/>
    <m/>
    <m/>
    <m/>
    <m/>
    <m/>
    <m/>
    <m/>
    <m/>
    <m/>
    <m/>
    <m/>
    <m/>
  </r>
  <r>
    <m/>
    <n v="17"/>
    <x v="20"/>
    <d v="1999-11-01T00:00:00"/>
    <x v="4"/>
    <n v="14"/>
    <m/>
    <x v="4"/>
    <n v="17"/>
    <x v="3"/>
    <s v="India"/>
    <m/>
    <x v="5"/>
    <s v="Tropical Cyclone"/>
    <s v="Cyclone"/>
    <x v="0"/>
    <x v="0"/>
    <m/>
    <m/>
    <m/>
    <m/>
    <m/>
    <m/>
    <m/>
    <m/>
    <x v="0"/>
    <m/>
    <n v="1"/>
    <n v="50000"/>
    <m/>
    <m/>
    <m/>
    <n v="50000"/>
    <n v="0"/>
    <m/>
    <m/>
    <m/>
    <m/>
    <m/>
    <m/>
    <m/>
    <m/>
    <m/>
    <m/>
    <m/>
    <m/>
    <m/>
    <m/>
    <m/>
    <m/>
    <m/>
    <m/>
    <m/>
    <n v="50000"/>
    <m/>
    <m/>
    <n v="5000"/>
    <x v="16"/>
    <x v="1"/>
    <m/>
    <m/>
    <m/>
    <m/>
    <n v="2898"/>
    <m/>
    <m/>
    <m/>
    <m/>
    <m/>
    <m/>
    <m/>
    <m/>
    <m/>
    <m/>
    <m/>
    <m/>
    <s v="Federation handled funds"/>
  </r>
  <r>
    <m/>
    <n v="18"/>
    <x v="21"/>
    <d v="1999-11-01T00:00:00"/>
    <x v="4"/>
    <n v="15"/>
    <m/>
    <x v="4"/>
    <n v="18"/>
    <x v="3"/>
    <s v="Vietnam"/>
    <m/>
    <x v="2"/>
    <s v="General Floods"/>
    <s v="General Floods"/>
    <x v="0"/>
    <x v="0"/>
    <m/>
    <m/>
    <m/>
    <m/>
    <m/>
    <m/>
    <m/>
    <m/>
    <x v="0"/>
    <m/>
    <m/>
    <m/>
    <m/>
    <n v="50000"/>
    <m/>
    <n v="50000"/>
    <n v="0"/>
    <m/>
    <m/>
    <m/>
    <m/>
    <m/>
    <m/>
    <m/>
    <m/>
    <m/>
    <m/>
    <m/>
    <m/>
    <m/>
    <m/>
    <m/>
    <m/>
    <m/>
    <m/>
    <m/>
    <n v="50000"/>
    <m/>
    <m/>
    <m/>
    <x v="16"/>
    <x v="1"/>
    <m/>
    <m/>
    <m/>
    <m/>
    <n v="2870"/>
    <m/>
    <m/>
    <m/>
    <m/>
    <m/>
    <m/>
    <m/>
    <m/>
    <m/>
    <m/>
    <m/>
    <m/>
    <s v="Reference Regional Desk information."/>
  </r>
  <r>
    <m/>
    <n v="19"/>
    <x v="9"/>
    <d v="1999-11-01T00:00:00"/>
    <x v="4"/>
    <n v="16"/>
    <m/>
    <x v="4"/>
    <n v="19"/>
    <x v="3"/>
    <s v="Turkey"/>
    <m/>
    <x v="3"/>
    <s v="Earthquake"/>
    <s v="Earthquake"/>
    <x v="0"/>
    <x v="0"/>
    <m/>
    <m/>
    <m/>
    <m/>
    <m/>
    <m/>
    <m/>
    <m/>
    <x v="0"/>
    <m/>
    <n v="1"/>
    <n v="2504221.9900000002"/>
    <m/>
    <n v="1360000"/>
    <m/>
    <n v="3864221.99"/>
    <n v="10"/>
    <m/>
    <m/>
    <m/>
    <m/>
    <m/>
    <m/>
    <m/>
    <m/>
    <m/>
    <m/>
    <m/>
    <m/>
    <m/>
    <m/>
    <m/>
    <m/>
    <m/>
    <n v="816758.16"/>
    <n v="472203.99"/>
    <n v="5153184.1400000006"/>
    <m/>
    <m/>
    <n v="52000"/>
    <x v="17"/>
    <x v="1"/>
    <m/>
    <m/>
    <m/>
    <m/>
    <n v="2814"/>
    <m/>
    <m/>
    <m/>
    <m/>
    <m/>
    <m/>
    <m/>
    <m/>
    <m/>
    <m/>
    <m/>
    <m/>
    <s v="Total expenditures based off expenses from August-Jan for both earthquakes affecting Turkey."/>
  </r>
  <r>
    <m/>
    <n v="20"/>
    <x v="22"/>
    <d v="1999-11-01T00:00:00"/>
    <x v="4"/>
    <n v="17"/>
    <m/>
    <x v="4"/>
    <n v="20"/>
    <x v="2"/>
    <s v="Dominica"/>
    <m/>
    <x v="5"/>
    <s v="Tropical Cyclone"/>
    <s v="Hurricane"/>
    <x v="0"/>
    <x v="0"/>
    <m/>
    <m/>
    <m/>
    <m/>
    <m/>
    <m/>
    <m/>
    <m/>
    <x v="0"/>
    <m/>
    <m/>
    <m/>
    <m/>
    <n v="15000"/>
    <m/>
    <n v="15000"/>
    <n v="1"/>
    <m/>
    <m/>
    <m/>
    <m/>
    <m/>
    <m/>
    <m/>
    <m/>
    <m/>
    <m/>
    <m/>
    <m/>
    <m/>
    <m/>
    <m/>
    <m/>
    <m/>
    <m/>
    <m/>
    <n v="15000"/>
    <m/>
    <m/>
    <n v="1500"/>
    <x v="18"/>
    <x v="1"/>
    <m/>
    <m/>
    <m/>
    <m/>
    <n v="2898"/>
    <m/>
    <m/>
    <m/>
    <m/>
    <m/>
    <m/>
    <m/>
    <m/>
    <m/>
    <m/>
    <m/>
    <s v="Lenny"/>
    <s v="Transferred directly to DRCS for household items, supplementary food to 100 families, tents &amp; hygiene kits. "/>
  </r>
  <r>
    <m/>
    <n v="20"/>
    <x v="23"/>
    <d v="1999-11-01T00:00:00"/>
    <x v="4"/>
    <n v="17"/>
    <m/>
    <x v="4"/>
    <n v="20"/>
    <x v="2"/>
    <s v="St. Kitts &amp; Nevis"/>
    <m/>
    <x v="5"/>
    <s v="Tropical Cyclone"/>
    <s v="Hurricane"/>
    <x v="0"/>
    <x v="0"/>
    <m/>
    <m/>
    <m/>
    <m/>
    <m/>
    <m/>
    <m/>
    <m/>
    <x v="0"/>
    <m/>
    <m/>
    <m/>
    <m/>
    <n v="15000"/>
    <m/>
    <n v="15000"/>
    <n v="2"/>
    <m/>
    <m/>
    <m/>
    <m/>
    <m/>
    <m/>
    <m/>
    <m/>
    <m/>
    <m/>
    <m/>
    <m/>
    <m/>
    <m/>
    <m/>
    <m/>
    <m/>
    <m/>
    <m/>
    <n v="15000"/>
    <m/>
    <m/>
    <n v="1500"/>
    <x v="18"/>
    <x v="1"/>
    <m/>
    <m/>
    <m/>
    <m/>
    <n v="2898"/>
    <m/>
    <m/>
    <m/>
    <m/>
    <m/>
    <m/>
    <m/>
    <m/>
    <m/>
    <m/>
    <m/>
    <s v="Lenny"/>
    <s v="Transferred directly to SKNRC for hygiene kits, food packages and bedding "/>
  </r>
  <r>
    <m/>
    <n v="20"/>
    <x v="24"/>
    <d v="1999-11-01T00:00:00"/>
    <x v="4"/>
    <n v="17"/>
    <m/>
    <x v="4"/>
    <n v="20"/>
    <x v="2"/>
    <s v="Antigua"/>
    <m/>
    <x v="5"/>
    <s v="Tropical Cyclone"/>
    <s v="Hurricane"/>
    <x v="0"/>
    <x v="0"/>
    <m/>
    <m/>
    <m/>
    <m/>
    <m/>
    <m/>
    <m/>
    <m/>
    <x v="0"/>
    <m/>
    <m/>
    <m/>
    <m/>
    <n v="15000"/>
    <m/>
    <n v="15000"/>
    <n v="1"/>
    <m/>
    <m/>
    <m/>
    <m/>
    <m/>
    <m/>
    <m/>
    <m/>
    <m/>
    <m/>
    <m/>
    <m/>
    <m/>
    <m/>
    <m/>
    <m/>
    <m/>
    <m/>
    <m/>
    <n v="15000"/>
    <m/>
    <m/>
    <n v="1500"/>
    <x v="18"/>
    <x v="1"/>
    <m/>
    <m/>
    <m/>
    <m/>
    <n v="2898"/>
    <m/>
    <m/>
    <m/>
    <m/>
    <m/>
    <m/>
    <m/>
    <m/>
    <m/>
    <m/>
    <m/>
    <s v="Lenny"/>
    <s v="$15,000 for mattresses, first aid supplies, and roofing .     "/>
  </r>
  <r>
    <m/>
    <n v="20"/>
    <x v="25"/>
    <d v="1999-11-01T00:00:00"/>
    <x v="4"/>
    <n v="17"/>
    <m/>
    <x v="4"/>
    <n v="20"/>
    <x v="2"/>
    <s v="Grenada"/>
    <m/>
    <x v="5"/>
    <s v="Tropical Cyclone"/>
    <s v="Hurricane"/>
    <x v="0"/>
    <x v="0"/>
    <m/>
    <m/>
    <m/>
    <m/>
    <m/>
    <m/>
    <m/>
    <m/>
    <x v="0"/>
    <m/>
    <m/>
    <m/>
    <m/>
    <n v="9000"/>
    <m/>
    <n v="9000"/>
    <n v="1"/>
    <m/>
    <m/>
    <m/>
    <m/>
    <m/>
    <m/>
    <m/>
    <m/>
    <m/>
    <m/>
    <m/>
    <m/>
    <m/>
    <m/>
    <m/>
    <m/>
    <m/>
    <m/>
    <m/>
    <n v="9000"/>
    <m/>
    <m/>
    <n v="900"/>
    <x v="19"/>
    <x v="1"/>
    <m/>
    <m/>
    <m/>
    <m/>
    <n v="2898"/>
    <m/>
    <m/>
    <m/>
    <m/>
    <m/>
    <m/>
    <m/>
    <m/>
    <m/>
    <m/>
    <m/>
    <s v="Lenny"/>
    <m/>
  </r>
  <r>
    <m/>
    <n v="20"/>
    <x v="26"/>
    <d v="1999-11-01T00:00:00"/>
    <x v="4"/>
    <n v="17"/>
    <m/>
    <x v="4"/>
    <n v="20"/>
    <x v="2"/>
    <s v="St. Maartens"/>
    <m/>
    <x v="5"/>
    <s v="Tropical Cyclone"/>
    <s v="Hurricane"/>
    <x v="0"/>
    <x v="0"/>
    <m/>
    <m/>
    <m/>
    <m/>
    <m/>
    <m/>
    <m/>
    <m/>
    <x v="0"/>
    <m/>
    <m/>
    <m/>
    <m/>
    <n v="9000"/>
    <m/>
    <n v="9000"/>
    <m/>
    <m/>
    <m/>
    <m/>
    <m/>
    <m/>
    <m/>
    <m/>
    <m/>
    <m/>
    <m/>
    <m/>
    <m/>
    <m/>
    <m/>
    <m/>
    <m/>
    <m/>
    <m/>
    <m/>
    <n v="9000"/>
    <m/>
    <m/>
    <n v="900"/>
    <x v="19"/>
    <x v="1"/>
    <m/>
    <m/>
    <m/>
    <m/>
    <n v="2898"/>
    <m/>
    <m/>
    <m/>
    <m/>
    <m/>
    <m/>
    <m/>
    <m/>
    <m/>
    <m/>
    <m/>
    <s v="Lenny"/>
    <m/>
  </r>
  <r>
    <m/>
    <n v="21"/>
    <x v="27"/>
    <d v="1999-12-01T00:00:00"/>
    <x v="4"/>
    <n v="18"/>
    <m/>
    <x v="4"/>
    <n v="21"/>
    <x v="2"/>
    <s v="Venezuela"/>
    <m/>
    <x v="2"/>
    <s v="General Floods"/>
    <s v="General Floods"/>
    <x v="0"/>
    <x v="0"/>
    <m/>
    <m/>
    <m/>
    <m/>
    <m/>
    <m/>
    <m/>
    <m/>
    <x v="0"/>
    <m/>
    <m/>
    <m/>
    <m/>
    <n v="50000"/>
    <m/>
    <n v="50000"/>
    <n v="23"/>
    <m/>
    <m/>
    <n v="55532"/>
    <m/>
    <n v="2200"/>
    <n v="4625"/>
    <n v="2550"/>
    <m/>
    <n v="36"/>
    <m/>
    <n v="6120"/>
    <m/>
    <n v="40000"/>
    <m/>
    <n v="7"/>
    <m/>
    <m/>
    <n v="506000"/>
    <n v="500000"/>
    <n v="1056000"/>
    <m/>
    <m/>
    <n v="120000"/>
    <x v="20"/>
    <x v="1"/>
    <m/>
    <m/>
    <m/>
    <m/>
    <n v="2912"/>
    <m/>
    <m/>
    <m/>
    <m/>
    <m/>
    <m/>
    <m/>
    <m/>
    <m/>
    <m/>
    <m/>
    <m/>
    <s v="2,550 collapsible water containers. Purchased and shipped 7 Ford trucks, ($182,000),  13 MT calcium hypochloride ($30,000)"/>
  </r>
  <r>
    <m/>
    <n v="22"/>
    <x v="28"/>
    <d v="2000-02-01T00:00:00"/>
    <x v="4"/>
    <n v="19"/>
    <m/>
    <x v="5"/>
    <n v="1"/>
    <x v="1"/>
    <s v="South Africa"/>
    <m/>
    <x v="2"/>
    <s v="General Floods"/>
    <s v="General Floods"/>
    <x v="0"/>
    <x v="0"/>
    <m/>
    <m/>
    <m/>
    <m/>
    <m/>
    <m/>
    <m/>
    <m/>
    <x v="0"/>
    <m/>
    <n v="0"/>
    <n v="23333.333333333332"/>
    <m/>
    <m/>
    <m/>
    <n v="23333.333333333332"/>
    <n v="0"/>
    <m/>
    <m/>
    <m/>
    <m/>
    <m/>
    <m/>
    <m/>
    <m/>
    <m/>
    <m/>
    <m/>
    <m/>
    <m/>
    <m/>
    <m/>
    <m/>
    <m/>
    <m/>
    <m/>
    <n v="23333.333333333332"/>
    <m/>
    <m/>
    <n v="2300"/>
    <x v="21"/>
    <x v="1"/>
    <m/>
    <m/>
    <m/>
    <m/>
    <n v="2898"/>
    <m/>
    <m/>
    <m/>
    <m/>
    <m/>
    <m/>
    <m/>
    <m/>
    <m/>
    <m/>
    <m/>
    <m/>
    <s v="Federation handled funds ($70,000 total)"/>
  </r>
  <r>
    <m/>
    <n v="22"/>
    <x v="29"/>
    <d v="2000-02-01T00:00:00"/>
    <x v="4"/>
    <n v="19"/>
    <m/>
    <x v="5"/>
    <n v="1"/>
    <x v="1"/>
    <s v="Botswana"/>
    <m/>
    <x v="2"/>
    <s v="General Floods"/>
    <s v="General Floods"/>
    <x v="0"/>
    <x v="0"/>
    <m/>
    <m/>
    <m/>
    <m/>
    <m/>
    <m/>
    <m/>
    <m/>
    <x v="0"/>
    <m/>
    <n v="0"/>
    <n v="23333.333333333332"/>
    <m/>
    <m/>
    <m/>
    <n v="23333.333333333332"/>
    <m/>
    <m/>
    <m/>
    <m/>
    <m/>
    <m/>
    <m/>
    <m/>
    <m/>
    <m/>
    <m/>
    <m/>
    <m/>
    <m/>
    <m/>
    <m/>
    <m/>
    <m/>
    <m/>
    <m/>
    <n v="23333.333333333332"/>
    <m/>
    <m/>
    <n v="2300"/>
    <x v="21"/>
    <x v="1"/>
    <m/>
    <m/>
    <m/>
    <m/>
    <n v="2898"/>
    <m/>
    <m/>
    <m/>
    <m/>
    <m/>
    <m/>
    <m/>
    <m/>
    <m/>
    <m/>
    <m/>
    <m/>
    <s v="Federation handled funds ($70,000 total)"/>
  </r>
  <r>
    <m/>
    <n v="22"/>
    <x v="30"/>
    <d v="2000-02-01T00:00:00"/>
    <x v="4"/>
    <n v="19"/>
    <m/>
    <x v="5"/>
    <n v="1"/>
    <x v="1"/>
    <s v="Zimbabwe"/>
    <m/>
    <x v="2"/>
    <s v="General Floods"/>
    <s v="General Floods"/>
    <x v="0"/>
    <x v="0"/>
    <m/>
    <m/>
    <m/>
    <m/>
    <m/>
    <m/>
    <m/>
    <m/>
    <x v="0"/>
    <m/>
    <n v="0"/>
    <n v="23333.343333333331"/>
    <m/>
    <m/>
    <m/>
    <n v="23333.343333333331"/>
    <m/>
    <m/>
    <m/>
    <m/>
    <m/>
    <m/>
    <m/>
    <m/>
    <m/>
    <m/>
    <m/>
    <m/>
    <m/>
    <m/>
    <m/>
    <m/>
    <m/>
    <m/>
    <m/>
    <m/>
    <n v="23333.343333333331"/>
    <m/>
    <m/>
    <n v="2300"/>
    <x v="22"/>
    <x v="1"/>
    <m/>
    <m/>
    <m/>
    <m/>
    <n v="2898"/>
    <m/>
    <m/>
    <m/>
    <m/>
    <m/>
    <m/>
    <m/>
    <m/>
    <m/>
    <m/>
    <m/>
    <m/>
    <s v="Federation handled funds ($70,000 total)"/>
  </r>
  <r>
    <m/>
    <n v="23"/>
    <x v="31"/>
    <d v="2000-03-01T00:00:00"/>
    <x v="4"/>
    <n v="21"/>
    <m/>
    <x v="5"/>
    <n v="3"/>
    <x v="1"/>
    <s v="Madagascar"/>
    <m/>
    <x v="2"/>
    <s v="General Floods"/>
    <s v="General Floods"/>
    <x v="0"/>
    <x v="0"/>
    <m/>
    <m/>
    <m/>
    <m/>
    <m/>
    <m/>
    <m/>
    <m/>
    <x v="0"/>
    <m/>
    <n v="0"/>
    <n v="25000"/>
    <m/>
    <m/>
    <m/>
    <n v="25000"/>
    <n v="0"/>
    <m/>
    <m/>
    <m/>
    <m/>
    <m/>
    <m/>
    <m/>
    <m/>
    <m/>
    <m/>
    <m/>
    <m/>
    <m/>
    <m/>
    <m/>
    <m/>
    <m/>
    <m/>
    <m/>
    <n v="25000"/>
    <m/>
    <m/>
    <n v="2500"/>
    <x v="8"/>
    <x v="1"/>
    <m/>
    <m/>
    <m/>
    <m/>
    <n v="2898"/>
    <m/>
    <m/>
    <m/>
    <m/>
    <m/>
    <m/>
    <m/>
    <m/>
    <m/>
    <m/>
    <m/>
    <m/>
    <s v="Federation handled funds"/>
  </r>
  <r>
    <m/>
    <n v="24"/>
    <x v="5"/>
    <d v="2000-04-01T00:00:00"/>
    <x v="4"/>
    <n v="22"/>
    <m/>
    <x v="5"/>
    <n v="4"/>
    <x v="1"/>
    <s v="Ethiopia"/>
    <m/>
    <x v="1"/>
    <s v="Drought"/>
    <s v="Drought"/>
    <x v="0"/>
    <x v="0"/>
    <m/>
    <m/>
    <m/>
    <m/>
    <m/>
    <m/>
    <m/>
    <m/>
    <x v="0"/>
    <m/>
    <n v="1"/>
    <n v="100000"/>
    <m/>
    <m/>
    <m/>
    <n v="100000"/>
    <n v="0"/>
    <m/>
    <m/>
    <m/>
    <m/>
    <m/>
    <m/>
    <m/>
    <m/>
    <m/>
    <m/>
    <m/>
    <m/>
    <m/>
    <m/>
    <m/>
    <m/>
    <m/>
    <m/>
    <m/>
    <n v="100000"/>
    <m/>
    <m/>
    <n v="2376.7346201502733"/>
    <x v="5"/>
    <x v="1"/>
    <m/>
    <m/>
    <m/>
    <m/>
    <n v="2898"/>
    <m/>
    <m/>
    <m/>
    <m/>
    <m/>
    <m/>
    <m/>
    <m/>
    <m/>
    <m/>
    <m/>
    <m/>
    <m/>
  </r>
  <r>
    <m/>
    <n v="25"/>
    <x v="32"/>
    <d v="2000-06-01T00:00:00"/>
    <x v="4"/>
    <n v="23"/>
    <m/>
    <x v="5"/>
    <n v="5"/>
    <x v="3"/>
    <s v="Indonesia"/>
    <m/>
    <x v="3"/>
    <s v="Earthquake"/>
    <s v="Earthquake"/>
    <x v="0"/>
    <x v="0"/>
    <m/>
    <m/>
    <m/>
    <m/>
    <m/>
    <m/>
    <m/>
    <m/>
    <x v="0"/>
    <m/>
    <n v="1"/>
    <n v="50000"/>
    <m/>
    <m/>
    <m/>
    <n v="50000"/>
    <n v="2"/>
    <m/>
    <m/>
    <m/>
    <m/>
    <m/>
    <m/>
    <m/>
    <m/>
    <m/>
    <m/>
    <m/>
    <m/>
    <m/>
    <m/>
    <m/>
    <m/>
    <m/>
    <m/>
    <m/>
    <n v="50000"/>
    <m/>
    <m/>
    <n v="3300"/>
    <x v="16"/>
    <x v="1"/>
    <m/>
    <m/>
    <m/>
    <m/>
    <n v="2898"/>
    <m/>
    <m/>
    <m/>
    <m/>
    <m/>
    <m/>
    <m/>
    <m/>
    <m/>
    <m/>
    <m/>
    <m/>
    <s v="625 family kits"/>
  </r>
  <r>
    <m/>
    <n v="26"/>
    <x v="33"/>
    <d v="2000-08-01T00:00:00"/>
    <x v="5"/>
    <n v="1"/>
    <m/>
    <x v="5"/>
    <n v="6"/>
    <x v="3"/>
    <s v="India"/>
    <m/>
    <x v="2"/>
    <s v="General Floods"/>
    <s v="General Floods"/>
    <x v="0"/>
    <x v="0"/>
    <m/>
    <m/>
    <m/>
    <m/>
    <m/>
    <m/>
    <m/>
    <m/>
    <x v="0"/>
    <m/>
    <m/>
    <m/>
    <m/>
    <m/>
    <m/>
    <n v="0"/>
    <n v="9"/>
    <m/>
    <m/>
    <n v="5000"/>
    <m/>
    <m/>
    <m/>
    <m/>
    <m/>
    <m/>
    <m/>
    <m/>
    <m/>
    <n v="5000"/>
    <m/>
    <n v="5"/>
    <m/>
    <m/>
    <n v="199200"/>
    <n v="190065"/>
    <n v="389265"/>
    <m/>
    <m/>
    <n v="25000"/>
    <x v="23"/>
    <x v="1"/>
    <m/>
    <m/>
    <m/>
    <m/>
    <n v="4901"/>
    <m/>
    <m/>
    <m/>
    <m/>
    <m/>
    <m/>
    <m/>
    <m/>
    <m/>
    <m/>
    <m/>
    <m/>
    <s v="5,000 relief/food parcels and 5 trucks"/>
  </r>
  <r>
    <m/>
    <n v="27"/>
    <x v="19"/>
    <d v="2000-08-01T00:00:00"/>
    <x v="5"/>
    <n v="2"/>
    <m/>
    <x v="5"/>
    <n v="7"/>
    <x v="3"/>
    <s v="Bangladesh"/>
    <m/>
    <x v="2"/>
    <s v="General Floods"/>
    <s v="General Floods"/>
    <x v="0"/>
    <x v="0"/>
    <m/>
    <m/>
    <m/>
    <m/>
    <m/>
    <m/>
    <m/>
    <m/>
    <x v="0"/>
    <m/>
    <m/>
    <m/>
    <m/>
    <n v="25000"/>
    <m/>
    <n v="25000"/>
    <n v="0"/>
    <m/>
    <m/>
    <m/>
    <m/>
    <m/>
    <m/>
    <m/>
    <m/>
    <m/>
    <m/>
    <m/>
    <m/>
    <m/>
    <m/>
    <m/>
    <m/>
    <m/>
    <m/>
    <m/>
    <n v="25000"/>
    <m/>
    <m/>
    <n v="2500"/>
    <x v="8"/>
    <x v="1"/>
    <m/>
    <m/>
    <m/>
    <m/>
    <n v="2898"/>
    <m/>
    <m/>
    <m/>
    <m/>
    <m/>
    <m/>
    <m/>
    <m/>
    <m/>
    <m/>
    <m/>
    <m/>
    <s v="via Japanese Red Cross for relief supplies"/>
  </r>
  <r>
    <m/>
    <n v="28"/>
    <x v="11"/>
    <d v="2000-09-01T00:00:00"/>
    <x v="5"/>
    <n v="3"/>
    <m/>
    <x v="5"/>
    <n v="8"/>
    <x v="3"/>
    <s v="Cambodia"/>
    <m/>
    <x v="2"/>
    <s v="Storm Surge"/>
    <s v="Storm Surge"/>
    <x v="0"/>
    <x v="0"/>
    <m/>
    <m/>
    <m/>
    <m/>
    <m/>
    <m/>
    <m/>
    <m/>
    <x v="0"/>
    <m/>
    <m/>
    <m/>
    <m/>
    <n v="352704"/>
    <m/>
    <n v="352704"/>
    <n v="0"/>
    <m/>
    <m/>
    <m/>
    <m/>
    <m/>
    <m/>
    <m/>
    <m/>
    <m/>
    <m/>
    <m/>
    <m/>
    <m/>
    <m/>
    <m/>
    <m/>
    <m/>
    <m/>
    <m/>
    <n v="352704"/>
    <m/>
    <m/>
    <n v="32645"/>
    <x v="24"/>
    <x v="1"/>
    <m/>
    <m/>
    <m/>
    <m/>
    <s v="OFDA"/>
    <m/>
    <m/>
    <m/>
    <m/>
    <m/>
    <m/>
    <m/>
    <m/>
    <m/>
    <m/>
    <m/>
    <s v="TS Wukong"/>
    <s v="Three grants from OFDA (two @ $25,000 each and 1 @ $302,704) for emergency household kits"/>
  </r>
  <r>
    <m/>
    <n v="29"/>
    <x v="21"/>
    <d v="2000-09-01T00:00:00"/>
    <x v="5"/>
    <n v="4"/>
    <m/>
    <x v="5"/>
    <n v="9"/>
    <x v="3"/>
    <s v="Vietnam"/>
    <m/>
    <x v="2"/>
    <s v="Storm Surge"/>
    <s v="Storm Surge"/>
    <x v="0"/>
    <x v="0"/>
    <m/>
    <m/>
    <m/>
    <m/>
    <m/>
    <m/>
    <m/>
    <m/>
    <x v="0"/>
    <m/>
    <m/>
    <m/>
    <m/>
    <m/>
    <m/>
    <n v="0"/>
    <n v="0"/>
    <m/>
    <m/>
    <n v="1000"/>
    <m/>
    <m/>
    <m/>
    <m/>
    <m/>
    <m/>
    <m/>
    <m/>
    <m/>
    <m/>
    <m/>
    <m/>
    <m/>
    <m/>
    <n v="20000"/>
    <m/>
    <n v="20000"/>
    <m/>
    <m/>
    <n v="3500"/>
    <x v="25"/>
    <x v="1"/>
    <m/>
    <m/>
    <m/>
    <m/>
    <n v="2898"/>
    <m/>
    <m/>
    <m/>
    <m/>
    <m/>
    <m/>
    <m/>
    <m/>
    <m/>
    <m/>
    <m/>
    <s v="TS Wukong"/>
    <s v="1,000 Relief kits. (blankets, mosquito nets and cooking sets)"/>
  </r>
  <r>
    <m/>
    <n v="30"/>
    <x v="34"/>
    <d v="2000-10-01T00:00:00"/>
    <x v="5"/>
    <n v="5"/>
    <m/>
    <x v="5"/>
    <n v="10"/>
    <x v="2"/>
    <s v="Belize"/>
    <m/>
    <x v="5"/>
    <s v="Tropical Cyclone"/>
    <s v="Hurricane"/>
    <x v="0"/>
    <x v="0"/>
    <m/>
    <m/>
    <m/>
    <m/>
    <m/>
    <m/>
    <m/>
    <m/>
    <x v="0"/>
    <m/>
    <m/>
    <m/>
    <m/>
    <n v="28500"/>
    <m/>
    <n v="28500"/>
    <n v="5"/>
    <m/>
    <m/>
    <m/>
    <m/>
    <m/>
    <m/>
    <m/>
    <m/>
    <m/>
    <m/>
    <m/>
    <m/>
    <n v="2600"/>
    <m/>
    <m/>
    <m/>
    <m/>
    <n v="90000"/>
    <m/>
    <n v="118500"/>
    <m/>
    <m/>
    <n v="13000"/>
    <x v="26"/>
    <x v="1"/>
    <m/>
    <m/>
    <m/>
    <m/>
    <n v="4903"/>
    <m/>
    <m/>
    <m/>
    <m/>
    <m/>
    <m/>
    <m/>
    <m/>
    <m/>
    <m/>
    <m/>
    <s v="Keith"/>
    <s v="2,600 LDS food parcels + $30,000 for local procurement"/>
  </r>
  <r>
    <m/>
    <n v="32"/>
    <x v="35"/>
    <d v="2000-10-01T00:00:00"/>
    <x v="5"/>
    <n v="6"/>
    <m/>
    <x v="5"/>
    <n v="11"/>
    <x v="3"/>
    <s v="Israel"/>
    <m/>
    <x v="8"/>
    <s v="Conflict"/>
    <s v="Conflict"/>
    <x v="0"/>
    <x v="0"/>
    <m/>
    <m/>
    <m/>
    <m/>
    <m/>
    <m/>
    <m/>
    <m/>
    <x v="0"/>
    <m/>
    <m/>
    <m/>
    <m/>
    <n v="40000"/>
    <m/>
    <n v="40000"/>
    <m/>
    <m/>
    <m/>
    <m/>
    <m/>
    <m/>
    <m/>
    <m/>
    <m/>
    <m/>
    <m/>
    <m/>
    <m/>
    <m/>
    <m/>
    <m/>
    <m/>
    <m/>
    <n v="0"/>
    <m/>
    <n v="40000"/>
    <m/>
    <m/>
    <m/>
    <x v="27"/>
    <x v="1"/>
    <m/>
    <m/>
    <m/>
    <m/>
    <n v="2898"/>
    <m/>
    <m/>
    <m/>
    <m/>
    <m/>
    <m/>
    <m/>
    <m/>
    <m/>
    <m/>
    <m/>
    <m/>
    <s v="CASH"/>
  </r>
  <r>
    <m/>
    <n v="32"/>
    <x v="36"/>
    <d v="2000-10-01T00:00:00"/>
    <x v="5"/>
    <n v="6"/>
    <m/>
    <x v="5"/>
    <n v="11"/>
    <x v="3"/>
    <s v="Jordan"/>
    <m/>
    <x v="8"/>
    <s v="Conflict"/>
    <s v="Conflict"/>
    <x v="0"/>
    <x v="0"/>
    <m/>
    <m/>
    <m/>
    <m/>
    <m/>
    <m/>
    <m/>
    <m/>
    <x v="0"/>
    <m/>
    <m/>
    <m/>
    <m/>
    <m/>
    <m/>
    <n v="0"/>
    <m/>
    <m/>
    <m/>
    <m/>
    <m/>
    <m/>
    <m/>
    <m/>
    <m/>
    <m/>
    <m/>
    <m/>
    <m/>
    <m/>
    <m/>
    <n v="1"/>
    <m/>
    <m/>
    <n v="172000"/>
    <m/>
    <n v="172000"/>
    <m/>
    <m/>
    <m/>
    <x v="28"/>
    <x v="1"/>
    <m/>
    <m/>
    <m/>
    <m/>
    <n v="2898"/>
    <m/>
    <m/>
    <m/>
    <m/>
    <m/>
    <m/>
    <m/>
    <m/>
    <m/>
    <m/>
    <m/>
    <m/>
    <s v="1 ambulance, 1 generator, various med supp/equip"/>
  </r>
  <r>
    <m/>
    <n v="32"/>
    <x v="37"/>
    <d v="2000-10-01T00:00:00"/>
    <x v="5"/>
    <n v="6"/>
    <m/>
    <x v="5"/>
    <n v="11"/>
    <x v="3"/>
    <s v="Palestine"/>
    <m/>
    <x v="8"/>
    <s v="Conflict"/>
    <s v="Conflict"/>
    <x v="0"/>
    <x v="0"/>
    <m/>
    <m/>
    <m/>
    <m/>
    <m/>
    <m/>
    <m/>
    <m/>
    <x v="0"/>
    <m/>
    <m/>
    <m/>
    <m/>
    <m/>
    <m/>
    <n v="0"/>
    <n v="0"/>
    <m/>
    <m/>
    <m/>
    <m/>
    <m/>
    <m/>
    <m/>
    <m/>
    <m/>
    <m/>
    <m/>
    <m/>
    <m/>
    <m/>
    <n v="2"/>
    <m/>
    <m/>
    <n v="90000"/>
    <m/>
    <n v="90000"/>
    <m/>
    <m/>
    <n v="10000"/>
    <x v="29"/>
    <x v="1"/>
    <m/>
    <m/>
    <m/>
    <m/>
    <n v="2898"/>
    <m/>
    <m/>
    <m/>
    <m/>
    <m/>
    <m/>
    <m/>
    <m/>
    <m/>
    <m/>
    <m/>
    <m/>
    <s v="2 ambulances, 1 New Emergency Health Kit"/>
  </r>
  <r>
    <m/>
    <n v="33"/>
    <x v="38"/>
    <d v="2000-11-01T00:00:00"/>
    <x v="5"/>
    <n v="7"/>
    <m/>
    <x v="5"/>
    <n v="12"/>
    <x v="3"/>
    <s v="Taiwan"/>
    <m/>
    <x v="9"/>
    <s v="Air"/>
    <s v="Air"/>
    <x v="0"/>
    <x v="0"/>
    <m/>
    <m/>
    <m/>
    <m/>
    <m/>
    <m/>
    <m/>
    <m/>
    <x v="0"/>
    <m/>
    <m/>
    <m/>
    <m/>
    <m/>
    <m/>
    <n v="0"/>
    <n v="1"/>
    <m/>
    <m/>
    <m/>
    <m/>
    <m/>
    <m/>
    <m/>
    <m/>
    <m/>
    <m/>
    <m/>
    <m/>
    <m/>
    <m/>
    <m/>
    <m/>
    <m/>
    <m/>
    <n v="7500"/>
    <n v="7500"/>
    <m/>
    <m/>
    <n v="300"/>
    <x v="30"/>
    <x v="1"/>
    <m/>
    <m/>
    <m/>
    <m/>
    <n v="2898"/>
    <m/>
    <m/>
    <m/>
    <m/>
    <m/>
    <m/>
    <m/>
    <m/>
    <m/>
    <m/>
    <m/>
    <s v="Singapore Airlines 006"/>
    <s v="liaison on AIR Team"/>
  </r>
  <r>
    <m/>
    <n v="34"/>
    <x v="39"/>
    <d v="2000-11-01T00:00:00"/>
    <x v="5"/>
    <n v="8"/>
    <m/>
    <x v="5"/>
    <n v="13"/>
    <x v="3"/>
    <s v="Austria"/>
    <m/>
    <x v="10"/>
    <s v="Fire"/>
    <s v="Fire"/>
    <x v="0"/>
    <x v="0"/>
    <m/>
    <m/>
    <m/>
    <m/>
    <m/>
    <m/>
    <m/>
    <m/>
    <x v="0"/>
    <m/>
    <m/>
    <m/>
    <m/>
    <m/>
    <m/>
    <n v="0"/>
    <n v="0"/>
    <m/>
    <m/>
    <m/>
    <m/>
    <m/>
    <m/>
    <m/>
    <m/>
    <m/>
    <m/>
    <m/>
    <m/>
    <m/>
    <m/>
    <m/>
    <m/>
    <m/>
    <m/>
    <n v="2577.8000000000002"/>
    <n v="2577.8000000000002"/>
    <m/>
    <m/>
    <n v="3"/>
    <x v="31"/>
    <x v="1"/>
    <m/>
    <m/>
    <m/>
    <m/>
    <n v="2898"/>
    <m/>
    <m/>
    <m/>
    <m/>
    <m/>
    <m/>
    <m/>
    <m/>
    <m/>
    <m/>
    <m/>
    <s v="Cable Car Fire"/>
    <s v="plane tickets for family members via AFES"/>
  </r>
  <r>
    <m/>
    <n v="35"/>
    <x v="40"/>
    <d v="2000-11-01T00:00:00"/>
    <x v="5"/>
    <n v="9"/>
    <m/>
    <x v="5"/>
    <n v="14"/>
    <x v="3"/>
    <s v="Azerbaijan"/>
    <m/>
    <x v="3"/>
    <s v="Earthquake"/>
    <s v="Earthquake"/>
    <x v="0"/>
    <x v="0"/>
    <m/>
    <m/>
    <m/>
    <m/>
    <m/>
    <m/>
    <m/>
    <m/>
    <x v="0"/>
    <m/>
    <m/>
    <m/>
    <m/>
    <m/>
    <m/>
    <n v="0"/>
    <n v="1"/>
    <m/>
    <m/>
    <m/>
    <m/>
    <m/>
    <m/>
    <m/>
    <m/>
    <m/>
    <m/>
    <m/>
    <m/>
    <m/>
    <m/>
    <m/>
    <m/>
    <m/>
    <n v="25000"/>
    <n v="5500"/>
    <n v="30500"/>
    <m/>
    <m/>
    <n v="3050"/>
    <x v="32"/>
    <x v="1"/>
    <m/>
    <m/>
    <m/>
    <m/>
    <n v="2898"/>
    <m/>
    <m/>
    <m/>
    <m/>
    <m/>
    <m/>
    <m/>
    <m/>
    <m/>
    <m/>
    <m/>
    <m/>
    <s v="10 generators, tents &amp; cooking sets. Delegate from Armenia deployed"/>
  </r>
  <r>
    <m/>
    <n v="36"/>
    <x v="41"/>
    <d v="2000-12-01T00:00:00"/>
    <x v="5"/>
    <n v="10"/>
    <m/>
    <x v="5"/>
    <n v="15"/>
    <x v="3"/>
    <s v="Sri Lanka"/>
    <m/>
    <x v="5"/>
    <s v="Tropical Cyclone"/>
    <s v="Cyclone"/>
    <x v="0"/>
    <x v="0"/>
    <m/>
    <m/>
    <m/>
    <m/>
    <m/>
    <m/>
    <m/>
    <m/>
    <x v="0"/>
    <m/>
    <m/>
    <m/>
    <m/>
    <m/>
    <m/>
    <n v="0"/>
    <n v="0"/>
    <m/>
    <m/>
    <m/>
    <m/>
    <m/>
    <m/>
    <m/>
    <m/>
    <m/>
    <m/>
    <m/>
    <m/>
    <m/>
    <m/>
    <m/>
    <m/>
    <m/>
    <n v="20000"/>
    <m/>
    <n v="20000"/>
    <m/>
    <m/>
    <n v="3000"/>
    <x v="25"/>
    <x v="1"/>
    <m/>
    <m/>
    <m/>
    <m/>
    <n v="2898"/>
    <m/>
    <m/>
    <m/>
    <m/>
    <m/>
    <m/>
    <m/>
    <m/>
    <m/>
    <m/>
    <m/>
    <s v="Cyclone 04B"/>
    <s v="Bedsheets and kitchen sets"/>
  </r>
  <r>
    <m/>
    <n v="37"/>
    <x v="42"/>
    <d v="2001-01-01T00:00:00"/>
    <x v="5"/>
    <n v="11"/>
    <m/>
    <x v="6"/>
    <n v="1"/>
    <x v="1"/>
    <s v="South Africa"/>
    <m/>
    <x v="11"/>
    <s v="Bacterial"/>
    <s v="Bacterial"/>
    <x v="0"/>
    <x v="0"/>
    <m/>
    <m/>
    <m/>
    <m/>
    <m/>
    <m/>
    <m/>
    <m/>
    <x v="0"/>
    <m/>
    <n v="0"/>
    <n v="25000"/>
    <m/>
    <m/>
    <m/>
    <n v="25000"/>
    <n v="0"/>
    <m/>
    <m/>
    <m/>
    <m/>
    <m/>
    <m/>
    <m/>
    <m/>
    <m/>
    <m/>
    <m/>
    <m/>
    <m/>
    <m/>
    <m/>
    <m/>
    <m/>
    <m/>
    <m/>
    <n v="25000"/>
    <m/>
    <m/>
    <n v="5000"/>
    <x v="8"/>
    <x v="1"/>
    <m/>
    <m/>
    <m/>
    <m/>
    <n v="2898"/>
    <m/>
    <m/>
    <m/>
    <m/>
    <m/>
    <m/>
    <m/>
    <m/>
    <m/>
    <m/>
    <m/>
    <s v="Cholera Outbreak"/>
    <s v="Federation Appeal 32/00"/>
  </r>
  <r>
    <m/>
    <n v="38"/>
    <x v="43"/>
    <d v="2001-01-01T00:00:00"/>
    <x v="5"/>
    <n v="12"/>
    <m/>
    <x v="6"/>
    <n v="2"/>
    <x v="2"/>
    <s v="El Salvador"/>
    <m/>
    <x v="3"/>
    <s v="Earthquake"/>
    <s v="Earthquake"/>
    <x v="0"/>
    <x v="0"/>
    <m/>
    <m/>
    <m/>
    <m/>
    <m/>
    <m/>
    <m/>
    <m/>
    <x v="0"/>
    <m/>
    <m/>
    <m/>
    <m/>
    <n v="77500"/>
    <m/>
    <n v="77500"/>
    <n v="12"/>
    <m/>
    <m/>
    <m/>
    <m/>
    <m/>
    <m/>
    <m/>
    <m/>
    <m/>
    <m/>
    <m/>
    <m/>
    <m/>
    <m/>
    <m/>
    <m/>
    <m/>
    <n v="150000"/>
    <m/>
    <n v="227500"/>
    <m/>
    <m/>
    <m/>
    <x v="33"/>
    <x v="1"/>
    <m/>
    <m/>
    <m/>
    <m/>
    <n v="2953"/>
    <m/>
    <m/>
    <m/>
    <m/>
    <m/>
    <m/>
    <m/>
    <m/>
    <m/>
    <m/>
    <m/>
    <m/>
    <s v="Cash sent to ARC Delegation in region. Supplies from Regional Warehouses.   Total expenditures as of February 2001, post 2.01 expenditures were rolled into the second El Salvador earthquake."/>
  </r>
  <r>
    <m/>
    <n v="39"/>
    <x v="44"/>
    <d v="2001-01-01T00:00:00"/>
    <x v="5"/>
    <n v="13"/>
    <m/>
    <x v="6"/>
    <n v="3"/>
    <x v="3"/>
    <s v="China"/>
    <m/>
    <x v="5"/>
    <s v="Winter Storm"/>
    <s v="Snowstorm"/>
    <x v="0"/>
    <x v="0"/>
    <m/>
    <m/>
    <m/>
    <m/>
    <m/>
    <m/>
    <m/>
    <m/>
    <x v="0"/>
    <m/>
    <m/>
    <m/>
    <m/>
    <n v="50000"/>
    <m/>
    <n v="50000"/>
    <n v="0"/>
    <m/>
    <m/>
    <m/>
    <m/>
    <m/>
    <m/>
    <m/>
    <m/>
    <m/>
    <m/>
    <m/>
    <m/>
    <m/>
    <m/>
    <m/>
    <m/>
    <m/>
    <m/>
    <m/>
    <n v="50000"/>
    <m/>
    <m/>
    <n v="5000"/>
    <x v="16"/>
    <x v="1"/>
    <m/>
    <m/>
    <m/>
    <m/>
    <n v="2060"/>
    <m/>
    <m/>
    <m/>
    <m/>
    <m/>
    <m/>
    <m/>
    <m/>
    <m/>
    <m/>
    <m/>
    <s v="Inner Mongolia"/>
    <s v="fund to purchase food (wheat), winter clothes and cotton quilts"/>
  </r>
  <r>
    <m/>
    <n v="40"/>
    <x v="45"/>
    <d v="2001-01-01T00:00:00"/>
    <x v="5"/>
    <n v="14"/>
    <m/>
    <x v="6"/>
    <n v="4"/>
    <x v="3"/>
    <s v="India"/>
    <m/>
    <x v="3"/>
    <s v="Earthquake"/>
    <s v="Earthquake"/>
    <x v="2"/>
    <x v="0"/>
    <m/>
    <m/>
    <m/>
    <m/>
    <m/>
    <m/>
    <m/>
    <m/>
    <x v="0"/>
    <m/>
    <n v="1"/>
    <n v="100000"/>
    <m/>
    <n v="25000"/>
    <m/>
    <n v="125000"/>
    <n v="19"/>
    <m/>
    <m/>
    <m/>
    <m/>
    <m/>
    <m/>
    <m/>
    <m/>
    <m/>
    <m/>
    <m/>
    <m/>
    <m/>
    <m/>
    <m/>
    <m/>
    <m/>
    <n v="1371479"/>
    <n v="366481.13"/>
    <n v="1862960.13"/>
    <m/>
    <m/>
    <n v="324495"/>
    <x v="1"/>
    <x v="1"/>
    <m/>
    <m/>
    <m/>
    <m/>
    <n v="2954"/>
    <m/>
    <m/>
    <m/>
    <m/>
    <m/>
    <m/>
    <m/>
    <m/>
    <m/>
    <m/>
    <m/>
    <m/>
    <s v="ARC also served an additional 190,185 beneficiaries by  distributing inputs from other NS.  Total expenditures as of May 2001."/>
  </r>
  <r>
    <m/>
    <n v="41"/>
    <x v="43"/>
    <d v="2001-02-01T00:00:00"/>
    <x v="5"/>
    <n v="15"/>
    <m/>
    <x v="6"/>
    <n v="5"/>
    <x v="2"/>
    <s v="El Salvador"/>
    <m/>
    <x v="3"/>
    <s v="Earthquake"/>
    <s v="Earthquake"/>
    <x v="0"/>
    <x v="0"/>
    <m/>
    <m/>
    <m/>
    <m/>
    <m/>
    <m/>
    <m/>
    <m/>
    <x v="0"/>
    <m/>
    <m/>
    <m/>
    <m/>
    <n v="70000"/>
    <m/>
    <n v="70000"/>
    <n v="8"/>
    <m/>
    <m/>
    <m/>
    <m/>
    <m/>
    <m/>
    <m/>
    <m/>
    <m/>
    <m/>
    <m/>
    <m/>
    <m/>
    <m/>
    <m/>
    <m/>
    <m/>
    <n v="620000"/>
    <m/>
    <n v="690000"/>
    <m/>
    <m/>
    <n v="41628.709446663277"/>
    <x v="34"/>
    <x v="1"/>
    <m/>
    <m/>
    <m/>
    <m/>
    <n v="2953"/>
    <m/>
    <m/>
    <m/>
    <m/>
    <m/>
    <m/>
    <m/>
    <m/>
    <m/>
    <m/>
    <m/>
    <m/>
    <s v="To Purchase Warm cloths, footwear, blankets sheets and left over for food. Total expenditures for both earthquakes in El Salvador through May 2001."/>
  </r>
  <r>
    <m/>
    <n v="42"/>
    <x v="46"/>
    <d v="2001-02-01T00:00:00"/>
    <x v="5"/>
    <n v="16"/>
    <m/>
    <x v="6"/>
    <n v="6"/>
    <x v="1"/>
    <s v="Mozambique"/>
    <m/>
    <x v="2"/>
    <s v="General Floods"/>
    <s v="General Floods"/>
    <x v="0"/>
    <x v="0"/>
    <m/>
    <m/>
    <m/>
    <m/>
    <m/>
    <m/>
    <m/>
    <m/>
    <x v="0"/>
    <m/>
    <m/>
    <m/>
    <m/>
    <m/>
    <m/>
    <n v="0"/>
    <n v="1"/>
    <m/>
    <m/>
    <m/>
    <m/>
    <m/>
    <m/>
    <m/>
    <m/>
    <m/>
    <m/>
    <m/>
    <m/>
    <m/>
    <m/>
    <m/>
    <m/>
    <m/>
    <m/>
    <n v="250000"/>
    <n v="250000"/>
    <m/>
    <m/>
    <n v="75000"/>
    <x v="35"/>
    <x v="1"/>
    <m/>
    <m/>
    <m/>
    <m/>
    <n v="2675"/>
    <m/>
    <m/>
    <m/>
    <m/>
    <m/>
    <m/>
    <m/>
    <m/>
    <m/>
    <m/>
    <m/>
    <m/>
    <s v="Fed Appeal 10/2001;  Includes regional supply purchase; one delegate.  Total expenditure also includes Malawi expense."/>
  </r>
  <r>
    <m/>
    <n v="43"/>
    <x v="47"/>
    <d v="2001-02-01T00:00:00"/>
    <x v="5"/>
    <n v="17"/>
    <m/>
    <x v="6"/>
    <n v="7"/>
    <x v="1"/>
    <s v="Malawi"/>
    <m/>
    <x v="2"/>
    <s v="General Floods"/>
    <s v="General Floods"/>
    <x v="0"/>
    <x v="0"/>
    <m/>
    <m/>
    <m/>
    <m/>
    <m/>
    <m/>
    <m/>
    <m/>
    <x v="0"/>
    <m/>
    <m/>
    <m/>
    <m/>
    <n v="25000"/>
    <m/>
    <n v="25000"/>
    <n v="2"/>
    <m/>
    <m/>
    <m/>
    <m/>
    <m/>
    <m/>
    <m/>
    <m/>
    <m/>
    <m/>
    <m/>
    <m/>
    <m/>
    <m/>
    <m/>
    <m/>
    <m/>
    <n v="149000"/>
    <m/>
    <n v="174000"/>
    <m/>
    <m/>
    <n v="22452"/>
    <x v="36"/>
    <x v="1"/>
    <m/>
    <m/>
    <m/>
    <m/>
    <n v="2675"/>
    <m/>
    <m/>
    <m/>
    <m/>
    <m/>
    <m/>
    <m/>
    <m/>
    <m/>
    <m/>
    <m/>
    <m/>
    <s v="Fed Appeal 9/2001;  49,000 from CCC seeds, tools and water supply.  See Mozambique Total Expenditure (they are combined.)"/>
  </r>
  <r>
    <m/>
    <n v="44"/>
    <x v="48"/>
    <d v="2001-03-01T00:00:00"/>
    <x v="5"/>
    <n v="18"/>
    <m/>
    <x v="6"/>
    <n v="8"/>
    <x v="2"/>
    <s v="Bolivia"/>
    <m/>
    <x v="2"/>
    <s v="General Floods"/>
    <s v="General Floods"/>
    <x v="0"/>
    <x v="0"/>
    <m/>
    <m/>
    <m/>
    <m/>
    <m/>
    <m/>
    <m/>
    <m/>
    <x v="0"/>
    <m/>
    <m/>
    <m/>
    <m/>
    <n v="15000"/>
    <m/>
    <n v="15000"/>
    <n v="0"/>
    <m/>
    <m/>
    <m/>
    <m/>
    <m/>
    <m/>
    <m/>
    <m/>
    <m/>
    <m/>
    <m/>
    <m/>
    <m/>
    <m/>
    <m/>
    <m/>
    <m/>
    <m/>
    <m/>
    <n v="15000"/>
    <m/>
    <m/>
    <n v="1500"/>
    <x v="18"/>
    <x v="1"/>
    <m/>
    <m/>
    <m/>
    <m/>
    <n v="2898"/>
    <m/>
    <m/>
    <m/>
    <m/>
    <m/>
    <m/>
    <m/>
    <m/>
    <m/>
    <m/>
    <m/>
    <m/>
    <s v="Fed Appeal 5/2001"/>
  </r>
  <r>
    <m/>
    <n v="45"/>
    <x v="49"/>
    <d v="2001-03-01T00:00:00"/>
    <x v="5"/>
    <n v="19"/>
    <m/>
    <x v="6"/>
    <n v="9"/>
    <x v="2"/>
    <s v="Peru"/>
    <m/>
    <x v="2"/>
    <s v="General Floods"/>
    <s v="General Floods"/>
    <x v="0"/>
    <x v="0"/>
    <m/>
    <m/>
    <m/>
    <m/>
    <m/>
    <m/>
    <m/>
    <m/>
    <x v="0"/>
    <m/>
    <m/>
    <m/>
    <m/>
    <n v="15000"/>
    <m/>
    <n v="15000"/>
    <n v="0"/>
    <m/>
    <m/>
    <n v="6111"/>
    <m/>
    <m/>
    <n v="5100"/>
    <m/>
    <m/>
    <n v="761"/>
    <m/>
    <m/>
    <m/>
    <m/>
    <n v="250"/>
    <m/>
    <m/>
    <m/>
    <n v="0"/>
    <n v="0"/>
    <n v="15000"/>
    <m/>
    <m/>
    <n v="24805"/>
    <x v="18"/>
    <x v="1"/>
    <m/>
    <m/>
    <m/>
    <m/>
    <n v="2898"/>
    <m/>
    <m/>
    <m/>
    <m/>
    <m/>
    <m/>
    <m/>
    <m/>
    <m/>
    <m/>
    <m/>
    <m/>
    <m/>
  </r>
  <r>
    <m/>
    <n v="46"/>
    <x v="50"/>
    <d v="2001-04-01T00:00:00"/>
    <x v="5"/>
    <n v="20"/>
    <m/>
    <x v="6"/>
    <n v="10"/>
    <x v="4"/>
    <s v="Canada"/>
    <m/>
    <x v="9"/>
    <s v="Road"/>
    <s v="Road"/>
    <x v="0"/>
    <x v="0"/>
    <m/>
    <m/>
    <m/>
    <m/>
    <m/>
    <m/>
    <m/>
    <m/>
    <x v="0"/>
    <m/>
    <m/>
    <m/>
    <m/>
    <m/>
    <m/>
    <n v="0"/>
    <n v="2"/>
    <m/>
    <m/>
    <m/>
    <m/>
    <m/>
    <m/>
    <m/>
    <m/>
    <m/>
    <m/>
    <m/>
    <m/>
    <m/>
    <m/>
    <m/>
    <m/>
    <m/>
    <m/>
    <n v="1000"/>
    <n v="1000"/>
    <m/>
    <m/>
    <m/>
    <x v="37"/>
    <x v="1"/>
    <m/>
    <m/>
    <m/>
    <m/>
    <n v="2898"/>
    <m/>
    <m/>
    <m/>
    <m/>
    <m/>
    <m/>
    <m/>
    <m/>
    <m/>
    <m/>
    <m/>
    <s v="Bus Crash"/>
    <s v="American children survivors"/>
  </r>
  <r>
    <m/>
    <n v="47"/>
    <x v="51"/>
    <d v="2001-05-01T00:00:00"/>
    <x v="5"/>
    <n v="21"/>
    <m/>
    <x v="6"/>
    <n v="11"/>
    <x v="3"/>
    <s v="Russian Fed."/>
    <m/>
    <x v="2"/>
    <s v="General Floods"/>
    <s v="General Floods"/>
    <x v="0"/>
    <x v="0"/>
    <m/>
    <m/>
    <m/>
    <m/>
    <m/>
    <m/>
    <m/>
    <m/>
    <x v="0"/>
    <m/>
    <m/>
    <m/>
    <m/>
    <n v="25000"/>
    <m/>
    <n v="25000"/>
    <n v="0"/>
    <m/>
    <m/>
    <m/>
    <m/>
    <m/>
    <m/>
    <m/>
    <m/>
    <m/>
    <m/>
    <m/>
    <m/>
    <m/>
    <m/>
    <m/>
    <m/>
    <m/>
    <m/>
    <m/>
    <n v="25000"/>
    <m/>
    <m/>
    <n v="3000"/>
    <x v="8"/>
    <x v="1"/>
    <m/>
    <m/>
    <m/>
    <m/>
    <n v="2898"/>
    <m/>
    <m/>
    <m/>
    <m/>
    <m/>
    <m/>
    <m/>
    <m/>
    <m/>
    <m/>
    <m/>
    <m/>
    <s v="Siberia: Procurement of warm cloths, footwear, blankets sheets &amp; food. "/>
  </r>
  <r>
    <m/>
    <n v="48"/>
    <x v="52"/>
    <d v="2001-06-01T00:00:00"/>
    <x v="5"/>
    <n v="22"/>
    <m/>
    <x v="6"/>
    <n v="12"/>
    <x v="3"/>
    <s v="Macedonia"/>
    <m/>
    <x v="8"/>
    <s v="Conflict"/>
    <s v="Conflict"/>
    <x v="0"/>
    <x v="0"/>
    <m/>
    <m/>
    <m/>
    <m/>
    <m/>
    <m/>
    <m/>
    <m/>
    <x v="0"/>
    <m/>
    <m/>
    <m/>
    <m/>
    <m/>
    <m/>
    <n v="0"/>
    <n v="0"/>
    <m/>
    <m/>
    <n v="10000"/>
    <m/>
    <m/>
    <m/>
    <m/>
    <m/>
    <m/>
    <m/>
    <m/>
    <m/>
    <m/>
    <m/>
    <m/>
    <m/>
    <m/>
    <n v="20700"/>
    <m/>
    <n v="20700"/>
    <m/>
    <m/>
    <n v="40000"/>
    <x v="38"/>
    <x v="1"/>
    <m/>
    <m/>
    <m/>
    <m/>
    <n v="2898"/>
    <m/>
    <m/>
    <m/>
    <m/>
    <m/>
    <m/>
    <m/>
    <m/>
    <m/>
    <m/>
    <m/>
    <m/>
    <s v="10,000 family  packets (Currently only 2,300) a family is 4 persons"/>
  </r>
  <r>
    <m/>
    <n v="49"/>
    <x v="53"/>
    <d v="2001-06-01T00:00:00"/>
    <x v="5"/>
    <n v="23"/>
    <m/>
    <x v="6"/>
    <n v="13"/>
    <x v="3"/>
    <s v="Bosnia"/>
    <m/>
    <x v="2"/>
    <s v="General Floods"/>
    <s v="General Floods"/>
    <x v="0"/>
    <x v="0"/>
    <m/>
    <m/>
    <m/>
    <m/>
    <m/>
    <m/>
    <m/>
    <m/>
    <x v="0"/>
    <m/>
    <m/>
    <m/>
    <m/>
    <m/>
    <m/>
    <n v="0"/>
    <n v="0"/>
    <m/>
    <m/>
    <n v="6000"/>
    <m/>
    <m/>
    <n v="6000"/>
    <m/>
    <m/>
    <m/>
    <m/>
    <m/>
    <m/>
    <m/>
    <m/>
    <m/>
    <m/>
    <m/>
    <n v="18000"/>
    <m/>
    <n v="18000"/>
    <m/>
    <m/>
    <n v="6000"/>
    <x v="39"/>
    <x v="1"/>
    <m/>
    <m/>
    <m/>
    <m/>
    <n v="2898"/>
    <m/>
    <m/>
    <m/>
    <m/>
    <m/>
    <m/>
    <m/>
    <m/>
    <m/>
    <m/>
    <m/>
    <m/>
    <s v="Bulgaria stocks"/>
  </r>
  <r>
    <m/>
    <n v="50"/>
    <x v="54"/>
    <d v="2001-06-01T00:00:00"/>
    <x v="5"/>
    <n v="24"/>
    <m/>
    <x v="6"/>
    <n v="14"/>
    <x v="2"/>
    <s v="Peru"/>
    <m/>
    <x v="3"/>
    <s v="Earthquake"/>
    <s v="Earthquake"/>
    <x v="0"/>
    <x v="0"/>
    <m/>
    <m/>
    <m/>
    <m/>
    <m/>
    <m/>
    <m/>
    <m/>
    <x v="0"/>
    <m/>
    <m/>
    <m/>
    <m/>
    <n v="24420"/>
    <m/>
    <n v="24420"/>
    <n v="3"/>
    <m/>
    <m/>
    <n v="6107"/>
    <m/>
    <m/>
    <n v="5100"/>
    <m/>
    <m/>
    <n v="757"/>
    <m/>
    <m/>
    <m/>
    <m/>
    <n v="250"/>
    <m/>
    <m/>
    <m/>
    <n v="361260"/>
    <n v="313450"/>
    <n v="699130"/>
    <m/>
    <m/>
    <n v="15000"/>
    <x v="40"/>
    <x v="1"/>
    <m/>
    <m/>
    <m/>
    <m/>
    <n v="2676"/>
    <m/>
    <m/>
    <m/>
    <m/>
    <m/>
    <m/>
    <m/>
    <m/>
    <m/>
    <m/>
    <m/>
    <m/>
    <s v="plastic sheeting ($81,250), blankets ($12,240), tents ($78,637). Total $271,627 (incl. transport).    tents ($147,706): Total $150,706 (incl. transport).  Replenishment of supplies $50,000"/>
  </r>
  <r>
    <m/>
    <n v="51"/>
    <x v="33"/>
    <d v="2001-07-01T00:00:00"/>
    <x v="6"/>
    <n v="1"/>
    <m/>
    <x v="6"/>
    <n v="15"/>
    <x v="3"/>
    <s v="India"/>
    <m/>
    <x v="2"/>
    <s v="General Floods"/>
    <s v="General Floods"/>
    <x v="3"/>
    <x v="0"/>
    <m/>
    <m/>
    <m/>
    <m/>
    <m/>
    <m/>
    <m/>
    <m/>
    <x v="0"/>
    <m/>
    <m/>
    <m/>
    <m/>
    <m/>
    <m/>
    <n v="0"/>
    <n v="0"/>
    <m/>
    <m/>
    <m/>
    <m/>
    <m/>
    <m/>
    <m/>
    <m/>
    <m/>
    <m/>
    <m/>
    <m/>
    <m/>
    <m/>
    <m/>
    <m/>
    <m/>
    <n v="100000"/>
    <m/>
    <n v="100000"/>
    <m/>
    <m/>
    <n v="10000"/>
    <x v="5"/>
    <x v="1"/>
    <m/>
    <m/>
    <m/>
    <m/>
    <n v="2954"/>
    <m/>
    <m/>
    <m/>
    <m/>
    <m/>
    <m/>
    <m/>
    <m/>
    <m/>
    <m/>
    <m/>
    <m/>
    <m/>
  </r>
  <r>
    <m/>
    <n v="52"/>
    <x v="55"/>
    <d v="2001-08-01T00:00:00"/>
    <x v="6"/>
    <n v="2"/>
    <m/>
    <x v="6"/>
    <n v="16"/>
    <x v="2"/>
    <s v="El Salvador"/>
    <m/>
    <x v="1"/>
    <s v="Drought"/>
    <s v="Drought"/>
    <x v="0"/>
    <x v="0"/>
    <m/>
    <m/>
    <m/>
    <m/>
    <m/>
    <m/>
    <m/>
    <m/>
    <x v="0"/>
    <m/>
    <m/>
    <m/>
    <m/>
    <n v="25000"/>
    <m/>
    <n v="25000"/>
    <n v="5"/>
    <m/>
    <m/>
    <m/>
    <m/>
    <m/>
    <m/>
    <m/>
    <m/>
    <m/>
    <m/>
    <m/>
    <m/>
    <m/>
    <m/>
    <m/>
    <m/>
    <m/>
    <m/>
    <m/>
    <n v="25000"/>
    <m/>
    <m/>
    <n v="5000"/>
    <x v="8"/>
    <x v="1"/>
    <m/>
    <m/>
    <m/>
    <m/>
    <n v="2837"/>
    <m/>
    <m/>
    <m/>
    <m/>
    <m/>
    <m/>
    <m/>
    <m/>
    <m/>
    <m/>
    <m/>
    <m/>
    <s v="$25,000 allocated to each national society to be implemented thr ARC delegations through $12,500 donation to the field delegation and $12,500 matched by the field.  Total expenditures through December 2001."/>
  </r>
  <r>
    <m/>
    <n v="52"/>
    <x v="56"/>
    <d v="2001-08-01T00:00:00"/>
    <x v="6"/>
    <n v="2"/>
    <m/>
    <x v="6"/>
    <n v="16"/>
    <x v="2"/>
    <s v="Honduras"/>
    <m/>
    <x v="1"/>
    <s v="Drought"/>
    <s v="Drought"/>
    <x v="0"/>
    <x v="0"/>
    <m/>
    <m/>
    <m/>
    <m/>
    <m/>
    <m/>
    <m/>
    <m/>
    <x v="0"/>
    <m/>
    <m/>
    <m/>
    <m/>
    <m/>
    <m/>
    <n v="0"/>
    <m/>
    <m/>
    <m/>
    <m/>
    <m/>
    <m/>
    <m/>
    <m/>
    <m/>
    <m/>
    <m/>
    <m/>
    <m/>
    <m/>
    <m/>
    <m/>
    <m/>
    <m/>
    <m/>
    <m/>
    <n v="0"/>
    <m/>
    <m/>
    <m/>
    <x v="7"/>
    <x v="1"/>
    <m/>
    <m/>
    <m/>
    <m/>
    <n v="2837"/>
    <m/>
    <m/>
    <m/>
    <m/>
    <m/>
    <m/>
    <m/>
    <m/>
    <m/>
    <m/>
    <m/>
    <m/>
    <m/>
  </r>
  <r>
    <m/>
    <n v="52"/>
    <x v="57"/>
    <d v="2001-08-01T00:00:00"/>
    <x v="6"/>
    <n v="2"/>
    <m/>
    <x v="6"/>
    <n v="16"/>
    <x v="2"/>
    <s v="Nicaragua"/>
    <m/>
    <x v="1"/>
    <s v="Drought"/>
    <s v="Drought"/>
    <x v="0"/>
    <x v="0"/>
    <m/>
    <m/>
    <m/>
    <m/>
    <m/>
    <m/>
    <m/>
    <m/>
    <x v="0"/>
    <m/>
    <m/>
    <m/>
    <m/>
    <m/>
    <m/>
    <n v="0"/>
    <m/>
    <m/>
    <m/>
    <m/>
    <m/>
    <m/>
    <m/>
    <m/>
    <m/>
    <m/>
    <m/>
    <m/>
    <m/>
    <m/>
    <m/>
    <m/>
    <m/>
    <m/>
    <m/>
    <m/>
    <n v="0"/>
    <m/>
    <m/>
    <m/>
    <x v="7"/>
    <x v="1"/>
    <m/>
    <m/>
    <m/>
    <m/>
    <n v="2837"/>
    <m/>
    <m/>
    <m/>
    <m/>
    <m/>
    <m/>
    <m/>
    <m/>
    <m/>
    <m/>
    <m/>
    <m/>
    <m/>
  </r>
  <r>
    <m/>
    <n v="52"/>
    <x v="58"/>
    <d v="2001-08-01T00:00:00"/>
    <x v="6"/>
    <n v="2"/>
    <m/>
    <x v="6"/>
    <n v="16"/>
    <x v="2"/>
    <s v="Guatemala"/>
    <m/>
    <x v="1"/>
    <s v="Drought"/>
    <s v="Drought"/>
    <x v="0"/>
    <x v="0"/>
    <m/>
    <m/>
    <m/>
    <m/>
    <m/>
    <m/>
    <m/>
    <m/>
    <x v="0"/>
    <m/>
    <m/>
    <m/>
    <m/>
    <m/>
    <m/>
    <n v="0"/>
    <m/>
    <m/>
    <m/>
    <m/>
    <m/>
    <m/>
    <m/>
    <m/>
    <m/>
    <m/>
    <m/>
    <m/>
    <m/>
    <m/>
    <m/>
    <m/>
    <m/>
    <m/>
    <m/>
    <m/>
    <n v="0"/>
    <m/>
    <m/>
    <m/>
    <x v="7"/>
    <x v="1"/>
    <m/>
    <m/>
    <m/>
    <m/>
    <n v="2837"/>
    <m/>
    <m/>
    <m/>
    <m/>
    <m/>
    <m/>
    <m/>
    <m/>
    <m/>
    <m/>
    <m/>
    <m/>
    <m/>
  </r>
  <r>
    <m/>
    <n v="53"/>
    <x v="59"/>
    <d v="2001-09-01T00:00:00"/>
    <x v="6"/>
    <n v="3"/>
    <m/>
    <x v="6"/>
    <n v="17"/>
    <x v="2"/>
    <s v="Ecuador"/>
    <m/>
    <x v="4"/>
    <s v="Volcanic Eruption"/>
    <s v="Volcanic Eruption"/>
    <x v="0"/>
    <x v="0"/>
    <m/>
    <m/>
    <m/>
    <m/>
    <m/>
    <m/>
    <m/>
    <m/>
    <x v="0"/>
    <m/>
    <m/>
    <m/>
    <m/>
    <n v="10000"/>
    <m/>
    <n v="10000"/>
    <m/>
    <m/>
    <m/>
    <m/>
    <m/>
    <m/>
    <m/>
    <m/>
    <m/>
    <m/>
    <m/>
    <m/>
    <m/>
    <m/>
    <m/>
    <m/>
    <m/>
    <m/>
    <m/>
    <m/>
    <n v="10000"/>
    <m/>
    <m/>
    <n v="1000"/>
    <x v="6"/>
    <x v="1"/>
    <m/>
    <m/>
    <m/>
    <m/>
    <n v="2898"/>
    <m/>
    <m/>
    <m/>
    <m/>
    <m/>
    <m/>
    <m/>
    <m/>
    <m/>
    <m/>
    <m/>
    <m/>
    <s v="$10,000 from IDRU in addition to $10,000 from the Americas Region to the Ecuador Red Cross for the Tungurahua Volcano Ash Fall "/>
  </r>
  <r>
    <m/>
    <n v="54"/>
    <x v="60"/>
    <d v="2001-09-01T00:00:00"/>
    <x v="6"/>
    <n v="4"/>
    <m/>
    <x v="6"/>
    <n v="18"/>
    <x v="3"/>
    <s v="Afghanistan"/>
    <m/>
    <x v="8"/>
    <s v="Conflict"/>
    <s v="Conflict"/>
    <x v="0"/>
    <x v="0"/>
    <m/>
    <m/>
    <m/>
    <m/>
    <m/>
    <m/>
    <m/>
    <m/>
    <x v="0"/>
    <m/>
    <m/>
    <m/>
    <m/>
    <m/>
    <m/>
    <n v="0"/>
    <n v="12"/>
    <m/>
    <m/>
    <m/>
    <m/>
    <m/>
    <m/>
    <m/>
    <m/>
    <m/>
    <m/>
    <m/>
    <m/>
    <m/>
    <m/>
    <m/>
    <m/>
    <m/>
    <n v="2032231"/>
    <n v="200000"/>
    <n v="2232231"/>
    <n v="9767769"/>
    <m/>
    <n v="380000"/>
    <x v="41"/>
    <x v="1"/>
    <m/>
    <m/>
    <m/>
    <m/>
    <n v="2677"/>
    <m/>
    <m/>
    <m/>
    <m/>
    <m/>
    <m/>
    <m/>
    <m/>
    <m/>
    <m/>
    <m/>
    <m/>
    <s v="AFAC is a partnership with the White House.  Final report issued in August 2006."/>
  </r>
  <r>
    <m/>
    <n v="54"/>
    <x v="61"/>
    <d v="2001-09-01T00:00:00"/>
    <x v="6"/>
    <n v="4"/>
    <m/>
    <x v="6"/>
    <n v="18"/>
    <x v="3"/>
    <s v="Pakistan"/>
    <m/>
    <x v="8"/>
    <s v="Conflict"/>
    <s v="Conflict"/>
    <x v="0"/>
    <x v="0"/>
    <m/>
    <m/>
    <m/>
    <m/>
    <m/>
    <m/>
    <m/>
    <m/>
    <x v="0"/>
    <m/>
    <m/>
    <m/>
    <m/>
    <m/>
    <m/>
    <n v="0"/>
    <m/>
    <m/>
    <m/>
    <m/>
    <m/>
    <m/>
    <m/>
    <m/>
    <m/>
    <m/>
    <m/>
    <m/>
    <m/>
    <m/>
    <m/>
    <m/>
    <m/>
    <m/>
    <m/>
    <m/>
    <n v="0"/>
    <m/>
    <m/>
    <m/>
    <x v="7"/>
    <x v="1"/>
    <m/>
    <m/>
    <m/>
    <m/>
    <n v="2677"/>
    <m/>
    <m/>
    <m/>
    <m/>
    <m/>
    <m/>
    <m/>
    <m/>
    <m/>
    <m/>
    <m/>
    <m/>
    <m/>
  </r>
  <r>
    <m/>
    <n v="54"/>
    <x v="62"/>
    <d v="2001-09-01T00:00:00"/>
    <x v="6"/>
    <n v="4"/>
    <m/>
    <x v="6"/>
    <n v="18"/>
    <x v="3"/>
    <s v="Uzbekistan"/>
    <m/>
    <x v="8"/>
    <s v="Conflict"/>
    <s v="Conflict"/>
    <x v="0"/>
    <x v="0"/>
    <m/>
    <m/>
    <m/>
    <m/>
    <m/>
    <m/>
    <m/>
    <m/>
    <x v="0"/>
    <m/>
    <m/>
    <m/>
    <m/>
    <m/>
    <m/>
    <n v="0"/>
    <m/>
    <m/>
    <m/>
    <m/>
    <m/>
    <m/>
    <m/>
    <m/>
    <m/>
    <m/>
    <m/>
    <m/>
    <m/>
    <m/>
    <m/>
    <m/>
    <m/>
    <m/>
    <m/>
    <m/>
    <n v="0"/>
    <m/>
    <m/>
    <m/>
    <x v="7"/>
    <x v="1"/>
    <m/>
    <m/>
    <m/>
    <m/>
    <n v="2677"/>
    <m/>
    <m/>
    <m/>
    <m/>
    <m/>
    <m/>
    <m/>
    <m/>
    <m/>
    <m/>
    <m/>
    <m/>
    <m/>
  </r>
  <r>
    <m/>
    <n v="54"/>
    <x v="63"/>
    <d v="2001-09-01T00:00:00"/>
    <x v="6"/>
    <n v="4"/>
    <m/>
    <x v="6"/>
    <n v="18"/>
    <x v="3"/>
    <s v="Iran"/>
    <m/>
    <x v="8"/>
    <s v="Conflict"/>
    <s v="Conflict"/>
    <x v="0"/>
    <x v="0"/>
    <m/>
    <m/>
    <m/>
    <m/>
    <m/>
    <m/>
    <m/>
    <m/>
    <x v="0"/>
    <m/>
    <m/>
    <m/>
    <m/>
    <m/>
    <m/>
    <n v="0"/>
    <m/>
    <m/>
    <m/>
    <m/>
    <m/>
    <m/>
    <m/>
    <m/>
    <m/>
    <m/>
    <m/>
    <m/>
    <m/>
    <m/>
    <m/>
    <m/>
    <m/>
    <m/>
    <m/>
    <m/>
    <n v="0"/>
    <m/>
    <m/>
    <m/>
    <x v="7"/>
    <x v="1"/>
    <m/>
    <m/>
    <m/>
    <m/>
    <n v="2677"/>
    <m/>
    <m/>
    <m/>
    <m/>
    <m/>
    <m/>
    <m/>
    <m/>
    <m/>
    <m/>
    <m/>
    <m/>
    <m/>
  </r>
  <r>
    <m/>
    <n v="54"/>
    <x v="64"/>
    <d v="2001-09-01T00:00:00"/>
    <x v="6"/>
    <n v="4"/>
    <m/>
    <x v="6"/>
    <n v="18"/>
    <x v="3"/>
    <s v="Turkmenistan"/>
    <m/>
    <x v="8"/>
    <s v="Conflict"/>
    <s v="Conflict"/>
    <x v="0"/>
    <x v="0"/>
    <m/>
    <m/>
    <m/>
    <m/>
    <m/>
    <m/>
    <m/>
    <m/>
    <x v="0"/>
    <m/>
    <m/>
    <m/>
    <m/>
    <m/>
    <m/>
    <n v="0"/>
    <m/>
    <m/>
    <m/>
    <m/>
    <m/>
    <m/>
    <m/>
    <m/>
    <m/>
    <m/>
    <m/>
    <m/>
    <m/>
    <m/>
    <m/>
    <m/>
    <m/>
    <m/>
    <m/>
    <m/>
    <n v="0"/>
    <m/>
    <m/>
    <m/>
    <x v="7"/>
    <x v="1"/>
    <m/>
    <m/>
    <m/>
    <m/>
    <n v="2677"/>
    <m/>
    <m/>
    <m/>
    <m/>
    <m/>
    <m/>
    <m/>
    <m/>
    <m/>
    <m/>
    <m/>
    <m/>
    <m/>
  </r>
  <r>
    <m/>
    <n v="55"/>
    <x v="65"/>
    <d v="2001-09-01T00:00:00"/>
    <x v="6"/>
    <n v="5"/>
    <m/>
    <x v="6"/>
    <n v="19"/>
    <x v="4"/>
    <s v="US"/>
    <m/>
    <x v="12"/>
    <s v="Terrorism"/>
    <s v="Terrorism"/>
    <x v="0"/>
    <x v="0"/>
    <m/>
    <m/>
    <m/>
    <m/>
    <m/>
    <m/>
    <m/>
    <m/>
    <x v="0"/>
    <m/>
    <m/>
    <m/>
    <m/>
    <n v="3257775.37"/>
    <m/>
    <n v="3257775.37"/>
    <n v="30"/>
    <m/>
    <m/>
    <m/>
    <m/>
    <m/>
    <m/>
    <m/>
    <m/>
    <m/>
    <m/>
    <m/>
    <m/>
    <m/>
    <m/>
    <m/>
    <m/>
    <m/>
    <n v="0"/>
    <n v="257704"/>
    <n v="3515479.37"/>
    <m/>
    <m/>
    <n v="2622"/>
    <x v="42"/>
    <x v="1"/>
    <m/>
    <m/>
    <m/>
    <m/>
    <n v="4949"/>
    <m/>
    <m/>
    <m/>
    <m/>
    <m/>
    <m/>
    <m/>
    <m/>
    <m/>
    <m/>
    <m/>
    <d v="2008-09-11T00:00:00"/>
    <s v="The $3,084,914.31 distributed was to international families of victims of the terrorist attacks.   Beneficiaries: 6 members per each family assisted."/>
  </r>
  <r>
    <m/>
    <n v="56"/>
    <x v="66"/>
    <d v="2001-09-01T00:00:00"/>
    <x v="6"/>
    <n v="6"/>
    <m/>
    <x v="6"/>
    <n v="20"/>
    <x v="2"/>
    <s v="Mexico"/>
    <m/>
    <x v="9"/>
    <s v="Air"/>
    <s v="Air"/>
    <x v="0"/>
    <x v="0"/>
    <m/>
    <m/>
    <m/>
    <m/>
    <m/>
    <m/>
    <m/>
    <m/>
    <x v="0"/>
    <m/>
    <m/>
    <m/>
    <m/>
    <m/>
    <m/>
    <n v="0"/>
    <n v="4"/>
    <m/>
    <m/>
    <m/>
    <m/>
    <m/>
    <m/>
    <m/>
    <m/>
    <m/>
    <m/>
    <m/>
    <m/>
    <m/>
    <m/>
    <m/>
    <m/>
    <m/>
    <n v="0"/>
    <n v="15000"/>
    <n v="15000"/>
    <m/>
    <m/>
    <n v="95"/>
    <x v="18"/>
    <x v="1"/>
    <m/>
    <m/>
    <m/>
    <m/>
    <n v="2679"/>
    <m/>
    <m/>
    <m/>
    <m/>
    <m/>
    <m/>
    <m/>
    <m/>
    <m/>
    <m/>
    <m/>
    <s v="Plane Crash"/>
    <s v="Financial contribution made to memorial; beneficiaries: 5 members per each family assisted."/>
  </r>
  <r>
    <m/>
    <n v="57"/>
    <x v="67"/>
    <d v="2001-10-01T00:00:00"/>
    <x v="6"/>
    <n v="7"/>
    <m/>
    <x v="6"/>
    <n v="21"/>
    <x v="2"/>
    <s v="Mexico"/>
    <m/>
    <x v="5"/>
    <s v="Tropical Cyclone"/>
    <s v="Hurricane"/>
    <x v="0"/>
    <x v="0"/>
    <m/>
    <m/>
    <m/>
    <m/>
    <m/>
    <m/>
    <m/>
    <m/>
    <x v="0"/>
    <m/>
    <m/>
    <m/>
    <m/>
    <n v="25000"/>
    <m/>
    <n v="25000"/>
    <n v="1"/>
    <m/>
    <m/>
    <m/>
    <m/>
    <m/>
    <m/>
    <m/>
    <m/>
    <m/>
    <m/>
    <m/>
    <m/>
    <m/>
    <m/>
    <m/>
    <m/>
    <m/>
    <m/>
    <m/>
    <n v="25000"/>
    <m/>
    <m/>
    <n v="5000"/>
    <x v="8"/>
    <x v="1"/>
    <m/>
    <m/>
    <m/>
    <m/>
    <n v="2898"/>
    <m/>
    <m/>
    <m/>
    <m/>
    <m/>
    <m/>
    <m/>
    <m/>
    <m/>
    <m/>
    <m/>
    <s v="Juliette"/>
    <s v="Financial contribution designated for relief supplies.  Beneficiaries: 5 members per each family assisted."/>
  </r>
  <r>
    <m/>
    <n v="58"/>
    <x v="68"/>
    <d v="2001-10-01T00:00:00"/>
    <x v="6"/>
    <n v="8"/>
    <m/>
    <x v="6"/>
    <n v="22"/>
    <x v="2"/>
    <s v="Belize"/>
    <m/>
    <x v="13"/>
    <s v="Tropical Cyclone"/>
    <s v="Hurricane"/>
    <x v="0"/>
    <x v="0"/>
    <m/>
    <m/>
    <m/>
    <m/>
    <m/>
    <m/>
    <m/>
    <m/>
    <x v="0"/>
    <m/>
    <m/>
    <m/>
    <m/>
    <n v="25000"/>
    <m/>
    <n v="25000"/>
    <n v="3"/>
    <m/>
    <m/>
    <m/>
    <m/>
    <m/>
    <m/>
    <m/>
    <m/>
    <m/>
    <m/>
    <m/>
    <m/>
    <m/>
    <m/>
    <m/>
    <m/>
    <m/>
    <n v="69000"/>
    <n v="3982"/>
    <n v="97982"/>
    <m/>
    <m/>
    <n v="5000"/>
    <x v="43"/>
    <x v="1"/>
    <m/>
    <m/>
    <m/>
    <m/>
    <n v="2678"/>
    <m/>
    <m/>
    <m/>
    <m/>
    <m/>
    <m/>
    <m/>
    <m/>
    <m/>
    <m/>
    <m/>
    <s v="Iris"/>
    <s v="$20,000 for hygiene kits; $19,000 given to Guatemala ARC delegation for hygiene kits and $50,000 in relief supplies to BRC."/>
  </r>
  <r>
    <m/>
    <n v="59"/>
    <x v="69"/>
    <d v="2001-10-01T00:00:00"/>
    <x v="6"/>
    <n v="9"/>
    <m/>
    <x v="6"/>
    <n v="23"/>
    <x v="2"/>
    <s v="Belize"/>
    <m/>
    <x v="9"/>
    <s v="Water"/>
    <s v="Water"/>
    <x v="0"/>
    <x v="0"/>
    <m/>
    <m/>
    <m/>
    <m/>
    <m/>
    <m/>
    <m/>
    <m/>
    <x v="0"/>
    <m/>
    <m/>
    <m/>
    <m/>
    <m/>
    <m/>
    <n v="0"/>
    <n v="2"/>
    <m/>
    <m/>
    <m/>
    <m/>
    <m/>
    <m/>
    <m/>
    <m/>
    <m/>
    <m/>
    <m/>
    <m/>
    <m/>
    <m/>
    <m/>
    <m/>
    <m/>
    <n v="0"/>
    <n v="4400"/>
    <n v="4400"/>
    <m/>
    <m/>
    <n v="135"/>
    <x v="44"/>
    <x v="1"/>
    <m/>
    <m/>
    <m/>
    <m/>
    <n v="2898"/>
    <m/>
    <m/>
    <m/>
    <m/>
    <m/>
    <m/>
    <m/>
    <m/>
    <m/>
    <m/>
    <m/>
    <s v="Boat Crash"/>
    <s v="Beneficiaries calculated at 5 family members per each 27 families assisted."/>
  </r>
  <r>
    <m/>
    <n v="60"/>
    <x v="70"/>
    <d v="2001-10-01T00:00:00"/>
    <x v="6"/>
    <n v="10"/>
    <m/>
    <x v="6"/>
    <n v="24"/>
    <x v="2"/>
    <s v="Honduras"/>
    <m/>
    <x v="5"/>
    <s v="Tropical Cyclone"/>
    <s v="Tropical Storm"/>
    <x v="0"/>
    <x v="0"/>
    <m/>
    <m/>
    <m/>
    <m/>
    <m/>
    <m/>
    <m/>
    <m/>
    <x v="0"/>
    <m/>
    <m/>
    <m/>
    <m/>
    <m/>
    <m/>
    <n v="0"/>
    <m/>
    <m/>
    <m/>
    <m/>
    <m/>
    <m/>
    <m/>
    <m/>
    <m/>
    <m/>
    <m/>
    <m/>
    <m/>
    <m/>
    <m/>
    <m/>
    <m/>
    <m/>
    <m/>
    <m/>
    <n v="0"/>
    <m/>
    <m/>
    <m/>
    <x v="7"/>
    <x v="1"/>
    <m/>
    <m/>
    <m/>
    <m/>
    <n v="2898"/>
    <m/>
    <m/>
    <m/>
    <m/>
    <m/>
    <m/>
    <m/>
    <m/>
    <m/>
    <m/>
    <m/>
    <s v="Michelle"/>
    <m/>
  </r>
  <r>
    <m/>
    <n v="60"/>
    <x v="71"/>
    <d v="2001-11-01T00:00:00"/>
    <x v="6"/>
    <n v="10"/>
    <m/>
    <x v="6"/>
    <n v="24"/>
    <x v="2"/>
    <s v="Nicaragua"/>
    <m/>
    <x v="5"/>
    <s v="Tropical Cyclone"/>
    <s v="Tropical Storm"/>
    <x v="0"/>
    <x v="0"/>
    <m/>
    <m/>
    <m/>
    <m/>
    <m/>
    <m/>
    <m/>
    <m/>
    <x v="0"/>
    <m/>
    <m/>
    <m/>
    <m/>
    <m/>
    <m/>
    <n v="0"/>
    <m/>
    <m/>
    <m/>
    <m/>
    <m/>
    <m/>
    <m/>
    <m/>
    <m/>
    <m/>
    <m/>
    <m/>
    <m/>
    <m/>
    <m/>
    <m/>
    <m/>
    <m/>
    <m/>
    <n v="60000"/>
    <n v="60000"/>
    <m/>
    <m/>
    <n v="5000"/>
    <x v="45"/>
    <x v="1"/>
    <m/>
    <m/>
    <m/>
    <m/>
    <n v="2898"/>
    <m/>
    <m/>
    <m/>
    <m/>
    <m/>
    <m/>
    <m/>
    <m/>
    <m/>
    <m/>
    <m/>
    <s v="Michelle"/>
    <s v="$10,000 from Nicaragua delegation for procurement of relief supplies.  $50,000 from OFDA for Honduras. (The 1,000 families assisted were in Honduras through the Emergency Food Rations) "/>
  </r>
  <r>
    <m/>
    <n v="60"/>
    <x v="72"/>
    <d v="2001-11-01T00:00:00"/>
    <x v="6"/>
    <n v="10"/>
    <m/>
    <x v="6"/>
    <n v="24"/>
    <x v="2"/>
    <s v="Cuba"/>
    <m/>
    <x v="5"/>
    <s v="Tropical Cyclone"/>
    <s v="Tropical Storm"/>
    <x v="0"/>
    <x v="0"/>
    <m/>
    <m/>
    <m/>
    <m/>
    <m/>
    <m/>
    <m/>
    <m/>
    <x v="0"/>
    <m/>
    <m/>
    <m/>
    <m/>
    <m/>
    <m/>
    <n v="0"/>
    <m/>
    <m/>
    <m/>
    <m/>
    <m/>
    <m/>
    <m/>
    <m/>
    <m/>
    <m/>
    <m/>
    <m/>
    <m/>
    <m/>
    <m/>
    <m/>
    <m/>
    <m/>
    <m/>
    <m/>
    <n v="0"/>
    <m/>
    <m/>
    <m/>
    <x v="7"/>
    <x v="1"/>
    <m/>
    <m/>
    <m/>
    <m/>
    <n v="2898"/>
    <m/>
    <m/>
    <m/>
    <m/>
    <m/>
    <m/>
    <m/>
    <m/>
    <m/>
    <m/>
    <m/>
    <s v="Michelle"/>
    <m/>
  </r>
  <r>
    <m/>
    <n v="60"/>
    <x v="73"/>
    <d v="2001-11-01T00:00:00"/>
    <x v="6"/>
    <n v="10"/>
    <m/>
    <x v="6"/>
    <n v="24"/>
    <x v="2"/>
    <s v="Jamaica"/>
    <m/>
    <x v="5"/>
    <s v="Tropical Cyclone"/>
    <s v="Tropical Storm"/>
    <x v="0"/>
    <x v="0"/>
    <m/>
    <m/>
    <m/>
    <m/>
    <m/>
    <m/>
    <m/>
    <m/>
    <x v="0"/>
    <m/>
    <m/>
    <m/>
    <m/>
    <n v="5000"/>
    <m/>
    <n v="5000"/>
    <m/>
    <m/>
    <m/>
    <m/>
    <m/>
    <m/>
    <m/>
    <m/>
    <m/>
    <m/>
    <m/>
    <m/>
    <m/>
    <m/>
    <m/>
    <m/>
    <m/>
    <m/>
    <m/>
    <m/>
    <n v="5000"/>
    <m/>
    <m/>
    <m/>
    <x v="46"/>
    <x v="1"/>
    <m/>
    <m/>
    <m/>
    <m/>
    <n v="2898"/>
    <m/>
    <m/>
    <m/>
    <m/>
    <m/>
    <m/>
    <m/>
    <m/>
    <m/>
    <m/>
    <m/>
    <s v="Michelle"/>
    <m/>
  </r>
  <r>
    <m/>
    <n v="61"/>
    <x v="13"/>
    <d v="2001-11-01T00:00:00"/>
    <x v="6"/>
    <n v="11"/>
    <m/>
    <x v="6"/>
    <n v="25"/>
    <x v="2"/>
    <s v="Bahamas"/>
    <m/>
    <x v="5"/>
    <s v="Tropical Cyclone"/>
    <s v="Tropical Storm"/>
    <x v="0"/>
    <x v="0"/>
    <m/>
    <m/>
    <m/>
    <m/>
    <m/>
    <m/>
    <m/>
    <m/>
    <x v="0"/>
    <m/>
    <m/>
    <m/>
    <m/>
    <n v="5000"/>
    <m/>
    <n v="5000"/>
    <n v="0"/>
    <m/>
    <m/>
    <m/>
    <m/>
    <m/>
    <m/>
    <m/>
    <m/>
    <m/>
    <m/>
    <m/>
    <m/>
    <m/>
    <m/>
    <m/>
    <m/>
    <m/>
    <m/>
    <m/>
    <n v="5000"/>
    <m/>
    <m/>
    <m/>
    <x v="46"/>
    <x v="1"/>
    <m/>
    <m/>
    <m/>
    <m/>
    <n v="2898"/>
    <m/>
    <m/>
    <m/>
    <m/>
    <m/>
    <m/>
    <m/>
    <m/>
    <m/>
    <m/>
    <m/>
    <s v="Michelle"/>
    <m/>
  </r>
  <r>
    <m/>
    <n v="62"/>
    <x v="74"/>
    <d v="2001-11-01T00:00:00"/>
    <x v="6"/>
    <n v="12"/>
    <m/>
    <x v="6"/>
    <n v="26"/>
    <x v="4"/>
    <s v="US"/>
    <m/>
    <x v="9"/>
    <s v="Air"/>
    <s v="Air"/>
    <x v="0"/>
    <x v="0"/>
    <m/>
    <m/>
    <m/>
    <m/>
    <m/>
    <m/>
    <m/>
    <m/>
    <x v="0"/>
    <m/>
    <m/>
    <m/>
    <m/>
    <m/>
    <m/>
    <n v="0"/>
    <n v="5"/>
    <m/>
    <m/>
    <m/>
    <m/>
    <m/>
    <m/>
    <m/>
    <m/>
    <m/>
    <m/>
    <m/>
    <m/>
    <m/>
    <m/>
    <m/>
    <m/>
    <m/>
    <n v="0"/>
    <n v="500"/>
    <n v="500"/>
    <m/>
    <m/>
    <m/>
    <x v="47"/>
    <x v="1"/>
    <m/>
    <m/>
    <m/>
    <m/>
    <n v="2680"/>
    <m/>
    <m/>
    <m/>
    <m/>
    <m/>
    <m/>
    <m/>
    <m/>
    <m/>
    <m/>
    <m/>
    <s v="AA #587"/>
    <s v="Crash of AA 587 to D.R.  Beneficiaries calculated at 5 family members per each 260 families assisted."/>
  </r>
  <r>
    <m/>
    <n v="63"/>
    <x v="75"/>
    <d v="2002-01-01T00:00:00"/>
    <x v="6"/>
    <n v="13"/>
    <m/>
    <x v="7"/>
    <n v="1"/>
    <x v="3"/>
    <s v="Cambodia"/>
    <m/>
    <x v="10"/>
    <s v="Fire"/>
    <s v="Urban Fire"/>
    <x v="0"/>
    <x v="0"/>
    <m/>
    <m/>
    <m/>
    <m/>
    <m/>
    <m/>
    <m/>
    <m/>
    <x v="0"/>
    <m/>
    <m/>
    <m/>
    <m/>
    <m/>
    <m/>
    <n v="0"/>
    <m/>
    <m/>
    <m/>
    <m/>
    <m/>
    <m/>
    <m/>
    <m/>
    <m/>
    <m/>
    <m/>
    <m/>
    <m/>
    <m/>
    <m/>
    <m/>
    <m/>
    <m/>
    <n v="10000"/>
    <m/>
    <n v="10000"/>
    <m/>
    <m/>
    <n v="2079"/>
    <x v="6"/>
    <x v="1"/>
    <m/>
    <m/>
    <m/>
    <m/>
    <n v="2898"/>
    <m/>
    <m/>
    <m/>
    <m/>
    <m/>
    <m/>
    <m/>
    <m/>
    <m/>
    <m/>
    <m/>
    <s v="Phnom Penh"/>
    <m/>
  </r>
  <r>
    <m/>
    <n v="64"/>
    <x v="76"/>
    <d v="2002-01-01T00:00:00"/>
    <x v="6"/>
    <n v="14"/>
    <m/>
    <x v="7"/>
    <n v="2"/>
    <x v="3"/>
    <s v="Albania"/>
    <m/>
    <x v="5"/>
    <s v="Winter Emergency"/>
    <m/>
    <x v="0"/>
    <x v="0"/>
    <m/>
    <m/>
    <m/>
    <m/>
    <m/>
    <m/>
    <m/>
    <m/>
    <x v="0"/>
    <m/>
    <m/>
    <m/>
    <m/>
    <m/>
    <m/>
    <n v="0"/>
    <n v="1"/>
    <m/>
    <m/>
    <m/>
    <m/>
    <m/>
    <m/>
    <m/>
    <m/>
    <m/>
    <m/>
    <m/>
    <m/>
    <m/>
    <m/>
    <m/>
    <m/>
    <m/>
    <n v="71832"/>
    <m/>
    <n v="71832"/>
    <m/>
    <m/>
    <n v="20000"/>
    <x v="48"/>
    <x v="1"/>
    <m/>
    <m/>
    <m/>
    <m/>
    <n v="2898"/>
    <m/>
    <m/>
    <m/>
    <m/>
    <m/>
    <m/>
    <m/>
    <m/>
    <m/>
    <m/>
    <m/>
    <m/>
    <s v="Beneficiaries calculated at 5 family members per the 4,000 families assisted."/>
  </r>
  <r>
    <m/>
    <n v="65"/>
    <x v="77"/>
    <d v="2002-01-01T00:00:00"/>
    <x v="6"/>
    <n v="15"/>
    <m/>
    <x v="7"/>
    <n v="3"/>
    <x v="1"/>
    <s v="DR Congo"/>
    <m/>
    <x v="4"/>
    <s v="Volcanic Eruption"/>
    <s v="Volcanic Eruption"/>
    <x v="0"/>
    <x v="0"/>
    <m/>
    <m/>
    <m/>
    <m/>
    <m/>
    <m/>
    <m/>
    <m/>
    <x v="0"/>
    <m/>
    <n v="0"/>
    <n v="25000"/>
    <m/>
    <m/>
    <m/>
    <n v="25000"/>
    <m/>
    <m/>
    <m/>
    <m/>
    <m/>
    <m/>
    <m/>
    <m/>
    <m/>
    <m/>
    <m/>
    <m/>
    <m/>
    <m/>
    <m/>
    <m/>
    <m/>
    <m/>
    <n v="20000"/>
    <m/>
    <n v="45000"/>
    <m/>
    <m/>
    <n v="30000"/>
    <x v="49"/>
    <x v="1"/>
    <m/>
    <m/>
    <m/>
    <m/>
    <n v="2681"/>
    <m/>
    <m/>
    <m/>
    <m/>
    <m/>
    <m/>
    <m/>
    <m/>
    <m/>
    <m/>
    <m/>
    <s v="North Kivu"/>
    <s v="3 NEHK (approx. value $20,000 incl. transport) = 30,000 people for 3 months."/>
  </r>
  <r>
    <m/>
    <n v="66"/>
    <x v="78"/>
    <d v="2002-01-01T00:00:00"/>
    <x v="6"/>
    <n v="17"/>
    <m/>
    <x v="7"/>
    <n v="5"/>
    <x v="1"/>
    <s v="Nigeria"/>
    <m/>
    <x v="6"/>
    <s v="Explosion"/>
    <s v="Explosion"/>
    <x v="0"/>
    <x v="0"/>
    <m/>
    <m/>
    <m/>
    <m/>
    <m/>
    <m/>
    <m/>
    <m/>
    <x v="0"/>
    <m/>
    <n v="0"/>
    <n v="21612.23"/>
    <m/>
    <m/>
    <m/>
    <n v="21612.23"/>
    <m/>
    <m/>
    <m/>
    <m/>
    <m/>
    <m/>
    <m/>
    <m/>
    <m/>
    <m/>
    <m/>
    <m/>
    <m/>
    <m/>
    <m/>
    <m/>
    <m/>
    <m/>
    <m/>
    <m/>
    <n v="21612.23"/>
    <m/>
    <m/>
    <n v="677.77942515832501"/>
    <x v="50"/>
    <x v="1"/>
    <m/>
    <m/>
    <m/>
    <m/>
    <n v="2682"/>
    <m/>
    <m/>
    <m/>
    <m/>
    <m/>
    <m/>
    <m/>
    <m/>
    <m/>
    <m/>
    <m/>
    <s v="Munitions Explosion"/>
    <s v="$20,000 Citicorp donation; $1,612.23 PMN sent to Federation 22 August 03"/>
  </r>
  <r>
    <m/>
    <n v="67"/>
    <x v="9"/>
    <d v="2002-02-01T00:00:00"/>
    <x v="6"/>
    <n v="16"/>
    <m/>
    <x v="7"/>
    <n v="4"/>
    <x v="3"/>
    <s v="Turkey"/>
    <m/>
    <x v="3"/>
    <s v="Earthquake"/>
    <s v="Earthquake"/>
    <x v="0"/>
    <x v="0"/>
    <m/>
    <m/>
    <m/>
    <m/>
    <m/>
    <m/>
    <m/>
    <m/>
    <x v="0"/>
    <m/>
    <m/>
    <m/>
    <m/>
    <m/>
    <m/>
    <n v="0"/>
    <n v="1"/>
    <m/>
    <m/>
    <m/>
    <m/>
    <m/>
    <m/>
    <m/>
    <m/>
    <m/>
    <m/>
    <m/>
    <m/>
    <m/>
    <m/>
    <m/>
    <m/>
    <m/>
    <n v="350424.24"/>
    <m/>
    <n v="350424.24"/>
    <m/>
    <m/>
    <n v="49315"/>
    <x v="51"/>
    <x v="1"/>
    <m/>
    <m/>
    <m/>
    <m/>
    <n v="2814"/>
    <m/>
    <m/>
    <m/>
    <m/>
    <m/>
    <m/>
    <m/>
    <m/>
    <m/>
    <m/>
    <m/>
    <m/>
    <m/>
  </r>
  <r>
    <m/>
    <n v="68"/>
    <x v="48"/>
    <d v="2002-03-01T00:00:00"/>
    <x v="6"/>
    <n v="18"/>
    <m/>
    <x v="7"/>
    <n v="6"/>
    <x v="2"/>
    <s v="Bolivia"/>
    <m/>
    <x v="2"/>
    <s v="General Floods"/>
    <s v="General Floods"/>
    <x v="0"/>
    <x v="0"/>
    <m/>
    <m/>
    <m/>
    <m/>
    <m/>
    <m/>
    <m/>
    <m/>
    <x v="0"/>
    <m/>
    <m/>
    <m/>
    <m/>
    <n v="11700"/>
    <m/>
    <n v="11700"/>
    <m/>
    <m/>
    <m/>
    <m/>
    <m/>
    <m/>
    <m/>
    <m/>
    <m/>
    <m/>
    <m/>
    <m/>
    <m/>
    <m/>
    <m/>
    <m/>
    <m/>
    <m/>
    <m/>
    <m/>
    <n v="11700"/>
    <m/>
    <m/>
    <n v="300"/>
    <x v="52"/>
    <x v="1"/>
    <m/>
    <m/>
    <m/>
    <m/>
    <n v="2898"/>
    <m/>
    <m/>
    <m/>
    <m/>
    <m/>
    <m/>
    <m/>
    <m/>
    <m/>
    <m/>
    <m/>
    <m/>
    <m/>
  </r>
  <r>
    <m/>
    <n v="69"/>
    <x v="79"/>
    <d v="2002-03-01T00:00:00"/>
    <x v="6"/>
    <n v="19"/>
    <m/>
    <x v="7"/>
    <n v="7"/>
    <x v="3"/>
    <s v="Afghanistan"/>
    <m/>
    <x v="3"/>
    <s v="Earthquake"/>
    <s v="Earthquake"/>
    <x v="0"/>
    <x v="0"/>
    <m/>
    <m/>
    <m/>
    <m/>
    <m/>
    <m/>
    <m/>
    <m/>
    <x v="0"/>
    <m/>
    <m/>
    <m/>
    <n v="104805"/>
    <m/>
    <m/>
    <n v="104805"/>
    <n v="2"/>
    <m/>
    <m/>
    <m/>
    <m/>
    <m/>
    <m/>
    <m/>
    <m/>
    <m/>
    <m/>
    <m/>
    <m/>
    <m/>
    <m/>
    <m/>
    <m/>
    <m/>
    <m/>
    <m/>
    <n v="104805"/>
    <m/>
    <m/>
    <n v="19678.7"/>
    <x v="53"/>
    <x v="1"/>
    <m/>
    <m/>
    <m/>
    <m/>
    <n v="2876"/>
    <m/>
    <m/>
    <m/>
    <m/>
    <m/>
    <m/>
    <m/>
    <m/>
    <m/>
    <m/>
    <m/>
    <m/>
    <s v="NEHK for Mazar e Sharif "/>
  </r>
  <r>
    <m/>
    <n v="70"/>
    <x v="36"/>
    <d v="2002-04-01T00:00:00"/>
    <x v="6"/>
    <n v="20"/>
    <m/>
    <x v="7"/>
    <n v="8"/>
    <x v="3"/>
    <s v="Jordan"/>
    <m/>
    <x v="8"/>
    <s v="Conflict"/>
    <s v="Conflict"/>
    <x v="0"/>
    <x v="0"/>
    <m/>
    <m/>
    <m/>
    <m/>
    <m/>
    <m/>
    <m/>
    <m/>
    <x v="0"/>
    <m/>
    <n v="0"/>
    <n v="25000"/>
    <m/>
    <n v="200000"/>
    <m/>
    <n v="225000"/>
    <n v="1"/>
    <m/>
    <m/>
    <m/>
    <m/>
    <m/>
    <m/>
    <m/>
    <m/>
    <m/>
    <m/>
    <m/>
    <m/>
    <m/>
    <m/>
    <m/>
    <m/>
    <m/>
    <m/>
    <m/>
    <n v="225000"/>
    <m/>
    <m/>
    <m/>
    <x v="54"/>
    <x v="1"/>
    <m/>
    <m/>
    <m/>
    <m/>
    <n v="2898"/>
    <m/>
    <m/>
    <m/>
    <m/>
    <m/>
    <m/>
    <m/>
    <m/>
    <m/>
    <m/>
    <m/>
    <m/>
    <s v="Second Installment for ICU sent in Nov 2002"/>
  </r>
  <r>
    <m/>
    <n v="71"/>
    <x v="80"/>
    <d v="2002-05-01T00:00:00"/>
    <x v="6"/>
    <n v="21"/>
    <m/>
    <x v="7"/>
    <n v="9"/>
    <x v="2"/>
    <s v="Panama"/>
    <m/>
    <x v="2"/>
    <s v="General Floods"/>
    <s v="General Floods"/>
    <x v="0"/>
    <x v="0"/>
    <m/>
    <m/>
    <m/>
    <m/>
    <m/>
    <m/>
    <m/>
    <m/>
    <x v="0"/>
    <m/>
    <m/>
    <m/>
    <m/>
    <n v="2000"/>
    <m/>
    <n v="2000"/>
    <m/>
    <m/>
    <m/>
    <m/>
    <m/>
    <m/>
    <m/>
    <m/>
    <m/>
    <m/>
    <m/>
    <m/>
    <m/>
    <m/>
    <m/>
    <m/>
    <m/>
    <m/>
    <m/>
    <m/>
    <n v="2000"/>
    <m/>
    <m/>
    <m/>
    <x v="55"/>
    <x v="1"/>
    <m/>
    <m/>
    <m/>
    <m/>
    <n v="2898"/>
    <m/>
    <m/>
    <m/>
    <m/>
    <m/>
    <m/>
    <m/>
    <m/>
    <m/>
    <m/>
    <m/>
    <m/>
    <m/>
  </r>
  <r>
    <m/>
    <n v="71"/>
    <x v="7"/>
    <d v="2002-05-01T00:00:00"/>
    <x v="6"/>
    <n v="21"/>
    <m/>
    <x v="7"/>
    <n v="9"/>
    <x v="2"/>
    <s v="Costa Rica"/>
    <m/>
    <x v="2"/>
    <s v="General Floods"/>
    <s v="General Floods"/>
    <x v="0"/>
    <x v="0"/>
    <m/>
    <m/>
    <m/>
    <m/>
    <m/>
    <m/>
    <m/>
    <m/>
    <x v="0"/>
    <m/>
    <m/>
    <m/>
    <m/>
    <n v="2000"/>
    <m/>
    <n v="2000"/>
    <m/>
    <m/>
    <m/>
    <m/>
    <m/>
    <m/>
    <m/>
    <m/>
    <m/>
    <m/>
    <m/>
    <m/>
    <m/>
    <m/>
    <m/>
    <m/>
    <m/>
    <m/>
    <m/>
    <m/>
    <n v="2000"/>
    <m/>
    <m/>
    <n v="0"/>
    <x v="55"/>
    <x v="1"/>
    <m/>
    <m/>
    <m/>
    <m/>
    <n v="2898"/>
    <m/>
    <m/>
    <m/>
    <m/>
    <m/>
    <m/>
    <m/>
    <m/>
    <m/>
    <m/>
    <m/>
    <m/>
    <m/>
  </r>
  <r>
    <m/>
    <n v="72"/>
    <x v="81"/>
    <d v="2002-05-01T00:00:00"/>
    <x v="6"/>
    <n v="22"/>
    <m/>
    <x v="7"/>
    <n v="10"/>
    <x v="1"/>
    <s v="Kenya"/>
    <m/>
    <x v="2"/>
    <s v="General Floods"/>
    <s v="General Floods"/>
    <x v="0"/>
    <x v="0"/>
    <m/>
    <m/>
    <m/>
    <m/>
    <m/>
    <m/>
    <m/>
    <m/>
    <x v="0"/>
    <m/>
    <n v="0"/>
    <n v="10000"/>
    <m/>
    <m/>
    <m/>
    <n v="10000"/>
    <m/>
    <m/>
    <m/>
    <m/>
    <m/>
    <m/>
    <m/>
    <m/>
    <m/>
    <m/>
    <m/>
    <m/>
    <m/>
    <m/>
    <m/>
    <m/>
    <m/>
    <m/>
    <m/>
    <m/>
    <n v="10000"/>
    <m/>
    <m/>
    <n v="1160.6960462049883"/>
    <x v="6"/>
    <x v="1"/>
    <m/>
    <m/>
    <m/>
    <m/>
    <n v="2898"/>
    <m/>
    <m/>
    <m/>
    <m/>
    <m/>
    <m/>
    <m/>
    <m/>
    <m/>
    <m/>
    <m/>
    <m/>
    <m/>
  </r>
  <r>
    <m/>
    <n v="73"/>
    <x v="82"/>
    <d v="2002-05-01T00:00:00"/>
    <x v="6"/>
    <n v="23"/>
    <m/>
    <x v="7"/>
    <n v="11"/>
    <x v="1"/>
    <s v="Malawi"/>
    <m/>
    <x v="14"/>
    <s v="Food Insecurity"/>
    <s v="Food Insecurity"/>
    <x v="0"/>
    <x v="0"/>
    <m/>
    <m/>
    <m/>
    <m/>
    <m/>
    <m/>
    <m/>
    <m/>
    <x v="0"/>
    <m/>
    <m/>
    <m/>
    <m/>
    <m/>
    <m/>
    <n v="0"/>
    <n v="3"/>
    <m/>
    <m/>
    <m/>
    <m/>
    <m/>
    <m/>
    <m/>
    <m/>
    <m/>
    <m/>
    <m/>
    <m/>
    <m/>
    <m/>
    <m/>
    <m/>
    <m/>
    <m/>
    <n v="100000"/>
    <n v="100000"/>
    <m/>
    <m/>
    <n v="96000"/>
    <x v="5"/>
    <x v="1"/>
    <m/>
    <m/>
    <m/>
    <m/>
    <n v="2683"/>
    <m/>
    <m/>
    <m/>
    <m/>
    <m/>
    <m/>
    <m/>
    <m/>
    <m/>
    <m/>
    <m/>
    <m/>
    <m/>
  </r>
  <r>
    <m/>
    <n v="74"/>
    <x v="83"/>
    <d v="2002-06-01T00:00:00"/>
    <x v="6"/>
    <n v="24"/>
    <m/>
    <x v="7"/>
    <n v="12"/>
    <x v="2"/>
    <s v="Nicaragua"/>
    <m/>
    <x v="2"/>
    <s v="General Floods"/>
    <s v="General Floods"/>
    <x v="0"/>
    <x v="0"/>
    <m/>
    <m/>
    <m/>
    <m/>
    <m/>
    <m/>
    <m/>
    <m/>
    <x v="0"/>
    <m/>
    <m/>
    <m/>
    <m/>
    <m/>
    <m/>
    <n v="0"/>
    <n v="1"/>
    <m/>
    <m/>
    <m/>
    <m/>
    <m/>
    <m/>
    <m/>
    <m/>
    <m/>
    <m/>
    <m/>
    <m/>
    <m/>
    <m/>
    <m/>
    <m/>
    <m/>
    <m/>
    <m/>
    <n v="0"/>
    <m/>
    <m/>
    <n v="0"/>
    <x v="7"/>
    <x v="1"/>
    <m/>
    <m/>
    <m/>
    <m/>
    <n v="2821"/>
    <m/>
    <m/>
    <m/>
    <m/>
    <m/>
    <m/>
    <m/>
    <m/>
    <m/>
    <m/>
    <m/>
    <m/>
    <s v="supervised dist. of $50,000 of supplies given to NRC by USAID"/>
  </r>
  <r>
    <m/>
    <n v="75"/>
    <x v="84"/>
    <d v="2002-06-01T00:00:00"/>
    <x v="6"/>
    <n v="25"/>
    <m/>
    <x v="7"/>
    <n v="13"/>
    <x v="3"/>
    <s v="Syria"/>
    <m/>
    <x v="10"/>
    <s v="Collapse"/>
    <s v="Collapse"/>
    <x v="0"/>
    <x v="0"/>
    <m/>
    <m/>
    <m/>
    <m/>
    <m/>
    <m/>
    <m/>
    <m/>
    <x v="0"/>
    <m/>
    <n v="0"/>
    <n v="10000"/>
    <m/>
    <m/>
    <m/>
    <n v="10000"/>
    <m/>
    <m/>
    <m/>
    <m/>
    <m/>
    <m/>
    <m/>
    <m/>
    <m/>
    <m/>
    <m/>
    <m/>
    <m/>
    <m/>
    <m/>
    <m/>
    <m/>
    <m/>
    <m/>
    <m/>
    <n v="10000"/>
    <m/>
    <m/>
    <n v="216.21621621621622"/>
    <x v="6"/>
    <x v="1"/>
    <m/>
    <m/>
    <m/>
    <m/>
    <n v="2898"/>
    <m/>
    <m/>
    <m/>
    <m/>
    <m/>
    <m/>
    <m/>
    <m/>
    <m/>
    <m/>
    <m/>
    <s v="Dam Burst"/>
    <s v="Federation appeal15/2002 - Zeyzoun Dam Collapse"/>
  </r>
  <r>
    <m/>
    <n v="76"/>
    <x v="8"/>
    <d v="2002-06-01T00:00:00"/>
    <x v="6"/>
    <n v="26"/>
    <m/>
    <x v="7"/>
    <n v="14"/>
    <x v="3"/>
    <s v="China"/>
    <m/>
    <x v="2"/>
    <s v="General Floods"/>
    <s v="General Floods"/>
    <x v="0"/>
    <x v="0"/>
    <m/>
    <m/>
    <m/>
    <m/>
    <m/>
    <m/>
    <m/>
    <m/>
    <x v="0"/>
    <m/>
    <m/>
    <m/>
    <m/>
    <n v="75000"/>
    <m/>
    <n v="75000"/>
    <m/>
    <m/>
    <m/>
    <m/>
    <m/>
    <m/>
    <m/>
    <m/>
    <m/>
    <m/>
    <m/>
    <m/>
    <m/>
    <m/>
    <m/>
    <m/>
    <m/>
    <m/>
    <m/>
    <m/>
    <n v="75000"/>
    <m/>
    <m/>
    <n v="2243.493867783428"/>
    <x v="56"/>
    <x v="1"/>
    <m/>
    <m/>
    <m/>
    <m/>
    <n v="2060"/>
    <m/>
    <m/>
    <m/>
    <m/>
    <m/>
    <m/>
    <m/>
    <m/>
    <m/>
    <m/>
    <m/>
    <m/>
    <s v="Federation appeal 16/2002; $75,000 from Region"/>
  </r>
  <r>
    <m/>
    <n v="76"/>
    <x v="8"/>
    <d v="2002-06-01T00:00:00"/>
    <x v="6"/>
    <n v="26"/>
    <m/>
    <x v="7"/>
    <n v="14"/>
    <x v="3"/>
    <s v="China"/>
    <m/>
    <x v="2"/>
    <s v="General Floods"/>
    <s v="General Floods"/>
    <x v="0"/>
    <x v="0"/>
    <m/>
    <m/>
    <m/>
    <m/>
    <m/>
    <m/>
    <m/>
    <m/>
    <x v="0"/>
    <m/>
    <m/>
    <m/>
    <m/>
    <n v="25000"/>
    <m/>
    <n v="25000"/>
    <m/>
    <m/>
    <m/>
    <m/>
    <m/>
    <m/>
    <m/>
    <m/>
    <m/>
    <m/>
    <m/>
    <m/>
    <m/>
    <m/>
    <m/>
    <m/>
    <m/>
    <m/>
    <m/>
    <m/>
    <n v="25000"/>
    <m/>
    <m/>
    <m/>
    <x v="8"/>
    <x v="1"/>
    <m/>
    <m/>
    <m/>
    <m/>
    <n v="2898"/>
    <m/>
    <m/>
    <m/>
    <m/>
    <m/>
    <m/>
    <m/>
    <m/>
    <m/>
    <m/>
    <m/>
    <m/>
    <m/>
  </r>
  <r>
    <m/>
    <n v="76"/>
    <x v="8"/>
    <d v="2002-06-01T00:00:00"/>
    <x v="6"/>
    <n v="26"/>
    <m/>
    <x v="7"/>
    <n v="14"/>
    <x v="3"/>
    <s v="China"/>
    <m/>
    <x v="2"/>
    <s v="General Floods"/>
    <s v="General Floods"/>
    <x v="0"/>
    <x v="0"/>
    <m/>
    <m/>
    <m/>
    <m/>
    <m/>
    <m/>
    <m/>
    <m/>
    <x v="0"/>
    <m/>
    <m/>
    <m/>
    <m/>
    <n v="100000"/>
    <m/>
    <n v="100000"/>
    <m/>
    <m/>
    <m/>
    <m/>
    <m/>
    <m/>
    <m/>
    <m/>
    <m/>
    <m/>
    <m/>
    <m/>
    <m/>
    <m/>
    <m/>
    <m/>
    <m/>
    <m/>
    <m/>
    <m/>
    <n v="100000"/>
    <m/>
    <m/>
    <m/>
    <x v="5"/>
    <x v="2"/>
    <m/>
    <m/>
    <m/>
    <m/>
    <n v="2099"/>
    <m/>
    <m/>
    <m/>
    <m/>
    <m/>
    <m/>
    <m/>
    <m/>
    <m/>
    <m/>
    <m/>
    <m/>
    <s v="$100,000 from Phillip Morris (AP 2099) in October 2002"/>
  </r>
  <r>
    <m/>
    <n v="77"/>
    <x v="51"/>
    <d v="2002-07-01T00:00:00"/>
    <x v="7"/>
    <n v="1"/>
    <m/>
    <x v="7"/>
    <n v="15"/>
    <x v="3"/>
    <s v="Russian Fed."/>
    <m/>
    <x v="2"/>
    <s v="General Floods"/>
    <s v="General Floods"/>
    <x v="0"/>
    <x v="0"/>
    <m/>
    <m/>
    <m/>
    <m/>
    <m/>
    <m/>
    <m/>
    <m/>
    <x v="0"/>
    <m/>
    <m/>
    <m/>
    <m/>
    <n v="50000"/>
    <m/>
    <n v="50000"/>
    <n v="1"/>
    <m/>
    <m/>
    <m/>
    <m/>
    <m/>
    <m/>
    <m/>
    <m/>
    <m/>
    <m/>
    <m/>
    <m/>
    <m/>
    <m/>
    <m/>
    <m/>
    <m/>
    <m/>
    <m/>
    <n v="50000"/>
    <m/>
    <m/>
    <n v="5000"/>
    <x v="16"/>
    <x v="1"/>
    <m/>
    <m/>
    <m/>
    <m/>
    <n v="2664"/>
    <m/>
    <m/>
    <m/>
    <m/>
    <m/>
    <m/>
    <m/>
    <m/>
    <m/>
    <m/>
    <m/>
    <m/>
    <s v="Dagestan:  IRT Ramsey Rayyis; Federation Appeal 20/2002; grant from US Embassy in Moscow"/>
  </r>
  <r>
    <m/>
    <n v="78"/>
    <x v="85"/>
    <d v="2002-07-01T00:00:00"/>
    <x v="7"/>
    <n v="2"/>
    <m/>
    <x v="7"/>
    <n v="16"/>
    <x v="3"/>
    <s v="FS Micronesia"/>
    <m/>
    <x v="5"/>
    <s v="Tropical Cyclone"/>
    <s v="Typhoon"/>
    <x v="0"/>
    <x v="0"/>
    <m/>
    <m/>
    <m/>
    <m/>
    <m/>
    <m/>
    <m/>
    <m/>
    <x v="0"/>
    <m/>
    <m/>
    <m/>
    <m/>
    <m/>
    <m/>
    <n v="0"/>
    <m/>
    <m/>
    <m/>
    <m/>
    <m/>
    <m/>
    <m/>
    <m/>
    <m/>
    <m/>
    <m/>
    <m/>
    <m/>
    <m/>
    <m/>
    <m/>
    <m/>
    <m/>
    <n v="10000"/>
    <m/>
    <n v="10000"/>
    <m/>
    <m/>
    <n v="1000"/>
    <x v="6"/>
    <x v="1"/>
    <m/>
    <m/>
    <m/>
    <m/>
    <n v="2898"/>
    <m/>
    <m/>
    <m/>
    <m/>
    <m/>
    <m/>
    <m/>
    <m/>
    <m/>
    <m/>
    <m/>
    <s v="Chata'an"/>
    <s v="Replenished Supplies sent from ARC/Saipan"/>
  </r>
  <r>
    <m/>
    <n v="79"/>
    <x v="86"/>
    <d v="2002-07-01T00:00:00"/>
    <x v="7"/>
    <n v="3"/>
    <m/>
    <x v="7"/>
    <n v="17"/>
    <x v="2"/>
    <s v="Peru"/>
    <m/>
    <x v="5"/>
    <s v="Winter Storm"/>
    <s v="Snowstorm"/>
    <x v="0"/>
    <x v="0"/>
    <m/>
    <m/>
    <m/>
    <m/>
    <m/>
    <m/>
    <m/>
    <m/>
    <x v="0"/>
    <m/>
    <n v="0"/>
    <n v="5000"/>
    <m/>
    <m/>
    <m/>
    <n v="5000"/>
    <m/>
    <m/>
    <m/>
    <m/>
    <m/>
    <m/>
    <m/>
    <m/>
    <m/>
    <m/>
    <m/>
    <m/>
    <m/>
    <m/>
    <m/>
    <m/>
    <m/>
    <m/>
    <m/>
    <m/>
    <n v="5000"/>
    <m/>
    <m/>
    <m/>
    <x v="46"/>
    <x v="1"/>
    <m/>
    <m/>
    <m/>
    <m/>
    <n v="2898"/>
    <m/>
    <m/>
    <m/>
    <m/>
    <m/>
    <m/>
    <m/>
    <m/>
    <m/>
    <m/>
    <m/>
    <m/>
    <s v="DREF Replenishment"/>
  </r>
  <r>
    <m/>
    <n v="80"/>
    <x v="87"/>
    <d v="2002-07-01T00:00:00"/>
    <x v="7"/>
    <n v="4"/>
    <m/>
    <x v="7"/>
    <n v="18"/>
    <x v="2"/>
    <s v="Bolivia"/>
    <m/>
    <x v="5"/>
    <s v="Winter Storm"/>
    <s v="Snowstorm"/>
    <x v="0"/>
    <x v="0"/>
    <m/>
    <m/>
    <m/>
    <m/>
    <m/>
    <m/>
    <m/>
    <m/>
    <x v="0"/>
    <m/>
    <n v="0"/>
    <n v="5000"/>
    <m/>
    <m/>
    <m/>
    <n v="5000"/>
    <m/>
    <m/>
    <m/>
    <m/>
    <m/>
    <m/>
    <m/>
    <m/>
    <m/>
    <m/>
    <m/>
    <m/>
    <m/>
    <m/>
    <m/>
    <m/>
    <m/>
    <m/>
    <m/>
    <m/>
    <n v="5000"/>
    <m/>
    <m/>
    <m/>
    <x v="46"/>
    <x v="1"/>
    <m/>
    <m/>
    <m/>
    <m/>
    <n v="2898"/>
    <m/>
    <m/>
    <m/>
    <m/>
    <m/>
    <m/>
    <m/>
    <m/>
    <m/>
    <m/>
    <m/>
    <m/>
    <s v="DREF Replenishment"/>
  </r>
  <r>
    <m/>
    <n v="81"/>
    <x v="27"/>
    <d v="2002-07-01T00:00:00"/>
    <x v="7"/>
    <n v="5"/>
    <m/>
    <x v="7"/>
    <n v="19"/>
    <x v="2"/>
    <s v="Venezuela"/>
    <m/>
    <x v="2"/>
    <s v="General Floods"/>
    <s v="General Floods"/>
    <x v="0"/>
    <x v="0"/>
    <m/>
    <m/>
    <m/>
    <m/>
    <m/>
    <m/>
    <m/>
    <m/>
    <x v="0"/>
    <m/>
    <m/>
    <m/>
    <m/>
    <n v="50000"/>
    <m/>
    <n v="50000"/>
    <n v="1"/>
    <m/>
    <m/>
    <m/>
    <m/>
    <m/>
    <m/>
    <m/>
    <m/>
    <m/>
    <m/>
    <m/>
    <m/>
    <m/>
    <m/>
    <m/>
    <m/>
    <m/>
    <m/>
    <m/>
    <n v="50000"/>
    <m/>
    <m/>
    <n v="3840"/>
    <x v="16"/>
    <x v="1"/>
    <m/>
    <m/>
    <m/>
    <m/>
    <n v="2912"/>
    <m/>
    <m/>
    <m/>
    <m/>
    <m/>
    <m/>
    <m/>
    <m/>
    <m/>
    <m/>
    <m/>
    <m/>
    <s v="Funds provided by US Embassy; program implemented by Delegates/IRT members based in Caracas"/>
  </r>
  <r>
    <m/>
    <n v="82"/>
    <x v="33"/>
    <d v="2002-08-01T00:00:00"/>
    <x v="7"/>
    <n v="6"/>
    <m/>
    <x v="7"/>
    <n v="20"/>
    <x v="3"/>
    <s v="India"/>
    <m/>
    <x v="2"/>
    <s v="General Floods"/>
    <s v="General Floods"/>
    <x v="0"/>
    <x v="0"/>
    <m/>
    <m/>
    <m/>
    <m/>
    <m/>
    <m/>
    <m/>
    <m/>
    <x v="0"/>
    <m/>
    <n v="1"/>
    <n v="66918.959999999992"/>
    <m/>
    <m/>
    <m/>
    <n v="66918.959999999992"/>
    <n v="7"/>
    <m/>
    <m/>
    <n v="2900"/>
    <m/>
    <m/>
    <m/>
    <m/>
    <m/>
    <m/>
    <m/>
    <m/>
    <m/>
    <m/>
    <m/>
    <m/>
    <m/>
    <m/>
    <n v="122911.16"/>
    <n v="42422.75"/>
    <n v="232252.87"/>
    <m/>
    <m/>
    <n v="36500"/>
    <x v="57"/>
    <x v="1"/>
    <m/>
    <m/>
    <m/>
    <m/>
    <n v="2954"/>
    <m/>
    <m/>
    <m/>
    <m/>
    <m/>
    <m/>
    <m/>
    <m/>
    <m/>
    <m/>
    <m/>
    <m/>
    <s v="2,900 Family Kits @ $35.88 each; 2 WHO NEHK; 2 WHO Cholera Kits; Flood Mitigation in Assam and Bihar thru Appeal."/>
  </r>
  <r>
    <m/>
    <n v="83"/>
    <x v="88"/>
    <d v="2002-08-01T00:00:00"/>
    <x v="7"/>
    <n v="7"/>
    <m/>
    <x v="7"/>
    <n v="21"/>
    <x v="3"/>
    <s v="Romania"/>
    <m/>
    <x v="2"/>
    <s v="General Floods"/>
    <s v="General Floods"/>
    <x v="0"/>
    <x v="0"/>
    <m/>
    <m/>
    <m/>
    <m/>
    <m/>
    <m/>
    <m/>
    <m/>
    <x v="0"/>
    <m/>
    <m/>
    <m/>
    <m/>
    <m/>
    <m/>
    <n v="0"/>
    <n v="3"/>
    <m/>
    <m/>
    <n v="14500"/>
    <m/>
    <m/>
    <m/>
    <m/>
    <m/>
    <m/>
    <m/>
    <m/>
    <m/>
    <n v="14500"/>
    <m/>
    <m/>
    <m/>
    <m/>
    <n v="102950"/>
    <n v="12189.84"/>
    <n v="115139.84"/>
    <m/>
    <m/>
    <n v="58000"/>
    <x v="58"/>
    <x v="1"/>
    <m/>
    <m/>
    <m/>
    <m/>
    <n v="2685"/>
    <m/>
    <m/>
    <m/>
    <m/>
    <m/>
    <m/>
    <m/>
    <m/>
    <m/>
    <m/>
    <m/>
    <m/>
    <s v="ex Sofia"/>
  </r>
  <r>
    <m/>
    <n v="83"/>
    <x v="89"/>
    <d v="2002-08-01T00:00:00"/>
    <x v="7"/>
    <n v="7"/>
    <m/>
    <x v="7"/>
    <n v="21"/>
    <x v="3"/>
    <s v="Germany"/>
    <m/>
    <x v="2"/>
    <s v="General Floods"/>
    <s v="General Floods"/>
    <x v="0"/>
    <x v="0"/>
    <m/>
    <m/>
    <m/>
    <m/>
    <m/>
    <m/>
    <m/>
    <m/>
    <x v="0"/>
    <m/>
    <m/>
    <m/>
    <m/>
    <n v="75000"/>
    <m/>
    <n v="75000"/>
    <m/>
    <m/>
    <m/>
    <m/>
    <m/>
    <m/>
    <m/>
    <m/>
    <m/>
    <m/>
    <m/>
    <m/>
    <m/>
    <m/>
    <m/>
    <m/>
    <m/>
    <m/>
    <m/>
    <m/>
    <n v="75000"/>
    <m/>
    <m/>
    <n v="7500"/>
    <x v="56"/>
    <x v="2"/>
    <m/>
    <m/>
    <m/>
    <m/>
    <n v="2099"/>
    <m/>
    <m/>
    <m/>
    <m/>
    <m/>
    <m/>
    <m/>
    <m/>
    <m/>
    <m/>
    <m/>
    <m/>
    <s v="Pass throughs from  Alcoa, AmEx, Citigroup, Levi Strauss"/>
  </r>
  <r>
    <m/>
    <n v="83"/>
    <x v="90"/>
    <d v="2002-08-01T00:00:00"/>
    <x v="7"/>
    <n v="7"/>
    <m/>
    <x v="7"/>
    <n v="21"/>
    <x v="3"/>
    <s v="Czech Republic"/>
    <m/>
    <x v="2"/>
    <s v="General Floods"/>
    <s v="General Floods"/>
    <x v="0"/>
    <x v="0"/>
    <m/>
    <m/>
    <m/>
    <m/>
    <m/>
    <m/>
    <m/>
    <m/>
    <x v="0"/>
    <m/>
    <m/>
    <m/>
    <m/>
    <n v="90000"/>
    <m/>
    <n v="90000"/>
    <m/>
    <m/>
    <m/>
    <m/>
    <m/>
    <m/>
    <m/>
    <m/>
    <m/>
    <m/>
    <m/>
    <m/>
    <m/>
    <m/>
    <m/>
    <m/>
    <m/>
    <m/>
    <m/>
    <m/>
    <n v="90000"/>
    <m/>
    <m/>
    <n v="9000"/>
    <x v="29"/>
    <x v="2"/>
    <m/>
    <m/>
    <m/>
    <m/>
    <n v="2099"/>
    <m/>
    <m/>
    <m/>
    <m/>
    <m/>
    <m/>
    <m/>
    <m/>
    <m/>
    <m/>
    <m/>
    <m/>
    <s v="Pass throughs from  AmEx (2099), Levi Strauss (2099) and JP Morgan (2608)"/>
  </r>
  <r>
    <m/>
    <n v="83"/>
    <x v="91"/>
    <d v="2002-08-01T00:00:00"/>
    <x v="7"/>
    <n v="7"/>
    <m/>
    <x v="7"/>
    <n v="21"/>
    <x v="3"/>
    <s v="Slovakia"/>
    <m/>
    <x v="2"/>
    <s v="General Floods"/>
    <s v="General Floods"/>
    <x v="0"/>
    <x v="0"/>
    <m/>
    <m/>
    <m/>
    <m/>
    <m/>
    <m/>
    <m/>
    <m/>
    <x v="0"/>
    <m/>
    <m/>
    <m/>
    <m/>
    <n v="10000"/>
    <m/>
    <n v="10000"/>
    <m/>
    <m/>
    <m/>
    <m/>
    <m/>
    <m/>
    <m/>
    <m/>
    <m/>
    <m/>
    <m/>
    <m/>
    <m/>
    <m/>
    <m/>
    <m/>
    <m/>
    <m/>
    <m/>
    <m/>
    <n v="10000"/>
    <m/>
    <m/>
    <n v="1000"/>
    <x v="6"/>
    <x v="1"/>
    <m/>
    <m/>
    <m/>
    <m/>
    <n v="2608"/>
    <m/>
    <m/>
    <m/>
    <m/>
    <m/>
    <m/>
    <m/>
    <m/>
    <m/>
    <m/>
    <m/>
    <m/>
    <s v="Pass through from JP Morgan / Chase"/>
  </r>
  <r>
    <m/>
    <n v="83"/>
    <x v="92"/>
    <d v="2002-08-01T00:00:00"/>
    <x v="7"/>
    <n v="7"/>
    <m/>
    <x v="7"/>
    <n v="21"/>
    <x v="3"/>
    <s v="Hungary"/>
    <m/>
    <x v="2"/>
    <s v="General Floods"/>
    <s v="General Floods"/>
    <x v="0"/>
    <x v="0"/>
    <m/>
    <m/>
    <m/>
    <m/>
    <m/>
    <m/>
    <m/>
    <m/>
    <x v="0"/>
    <m/>
    <m/>
    <m/>
    <m/>
    <n v="35000"/>
    <m/>
    <n v="35000"/>
    <m/>
    <m/>
    <m/>
    <m/>
    <m/>
    <m/>
    <m/>
    <m/>
    <m/>
    <m/>
    <m/>
    <m/>
    <m/>
    <m/>
    <m/>
    <m/>
    <m/>
    <m/>
    <m/>
    <m/>
    <n v="35000"/>
    <m/>
    <m/>
    <n v="3500"/>
    <x v="59"/>
    <x v="2"/>
    <m/>
    <m/>
    <m/>
    <m/>
    <n v="2099"/>
    <m/>
    <m/>
    <m/>
    <m/>
    <m/>
    <m/>
    <m/>
    <m/>
    <m/>
    <m/>
    <m/>
    <m/>
    <s v="Pass through from  Citigroup (2099) &amp; JP Morgan (2608)"/>
  </r>
  <r>
    <m/>
    <n v="83"/>
    <x v="93"/>
    <d v="2002-08-01T00:00:00"/>
    <x v="7"/>
    <n v="7"/>
    <m/>
    <x v="7"/>
    <n v="21"/>
    <x v="3"/>
    <s v="Austria"/>
    <m/>
    <x v="2"/>
    <s v="General Floods"/>
    <s v="General Floods"/>
    <x v="0"/>
    <x v="0"/>
    <m/>
    <m/>
    <m/>
    <m/>
    <m/>
    <m/>
    <m/>
    <m/>
    <x v="0"/>
    <m/>
    <m/>
    <m/>
    <m/>
    <n v="25000"/>
    <m/>
    <n v="25000"/>
    <m/>
    <m/>
    <m/>
    <m/>
    <m/>
    <m/>
    <m/>
    <m/>
    <m/>
    <m/>
    <m/>
    <m/>
    <m/>
    <m/>
    <m/>
    <m/>
    <m/>
    <m/>
    <m/>
    <m/>
    <n v="25000"/>
    <m/>
    <m/>
    <n v="2500"/>
    <x v="8"/>
    <x v="1"/>
    <m/>
    <m/>
    <m/>
    <m/>
    <n v="2608"/>
    <m/>
    <m/>
    <m/>
    <m/>
    <m/>
    <m/>
    <m/>
    <m/>
    <m/>
    <m/>
    <m/>
    <m/>
    <s v="AMEX re-directed funds from their ADGP"/>
  </r>
  <r>
    <m/>
    <n v="84"/>
    <x v="67"/>
    <d v="2002-09-01T00:00:00"/>
    <x v="7"/>
    <n v="8"/>
    <m/>
    <x v="7"/>
    <n v="22"/>
    <x v="2"/>
    <s v="Mexico"/>
    <m/>
    <x v="5"/>
    <s v="Tropical Cyclone"/>
    <s v="Hurricane"/>
    <x v="0"/>
    <x v="0"/>
    <m/>
    <m/>
    <m/>
    <m/>
    <m/>
    <m/>
    <m/>
    <m/>
    <x v="0"/>
    <m/>
    <m/>
    <m/>
    <m/>
    <m/>
    <m/>
    <n v="0"/>
    <n v="2"/>
    <m/>
    <m/>
    <m/>
    <m/>
    <m/>
    <m/>
    <m/>
    <m/>
    <m/>
    <m/>
    <m/>
    <m/>
    <m/>
    <m/>
    <m/>
    <m/>
    <m/>
    <m/>
    <n v="60000"/>
    <n v="60000"/>
    <m/>
    <m/>
    <n v="20000"/>
    <x v="45"/>
    <x v="1"/>
    <m/>
    <m/>
    <m/>
    <m/>
    <n v="2687"/>
    <m/>
    <m/>
    <m/>
    <m/>
    <m/>
    <m/>
    <m/>
    <m/>
    <m/>
    <m/>
    <m/>
    <s v="Isidore"/>
    <s v="$50,000 from OFDA; 4,000 hygiene parcels"/>
  </r>
  <r>
    <m/>
    <n v="85"/>
    <x v="94"/>
    <d v="2002-10-01T00:00:00"/>
    <x v="7"/>
    <n v="9"/>
    <m/>
    <x v="7"/>
    <n v="23"/>
    <x v="2"/>
    <s v="Paraguay"/>
    <m/>
    <x v="1"/>
    <s v="Drought"/>
    <s v="Drought"/>
    <x v="0"/>
    <x v="0"/>
    <m/>
    <m/>
    <m/>
    <m/>
    <m/>
    <m/>
    <m/>
    <m/>
    <x v="0"/>
    <m/>
    <m/>
    <m/>
    <m/>
    <m/>
    <m/>
    <n v="0"/>
    <n v="2"/>
    <m/>
    <m/>
    <m/>
    <m/>
    <m/>
    <m/>
    <m/>
    <m/>
    <m/>
    <m/>
    <m/>
    <m/>
    <m/>
    <m/>
    <m/>
    <m/>
    <m/>
    <m/>
    <m/>
    <n v="0"/>
    <m/>
    <m/>
    <n v="8165"/>
    <x v="7"/>
    <x v="1"/>
    <m/>
    <m/>
    <m/>
    <m/>
    <n v="2898"/>
    <m/>
    <m/>
    <m/>
    <m/>
    <m/>
    <m/>
    <m/>
    <m/>
    <m/>
    <m/>
    <m/>
    <m/>
    <s v="$50,000 from OFDA money given directly to the Paraguay RC for relief food distributions"/>
  </r>
  <r>
    <m/>
    <n v="86"/>
    <x v="67"/>
    <d v="2002-10-01T00:00:00"/>
    <x v="7"/>
    <n v="10"/>
    <m/>
    <x v="7"/>
    <n v="24"/>
    <x v="2"/>
    <s v="Mexico"/>
    <m/>
    <x v="5"/>
    <s v="Tropical Cyclone"/>
    <s v="Hurricane"/>
    <x v="0"/>
    <x v="0"/>
    <m/>
    <m/>
    <m/>
    <m/>
    <m/>
    <m/>
    <m/>
    <m/>
    <x v="0"/>
    <m/>
    <m/>
    <m/>
    <m/>
    <m/>
    <m/>
    <n v="0"/>
    <n v="1"/>
    <m/>
    <m/>
    <m/>
    <m/>
    <m/>
    <m/>
    <m/>
    <m/>
    <m/>
    <m/>
    <m/>
    <m/>
    <m/>
    <m/>
    <m/>
    <m/>
    <m/>
    <m/>
    <m/>
    <n v="0"/>
    <m/>
    <m/>
    <m/>
    <x v="7"/>
    <x v="1"/>
    <m/>
    <m/>
    <m/>
    <m/>
    <n v="2688"/>
    <m/>
    <m/>
    <m/>
    <m/>
    <m/>
    <m/>
    <m/>
    <m/>
    <m/>
    <m/>
    <m/>
    <s v="Kenna"/>
    <m/>
  </r>
  <r>
    <m/>
    <n v="87"/>
    <x v="95"/>
    <d v="2002-10-01T00:00:00"/>
    <x v="7"/>
    <n v="11"/>
    <m/>
    <x v="7"/>
    <n v="25"/>
    <x v="3"/>
    <s v="South Korea"/>
    <m/>
    <x v="5"/>
    <s v="Tropical Cyclone"/>
    <s v="Typhoon"/>
    <x v="0"/>
    <x v="0"/>
    <m/>
    <m/>
    <m/>
    <m/>
    <m/>
    <m/>
    <m/>
    <m/>
    <x v="0"/>
    <m/>
    <m/>
    <m/>
    <m/>
    <n v="120000"/>
    <m/>
    <n v="120000"/>
    <m/>
    <m/>
    <m/>
    <m/>
    <m/>
    <m/>
    <m/>
    <m/>
    <m/>
    <m/>
    <m/>
    <m/>
    <m/>
    <m/>
    <m/>
    <m/>
    <m/>
    <m/>
    <m/>
    <n v="10000"/>
    <n v="130000"/>
    <m/>
    <m/>
    <n v="5775"/>
    <x v="60"/>
    <x v="1"/>
    <m/>
    <m/>
    <m/>
    <m/>
    <n v="2686"/>
    <m/>
    <m/>
    <m/>
    <m/>
    <m/>
    <m/>
    <m/>
    <m/>
    <m/>
    <m/>
    <m/>
    <s v="Rusa"/>
    <s v="$10,000 from Alcoa for winter clothing in donor-specified province; $110,000 from CISCO &amp; Lucent for DPP training."/>
  </r>
  <r>
    <m/>
    <n v="88"/>
    <x v="96"/>
    <d v="2002-10-01T00:00:00"/>
    <x v="7"/>
    <n v="12"/>
    <m/>
    <x v="7"/>
    <n v="26"/>
    <x v="3"/>
    <s v="Italy"/>
    <m/>
    <x v="3"/>
    <s v="Earthquake"/>
    <s v="Earthquake"/>
    <x v="0"/>
    <x v="0"/>
    <m/>
    <m/>
    <m/>
    <m/>
    <m/>
    <m/>
    <m/>
    <m/>
    <x v="0"/>
    <m/>
    <m/>
    <m/>
    <m/>
    <n v="10000"/>
    <m/>
    <n v="10000"/>
    <m/>
    <m/>
    <m/>
    <m/>
    <m/>
    <m/>
    <m/>
    <m/>
    <m/>
    <m/>
    <m/>
    <m/>
    <m/>
    <m/>
    <m/>
    <m/>
    <m/>
    <m/>
    <m/>
    <m/>
    <n v="10000"/>
    <m/>
    <m/>
    <m/>
    <x v="6"/>
    <x v="1"/>
    <m/>
    <m/>
    <m/>
    <m/>
    <n v="2608"/>
    <m/>
    <m/>
    <m/>
    <m/>
    <m/>
    <m/>
    <m/>
    <m/>
    <m/>
    <m/>
    <m/>
    <m/>
    <s v="Verizon Pass through"/>
  </r>
  <r>
    <m/>
    <n v="89"/>
    <x v="97"/>
    <d v="2002-10-01T00:00:00"/>
    <x v="7"/>
    <n v="13"/>
    <m/>
    <x v="7"/>
    <n v="27"/>
    <x v="3"/>
    <s v="Indonesia"/>
    <m/>
    <x v="12"/>
    <s v="Terrorism"/>
    <s v="Terrorism"/>
    <x v="0"/>
    <x v="0"/>
    <m/>
    <m/>
    <m/>
    <m/>
    <m/>
    <m/>
    <m/>
    <m/>
    <x v="0"/>
    <m/>
    <m/>
    <m/>
    <m/>
    <n v="46670"/>
    <m/>
    <n v="46670"/>
    <m/>
    <m/>
    <m/>
    <m/>
    <m/>
    <m/>
    <m/>
    <m/>
    <m/>
    <m/>
    <m/>
    <m/>
    <m/>
    <m/>
    <m/>
    <m/>
    <m/>
    <m/>
    <m/>
    <m/>
    <n v="46670"/>
    <m/>
    <m/>
    <m/>
    <x v="61"/>
    <x v="1"/>
    <m/>
    <m/>
    <m/>
    <m/>
    <n v="2613"/>
    <m/>
    <m/>
    <m/>
    <m/>
    <m/>
    <m/>
    <m/>
    <m/>
    <m/>
    <m/>
    <m/>
    <s v="Bali"/>
    <s v="Exxon/Mobil provided  $30,000 for Indonesia (to be programmed by AusCross); Citigroup provided $10,000 (2099), G.E provided $5,000 (2898) and Assoc. of Chartered Accountants provided $1,670"/>
  </r>
  <r>
    <m/>
    <n v="89"/>
    <x v="98"/>
    <d v="2002-10-01T00:00:00"/>
    <x v="7"/>
    <n v="13"/>
    <m/>
    <x v="7"/>
    <n v="27"/>
    <x v="3"/>
    <s v="Australia"/>
    <m/>
    <x v="12"/>
    <s v="Terrorism"/>
    <s v="Terrorism"/>
    <x v="0"/>
    <x v="0"/>
    <m/>
    <m/>
    <m/>
    <m/>
    <m/>
    <m/>
    <m/>
    <m/>
    <x v="0"/>
    <m/>
    <m/>
    <m/>
    <m/>
    <n v="237898.78"/>
    <m/>
    <n v="237898.78"/>
    <n v="1"/>
    <m/>
    <m/>
    <m/>
    <m/>
    <m/>
    <m/>
    <m/>
    <m/>
    <m/>
    <m/>
    <m/>
    <m/>
    <m/>
    <m/>
    <m/>
    <m/>
    <m/>
    <m/>
    <m/>
    <n v="237898.78"/>
    <m/>
    <m/>
    <m/>
    <x v="62"/>
    <x v="1"/>
    <m/>
    <m/>
    <m/>
    <m/>
    <n v="2613"/>
    <m/>
    <m/>
    <m/>
    <m/>
    <m/>
    <m/>
    <m/>
    <m/>
    <m/>
    <m/>
    <m/>
    <s v="Bali"/>
    <s v="includes $151,228.89 from AP 2613 (estab. Oct 2002). Exxon/Mobil provided  $70,000; Anne Bike sent to Australia."/>
  </r>
  <r>
    <m/>
    <n v="90"/>
    <x v="99"/>
    <d v="2002-10-01T00:00:00"/>
    <x v="7"/>
    <n v="14"/>
    <m/>
    <x v="7"/>
    <n v="28"/>
    <x v="3"/>
    <s v="Vietnam"/>
    <m/>
    <x v="10"/>
    <s v="Fire"/>
    <s v="Urban Fire"/>
    <x v="0"/>
    <x v="0"/>
    <m/>
    <m/>
    <m/>
    <m/>
    <m/>
    <m/>
    <m/>
    <m/>
    <x v="0"/>
    <m/>
    <m/>
    <m/>
    <m/>
    <n v="100000"/>
    <m/>
    <n v="100000"/>
    <m/>
    <m/>
    <m/>
    <m/>
    <m/>
    <m/>
    <m/>
    <m/>
    <m/>
    <m/>
    <m/>
    <m/>
    <m/>
    <m/>
    <m/>
    <m/>
    <m/>
    <m/>
    <m/>
    <m/>
    <n v="100000"/>
    <m/>
    <m/>
    <n v="1000"/>
    <x v="5"/>
    <x v="1"/>
    <m/>
    <m/>
    <m/>
    <m/>
    <n v="2608"/>
    <m/>
    <m/>
    <m/>
    <m/>
    <m/>
    <m/>
    <m/>
    <m/>
    <m/>
    <m/>
    <m/>
    <s v="International Trade Center - HCM City"/>
    <s v="SDP developed for Starr Foundation contribution for $100,000"/>
  </r>
  <r>
    <m/>
    <n v="91"/>
    <x v="72"/>
    <d v="2002-10-01T00:00:00"/>
    <x v="7"/>
    <n v="15"/>
    <m/>
    <x v="7"/>
    <n v="29"/>
    <x v="2"/>
    <s v="Cuba"/>
    <m/>
    <x v="5"/>
    <s v="Tropical Cyclone"/>
    <s v="Hurricane"/>
    <x v="0"/>
    <x v="0"/>
    <m/>
    <m/>
    <m/>
    <m/>
    <m/>
    <m/>
    <m/>
    <m/>
    <x v="0"/>
    <m/>
    <n v="0"/>
    <n v="10000"/>
    <m/>
    <m/>
    <m/>
    <n v="10000"/>
    <m/>
    <m/>
    <m/>
    <m/>
    <m/>
    <m/>
    <m/>
    <m/>
    <m/>
    <m/>
    <m/>
    <m/>
    <m/>
    <m/>
    <m/>
    <m/>
    <m/>
    <m/>
    <m/>
    <m/>
    <n v="10000"/>
    <m/>
    <m/>
    <n v="1000"/>
    <x v="6"/>
    <x v="1"/>
    <m/>
    <m/>
    <m/>
    <m/>
    <n v="2898"/>
    <m/>
    <m/>
    <m/>
    <m/>
    <m/>
    <m/>
    <m/>
    <m/>
    <m/>
    <m/>
    <m/>
    <s v="Isidore / Lili"/>
    <s v="Toward the Federation Appeal"/>
  </r>
  <r>
    <m/>
    <n v="92"/>
    <x v="100"/>
    <d v="2002-10-01T00:00:00"/>
    <x v="7"/>
    <n v="16"/>
    <m/>
    <x v="7"/>
    <n v="30"/>
    <x v="1"/>
    <s v="Lesotho"/>
    <m/>
    <x v="14"/>
    <s v="Food Insecurity"/>
    <s v="Food Insecurity"/>
    <x v="0"/>
    <x v="0"/>
    <m/>
    <m/>
    <m/>
    <m/>
    <m/>
    <m/>
    <m/>
    <m/>
    <x v="0"/>
    <m/>
    <n v="0"/>
    <n v="25000"/>
    <m/>
    <m/>
    <m/>
    <n v="25000"/>
    <m/>
    <m/>
    <m/>
    <m/>
    <m/>
    <m/>
    <m/>
    <m/>
    <m/>
    <m/>
    <m/>
    <m/>
    <m/>
    <m/>
    <m/>
    <m/>
    <m/>
    <m/>
    <m/>
    <m/>
    <n v="25000"/>
    <m/>
    <m/>
    <n v="2500"/>
    <x v="8"/>
    <x v="1"/>
    <m/>
    <m/>
    <m/>
    <m/>
    <n v="2898"/>
    <m/>
    <m/>
    <m/>
    <m/>
    <m/>
    <m/>
    <m/>
    <m/>
    <m/>
    <m/>
    <m/>
    <m/>
    <s v="Toward the Federation Appeal for Southern Africa"/>
  </r>
  <r>
    <m/>
    <n v="93"/>
    <x v="7"/>
    <d v="2002-12-01T00:00:00"/>
    <x v="7"/>
    <n v="17"/>
    <m/>
    <x v="7"/>
    <n v="31"/>
    <x v="2"/>
    <s v="Costa Rica"/>
    <m/>
    <x v="2"/>
    <s v="General Floods"/>
    <s v="General Floods"/>
    <x v="0"/>
    <x v="0"/>
    <m/>
    <m/>
    <m/>
    <m/>
    <m/>
    <m/>
    <m/>
    <m/>
    <x v="0"/>
    <m/>
    <m/>
    <m/>
    <m/>
    <n v="1000"/>
    <m/>
    <n v="1000"/>
    <m/>
    <m/>
    <m/>
    <m/>
    <m/>
    <m/>
    <m/>
    <m/>
    <m/>
    <m/>
    <m/>
    <m/>
    <m/>
    <m/>
    <m/>
    <m/>
    <m/>
    <m/>
    <m/>
    <m/>
    <n v="1000"/>
    <m/>
    <m/>
    <m/>
    <x v="37"/>
    <x v="1"/>
    <m/>
    <m/>
    <m/>
    <m/>
    <n v="2898"/>
    <m/>
    <m/>
    <m/>
    <m/>
    <m/>
    <m/>
    <m/>
    <m/>
    <m/>
    <m/>
    <m/>
    <m/>
    <s v="Cash donation to National Society"/>
  </r>
  <r>
    <m/>
    <n v="94"/>
    <x v="80"/>
    <d v="2002-12-01T00:00:00"/>
    <x v="7"/>
    <n v="18"/>
    <m/>
    <x v="7"/>
    <n v="32"/>
    <x v="2"/>
    <s v="Panama"/>
    <m/>
    <x v="2"/>
    <s v="General Floods"/>
    <s v="General Floods"/>
    <x v="0"/>
    <x v="0"/>
    <m/>
    <m/>
    <m/>
    <m/>
    <m/>
    <m/>
    <m/>
    <m/>
    <x v="0"/>
    <m/>
    <m/>
    <m/>
    <m/>
    <n v="1345"/>
    <m/>
    <n v="1345"/>
    <m/>
    <m/>
    <m/>
    <n v="675"/>
    <m/>
    <m/>
    <m/>
    <m/>
    <m/>
    <m/>
    <m/>
    <m/>
    <m/>
    <m/>
    <m/>
    <m/>
    <m/>
    <m/>
    <m/>
    <m/>
    <n v="1345"/>
    <m/>
    <m/>
    <n v="675"/>
    <x v="63"/>
    <x v="1"/>
    <m/>
    <m/>
    <m/>
    <m/>
    <n v="2898"/>
    <m/>
    <m/>
    <m/>
    <m/>
    <m/>
    <m/>
    <m/>
    <m/>
    <m/>
    <m/>
    <m/>
    <m/>
    <s v="675 jerry cans from pre-positioned stocks"/>
  </r>
  <r>
    <m/>
    <n v="95"/>
    <x v="101"/>
    <d v="2002-12-01T00:00:00"/>
    <x v="7"/>
    <n v="19"/>
    <m/>
    <x v="7"/>
    <n v="33"/>
    <x v="1"/>
    <s v="Kenya"/>
    <m/>
    <x v="11"/>
    <s v="Parasitic"/>
    <s v="Parasitic"/>
    <x v="0"/>
    <x v="0"/>
    <m/>
    <m/>
    <m/>
    <m/>
    <m/>
    <m/>
    <m/>
    <m/>
    <x v="0"/>
    <m/>
    <m/>
    <m/>
    <m/>
    <n v="5000"/>
    <m/>
    <n v="5000"/>
    <m/>
    <m/>
    <m/>
    <m/>
    <m/>
    <m/>
    <m/>
    <m/>
    <m/>
    <m/>
    <m/>
    <m/>
    <m/>
    <m/>
    <m/>
    <m/>
    <m/>
    <m/>
    <m/>
    <m/>
    <n v="5000"/>
    <m/>
    <m/>
    <n v="500"/>
    <x v="46"/>
    <x v="1"/>
    <m/>
    <m/>
    <m/>
    <m/>
    <n v="2898"/>
    <m/>
    <m/>
    <m/>
    <m/>
    <m/>
    <m/>
    <m/>
    <m/>
    <m/>
    <m/>
    <m/>
    <s v="Malaria"/>
    <s v="Africa Region also donated $5,000 to KRC for a total of $10,000"/>
  </r>
  <r>
    <m/>
    <n v="96"/>
    <x v="102"/>
    <d v="2003-01-01T00:00:00"/>
    <x v="7"/>
    <n v="20"/>
    <m/>
    <x v="8"/>
    <n v="1"/>
    <x v="3"/>
    <s v="Solomon Islands"/>
    <m/>
    <x v="5"/>
    <s v="Tropical Cyclone"/>
    <s v="Cyclone"/>
    <x v="0"/>
    <x v="0"/>
    <m/>
    <m/>
    <m/>
    <m/>
    <m/>
    <m/>
    <m/>
    <m/>
    <x v="0"/>
    <m/>
    <n v="0"/>
    <n v="7242.1372799999999"/>
    <m/>
    <m/>
    <m/>
    <n v="7242.1372799999999"/>
    <m/>
    <m/>
    <m/>
    <m/>
    <m/>
    <m/>
    <m/>
    <m/>
    <m/>
    <m/>
    <m/>
    <m/>
    <m/>
    <m/>
    <m/>
    <m/>
    <m/>
    <m/>
    <m/>
    <m/>
    <n v="7242.1372799999999"/>
    <m/>
    <m/>
    <m/>
    <x v="64"/>
    <x v="1"/>
    <m/>
    <m/>
    <m/>
    <m/>
    <n v="2881"/>
    <m/>
    <m/>
    <m/>
    <m/>
    <m/>
    <m/>
    <m/>
    <m/>
    <m/>
    <m/>
    <m/>
    <s v="Zoe"/>
    <s v="FJD 14,369.32 for re-stocking Solomon Islands RC"/>
  </r>
  <r>
    <m/>
    <n v="97"/>
    <x v="0"/>
    <d v="2003-01-01T00:00:00"/>
    <x v="7"/>
    <n v="21"/>
    <m/>
    <x v="8"/>
    <n v="2"/>
    <x v="2"/>
    <s v="Mexico"/>
    <m/>
    <x v="3"/>
    <s v="Earthquake"/>
    <s v="Earthquake"/>
    <x v="0"/>
    <x v="0"/>
    <m/>
    <m/>
    <m/>
    <m/>
    <m/>
    <m/>
    <m/>
    <m/>
    <x v="0"/>
    <m/>
    <m/>
    <m/>
    <m/>
    <n v="350000"/>
    <m/>
    <n v="350000"/>
    <n v="3"/>
    <m/>
    <m/>
    <m/>
    <m/>
    <m/>
    <m/>
    <m/>
    <m/>
    <m/>
    <m/>
    <m/>
    <m/>
    <m/>
    <m/>
    <m/>
    <m/>
    <m/>
    <m/>
    <m/>
    <n v="350000"/>
    <m/>
    <m/>
    <n v="2000"/>
    <x v="65"/>
    <x v="1"/>
    <m/>
    <m/>
    <m/>
    <m/>
    <n v="2690"/>
    <m/>
    <m/>
    <m/>
    <m/>
    <m/>
    <m/>
    <m/>
    <m/>
    <m/>
    <m/>
    <m/>
    <m/>
    <s v="$100,000 donation from Wells Fargo was programmed by ARC in partnership with Mexican Red Cross (MRC). Steve McAndrew responded and 2 IRT members (Jerry Lisenby and M-C Brien) were subsequently deployed to manage the operation. Toyota donated $250,000 to the relief effort as a strict pass-through to the Mexican Red Cross."/>
  </r>
  <r>
    <m/>
    <n v="97"/>
    <x v="0"/>
    <d v="2003-01-01T00:00:00"/>
    <x v="7"/>
    <n v="21"/>
    <m/>
    <x v="8"/>
    <n v="2"/>
    <x v="2"/>
    <s v="Mexico"/>
    <m/>
    <x v="3"/>
    <s v="Earthquake"/>
    <s v="Earthquake"/>
    <x v="0"/>
    <x v="0"/>
    <m/>
    <m/>
    <m/>
    <m/>
    <m/>
    <m/>
    <m/>
    <m/>
    <x v="0"/>
    <m/>
    <m/>
    <m/>
    <m/>
    <n v="100000"/>
    <m/>
    <n v="100000"/>
    <m/>
    <m/>
    <m/>
    <m/>
    <m/>
    <m/>
    <m/>
    <m/>
    <m/>
    <m/>
    <m/>
    <m/>
    <m/>
    <m/>
    <m/>
    <m/>
    <m/>
    <m/>
    <m/>
    <m/>
    <n v="100000"/>
    <m/>
    <m/>
    <m/>
    <x v="5"/>
    <x v="1"/>
    <m/>
    <m/>
    <m/>
    <m/>
    <n v="2642"/>
    <m/>
    <m/>
    <m/>
    <m/>
    <m/>
    <m/>
    <m/>
    <m/>
    <m/>
    <m/>
    <m/>
    <m/>
    <s v="$100,000 from OFDA was programmed by ARC in partnership with Mexican Red Cross (MRC)."/>
  </r>
  <r>
    <m/>
    <n v="98"/>
    <x v="103"/>
    <d v="2003-02-01T00:00:00"/>
    <x v="7"/>
    <n v="22"/>
    <m/>
    <x v="8"/>
    <n v="3"/>
    <x v="3"/>
    <s v="South Korea"/>
    <m/>
    <x v="9"/>
    <s v="Rail"/>
    <s v="Fire"/>
    <x v="0"/>
    <x v="0"/>
    <m/>
    <m/>
    <m/>
    <m/>
    <m/>
    <m/>
    <m/>
    <m/>
    <x v="0"/>
    <m/>
    <m/>
    <m/>
    <m/>
    <n v="10000"/>
    <m/>
    <n v="10000"/>
    <m/>
    <m/>
    <m/>
    <m/>
    <m/>
    <m/>
    <m/>
    <m/>
    <m/>
    <m/>
    <m/>
    <m/>
    <m/>
    <m/>
    <m/>
    <m/>
    <m/>
    <m/>
    <m/>
    <m/>
    <n v="10000"/>
    <m/>
    <m/>
    <n v="1000"/>
    <x v="6"/>
    <x v="1"/>
    <m/>
    <m/>
    <m/>
    <m/>
    <n v="2608"/>
    <m/>
    <m/>
    <m/>
    <m/>
    <m/>
    <m/>
    <m/>
    <m/>
    <m/>
    <m/>
    <m/>
    <s v="Taegu Subway fire"/>
    <s v="Alcoa passthrough"/>
  </r>
  <r>
    <m/>
    <n v="99"/>
    <x v="104"/>
    <d v="2003-02-01T00:00:00"/>
    <x v="7"/>
    <n v="23"/>
    <m/>
    <x v="8"/>
    <n v="4"/>
    <x v="3"/>
    <s v="China"/>
    <m/>
    <x v="3"/>
    <s v="Earthquake"/>
    <s v="Earthquake"/>
    <x v="0"/>
    <x v="0"/>
    <m/>
    <m/>
    <m/>
    <m/>
    <m/>
    <m/>
    <m/>
    <m/>
    <x v="0"/>
    <m/>
    <m/>
    <m/>
    <m/>
    <n v="50000"/>
    <m/>
    <n v="50000"/>
    <m/>
    <m/>
    <m/>
    <m/>
    <m/>
    <m/>
    <m/>
    <m/>
    <m/>
    <m/>
    <m/>
    <m/>
    <m/>
    <m/>
    <m/>
    <m/>
    <m/>
    <m/>
    <m/>
    <m/>
    <n v="50000"/>
    <m/>
    <m/>
    <n v="1350"/>
    <x v="16"/>
    <x v="1"/>
    <m/>
    <m/>
    <m/>
    <m/>
    <s v="0000"/>
    <m/>
    <m/>
    <m/>
    <m/>
    <m/>
    <m/>
    <m/>
    <m/>
    <m/>
    <m/>
    <m/>
    <m/>
    <s v="Altria passthrough"/>
  </r>
  <r>
    <m/>
    <n v="100"/>
    <x v="105"/>
    <d v="2003-03-01T00:00:00"/>
    <x v="7"/>
    <n v="24"/>
    <m/>
    <x v="8"/>
    <n v="5"/>
    <x v="3"/>
    <s v="Iraq"/>
    <m/>
    <x v="8"/>
    <s v="Conflict"/>
    <s v="Conflict"/>
    <x v="0"/>
    <x v="0"/>
    <m/>
    <m/>
    <m/>
    <m/>
    <m/>
    <m/>
    <m/>
    <m/>
    <x v="0"/>
    <m/>
    <n v="1"/>
    <n v="100000"/>
    <n v="100000"/>
    <m/>
    <m/>
    <n v="200000"/>
    <m/>
    <m/>
    <m/>
    <n v="64200"/>
    <m/>
    <m/>
    <n v="34200"/>
    <n v="30000"/>
    <m/>
    <m/>
    <m/>
    <m/>
    <m/>
    <m/>
    <m/>
    <m/>
    <m/>
    <m/>
    <n v="221694"/>
    <m/>
    <n v="421694"/>
    <m/>
    <m/>
    <n v="54200"/>
    <x v="66"/>
    <x v="1"/>
    <m/>
    <m/>
    <m/>
    <m/>
    <n v="2689"/>
    <m/>
    <m/>
    <m/>
    <m/>
    <m/>
    <m/>
    <m/>
    <m/>
    <m/>
    <m/>
    <m/>
    <s v="Iraq"/>
    <m/>
  </r>
  <r>
    <m/>
    <n v="100"/>
    <x v="106"/>
    <d v="2003-03-01T00:00:00"/>
    <x v="7"/>
    <n v="24"/>
    <m/>
    <x v="8"/>
    <n v="5"/>
    <x v="3"/>
    <s v="Syria"/>
    <m/>
    <x v="8"/>
    <s v="Conflict"/>
    <s v="Conflict"/>
    <x v="0"/>
    <x v="0"/>
    <m/>
    <m/>
    <m/>
    <m/>
    <m/>
    <m/>
    <m/>
    <m/>
    <x v="0"/>
    <m/>
    <m/>
    <m/>
    <m/>
    <n v="15000"/>
    <m/>
    <n v="15000"/>
    <m/>
    <m/>
    <m/>
    <m/>
    <m/>
    <m/>
    <m/>
    <m/>
    <m/>
    <m/>
    <m/>
    <m/>
    <m/>
    <m/>
    <m/>
    <m/>
    <m/>
    <m/>
    <m/>
    <m/>
    <n v="15000"/>
    <m/>
    <m/>
    <n v="1000"/>
    <x v="18"/>
    <x v="1"/>
    <m/>
    <m/>
    <m/>
    <m/>
    <n v="2689"/>
    <m/>
    <m/>
    <m/>
    <m/>
    <m/>
    <m/>
    <m/>
    <m/>
    <m/>
    <m/>
    <m/>
    <s v="Iraq"/>
    <s v="PMN for SARC"/>
  </r>
  <r>
    <m/>
    <n v="100"/>
    <x v="36"/>
    <d v="2003-03-01T00:00:00"/>
    <x v="7"/>
    <n v="24"/>
    <m/>
    <x v="8"/>
    <n v="5"/>
    <x v="3"/>
    <s v="Jordan"/>
    <m/>
    <x v="8"/>
    <s v="Conflict"/>
    <s v="Conflict"/>
    <x v="0"/>
    <x v="0"/>
    <m/>
    <m/>
    <m/>
    <m/>
    <m/>
    <m/>
    <m/>
    <m/>
    <x v="0"/>
    <m/>
    <m/>
    <m/>
    <m/>
    <n v="15000"/>
    <m/>
    <n v="15000"/>
    <n v="2"/>
    <m/>
    <m/>
    <m/>
    <m/>
    <m/>
    <m/>
    <m/>
    <m/>
    <m/>
    <m/>
    <m/>
    <m/>
    <m/>
    <m/>
    <m/>
    <m/>
    <m/>
    <m/>
    <n v="17812"/>
    <n v="32812"/>
    <m/>
    <m/>
    <n v="1000"/>
    <x v="67"/>
    <x v="1"/>
    <m/>
    <m/>
    <m/>
    <m/>
    <n v="2689"/>
    <m/>
    <m/>
    <m/>
    <m/>
    <m/>
    <m/>
    <m/>
    <m/>
    <m/>
    <m/>
    <m/>
    <s v="Iraq"/>
    <s v="PMN for JRCS; Jensen &amp; Dmitryuk in Amman"/>
  </r>
  <r>
    <m/>
    <n v="100"/>
    <x v="107"/>
    <d v="2003-03-01T00:00:00"/>
    <x v="7"/>
    <n v="24"/>
    <m/>
    <x v="8"/>
    <n v="5"/>
    <x v="3"/>
    <s v="Turkey"/>
    <m/>
    <x v="8"/>
    <s v="Conflict"/>
    <s v="Conflict"/>
    <x v="0"/>
    <x v="0"/>
    <m/>
    <m/>
    <m/>
    <m/>
    <m/>
    <m/>
    <m/>
    <m/>
    <x v="0"/>
    <m/>
    <m/>
    <m/>
    <m/>
    <m/>
    <m/>
    <n v="0"/>
    <n v="1"/>
    <m/>
    <m/>
    <m/>
    <m/>
    <m/>
    <m/>
    <m/>
    <m/>
    <m/>
    <m/>
    <m/>
    <m/>
    <m/>
    <m/>
    <m/>
    <m/>
    <m/>
    <m/>
    <n v="17812"/>
    <n v="17812"/>
    <m/>
    <m/>
    <m/>
    <x v="68"/>
    <x v="1"/>
    <m/>
    <m/>
    <m/>
    <m/>
    <n v="2689"/>
    <m/>
    <m/>
    <m/>
    <m/>
    <m/>
    <m/>
    <m/>
    <m/>
    <m/>
    <m/>
    <m/>
    <s v="Iraq"/>
    <s v="McAndrew in Ankara"/>
  </r>
  <r>
    <m/>
    <n v="101"/>
    <x v="108"/>
    <d v="2003-05-01T00:00:00"/>
    <x v="7"/>
    <n v="25"/>
    <m/>
    <x v="8"/>
    <n v="6"/>
    <x v="2"/>
    <s v="Argentina"/>
    <m/>
    <x v="2"/>
    <s v="General Floods"/>
    <s v="General Floods"/>
    <x v="0"/>
    <x v="0"/>
    <m/>
    <m/>
    <m/>
    <m/>
    <m/>
    <m/>
    <m/>
    <m/>
    <x v="0"/>
    <m/>
    <n v="0"/>
    <n v="15000"/>
    <m/>
    <m/>
    <m/>
    <n v="15000"/>
    <n v="1"/>
    <m/>
    <m/>
    <m/>
    <m/>
    <m/>
    <m/>
    <m/>
    <m/>
    <m/>
    <m/>
    <m/>
    <m/>
    <m/>
    <m/>
    <m/>
    <m/>
    <m/>
    <m/>
    <m/>
    <n v="15000"/>
    <m/>
    <m/>
    <n v="1500"/>
    <x v="18"/>
    <x v="1"/>
    <m/>
    <m/>
    <m/>
    <m/>
    <n v="2898"/>
    <m/>
    <m/>
    <m/>
    <m/>
    <m/>
    <m/>
    <m/>
    <m/>
    <m/>
    <m/>
    <m/>
    <m/>
    <s v="Rob McKenney from PADRU"/>
  </r>
  <r>
    <m/>
    <n v="102"/>
    <x v="9"/>
    <d v="2003-05-01T00:00:00"/>
    <x v="7"/>
    <n v="26"/>
    <m/>
    <x v="8"/>
    <n v="7"/>
    <x v="3"/>
    <s v="Turkey"/>
    <m/>
    <x v="3"/>
    <s v="Earthquake"/>
    <s v="Earthquake"/>
    <x v="0"/>
    <x v="0"/>
    <m/>
    <m/>
    <m/>
    <m/>
    <m/>
    <m/>
    <m/>
    <m/>
    <x v="0"/>
    <m/>
    <m/>
    <m/>
    <m/>
    <m/>
    <m/>
    <n v="0"/>
    <n v="2"/>
    <m/>
    <m/>
    <n v="9000"/>
    <m/>
    <m/>
    <m/>
    <m/>
    <m/>
    <m/>
    <m/>
    <m/>
    <m/>
    <n v="9000"/>
    <m/>
    <m/>
    <m/>
    <m/>
    <n v="331380"/>
    <m/>
    <n v="331380"/>
    <m/>
    <m/>
    <n v="45000"/>
    <x v="69"/>
    <x v="1"/>
    <m/>
    <m/>
    <m/>
    <m/>
    <n v="2898"/>
    <m/>
    <m/>
    <m/>
    <m/>
    <m/>
    <m/>
    <m/>
    <m/>
    <m/>
    <m/>
    <m/>
    <s v="Bingol"/>
    <s v="Food Parcels paid for by Region; IRT Kelly Hurd sent to support TRCS distribution; IRT R. Chapman deployed to support TRCS"/>
  </r>
  <r>
    <m/>
    <n v="103"/>
    <x v="109"/>
    <d v="2003-05-01T00:00:00"/>
    <x v="7"/>
    <n v="27"/>
    <m/>
    <x v="8"/>
    <n v="8"/>
    <x v="3"/>
    <s v="China"/>
    <m/>
    <x v="11"/>
    <s v="Viral"/>
    <s v="Viral"/>
    <x v="0"/>
    <x v="0"/>
    <m/>
    <m/>
    <m/>
    <m/>
    <m/>
    <m/>
    <m/>
    <m/>
    <x v="0"/>
    <m/>
    <m/>
    <m/>
    <m/>
    <n v="32500"/>
    <m/>
    <n v="32500"/>
    <m/>
    <m/>
    <m/>
    <m/>
    <m/>
    <m/>
    <m/>
    <m/>
    <m/>
    <m/>
    <m/>
    <m/>
    <m/>
    <m/>
    <m/>
    <m/>
    <m/>
    <m/>
    <m/>
    <m/>
    <n v="32500"/>
    <m/>
    <m/>
    <n v="59000"/>
    <x v="70"/>
    <x v="1"/>
    <m/>
    <m/>
    <m/>
    <m/>
    <n v="2691"/>
    <m/>
    <m/>
    <m/>
    <m/>
    <m/>
    <m/>
    <m/>
    <m/>
    <m/>
    <m/>
    <m/>
    <s v="SARS"/>
    <s v="AMEX: $25,000 + $7,500"/>
  </r>
  <r>
    <m/>
    <n v="103"/>
    <x v="109"/>
    <d v="2003-05-01T00:00:00"/>
    <x v="7"/>
    <n v="27"/>
    <m/>
    <x v="8"/>
    <n v="8"/>
    <x v="3"/>
    <s v="China"/>
    <m/>
    <x v="11"/>
    <s v="Viral"/>
    <s v="Viral"/>
    <x v="0"/>
    <x v="0"/>
    <m/>
    <m/>
    <m/>
    <m/>
    <m/>
    <m/>
    <m/>
    <m/>
    <x v="0"/>
    <m/>
    <m/>
    <m/>
    <m/>
    <n v="370642"/>
    <m/>
    <n v="370642"/>
    <m/>
    <m/>
    <m/>
    <m/>
    <m/>
    <m/>
    <m/>
    <m/>
    <m/>
    <m/>
    <m/>
    <m/>
    <m/>
    <m/>
    <m/>
    <m/>
    <m/>
    <m/>
    <m/>
    <m/>
    <n v="370642"/>
    <m/>
    <m/>
    <n v="15000"/>
    <x v="71"/>
    <x v="1"/>
    <m/>
    <m/>
    <m/>
    <m/>
    <s v="0000"/>
    <m/>
    <m/>
    <m/>
    <m/>
    <m/>
    <m/>
    <m/>
    <m/>
    <m/>
    <m/>
    <m/>
    <s v="SARS"/>
    <s v="Pfizer: $200,000; JP Morgan/Chase: $128,000; Microsoft: $42,642"/>
  </r>
  <r>
    <m/>
    <n v="103"/>
    <x v="110"/>
    <d v="2003-05-01T00:00:00"/>
    <x v="7"/>
    <n v="27"/>
    <m/>
    <x v="8"/>
    <n v="8"/>
    <x v="3"/>
    <s v="Hong Kong"/>
    <m/>
    <x v="11"/>
    <s v="Viral"/>
    <s v="Viral"/>
    <x v="0"/>
    <x v="0"/>
    <m/>
    <m/>
    <m/>
    <m/>
    <m/>
    <m/>
    <m/>
    <m/>
    <x v="0"/>
    <m/>
    <m/>
    <m/>
    <m/>
    <n v="60000"/>
    <m/>
    <n v="60000"/>
    <m/>
    <m/>
    <m/>
    <m/>
    <m/>
    <m/>
    <m/>
    <m/>
    <m/>
    <m/>
    <m/>
    <m/>
    <m/>
    <m/>
    <m/>
    <m/>
    <m/>
    <m/>
    <m/>
    <m/>
    <n v="60000"/>
    <m/>
    <m/>
    <n v="72500"/>
    <x v="45"/>
    <x v="1"/>
    <m/>
    <m/>
    <m/>
    <m/>
    <n v="2060"/>
    <m/>
    <m/>
    <m/>
    <m/>
    <m/>
    <m/>
    <m/>
    <m/>
    <m/>
    <m/>
    <m/>
    <s v="SARS"/>
    <s v="$25,000 from AMEX and $35,000 from JP Morgan Chase (both) programmed against total invoice of $97,923.15 for 1.2 million alcohol swabs and 435,000 surgical masks"/>
  </r>
  <r>
    <m/>
    <n v="104"/>
    <x v="111"/>
    <d v="2003-05-01T00:00:00"/>
    <x v="7"/>
    <n v="28"/>
    <m/>
    <x v="8"/>
    <n v="9"/>
    <x v="3"/>
    <s v="Sri Lanka"/>
    <m/>
    <x v="2"/>
    <s v="General Floods"/>
    <s v="General Floods"/>
    <x v="0"/>
    <x v="0"/>
    <m/>
    <m/>
    <m/>
    <m/>
    <m/>
    <m/>
    <m/>
    <m/>
    <x v="0"/>
    <m/>
    <n v="0"/>
    <n v="21400"/>
    <m/>
    <m/>
    <m/>
    <n v="21400"/>
    <m/>
    <m/>
    <m/>
    <m/>
    <m/>
    <m/>
    <m/>
    <m/>
    <m/>
    <m/>
    <m/>
    <m/>
    <m/>
    <m/>
    <m/>
    <m/>
    <m/>
    <m/>
    <m/>
    <m/>
    <n v="21400"/>
    <m/>
    <m/>
    <n v="2862.1931568439049"/>
    <x v="72"/>
    <x v="1"/>
    <m/>
    <m/>
    <m/>
    <m/>
    <n v="2692"/>
    <m/>
    <m/>
    <m/>
    <m/>
    <m/>
    <m/>
    <m/>
    <m/>
    <m/>
    <m/>
    <m/>
    <m/>
    <s v="Funds provided through Citigroup's ADGP; Federation Appeal for $934,598 / 125,000 beneficiaries / 3 months"/>
  </r>
  <r>
    <m/>
    <n v="105"/>
    <x v="80"/>
    <d v="2003-07-01T00:00:00"/>
    <x v="8"/>
    <n v="1"/>
    <m/>
    <x v="8"/>
    <n v="10"/>
    <x v="2"/>
    <s v="Panama"/>
    <m/>
    <x v="2"/>
    <s v="General Floods"/>
    <s v="General Floods"/>
    <x v="0"/>
    <x v="0"/>
    <m/>
    <m/>
    <m/>
    <m/>
    <m/>
    <m/>
    <m/>
    <m/>
    <x v="0"/>
    <m/>
    <m/>
    <m/>
    <m/>
    <m/>
    <m/>
    <n v="0"/>
    <n v="1"/>
    <m/>
    <m/>
    <n v="6500"/>
    <m/>
    <n v="500"/>
    <m/>
    <m/>
    <m/>
    <m/>
    <m/>
    <n v="6000"/>
    <m/>
    <m/>
    <m/>
    <m/>
    <m/>
    <m/>
    <n v="16700"/>
    <m/>
    <n v="16700"/>
    <m/>
    <m/>
    <n v="3000"/>
    <x v="73"/>
    <x v="1"/>
    <m/>
    <m/>
    <m/>
    <m/>
    <n v="2898"/>
    <m/>
    <m/>
    <m/>
    <m/>
    <m/>
    <m/>
    <m/>
    <m/>
    <m/>
    <m/>
    <m/>
    <m/>
    <s v="hygiene kits (value $1,770) and bedsheets (500 packets of 12 at a total value of $15,000) from PADRU as part of a joint ARC/Federation/Panamanian Red Cross operation. Steve McAndrew was deployed from PADRU to oversee the distributions"/>
  </r>
  <r>
    <m/>
    <n v="106"/>
    <x v="112"/>
    <d v="2003-09-01T00:00:00"/>
    <x v="8"/>
    <n v="2"/>
    <m/>
    <x v="8"/>
    <n v="11"/>
    <x v="4"/>
    <s v="Canada"/>
    <m/>
    <x v="15"/>
    <s v="Forest Fire"/>
    <s v="Fire"/>
    <x v="0"/>
    <x v="0"/>
    <m/>
    <m/>
    <m/>
    <m/>
    <m/>
    <m/>
    <m/>
    <m/>
    <x v="0"/>
    <m/>
    <m/>
    <m/>
    <m/>
    <n v="10000"/>
    <m/>
    <n v="10000"/>
    <m/>
    <m/>
    <m/>
    <m/>
    <m/>
    <m/>
    <m/>
    <m/>
    <m/>
    <m/>
    <m/>
    <m/>
    <m/>
    <m/>
    <m/>
    <m/>
    <m/>
    <m/>
    <m/>
    <m/>
    <n v="10000"/>
    <m/>
    <m/>
    <n v="250"/>
    <x v="6"/>
    <x v="2"/>
    <m/>
    <m/>
    <m/>
    <m/>
    <n v="2099"/>
    <m/>
    <m/>
    <m/>
    <m/>
    <m/>
    <m/>
    <m/>
    <m/>
    <m/>
    <m/>
    <m/>
    <m/>
    <s v="$10,000 donation from Citigroup for forest fires in British Columbia (Citigroup $ kept in 2099 per a prior agreement)"/>
  </r>
  <r>
    <m/>
    <n v="107"/>
    <x v="113"/>
    <d v="2003-10-01T00:00:00"/>
    <x v="8"/>
    <n v="3"/>
    <m/>
    <x v="8"/>
    <n v="12"/>
    <x v="2"/>
    <s v="Dominican Republic"/>
    <m/>
    <x v="3"/>
    <s v="Earthquake"/>
    <s v="Earthquake"/>
    <x v="0"/>
    <x v="0"/>
    <m/>
    <m/>
    <m/>
    <m/>
    <m/>
    <m/>
    <m/>
    <m/>
    <x v="0"/>
    <m/>
    <m/>
    <m/>
    <m/>
    <m/>
    <m/>
    <n v="0"/>
    <m/>
    <m/>
    <m/>
    <m/>
    <m/>
    <m/>
    <m/>
    <m/>
    <m/>
    <m/>
    <m/>
    <m/>
    <m/>
    <m/>
    <m/>
    <m/>
    <m/>
    <m/>
    <n v="25000"/>
    <m/>
    <n v="25000"/>
    <m/>
    <m/>
    <n v="100"/>
    <x v="8"/>
    <x v="1"/>
    <m/>
    <m/>
    <m/>
    <m/>
    <n v="2694"/>
    <m/>
    <m/>
    <m/>
    <m/>
    <m/>
    <m/>
    <m/>
    <m/>
    <m/>
    <m/>
    <m/>
    <s v="Puerto Plata"/>
    <s v="$25,000 from Verizon (AP is shared with November 2003 floods in Cibao / Montecristi)"/>
  </r>
  <r>
    <m/>
    <n v="108"/>
    <x v="114"/>
    <d v="2003-05-01T00:00:00"/>
    <x v="8"/>
    <n v="4"/>
    <m/>
    <x v="8"/>
    <n v="13"/>
    <x v="1"/>
    <s v="Algeria"/>
    <m/>
    <x v="3"/>
    <s v="Earthquake"/>
    <s v="Earthquake"/>
    <x v="0"/>
    <x v="0"/>
    <m/>
    <m/>
    <m/>
    <m/>
    <m/>
    <m/>
    <m/>
    <m/>
    <x v="0"/>
    <m/>
    <m/>
    <m/>
    <m/>
    <m/>
    <m/>
    <n v="0"/>
    <m/>
    <m/>
    <m/>
    <n v="10000"/>
    <m/>
    <n v="10000"/>
    <m/>
    <m/>
    <m/>
    <m/>
    <m/>
    <m/>
    <m/>
    <m/>
    <m/>
    <m/>
    <m/>
    <m/>
    <n v="37200"/>
    <n v="28670"/>
    <n v="65870"/>
    <m/>
    <m/>
    <n v="50000"/>
    <x v="74"/>
    <x v="1"/>
    <m/>
    <m/>
    <m/>
    <m/>
    <n v="2693"/>
    <m/>
    <m/>
    <m/>
    <m/>
    <m/>
    <m/>
    <m/>
    <m/>
    <m/>
    <m/>
    <m/>
    <s v="RESPONSE IN FY 04"/>
    <s v="hygiene kits ($3.72 each) ex Bulgaria; $8,470 for transport, $1,200 demurrage, $19,000 to remove washing powder in Greece"/>
  </r>
  <r>
    <m/>
    <n v="109"/>
    <x v="115"/>
    <d v="2003-08-01T00:00:00"/>
    <x v="8"/>
    <n v="5"/>
    <m/>
    <x v="8"/>
    <n v="14"/>
    <x v="1"/>
    <s v="Liberia"/>
    <m/>
    <x v="8"/>
    <s v="Conflict"/>
    <s v="Conflict"/>
    <x v="0"/>
    <x v="0"/>
    <m/>
    <m/>
    <m/>
    <m/>
    <m/>
    <m/>
    <m/>
    <m/>
    <x v="0"/>
    <m/>
    <n v="0"/>
    <n v="35027"/>
    <m/>
    <m/>
    <m/>
    <n v="35027"/>
    <m/>
    <m/>
    <m/>
    <m/>
    <m/>
    <m/>
    <m/>
    <m/>
    <m/>
    <m/>
    <m/>
    <m/>
    <m/>
    <m/>
    <m/>
    <m/>
    <m/>
    <m/>
    <m/>
    <m/>
    <n v="35027"/>
    <m/>
    <m/>
    <n v="2500"/>
    <x v="75"/>
    <x v="1"/>
    <m/>
    <m/>
    <m/>
    <m/>
    <n v="2631"/>
    <m/>
    <m/>
    <m/>
    <m/>
    <m/>
    <m/>
    <m/>
    <m/>
    <m/>
    <m/>
    <m/>
    <m/>
    <s v="Funds from Region's budget previously sent to Geneva re-allocated  - signed PMN returned to IDRU in October 2003"/>
  </r>
  <r>
    <m/>
    <n v="110"/>
    <x v="6"/>
    <d v="2003-09-01T00:00:00"/>
    <x v="8"/>
    <n v="6"/>
    <m/>
    <x v="8"/>
    <n v="15"/>
    <x v="2"/>
    <s v="Mexico"/>
    <m/>
    <x v="2"/>
    <s v="General Floods"/>
    <s v="General Floods"/>
    <x v="0"/>
    <x v="0"/>
    <m/>
    <m/>
    <m/>
    <m/>
    <m/>
    <m/>
    <m/>
    <m/>
    <x v="0"/>
    <m/>
    <m/>
    <m/>
    <m/>
    <n v="10500"/>
    <m/>
    <n v="10500"/>
    <n v="2"/>
    <m/>
    <m/>
    <m/>
    <m/>
    <m/>
    <m/>
    <m/>
    <m/>
    <m/>
    <m/>
    <m/>
    <m/>
    <m/>
    <m/>
    <m/>
    <m/>
    <m/>
    <m/>
    <m/>
    <n v="10500"/>
    <m/>
    <m/>
    <n v="3000"/>
    <x v="76"/>
    <x v="1"/>
    <m/>
    <m/>
    <m/>
    <m/>
    <n v="2688"/>
    <m/>
    <m/>
    <m/>
    <m/>
    <m/>
    <m/>
    <m/>
    <m/>
    <m/>
    <m/>
    <m/>
    <m/>
    <s v="Hurricane Kenna funds ($11,636.16 minus 11.15%); Christine Strater and Nate Cooper deployed 5 October 2003"/>
  </r>
  <r>
    <m/>
    <n v="111"/>
    <x v="95"/>
    <d v="2003-10-01T00:00:00"/>
    <x v="8"/>
    <n v="7"/>
    <m/>
    <x v="8"/>
    <n v="16"/>
    <x v="3"/>
    <s v="South Korea"/>
    <m/>
    <x v="5"/>
    <s v="Tropical Cyclone"/>
    <s v="Typhoon"/>
    <x v="0"/>
    <x v="0"/>
    <m/>
    <m/>
    <m/>
    <m/>
    <m/>
    <m/>
    <m/>
    <m/>
    <x v="0"/>
    <m/>
    <m/>
    <m/>
    <m/>
    <n v="10000"/>
    <m/>
    <n v="10000"/>
    <m/>
    <m/>
    <m/>
    <m/>
    <m/>
    <m/>
    <m/>
    <m/>
    <m/>
    <m/>
    <m/>
    <m/>
    <m/>
    <m/>
    <m/>
    <m/>
    <m/>
    <m/>
    <m/>
    <m/>
    <n v="10000"/>
    <m/>
    <m/>
    <m/>
    <x v="6"/>
    <x v="1"/>
    <m/>
    <m/>
    <m/>
    <m/>
    <n v="2647"/>
    <m/>
    <m/>
    <m/>
    <m/>
    <m/>
    <m/>
    <m/>
    <m/>
    <m/>
    <m/>
    <m/>
    <s v="Maemi"/>
    <s v="Alcoa funds for re-stocking KNRC warehouse"/>
  </r>
  <r>
    <m/>
    <n v="112"/>
    <x v="116"/>
    <d v="2003-11-01T00:00:00"/>
    <x v="8"/>
    <n v="8"/>
    <m/>
    <x v="8"/>
    <n v="17"/>
    <x v="2"/>
    <s v="Dominican Republic"/>
    <m/>
    <x v="2"/>
    <s v="General Floods"/>
    <s v="General Floods"/>
    <x v="0"/>
    <x v="0"/>
    <m/>
    <m/>
    <m/>
    <m/>
    <m/>
    <m/>
    <m/>
    <m/>
    <x v="0"/>
    <m/>
    <m/>
    <m/>
    <m/>
    <m/>
    <m/>
    <n v="0"/>
    <n v="3"/>
    <s v="Relief ERU"/>
    <m/>
    <m/>
    <m/>
    <m/>
    <m/>
    <m/>
    <m/>
    <m/>
    <m/>
    <m/>
    <m/>
    <m/>
    <m/>
    <m/>
    <m/>
    <m/>
    <n v="50000"/>
    <m/>
    <n v="50000"/>
    <m/>
    <m/>
    <n v="500"/>
    <x v="16"/>
    <x v="1"/>
    <m/>
    <m/>
    <m/>
    <m/>
    <n v="2618"/>
    <m/>
    <m/>
    <m/>
    <m/>
    <m/>
    <m/>
    <m/>
    <m/>
    <m/>
    <m/>
    <m/>
    <s v="Cibao / Montecristi"/>
    <s v="$50,000 from OFDA; Greenhalgh, McAndrew and Chapman deployed in November 2003 on Relief ERU Pilot"/>
  </r>
  <r>
    <m/>
    <n v="112"/>
    <x v="116"/>
    <d v="2003-11-01T00:00:00"/>
    <x v="8"/>
    <n v="8"/>
    <m/>
    <x v="8"/>
    <n v="17"/>
    <x v="2"/>
    <s v="Dominican Republic"/>
    <m/>
    <x v="2"/>
    <s v="General Floods"/>
    <s v="General Floods"/>
    <x v="0"/>
    <x v="0"/>
    <m/>
    <m/>
    <m/>
    <m/>
    <m/>
    <m/>
    <m/>
    <m/>
    <x v="0"/>
    <m/>
    <m/>
    <m/>
    <m/>
    <m/>
    <m/>
    <n v="0"/>
    <m/>
    <m/>
    <m/>
    <m/>
    <m/>
    <m/>
    <m/>
    <m/>
    <m/>
    <m/>
    <m/>
    <m/>
    <m/>
    <m/>
    <m/>
    <m/>
    <m/>
    <m/>
    <m/>
    <m/>
    <n v="0"/>
    <m/>
    <m/>
    <m/>
    <x v="7"/>
    <x v="1"/>
    <m/>
    <m/>
    <m/>
    <m/>
    <n v="2694"/>
    <m/>
    <m/>
    <m/>
    <m/>
    <m/>
    <m/>
    <m/>
    <m/>
    <m/>
    <m/>
    <m/>
    <s v="Cibao / Montecristi"/>
    <s v="(AP is shared with October 2003 Earthquake in Puerto Plata)"/>
  </r>
  <r>
    <m/>
    <n v="113"/>
    <x v="117"/>
    <d v="2003-12-01T00:00:00"/>
    <x v="8"/>
    <n v="9"/>
    <m/>
    <x v="8"/>
    <n v="18"/>
    <x v="3"/>
    <s v="Iran"/>
    <m/>
    <x v="3"/>
    <s v="Earthquake"/>
    <s v="Earthquake"/>
    <x v="0"/>
    <x v="0"/>
    <m/>
    <m/>
    <m/>
    <m/>
    <m/>
    <m/>
    <m/>
    <m/>
    <x v="0"/>
    <m/>
    <n v="1"/>
    <n v="200000"/>
    <m/>
    <m/>
    <m/>
    <n v="200000"/>
    <n v="6"/>
    <s v="Relief ERU"/>
    <m/>
    <n v="115560"/>
    <m/>
    <n v="45000"/>
    <n v="27000"/>
    <m/>
    <m/>
    <n v="490"/>
    <m/>
    <m/>
    <m/>
    <m/>
    <m/>
    <m/>
    <m/>
    <m/>
    <n v="825763"/>
    <n v="150038.97999999998"/>
    <n v="1175801.98"/>
    <m/>
    <m/>
    <n v="225000"/>
    <x v="77"/>
    <x v="1"/>
    <m/>
    <m/>
    <m/>
    <m/>
    <n v="2019"/>
    <m/>
    <m/>
    <m/>
    <m/>
    <m/>
    <m/>
    <m/>
    <m/>
    <m/>
    <m/>
    <m/>
    <s v="Bam"/>
    <s v="Relief ERU deployed: McAndrew (TL), Stephenson, Stops, Parry, Strater &amp; Swadzka.  $200,000 PMN sent to Federation; Commodities provide: 10,000 towels and 20,000 nail clippers"/>
  </r>
  <r>
    <m/>
    <n v="113"/>
    <x v="117"/>
    <d v="2003-12-01T00:00:00"/>
    <x v="8"/>
    <n v="9"/>
    <m/>
    <x v="8"/>
    <n v="18"/>
    <x v="3"/>
    <s v="Iran"/>
    <m/>
    <x v="3"/>
    <s v="Earthquake"/>
    <s v="Earthquake"/>
    <x v="0"/>
    <x v="0"/>
    <m/>
    <m/>
    <m/>
    <m/>
    <m/>
    <m/>
    <m/>
    <m/>
    <x v="0"/>
    <m/>
    <m/>
    <m/>
    <m/>
    <m/>
    <m/>
    <n v="0"/>
    <m/>
    <m/>
    <m/>
    <n v="11"/>
    <m/>
    <m/>
    <m/>
    <m/>
    <m/>
    <n v="11"/>
    <m/>
    <m/>
    <m/>
    <m/>
    <m/>
    <m/>
    <m/>
    <m/>
    <n v="19975"/>
    <m/>
    <n v="19975"/>
    <m/>
    <m/>
    <n v="440"/>
    <x v="78"/>
    <x v="1"/>
    <m/>
    <m/>
    <m/>
    <m/>
    <n v="2616"/>
    <m/>
    <m/>
    <m/>
    <m/>
    <m/>
    <m/>
    <m/>
    <m/>
    <m/>
    <m/>
    <m/>
    <s v="Bam"/>
    <s v="Grant from Reuters / AlertNet"/>
  </r>
  <r>
    <m/>
    <n v="113"/>
    <x v="117"/>
    <d v="2003-12-01T00:00:00"/>
    <x v="8"/>
    <n v="9"/>
    <m/>
    <x v="8"/>
    <n v="18"/>
    <x v="3"/>
    <s v="Iran"/>
    <m/>
    <x v="3"/>
    <s v="Earthquake"/>
    <s v="Earthquake"/>
    <x v="0"/>
    <x v="0"/>
    <m/>
    <m/>
    <m/>
    <m/>
    <m/>
    <m/>
    <m/>
    <m/>
    <x v="0"/>
    <m/>
    <m/>
    <m/>
    <m/>
    <m/>
    <m/>
    <n v="0"/>
    <m/>
    <m/>
    <m/>
    <m/>
    <m/>
    <m/>
    <m/>
    <m/>
    <m/>
    <m/>
    <m/>
    <m/>
    <m/>
    <m/>
    <m/>
    <m/>
    <m/>
    <m/>
    <n v="60000"/>
    <m/>
    <n v="60000"/>
    <m/>
    <m/>
    <m/>
    <x v="45"/>
    <x v="1"/>
    <m/>
    <m/>
    <m/>
    <m/>
    <n v="2793"/>
    <m/>
    <m/>
    <m/>
    <m/>
    <m/>
    <m/>
    <m/>
    <m/>
    <m/>
    <m/>
    <m/>
    <s v="Bam"/>
    <s v="Grant from Semnani Foundation."/>
  </r>
  <r>
    <m/>
    <n v="114"/>
    <x v="118"/>
    <d v="2003-12-01T00:00:00"/>
    <x v="8"/>
    <n v="10"/>
    <m/>
    <x v="8"/>
    <n v="19"/>
    <x v="2"/>
    <s v="Panama"/>
    <m/>
    <x v="3"/>
    <s v="Earthquake"/>
    <s v="Earthquake"/>
    <x v="0"/>
    <x v="0"/>
    <m/>
    <m/>
    <m/>
    <m/>
    <m/>
    <m/>
    <m/>
    <m/>
    <x v="0"/>
    <m/>
    <m/>
    <m/>
    <m/>
    <m/>
    <m/>
    <n v="0"/>
    <m/>
    <m/>
    <m/>
    <n v="2300"/>
    <m/>
    <m/>
    <n v="1000"/>
    <m/>
    <m/>
    <m/>
    <m/>
    <n v="1100"/>
    <m/>
    <m/>
    <m/>
    <m/>
    <m/>
    <m/>
    <n v="6178"/>
    <m/>
    <n v="6178"/>
    <m/>
    <m/>
    <n v="550"/>
    <x v="79"/>
    <x v="1"/>
    <m/>
    <m/>
    <m/>
    <m/>
    <n v="2898"/>
    <m/>
    <m/>
    <m/>
    <m/>
    <m/>
    <m/>
    <m/>
    <m/>
    <m/>
    <m/>
    <m/>
    <m/>
    <s v="Supplies to Panama RC"/>
  </r>
  <r>
    <m/>
    <n v="115"/>
    <x v="119"/>
    <d v="2004-04-01T00:00:00"/>
    <x v="8"/>
    <n v="11"/>
    <m/>
    <x v="9"/>
    <n v="1"/>
    <x v="3"/>
    <s v="DPRK/North Korea"/>
    <m/>
    <x v="9"/>
    <s v="Rail"/>
    <s v="Explosion"/>
    <x v="0"/>
    <x v="0"/>
    <m/>
    <m/>
    <m/>
    <m/>
    <m/>
    <m/>
    <m/>
    <m/>
    <x v="0"/>
    <m/>
    <n v="1"/>
    <n v="110000"/>
    <m/>
    <m/>
    <m/>
    <n v="110000"/>
    <m/>
    <m/>
    <m/>
    <m/>
    <m/>
    <m/>
    <m/>
    <m/>
    <m/>
    <m/>
    <m/>
    <m/>
    <m/>
    <m/>
    <m/>
    <m/>
    <m/>
    <m/>
    <m/>
    <m/>
    <n v="110000"/>
    <m/>
    <m/>
    <n v="3300"/>
    <x v="80"/>
    <x v="1"/>
    <m/>
    <m/>
    <m/>
    <m/>
    <s v="2861 / 2790"/>
    <m/>
    <m/>
    <m/>
    <m/>
    <m/>
    <m/>
    <m/>
    <m/>
    <m/>
    <m/>
    <m/>
    <s v="Ryongchon"/>
    <s v="CASH: $10,000  from 2861 funds from Asia Region ; $100,000 from OFDA / 2790;"/>
  </r>
  <r>
    <m/>
    <n v="116"/>
    <x v="116"/>
    <d v="2004-05-01T00:00:00"/>
    <x v="8"/>
    <n v="12"/>
    <m/>
    <x v="9"/>
    <n v="2"/>
    <x v="2"/>
    <s v="Dominican Republic"/>
    <m/>
    <x v="2"/>
    <s v="General Floods"/>
    <s v="General Floods"/>
    <x v="0"/>
    <x v="0"/>
    <m/>
    <m/>
    <m/>
    <m/>
    <m/>
    <m/>
    <m/>
    <m/>
    <x v="0"/>
    <m/>
    <m/>
    <m/>
    <m/>
    <m/>
    <m/>
    <n v="0"/>
    <n v="1"/>
    <m/>
    <m/>
    <n v="10930"/>
    <m/>
    <m/>
    <m/>
    <n v="2350"/>
    <m/>
    <n v="150"/>
    <m/>
    <n v="5000"/>
    <m/>
    <m/>
    <n v="1000"/>
    <m/>
    <m/>
    <m/>
    <n v="205334.81245"/>
    <n v="14800"/>
    <n v="220134.81245"/>
    <m/>
    <m/>
    <n v="2500"/>
    <x v="81"/>
    <x v="1"/>
    <m/>
    <m/>
    <m/>
    <m/>
    <n v="2694"/>
    <m/>
    <m/>
    <m/>
    <m/>
    <m/>
    <m/>
    <m/>
    <m/>
    <m/>
    <m/>
    <m/>
    <s v="Jimani &amp; Duarte"/>
    <s v="Nate Cooper deployed to DR with PADRU; stocks deployed ($74,526.50) from PADRU includes 2,430 school kits; $89,000 worth of generators"/>
  </r>
  <r>
    <m/>
    <n v="116"/>
    <x v="120"/>
    <d v="2004-05-01T00:00:00"/>
    <x v="8"/>
    <n v="12"/>
    <m/>
    <x v="9"/>
    <n v="2"/>
    <x v="2"/>
    <s v="Haiti"/>
    <m/>
    <x v="2"/>
    <s v="General Floods"/>
    <s v="General Floods"/>
    <x v="0"/>
    <x v="0"/>
    <m/>
    <m/>
    <m/>
    <m/>
    <m/>
    <m/>
    <m/>
    <m/>
    <x v="0"/>
    <m/>
    <n v="0"/>
    <n v="20007"/>
    <m/>
    <m/>
    <m/>
    <n v="20007"/>
    <m/>
    <m/>
    <m/>
    <m/>
    <m/>
    <m/>
    <m/>
    <m/>
    <m/>
    <m/>
    <m/>
    <m/>
    <m/>
    <m/>
    <m/>
    <n v="2"/>
    <m/>
    <m/>
    <n v="16885.856"/>
    <n v="7665"/>
    <n v="44557.856"/>
    <m/>
    <m/>
    <n v="3000"/>
    <x v="82"/>
    <x v="1"/>
    <m/>
    <m/>
    <m/>
    <m/>
    <n v="2614"/>
    <m/>
    <m/>
    <m/>
    <m/>
    <m/>
    <m/>
    <m/>
    <m/>
    <m/>
    <m/>
    <m/>
    <s v="Eastern"/>
    <s v="PMN 0407052 ($18,000 + PSR) dated 7 July 2004; rental of two vehicles to be used in Haiti for 3 months each"/>
  </r>
  <r>
    <m/>
    <n v="116"/>
    <x v="121"/>
    <d v="2004-05-01T00:00:00"/>
    <x v="8"/>
    <n v="13"/>
    <m/>
    <x v="9"/>
    <n v="3"/>
    <x v="1"/>
    <s v="Malawi"/>
    <m/>
    <x v="11"/>
    <s v="Viral"/>
    <s v="Viral"/>
    <x v="0"/>
    <x v="0"/>
    <m/>
    <m/>
    <m/>
    <m/>
    <m/>
    <m/>
    <m/>
    <m/>
    <x v="0"/>
    <m/>
    <m/>
    <m/>
    <m/>
    <m/>
    <m/>
    <n v="0"/>
    <m/>
    <m/>
    <m/>
    <n v="12380"/>
    <m/>
    <m/>
    <m/>
    <m/>
    <m/>
    <m/>
    <m/>
    <n v="12360"/>
    <m/>
    <m/>
    <n v="20"/>
    <m/>
    <m/>
    <m/>
    <n v="61220"/>
    <m/>
    <n v="61220"/>
    <m/>
    <m/>
    <n v="6180"/>
    <x v="83"/>
    <x v="1"/>
    <m/>
    <m/>
    <m/>
    <m/>
    <n v="2898"/>
    <m/>
    <m/>
    <m/>
    <m/>
    <m/>
    <m/>
    <m/>
    <m/>
    <m/>
    <m/>
    <m/>
    <s v="HIV/AIDS - Home Care"/>
    <s v="ex London"/>
  </r>
  <r>
    <m/>
    <n v="116"/>
    <x v="116"/>
    <d v="2004-07-01T00:00:00"/>
    <x v="8"/>
    <n v="12"/>
    <m/>
    <x v="9"/>
    <n v="2"/>
    <x v="2"/>
    <s v="Dominican Republic"/>
    <m/>
    <x v="2"/>
    <s v="General Floods"/>
    <s v="General Floods"/>
    <x v="0"/>
    <x v="0"/>
    <m/>
    <m/>
    <m/>
    <m/>
    <m/>
    <m/>
    <m/>
    <m/>
    <x v="0"/>
    <m/>
    <m/>
    <m/>
    <m/>
    <m/>
    <m/>
    <n v="0"/>
    <n v="1"/>
    <m/>
    <m/>
    <m/>
    <m/>
    <m/>
    <m/>
    <m/>
    <m/>
    <m/>
    <m/>
    <m/>
    <m/>
    <m/>
    <m/>
    <m/>
    <m/>
    <m/>
    <n v="110266.26"/>
    <m/>
    <n v="110266.26"/>
    <m/>
    <m/>
    <n v="2500"/>
    <x v="84"/>
    <x v="1"/>
    <m/>
    <m/>
    <m/>
    <m/>
    <n v="2788"/>
    <m/>
    <m/>
    <m/>
    <m/>
    <m/>
    <m/>
    <m/>
    <m/>
    <m/>
    <m/>
    <m/>
    <s v="Jimani &amp; Duarte"/>
    <s v="Ricardo Caivano - Gates Foundation funds ($233,780 - 11.15% = $207,713.53 available - - 60% for DR)"/>
  </r>
  <r>
    <m/>
    <n v="116"/>
    <x v="120"/>
    <d v="2004-07-01T00:00:00"/>
    <x v="8"/>
    <n v="12"/>
    <m/>
    <x v="9"/>
    <n v="2"/>
    <x v="2"/>
    <s v="Haiti"/>
    <m/>
    <x v="2"/>
    <s v="General Floods"/>
    <s v="General Floods"/>
    <x v="0"/>
    <x v="0"/>
    <m/>
    <m/>
    <m/>
    <m/>
    <m/>
    <m/>
    <m/>
    <m/>
    <x v="0"/>
    <m/>
    <m/>
    <m/>
    <m/>
    <m/>
    <m/>
    <n v="0"/>
    <m/>
    <m/>
    <m/>
    <m/>
    <m/>
    <m/>
    <m/>
    <m/>
    <m/>
    <m/>
    <m/>
    <m/>
    <m/>
    <m/>
    <m/>
    <m/>
    <m/>
    <m/>
    <n v="97442.48"/>
    <m/>
    <n v="97442.48"/>
    <m/>
    <m/>
    <n v="3000"/>
    <x v="85"/>
    <x v="1"/>
    <m/>
    <m/>
    <m/>
    <m/>
    <n v="2788"/>
    <m/>
    <m/>
    <m/>
    <m/>
    <m/>
    <m/>
    <m/>
    <m/>
    <m/>
    <m/>
    <m/>
    <s v="Eastern"/>
    <s v="Ricardo Caivano - Gates Foundation funds ($233,780 - 11.15% = $207,713.53 available - - 40% for Haiti)"/>
  </r>
  <r>
    <m/>
    <n v="117"/>
    <x v="122"/>
    <d v="2004-05-01T00:00:00"/>
    <x v="8"/>
    <n v="14"/>
    <m/>
    <x v="9"/>
    <n v="4"/>
    <x v="2"/>
    <s v="Jamaica"/>
    <m/>
    <x v="8"/>
    <s v="Conflict"/>
    <s v="Conflict"/>
    <x v="0"/>
    <x v="0"/>
    <m/>
    <m/>
    <m/>
    <m/>
    <m/>
    <m/>
    <m/>
    <m/>
    <x v="0"/>
    <m/>
    <m/>
    <m/>
    <m/>
    <m/>
    <m/>
    <n v="0"/>
    <n v="0"/>
    <m/>
    <m/>
    <n v="1000"/>
    <m/>
    <n v="500"/>
    <m/>
    <m/>
    <m/>
    <m/>
    <m/>
    <n v="500"/>
    <m/>
    <m/>
    <m/>
    <m/>
    <m/>
    <m/>
    <n v="3000"/>
    <m/>
    <n v="3000"/>
    <m/>
    <m/>
    <n v="500"/>
    <x v="86"/>
    <x v="1"/>
    <m/>
    <m/>
    <m/>
    <m/>
    <n v="2898"/>
    <m/>
    <m/>
    <m/>
    <m/>
    <m/>
    <m/>
    <m/>
    <m/>
    <m/>
    <m/>
    <m/>
    <s v="Haiti - Refugee"/>
    <s v="PADRU stocks"/>
  </r>
  <r>
    <m/>
    <n v="119"/>
    <x v="123"/>
    <d v="2004-08-01T00:00:00"/>
    <x v="9"/>
    <n v="1"/>
    <m/>
    <x v="9"/>
    <n v="5"/>
    <x v="2"/>
    <s v="Paraguay"/>
    <m/>
    <x v="10"/>
    <s v="Fire"/>
    <s v="Urban Fire"/>
    <x v="0"/>
    <x v="0"/>
    <m/>
    <m/>
    <m/>
    <m/>
    <m/>
    <m/>
    <m/>
    <m/>
    <x v="0"/>
    <m/>
    <m/>
    <m/>
    <m/>
    <n v="18675"/>
    <m/>
    <n v="18675"/>
    <m/>
    <m/>
    <m/>
    <m/>
    <m/>
    <m/>
    <m/>
    <m/>
    <m/>
    <m/>
    <m/>
    <m/>
    <m/>
    <m/>
    <m/>
    <m/>
    <m/>
    <m/>
    <m/>
    <m/>
    <n v="18675"/>
    <m/>
    <m/>
    <m/>
    <x v="87"/>
    <x v="1"/>
    <m/>
    <m/>
    <m/>
    <m/>
    <n v="2816"/>
    <m/>
    <m/>
    <m/>
    <m/>
    <m/>
    <m/>
    <m/>
    <m/>
    <m/>
    <m/>
    <m/>
    <s v="Asuncion Supermarket"/>
    <s v="World Bank Employees; money arrived Oct 2004"/>
  </r>
  <r>
    <m/>
    <n v="120"/>
    <x v="124"/>
    <d v="2004-08-01T00:00:00"/>
    <x v="9"/>
    <n v="2"/>
    <m/>
    <x v="9"/>
    <n v="6"/>
    <x v="1"/>
    <s v="Chad"/>
    <m/>
    <x v="8"/>
    <s v="Conflict"/>
    <s v="Conflict"/>
    <x v="0"/>
    <x v="0"/>
    <m/>
    <m/>
    <m/>
    <m/>
    <m/>
    <m/>
    <m/>
    <m/>
    <x v="0"/>
    <m/>
    <n v="1"/>
    <n v="100000"/>
    <m/>
    <m/>
    <m/>
    <n v="100000"/>
    <m/>
    <m/>
    <m/>
    <m/>
    <m/>
    <m/>
    <m/>
    <m/>
    <m/>
    <m/>
    <m/>
    <m/>
    <m/>
    <m/>
    <m/>
    <m/>
    <m/>
    <m/>
    <m/>
    <m/>
    <n v="100000"/>
    <m/>
    <m/>
    <m/>
    <x v="5"/>
    <x v="1"/>
    <m/>
    <m/>
    <m/>
    <m/>
    <n v="9306"/>
    <m/>
    <m/>
    <m/>
    <m/>
    <m/>
    <m/>
    <m/>
    <m/>
    <m/>
    <m/>
    <m/>
    <s v="Darfur / Sudan"/>
    <s v="PMN Contribution to support Fed Appeal - Chad: Sudanese Refugees (from LDS)"/>
  </r>
  <r>
    <m/>
    <n v="120"/>
    <x v="125"/>
    <d v="2004-08-01T00:00:00"/>
    <x v="9"/>
    <n v="2"/>
    <m/>
    <x v="9"/>
    <n v="6"/>
    <x v="1"/>
    <s v="Sudan"/>
    <m/>
    <x v="8"/>
    <s v="Conflict"/>
    <s v="Conflict"/>
    <x v="0"/>
    <x v="0"/>
    <m/>
    <m/>
    <m/>
    <m/>
    <m/>
    <m/>
    <m/>
    <m/>
    <x v="0"/>
    <m/>
    <m/>
    <m/>
    <n v="242000"/>
    <m/>
    <m/>
    <n v="242000"/>
    <n v="1"/>
    <m/>
    <m/>
    <m/>
    <m/>
    <m/>
    <m/>
    <m/>
    <m/>
    <m/>
    <m/>
    <m/>
    <m/>
    <m/>
    <m/>
    <m/>
    <m/>
    <m/>
    <m/>
    <n v="5400"/>
    <n v="247400"/>
    <m/>
    <m/>
    <m/>
    <x v="88"/>
    <x v="1"/>
    <m/>
    <m/>
    <m/>
    <m/>
    <n v="2802"/>
    <m/>
    <m/>
    <m/>
    <m/>
    <m/>
    <m/>
    <m/>
    <m/>
    <m/>
    <m/>
    <m/>
    <s v="Darfur / Sudan"/>
    <s v="1. 2004 - L. Greenhalgh seconded to Fed, expenses $5400 2. 2006 - Pledge to ICRC Sudan Appeal, $242,000"/>
  </r>
  <r>
    <m/>
    <n v="121"/>
    <x v="19"/>
    <d v="2004-08-01T00:00:00"/>
    <x v="9"/>
    <n v="3"/>
    <m/>
    <x v="9"/>
    <n v="7"/>
    <x v="3"/>
    <s v="Bangladesh"/>
    <m/>
    <x v="2"/>
    <s v="General Floods"/>
    <s v="General Floods"/>
    <x v="0"/>
    <x v="0"/>
    <m/>
    <m/>
    <m/>
    <m/>
    <m/>
    <m/>
    <m/>
    <m/>
    <x v="0"/>
    <m/>
    <n v="0"/>
    <n v="35975"/>
    <m/>
    <m/>
    <m/>
    <n v="35975"/>
    <m/>
    <m/>
    <m/>
    <m/>
    <m/>
    <m/>
    <m/>
    <m/>
    <m/>
    <m/>
    <m/>
    <m/>
    <m/>
    <m/>
    <m/>
    <m/>
    <m/>
    <m/>
    <m/>
    <m/>
    <n v="35975"/>
    <m/>
    <m/>
    <m/>
    <x v="89"/>
    <x v="1"/>
    <m/>
    <m/>
    <m/>
    <m/>
    <n v="2017"/>
    <m/>
    <m/>
    <m/>
    <m/>
    <m/>
    <m/>
    <m/>
    <m/>
    <m/>
    <m/>
    <m/>
    <s v="Country-wide"/>
    <s v="PMN: $15,975 from Citigroup and $20,000 from AMEX"/>
  </r>
  <r>
    <m/>
    <n v="122"/>
    <x v="126"/>
    <d v="2004-08-01T00:00:00"/>
    <x v="9"/>
    <n v="4"/>
    <m/>
    <x v="9"/>
    <n v="8"/>
    <x v="3"/>
    <s v="Taiwan"/>
    <m/>
    <x v="5"/>
    <s v="Tropical Cyclone"/>
    <s v="Typhoon"/>
    <x v="0"/>
    <x v="0"/>
    <m/>
    <m/>
    <m/>
    <m/>
    <m/>
    <m/>
    <m/>
    <m/>
    <x v="0"/>
    <m/>
    <m/>
    <m/>
    <m/>
    <n v="59896.536212325685"/>
    <m/>
    <n v="59896.536212325685"/>
    <m/>
    <m/>
    <m/>
    <m/>
    <m/>
    <m/>
    <m/>
    <m/>
    <m/>
    <m/>
    <m/>
    <m/>
    <m/>
    <m/>
    <m/>
    <m/>
    <m/>
    <m/>
    <m/>
    <m/>
    <n v="59896.536212325685"/>
    <m/>
    <m/>
    <m/>
    <x v="90"/>
    <x v="1"/>
    <m/>
    <m/>
    <m/>
    <m/>
    <n v="2824"/>
    <m/>
    <m/>
    <m/>
    <m/>
    <m/>
    <m/>
    <m/>
    <m/>
    <m/>
    <m/>
    <m/>
    <s v="Mindulle"/>
    <s v="Pass through from Intel ($50,000), Synopsys Community Foundation ($10,000 - 11.15%) and San Gabriel Valley Chapter ($1,000 - 11.15%)"/>
  </r>
  <r>
    <m/>
    <n v="123"/>
    <x v="25"/>
    <d v="2004-09-01T00:00:00"/>
    <x v="9"/>
    <n v="5"/>
    <m/>
    <x v="9"/>
    <n v="9"/>
    <x v="2"/>
    <s v="Grenada"/>
    <m/>
    <x v="5"/>
    <s v="Tropical Cyclone"/>
    <s v="Hurricane"/>
    <x v="0"/>
    <x v="0"/>
    <m/>
    <m/>
    <m/>
    <m/>
    <m/>
    <m/>
    <m/>
    <m/>
    <x v="0"/>
    <m/>
    <n v="1"/>
    <n v="300000"/>
    <m/>
    <m/>
    <m/>
    <n v="300000"/>
    <n v="2"/>
    <m/>
    <m/>
    <n v="486"/>
    <m/>
    <m/>
    <m/>
    <n v="481"/>
    <m/>
    <n v="5"/>
    <m/>
    <m/>
    <m/>
    <m/>
    <m/>
    <m/>
    <m/>
    <m/>
    <n v="2452.19"/>
    <m/>
    <n v="302452.19"/>
    <m/>
    <m/>
    <m/>
    <x v="91"/>
    <x v="1"/>
    <m/>
    <m/>
    <m/>
    <m/>
    <n v="2024"/>
    <m/>
    <m/>
    <m/>
    <m/>
    <m/>
    <m/>
    <m/>
    <m/>
    <m/>
    <m/>
    <m/>
    <s v="Ivan"/>
    <s v="PMN - March 05; N. Cooper deployed to Grenada and Bahamas w/ PADRU; T. Reines deployed to Grenada.  5 Tents @ $299 each; Jerry Cans @ $1.99 each"/>
  </r>
  <r>
    <m/>
    <n v="123"/>
    <x v="73"/>
    <d v="2004-09-01T00:00:00"/>
    <x v="9"/>
    <n v="5"/>
    <m/>
    <x v="9"/>
    <n v="9"/>
    <x v="2"/>
    <s v="Jamaica"/>
    <m/>
    <x v="5"/>
    <s v="Tropical Cyclone"/>
    <s v="Hurricane"/>
    <x v="0"/>
    <x v="0"/>
    <m/>
    <m/>
    <m/>
    <m/>
    <m/>
    <m/>
    <m/>
    <m/>
    <x v="0"/>
    <m/>
    <n v="1"/>
    <n v="100000"/>
    <m/>
    <m/>
    <m/>
    <n v="100000"/>
    <n v="1"/>
    <m/>
    <m/>
    <n v="7314"/>
    <m/>
    <m/>
    <n v="5000"/>
    <n v="802"/>
    <m/>
    <m/>
    <m/>
    <m/>
    <m/>
    <m/>
    <n v="1105"/>
    <m/>
    <m/>
    <m/>
    <n v="31046.879999999997"/>
    <m/>
    <n v="131046.88"/>
    <m/>
    <m/>
    <m/>
    <x v="92"/>
    <x v="1"/>
    <m/>
    <m/>
    <m/>
    <m/>
    <n v="2024"/>
    <m/>
    <m/>
    <m/>
    <m/>
    <m/>
    <m/>
    <m/>
    <m/>
    <m/>
    <m/>
    <m/>
    <s v="Ivan"/>
    <s v="PMN - March 05; M. Parry deployed with FACT; Jerry Cans @ $1.99 each, blankets @ $3.03 each, 407 flashlights @ $1.20 each,  tarpaulins @ $12.50 each"/>
  </r>
  <r>
    <m/>
    <n v="123"/>
    <x v="127"/>
    <d v="2004-09-01T00:00:00"/>
    <x v="9"/>
    <n v="5"/>
    <m/>
    <x v="9"/>
    <n v="9"/>
    <x v="2"/>
    <s v="Cayman Islands"/>
    <m/>
    <x v="5"/>
    <s v="Tropical Cyclone"/>
    <s v="Hurricane"/>
    <x v="0"/>
    <x v="0"/>
    <m/>
    <m/>
    <m/>
    <m/>
    <m/>
    <m/>
    <m/>
    <m/>
    <x v="0"/>
    <m/>
    <n v="1"/>
    <n v="100000"/>
    <m/>
    <m/>
    <m/>
    <n v="100000"/>
    <n v="1"/>
    <m/>
    <m/>
    <n v="2346"/>
    <m/>
    <n v="1000"/>
    <m/>
    <n v="321"/>
    <m/>
    <n v="25"/>
    <m/>
    <m/>
    <m/>
    <m/>
    <m/>
    <m/>
    <m/>
    <m/>
    <n v="12853.79"/>
    <m/>
    <n v="112853.79000000001"/>
    <m/>
    <m/>
    <m/>
    <x v="93"/>
    <x v="1"/>
    <m/>
    <m/>
    <m/>
    <m/>
    <n v="2024"/>
    <m/>
    <m/>
    <m/>
    <m/>
    <m/>
    <m/>
    <m/>
    <m/>
    <m/>
    <m/>
    <m/>
    <s v="Ivan"/>
    <s v="PMN - March 05; tents @ $299 each; Jerrry Cans @$1.99 each; 1,000 flashlights @ $1.20 each; Hygiene Kits @ $3.54 loaned to British Red Cross"/>
  </r>
  <r>
    <m/>
    <n v="123"/>
    <x v="13"/>
    <d v="2004-09-01T00:00:00"/>
    <x v="9"/>
    <n v="5"/>
    <m/>
    <x v="9"/>
    <n v="9"/>
    <x v="2"/>
    <s v="Bahamas "/>
    <m/>
    <x v="5"/>
    <s v="Tropical Cyclone"/>
    <s v="Hurricane"/>
    <x v="0"/>
    <x v="0"/>
    <m/>
    <m/>
    <m/>
    <m/>
    <m/>
    <m/>
    <m/>
    <m/>
    <x v="0"/>
    <m/>
    <n v="1"/>
    <n v="100000"/>
    <m/>
    <m/>
    <m/>
    <n v="100000"/>
    <n v="4"/>
    <m/>
    <m/>
    <m/>
    <m/>
    <m/>
    <m/>
    <m/>
    <m/>
    <m/>
    <m/>
    <m/>
    <m/>
    <m/>
    <m/>
    <m/>
    <m/>
    <m/>
    <m/>
    <m/>
    <n v="100000"/>
    <m/>
    <m/>
    <m/>
    <x v="5"/>
    <x v="1"/>
    <m/>
    <m/>
    <m/>
    <m/>
    <n v="2024"/>
    <m/>
    <m/>
    <m/>
    <m/>
    <m/>
    <m/>
    <m/>
    <m/>
    <m/>
    <m/>
    <m/>
    <s v="Ivan"/>
    <s v="PMN - Jan 05; C. Garrison, S. Schaefer deployed 1 month; N. Cooper deployed several times"/>
  </r>
  <r>
    <m/>
    <n v="124"/>
    <x v="120"/>
    <d v="2004-09-01T00:00:00"/>
    <x v="9"/>
    <n v="6"/>
    <m/>
    <x v="9"/>
    <n v="10"/>
    <x v="2"/>
    <s v="Haiti"/>
    <m/>
    <x v="2"/>
    <s v="Storm Surge"/>
    <s v="Storm Surge"/>
    <x v="0"/>
    <x v="0"/>
    <m/>
    <m/>
    <m/>
    <m/>
    <m/>
    <m/>
    <m/>
    <m/>
    <x v="0"/>
    <m/>
    <n v="1"/>
    <n v="400000"/>
    <m/>
    <m/>
    <m/>
    <n v="400000"/>
    <n v="1"/>
    <m/>
    <m/>
    <n v="110"/>
    <m/>
    <m/>
    <m/>
    <m/>
    <m/>
    <m/>
    <m/>
    <m/>
    <m/>
    <m/>
    <n v="110"/>
    <m/>
    <m/>
    <m/>
    <n v="1375"/>
    <m/>
    <n v="401375"/>
    <m/>
    <m/>
    <m/>
    <x v="94"/>
    <x v="1"/>
    <m/>
    <m/>
    <m/>
    <m/>
    <n v="2614"/>
    <m/>
    <m/>
    <m/>
    <m/>
    <m/>
    <m/>
    <m/>
    <m/>
    <m/>
    <m/>
    <m/>
    <s v="TS Jeanne"/>
    <s v="Brigitte Gallis deployed; tarpaulins @ $12.50 each; PMN 400K out of AP 2024 Jan 05"/>
  </r>
  <r>
    <m/>
    <n v="125"/>
    <x v="7"/>
    <d v="2004-11-01T00:00:00"/>
    <x v="9"/>
    <n v="7"/>
    <m/>
    <x v="9"/>
    <n v="11"/>
    <x v="2"/>
    <s v="Costa Rica"/>
    <m/>
    <x v="2"/>
    <s v="General Floods"/>
    <s v="General Floods"/>
    <x v="0"/>
    <x v="0"/>
    <m/>
    <m/>
    <m/>
    <m/>
    <m/>
    <m/>
    <m/>
    <m/>
    <x v="0"/>
    <m/>
    <m/>
    <m/>
    <m/>
    <m/>
    <m/>
    <n v="0"/>
    <m/>
    <m/>
    <m/>
    <n v="750"/>
    <m/>
    <n v="750"/>
    <m/>
    <m/>
    <m/>
    <m/>
    <m/>
    <m/>
    <m/>
    <m/>
    <m/>
    <m/>
    <m/>
    <m/>
    <n v="2655"/>
    <m/>
    <n v="2655"/>
    <m/>
    <m/>
    <m/>
    <x v="95"/>
    <x v="1"/>
    <m/>
    <m/>
    <m/>
    <m/>
    <n v="2898"/>
    <m/>
    <m/>
    <m/>
    <m/>
    <m/>
    <m/>
    <m/>
    <m/>
    <m/>
    <m/>
    <m/>
    <m/>
    <s v="from PADRU @ $3.54 each"/>
  </r>
  <r>
    <m/>
    <n v="126"/>
    <x v="80"/>
    <d v="2004-12-01T00:00:00"/>
    <x v="9"/>
    <n v="8"/>
    <m/>
    <x v="9"/>
    <n v="12"/>
    <x v="2"/>
    <s v="Panama"/>
    <s v="Hydrometerological"/>
    <x v="2"/>
    <s v="General Floods"/>
    <s v="General Floods"/>
    <x v="0"/>
    <x v="0"/>
    <m/>
    <m/>
    <m/>
    <m/>
    <m/>
    <m/>
    <m/>
    <m/>
    <x v="0"/>
    <m/>
    <m/>
    <m/>
    <m/>
    <m/>
    <m/>
    <n v="0"/>
    <m/>
    <m/>
    <m/>
    <m/>
    <m/>
    <m/>
    <m/>
    <m/>
    <m/>
    <m/>
    <m/>
    <m/>
    <m/>
    <m/>
    <m/>
    <m/>
    <m/>
    <m/>
    <m/>
    <m/>
    <n v="0"/>
    <m/>
    <m/>
    <m/>
    <x v="7"/>
    <x v="1"/>
    <m/>
    <m/>
    <m/>
    <m/>
    <n v="2898"/>
    <m/>
    <m/>
    <m/>
    <m/>
    <m/>
    <m/>
    <m/>
    <m/>
    <m/>
    <m/>
    <m/>
    <s v="Darien"/>
    <s v="CANCELLED: 100 cases of laundry soap (5,000 bars = $7,200) and 5,000 bars of bath soap ($1,475)"/>
  </r>
  <r>
    <m/>
    <n v="127"/>
    <x v="128"/>
    <d v="2004-12-01T00:00:00"/>
    <x v="9"/>
    <n v="9"/>
    <m/>
    <x v="9"/>
    <n v="13"/>
    <x v="3"/>
    <s v="Sri Lanka"/>
    <s v="Hydrometerological"/>
    <x v="16"/>
    <s v="Tsunami"/>
    <s v="Tsunami"/>
    <x v="0"/>
    <x v="0"/>
    <m/>
    <m/>
    <m/>
    <m/>
    <m/>
    <m/>
    <m/>
    <m/>
    <x v="0"/>
    <m/>
    <n v="1"/>
    <n v="1837066.6666666667"/>
    <m/>
    <m/>
    <m/>
    <n v="1837066.6666666667"/>
    <n v="17"/>
    <s v="Relief ERU"/>
    <m/>
    <m/>
    <m/>
    <m/>
    <m/>
    <m/>
    <m/>
    <m/>
    <m/>
    <m/>
    <m/>
    <m/>
    <m/>
    <m/>
    <m/>
    <m/>
    <n v="2011842.8599999999"/>
    <n v="100000000"/>
    <n v="103848909.52666667"/>
    <m/>
    <m/>
    <m/>
    <x v="96"/>
    <x v="1"/>
    <m/>
    <m/>
    <m/>
    <m/>
    <n v="2695"/>
    <m/>
    <m/>
    <m/>
    <m/>
    <m/>
    <m/>
    <m/>
    <m/>
    <m/>
    <m/>
    <m/>
    <s v="S &amp; E Provinces"/>
    <s v="Parry, Ragan, Courville, Matthews, Caivano, Blake, Garrison, Szwadzka, Hurd, Chinn, Gaver, Brien, Reines, Thornton, Cummings, deployed with Relief ERU. Stephenson and Cooper deployed with British RC; Hagos deployed for 2 weeks in Feb 2005; L. Wilkinson (DP)   $5 million PMN sent to Federation for Appeal / 100K for emerg phase"/>
  </r>
  <r>
    <m/>
    <n v="127"/>
    <x v="129"/>
    <d v="2004-12-01T00:00:00"/>
    <x v="9"/>
    <n v="9"/>
    <m/>
    <x v="9"/>
    <n v="13"/>
    <x v="3"/>
    <s v="Indonesia"/>
    <s v="Hydrometerological"/>
    <x v="16"/>
    <s v="Tsunami"/>
    <s v="Tsunami"/>
    <x v="0"/>
    <x v="0"/>
    <m/>
    <m/>
    <m/>
    <m/>
    <m/>
    <m/>
    <m/>
    <m/>
    <x v="0"/>
    <m/>
    <n v="1"/>
    <n v="1666666.6666666667"/>
    <m/>
    <m/>
    <m/>
    <n v="1666666.6666666667"/>
    <n v="5"/>
    <s v="Relief ERU"/>
    <m/>
    <m/>
    <m/>
    <m/>
    <m/>
    <m/>
    <m/>
    <m/>
    <m/>
    <m/>
    <m/>
    <m/>
    <m/>
    <m/>
    <m/>
    <m/>
    <n v="2300506.4"/>
    <m/>
    <n v="3967173.0666666664"/>
    <m/>
    <m/>
    <m/>
    <x v="97"/>
    <x v="1"/>
    <m/>
    <m/>
    <m/>
    <m/>
    <n v="2695"/>
    <m/>
    <m/>
    <m/>
    <m/>
    <m/>
    <m/>
    <m/>
    <m/>
    <m/>
    <m/>
    <m/>
    <s v="N. Sumatra"/>
    <s v="O'Donnell, Michaud and Card deployed as w/ Relief ERU in Northern Sumatra; Greenhalgh on FACT.   $5 million PMN sent to Federation for Appeal; Caivano transferred from Sri Lanka to Indo; Karnes deployed as IRT (logs/ops) "/>
  </r>
  <r>
    <m/>
    <n v="127"/>
    <x v="130"/>
    <d v="2004-12-01T00:00:00"/>
    <x v="9"/>
    <n v="9"/>
    <m/>
    <x v="9"/>
    <n v="13"/>
    <x v="3"/>
    <s v="Maldives"/>
    <s v="Hydrometerological"/>
    <x v="16"/>
    <s v="Tsunami"/>
    <s v="Tsunami"/>
    <x v="0"/>
    <x v="0"/>
    <m/>
    <m/>
    <m/>
    <m/>
    <m/>
    <m/>
    <m/>
    <m/>
    <x v="0"/>
    <m/>
    <n v="1"/>
    <n v="1666666.6666666667"/>
    <m/>
    <m/>
    <m/>
    <n v="1666666.6666666667"/>
    <n v="2"/>
    <m/>
    <m/>
    <m/>
    <m/>
    <m/>
    <m/>
    <m/>
    <m/>
    <m/>
    <m/>
    <m/>
    <m/>
    <m/>
    <m/>
    <m/>
    <m/>
    <m/>
    <n v="155600"/>
    <m/>
    <n v="1822266.6666666667"/>
    <m/>
    <m/>
    <m/>
    <x v="98"/>
    <x v="1"/>
    <m/>
    <m/>
    <m/>
    <m/>
    <n v="2695"/>
    <m/>
    <m/>
    <m/>
    <m/>
    <m/>
    <m/>
    <m/>
    <m/>
    <m/>
    <m/>
    <m/>
    <s v="Country-wide"/>
    <s v="Hagos on FACT; $5 million PMN sent to Federation for Appeal; Gould wat/san IRT"/>
  </r>
  <r>
    <m/>
    <n v="128"/>
    <x v="131"/>
    <d v="2005-01-01T00:00:00"/>
    <x v="9"/>
    <n v="10"/>
    <m/>
    <x v="10"/>
    <n v="1"/>
    <x v="2"/>
    <s v="Guyana"/>
    <s v="Hydrometerological"/>
    <x v="2"/>
    <s v="General Floods"/>
    <s v="General Floods"/>
    <x v="0"/>
    <x v="0"/>
    <m/>
    <m/>
    <m/>
    <m/>
    <m/>
    <m/>
    <m/>
    <m/>
    <x v="0"/>
    <m/>
    <m/>
    <m/>
    <m/>
    <m/>
    <m/>
    <n v="0"/>
    <n v="2"/>
    <m/>
    <m/>
    <m/>
    <m/>
    <m/>
    <m/>
    <m/>
    <m/>
    <m/>
    <m/>
    <m/>
    <m/>
    <m/>
    <m/>
    <m/>
    <m/>
    <m/>
    <n v="10000"/>
    <n v="3100"/>
    <n v="13100"/>
    <m/>
    <m/>
    <m/>
    <x v="99"/>
    <x v="1"/>
    <m/>
    <m/>
    <m/>
    <m/>
    <n v="2774"/>
    <m/>
    <m/>
    <m/>
    <m/>
    <m/>
    <m/>
    <m/>
    <m/>
    <m/>
    <m/>
    <m/>
    <s v="Georgetown"/>
    <s v="Jim Gould and Jeffery Weiss deployed and purchased and shipped to the GRC $10,000 worth of individual and family First Aid Kits."/>
  </r>
  <r>
    <m/>
    <n v="129"/>
    <x v="132"/>
    <d v="2005-06-01T00:00:00"/>
    <x v="9"/>
    <n v="11"/>
    <m/>
    <x v="10"/>
    <n v="2"/>
    <x v="4"/>
    <s v="Canada"/>
    <s v="Hydrometerological"/>
    <x v="2"/>
    <s v="General Floods"/>
    <s v="General Floods"/>
    <x v="0"/>
    <x v="0"/>
    <m/>
    <m/>
    <m/>
    <m/>
    <m/>
    <m/>
    <m/>
    <m/>
    <x v="0"/>
    <m/>
    <m/>
    <m/>
    <m/>
    <n v="5000"/>
    <m/>
    <n v="5000"/>
    <m/>
    <m/>
    <m/>
    <m/>
    <m/>
    <m/>
    <m/>
    <m/>
    <m/>
    <m/>
    <m/>
    <m/>
    <m/>
    <m/>
    <m/>
    <m/>
    <m/>
    <m/>
    <m/>
    <m/>
    <n v="5000"/>
    <m/>
    <m/>
    <m/>
    <x v="46"/>
    <x v="1"/>
    <m/>
    <m/>
    <m/>
    <m/>
    <s v="N/A"/>
    <m/>
    <m/>
    <m/>
    <m/>
    <m/>
    <m/>
    <m/>
    <m/>
    <m/>
    <m/>
    <m/>
    <s v="Alberta Floods"/>
    <s v="Contribution from AmEx for the Alberta Floods (GID direct to CRC)."/>
  </r>
  <r>
    <m/>
    <n v="130"/>
    <x v="133"/>
    <d v="2005-07-01T00:00:00"/>
    <x v="10"/>
    <n v="1"/>
    <m/>
    <x v="10"/>
    <n v="3"/>
    <x v="2"/>
    <s v="Jamaica"/>
    <s v="Hydrometerological"/>
    <x v="5"/>
    <s v="Tropical Cyclone"/>
    <s v="Hurricane"/>
    <x v="0"/>
    <x v="1"/>
    <s v="IFRC"/>
    <n v="587000"/>
    <s v="05EA14"/>
    <m/>
    <m/>
    <m/>
    <m/>
    <n v="35000"/>
    <x v="0"/>
    <m/>
    <n v="0"/>
    <n v="25000"/>
    <m/>
    <m/>
    <m/>
    <n v="25000"/>
    <m/>
    <m/>
    <m/>
    <n v="25"/>
    <m/>
    <m/>
    <m/>
    <m/>
    <m/>
    <n v="25"/>
    <m/>
    <m/>
    <m/>
    <m/>
    <m/>
    <m/>
    <m/>
    <m/>
    <n v="7475"/>
    <m/>
    <n v="32475"/>
    <m/>
    <m/>
    <n v="100"/>
    <x v="100"/>
    <x v="1"/>
    <m/>
    <m/>
    <m/>
    <m/>
    <n v="2024"/>
    <m/>
    <m/>
    <m/>
    <m/>
    <m/>
    <m/>
    <m/>
    <m/>
    <m/>
    <m/>
    <m/>
    <s v="Dennis / Emily"/>
    <s v="Ex PADRU"/>
  </r>
  <r>
    <m/>
    <n v="130"/>
    <x v="134"/>
    <d v="2005-07-01T00:00:00"/>
    <x v="10"/>
    <n v="1"/>
    <m/>
    <x v="10"/>
    <n v="3"/>
    <x v="2"/>
    <s v="Grenada"/>
    <s v="Hydrometerological"/>
    <x v="5"/>
    <s v="Tropical Cyclone"/>
    <s v="Hurricane"/>
    <x v="0"/>
    <x v="0"/>
    <m/>
    <m/>
    <m/>
    <m/>
    <m/>
    <m/>
    <m/>
    <m/>
    <x v="0"/>
    <m/>
    <n v="1"/>
    <n v="75000"/>
    <m/>
    <m/>
    <m/>
    <n v="75000"/>
    <m/>
    <m/>
    <m/>
    <m/>
    <m/>
    <m/>
    <m/>
    <m/>
    <m/>
    <m/>
    <m/>
    <m/>
    <m/>
    <m/>
    <m/>
    <m/>
    <m/>
    <m/>
    <m/>
    <m/>
    <n v="75000"/>
    <m/>
    <m/>
    <m/>
    <x v="56"/>
    <x v="1"/>
    <m/>
    <m/>
    <m/>
    <m/>
    <n v="2024"/>
    <m/>
    <m/>
    <m/>
    <m/>
    <m/>
    <m/>
    <m/>
    <m/>
    <m/>
    <m/>
    <m/>
    <s v="Dennis / Emily"/>
    <s v="$200,000 PMN sent: $100,000 to be divided between Jamaica and Grenada at Federation's discretion."/>
  </r>
  <r>
    <m/>
    <n v="130"/>
    <x v="135"/>
    <d v="2005-07-01T00:00:00"/>
    <x v="10"/>
    <n v="1"/>
    <m/>
    <x v="10"/>
    <n v="3"/>
    <x v="2"/>
    <s v="Haiti"/>
    <s v="Hydrometerological"/>
    <x v="5"/>
    <s v="Tropical Cyclone"/>
    <s v="Hurricane"/>
    <x v="0"/>
    <x v="0"/>
    <m/>
    <m/>
    <m/>
    <m/>
    <m/>
    <m/>
    <m/>
    <m/>
    <x v="0"/>
    <m/>
    <n v="1"/>
    <n v="100000"/>
    <m/>
    <m/>
    <m/>
    <n v="100000"/>
    <m/>
    <m/>
    <m/>
    <n v="9995"/>
    <m/>
    <m/>
    <m/>
    <m/>
    <m/>
    <m/>
    <m/>
    <m/>
    <m/>
    <m/>
    <m/>
    <m/>
    <m/>
    <m/>
    <n v="8693"/>
    <m/>
    <n v="108693"/>
    <m/>
    <m/>
    <m/>
    <x v="101"/>
    <x v="1"/>
    <m/>
    <m/>
    <m/>
    <m/>
    <n v="2614"/>
    <m/>
    <m/>
    <m/>
    <m/>
    <m/>
    <m/>
    <m/>
    <m/>
    <m/>
    <m/>
    <m/>
    <s v="Dennis / Emily"/>
    <s v="4,995 pcs laundry soap &amp; 5,000 pcs bath soap sent from PADRU; $200,000 PMN sent with $100,000 for Haiti"/>
  </r>
  <r>
    <m/>
    <n v="131"/>
    <x v="136"/>
    <d v="2005-07-01T00:00:00"/>
    <x v="10"/>
    <n v="2"/>
    <m/>
    <x v="10"/>
    <n v="4"/>
    <x v="1"/>
    <s v="Niger"/>
    <s v="Human Related"/>
    <x v="14"/>
    <s v="Food Insecurity"/>
    <s v="Food Insecurity"/>
    <x v="0"/>
    <x v="1"/>
    <s v="IFRC"/>
    <n v="14211607"/>
    <s v="05EA015"/>
    <m/>
    <m/>
    <m/>
    <m/>
    <n v="222000"/>
    <x v="0"/>
    <m/>
    <m/>
    <m/>
    <m/>
    <m/>
    <m/>
    <n v="0"/>
    <n v="3"/>
    <m/>
    <m/>
    <m/>
    <m/>
    <m/>
    <m/>
    <m/>
    <m/>
    <m/>
    <m/>
    <m/>
    <m/>
    <m/>
    <m/>
    <m/>
    <m/>
    <m/>
    <m/>
    <n v="36200"/>
    <n v="36200"/>
    <m/>
    <m/>
    <m/>
    <x v="102"/>
    <x v="1"/>
    <m/>
    <m/>
    <m/>
    <m/>
    <n v="2949"/>
    <m/>
    <m/>
    <m/>
    <m/>
    <m/>
    <m/>
    <m/>
    <m/>
    <m/>
    <m/>
    <m/>
    <s v="Sahel"/>
    <s v="Paying for secondments of Langdon Greenhalgh, Brigitte Gaillis and Tim Cummings to IFRC"/>
  </r>
  <r>
    <m/>
    <n v="132"/>
    <x v="137"/>
    <d v="2005-08-01T00:00:00"/>
    <x v="10"/>
    <n v="3"/>
    <m/>
    <x v="10"/>
    <n v="5"/>
    <x v="4"/>
    <s v="US"/>
    <s v="Hydrometerological"/>
    <x v="17"/>
    <s v="Tropical Cyclone"/>
    <s v="Hurricane"/>
    <x v="0"/>
    <x v="0"/>
    <m/>
    <m/>
    <m/>
    <m/>
    <m/>
    <m/>
    <m/>
    <m/>
    <x v="0"/>
    <m/>
    <m/>
    <m/>
    <m/>
    <m/>
    <m/>
    <n v="0"/>
    <n v="3"/>
    <m/>
    <m/>
    <m/>
    <m/>
    <m/>
    <m/>
    <m/>
    <m/>
    <m/>
    <m/>
    <m/>
    <m/>
    <m/>
    <m/>
    <m/>
    <m/>
    <m/>
    <m/>
    <m/>
    <n v="0"/>
    <m/>
    <m/>
    <m/>
    <x v="7"/>
    <x v="1"/>
    <m/>
    <m/>
    <m/>
    <m/>
    <m/>
    <m/>
    <m/>
    <m/>
    <m/>
    <m/>
    <m/>
    <m/>
    <m/>
    <m/>
    <m/>
    <m/>
    <s v="Katrina"/>
    <s v="Nate Cooper, Mark Smith and Lance Leverenz deployed to Mississippi, Lousiana and Alabama."/>
  </r>
  <r>
    <m/>
    <n v="133"/>
    <x v="138"/>
    <d v="2005-10-01T00:00:00"/>
    <x v="10"/>
    <n v="4"/>
    <m/>
    <x v="10"/>
    <n v="6"/>
    <x v="3"/>
    <s v="Pakistan"/>
    <s v="Geophysical"/>
    <x v="3"/>
    <s v="Earthquake"/>
    <s v="Earthquake"/>
    <x v="4"/>
    <x v="1"/>
    <s v="IFRC"/>
    <n v="117000000"/>
    <s v="05EA022"/>
    <m/>
    <m/>
    <m/>
    <m/>
    <n v="575000"/>
    <x v="0"/>
    <m/>
    <n v="1"/>
    <n v="6750000"/>
    <n v="1000000"/>
    <m/>
    <m/>
    <n v="7750000"/>
    <n v="4"/>
    <m/>
    <m/>
    <n v="325618"/>
    <m/>
    <n v="18000"/>
    <n v="222900"/>
    <m/>
    <n v="28000"/>
    <n v="5200"/>
    <n v="18000"/>
    <n v="30518"/>
    <m/>
    <m/>
    <n v="3000"/>
    <m/>
    <m/>
    <m/>
    <n v="4808310"/>
    <m/>
    <n v="12558310"/>
    <m/>
    <m/>
    <n v="120000"/>
    <x v="103"/>
    <x v="1"/>
    <m/>
    <m/>
    <m/>
    <m/>
    <s v="2897/2771/2769"/>
    <m/>
    <m/>
    <m/>
    <m/>
    <m/>
    <m/>
    <m/>
    <m/>
    <m/>
    <m/>
    <s v="y"/>
    <s v="North West Frontier Province (NWFP) and Pakistan Administered Kashmir (PAK)"/>
    <s v="CASH: Non-designated PMN to the Fed $1,850,000; PMN to the Fed designated for one month cost of helicopter relief operations for $400,000; PMN to the Fed designated for corrugated iron sheeting (~73,000 pc) for $1,500,000. SUPPLIES:  Shawls at $50,000. (Cost includes all inspection costs/ transporation costs as well as commodity cost); PEOPLE: Seconded John Manley to FACT team and Jim Stephenson to Fed relief/logistics team.(Cost includes all inspection costs/ transporation costs as well as commodity cost). ICRC - $1M 2006 - Winter Prep - PMN for 1.5 million (500k to household repair kits, 300k to CGI);   (Cost includes all inspection costs/ transporation costs as well as commodity cost); seconded C. Chaperon and N. Cooper to Fed for monitoring."/>
  </r>
  <r>
    <m/>
    <n v="134"/>
    <x v="139"/>
    <d v="2005-10-01T00:00:00"/>
    <x v="10"/>
    <n v="5"/>
    <m/>
    <x v="10"/>
    <n v="7"/>
    <x v="2"/>
    <s v="Guatemala"/>
    <s v="Hydrometerological"/>
    <x v="17"/>
    <s v="Tropical Cyclone"/>
    <s v="Hurricane"/>
    <x v="0"/>
    <x v="0"/>
    <m/>
    <m/>
    <m/>
    <m/>
    <m/>
    <m/>
    <m/>
    <m/>
    <x v="0"/>
    <m/>
    <n v="0"/>
    <n v="47581"/>
    <m/>
    <m/>
    <m/>
    <n v="47581"/>
    <m/>
    <m/>
    <m/>
    <m/>
    <m/>
    <m/>
    <m/>
    <m/>
    <m/>
    <m/>
    <m/>
    <m/>
    <m/>
    <m/>
    <m/>
    <m/>
    <m/>
    <m/>
    <m/>
    <m/>
    <n v="47581"/>
    <m/>
    <m/>
    <m/>
    <x v="104"/>
    <x v="1"/>
    <m/>
    <m/>
    <m/>
    <m/>
    <n v="2759"/>
    <m/>
    <m/>
    <m/>
    <m/>
    <m/>
    <m/>
    <m/>
    <m/>
    <m/>
    <m/>
    <m/>
    <s v="Stan"/>
    <s v="PMN contribution to support Federation's appeal relief operations."/>
  </r>
  <r>
    <m/>
    <n v="134"/>
    <x v="140"/>
    <d v="2005-10-01T00:00:00"/>
    <x v="10"/>
    <n v="5"/>
    <m/>
    <x v="10"/>
    <n v="7"/>
    <x v="2"/>
    <s v="Mexico"/>
    <s v="Hydrometerological"/>
    <x v="17"/>
    <s v="Tropical Cyclone"/>
    <s v="Hurricane"/>
    <x v="0"/>
    <x v="0"/>
    <m/>
    <m/>
    <m/>
    <m/>
    <m/>
    <m/>
    <m/>
    <m/>
    <x v="0"/>
    <m/>
    <n v="1"/>
    <n v="257378"/>
    <m/>
    <n v="85000"/>
    <m/>
    <n v="342378"/>
    <m/>
    <m/>
    <m/>
    <m/>
    <m/>
    <m/>
    <m/>
    <m/>
    <m/>
    <m/>
    <m/>
    <m/>
    <m/>
    <m/>
    <m/>
    <m/>
    <m/>
    <m/>
    <m/>
    <m/>
    <n v="342378"/>
    <m/>
    <m/>
    <m/>
    <x v="105"/>
    <x v="1"/>
    <m/>
    <m/>
    <m/>
    <m/>
    <n v="2020"/>
    <m/>
    <m/>
    <m/>
    <m/>
    <m/>
    <m/>
    <m/>
    <m/>
    <m/>
    <m/>
    <m/>
    <s v="Stan"/>
    <s v="CASH: Initial PMN contribution for $25,000 from IRF 2099 for Federation's Hurricane Stan Appeal.Additional PMN contribution for $83,568 from AP2760 for Federation's Hurricane Stan Appeal relief operations. Additional $124,453 PMN contribution from AP 2020 for Federation's Hurricane Stan Appeal relief operations in Mexico. $49,357 PMN contribution from AP2882  to support Federation's appeal relief operations.Cash to Mex RC: $35,000 from AP2760 for Initial direct contribution to the MRC to support their relief operation. Additional contribution of $50,000 from AP2020 to the MexRC to support their relief operation gift from Exxon Mobil and G&amp;E."/>
  </r>
  <r>
    <s v="TC-2005-000173-SLV"/>
    <n v="135"/>
    <x v="141"/>
    <d v="2005-10-01T00:00:00"/>
    <x v="10"/>
    <n v="6"/>
    <m/>
    <x v="10"/>
    <n v="8"/>
    <x v="2"/>
    <s v="El Salvador"/>
    <s v="Geophysical"/>
    <x v="4"/>
    <s v="Volcanic Eruption"/>
    <s v="Volcanic Eruption"/>
    <x v="0"/>
    <x v="0"/>
    <m/>
    <n v="1098045"/>
    <s v="05EA020"/>
    <m/>
    <m/>
    <m/>
    <m/>
    <n v="21000"/>
    <x v="0"/>
    <m/>
    <n v="0"/>
    <n v="7034"/>
    <m/>
    <m/>
    <m/>
    <n v="7034"/>
    <n v="1"/>
    <m/>
    <m/>
    <m/>
    <m/>
    <m/>
    <m/>
    <m/>
    <m/>
    <m/>
    <m/>
    <m/>
    <m/>
    <m/>
    <m/>
    <m/>
    <m/>
    <m/>
    <m/>
    <m/>
    <n v="7034"/>
    <m/>
    <m/>
    <m/>
    <x v="106"/>
    <x v="1"/>
    <m/>
    <m/>
    <m/>
    <m/>
    <n v="2690"/>
    <m/>
    <m/>
    <m/>
    <m/>
    <m/>
    <m/>
    <m/>
    <m/>
    <m/>
    <m/>
    <m/>
    <s v="Also: Floods"/>
    <s v="Nate Cooper deployed on PADRU team and PMN contribution to support Federation's appeal  relief operation in response of floods and volcanic eruption in El Salvador."/>
  </r>
  <r>
    <s v="TC-2005-000178-BHS"/>
    <n v="136"/>
    <x v="142"/>
    <d v="2005-10-01T00:00:00"/>
    <x v="10"/>
    <n v="7"/>
    <m/>
    <x v="10"/>
    <n v="9"/>
    <x v="2"/>
    <s v="Bahamas"/>
    <s v="Hydrometerological"/>
    <x v="5"/>
    <s v="Tropical Cyclone"/>
    <s v="Hurricane"/>
    <x v="0"/>
    <x v="0"/>
    <m/>
    <n v="1634707"/>
    <s v="05EA024"/>
    <m/>
    <m/>
    <m/>
    <m/>
    <m/>
    <x v="0"/>
    <m/>
    <m/>
    <m/>
    <m/>
    <m/>
    <m/>
    <n v="0"/>
    <m/>
    <m/>
    <m/>
    <n v="2371.9999999999995"/>
    <m/>
    <n v="2372"/>
    <m/>
    <m/>
    <m/>
    <m/>
    <m/>
    <m/>
    <m/>
    <m/>
    <m/>
    <m/>
    <m/>
    <m/>
    <n v="20597"/>
    <m/>
    <n v="20597"/>
    <m/>
    <m/>
    <n v="4000"/>
    <x v="107"/>
    <x v="1"/>
    <m/>
    <m/>
    <m/>
    <m/>
    <n v="2024"/>
    <m/>
    <m/>
    <m/>
    <m/>
    <m/>
    <m/>
    <m/>
    <m/>
    <m/>
    <m/>
    <m/>
    <s v="Wilma"/>
    <s v="$3.54 each + 6,200 (transport) = $14,596.88  plus shipping and handling"/>
  </r>
  <r>
    <s v="TC-2005-000178-MEX"/>
    <n v="136"/>
    <x v="143"/>
    <d v="2005-10-01T00:00:00"/>
    <x v="10"/>
    <n v="7"/>
    <m/>
    <x v="10"/>
    <n v="9"/>
    <x v="2"/>
    <s v="Mexico"/>
    <s v="Hydrometerological"/>
    <x v="5"/>
    <s v="Tropical Cyclone"/>
    <s v="Hurricane"/>
    <x v="5"/>
    <x v="0"/>
    <m/>
    <n v="1918000"/>
    <s v="05EA024"/>
    <m/>
    <m/>
    <m/>
    <m/>
    <m/>
    <x v="0"/>
    <m/>
    <n v="1"/>
    <n v="128869"/>
    <m/>
    <n v="325000"/>
    <m/>
    <n v="453869"/>
    <m/>
    <m/>
    <m/>
    <n v="4500"/>
    <m/>
    <n v="4500"/>
    <m/>
    <m/>
    <m/>
    <m/>
    <m/>
    <m/>
    <m/>
    <m/>
    <m/>
    <m/>
    <m/>
    <m/>
    <n v="43875"/>
    <m/>
    <n v="497744"/>
    <m/>
    <m/>
    <m/>
    <x v="108"/>
    <x v="1"/>
    <m/>
    <m/>
    <m/>
    <m/>
    <n v="2757"/>
    <m/>
    <m/>
    <m/>
    <m/>
    <m/>
    <m/>
    <m/>
    <m/>
    <m/>
    <m/>
    <m/>
    <s v="Wilma"/>
    <s v="CASH: $250,000 -Initital direct contribution from AP 2757 to the MexRC to support their relief operation in Cozumel, gift from Carnival Cruise Lines. 2) $75,000 additional direct contribution from AP 2020 to the MexRC to support their relief operations, gift from AmEx;.3) $100,000 PMN contribution from AP2758 to support Federation's appeal relief operations, 1. 62000 2. 38000 (10.06); 4) $28,869 PMN contribution from AP2757 to support Federation's appeal relief operations;    SUPPLIES: PADRU stocks valued at $43,875;"/>
  </r>
  <r>
    <m/>
    <n v="137"/>
    <x v="144"/>
    <d v="2005-10-01T00:00:00"/>
    <x v="10"/>
    <n v="8"/>
    <m/>
    <x v="10"/>
    <n v="10"/>
    <x v="3"/>
    <s v="Vietnam"/>
    <s v="Hydrometerological"/>
    <x v="5"/>
    <s v="Tropical Cyclone"/>
    <s v="Typhoon"/>
    <x v="0"/>
    <x v="1"/>
    <s v="IFRC"/>
    <n v="628813"/>
    <s v="05EA019"/>
    <n v="3.3504396378573595E-2"/>
    <m/>
    <m/>
    <m/>
    <n v="25000"/>
    <x v="0"/>
    <m/>
    <n v="0"/>
    <n v="21068"/>
    <m/>
    <m/>
    <m/>
    <n v="21068"/>
    <m/>
    <m/>
    <m/>
    <m/>
    <m/>
    <m/>
    <m/>
    <m/>
    <m/>
    <m/>
    <m/>
    <m/>
    <m/>
    <m/>
    <m/>
    <m/>
    <m/>
    <m/>
    <m/>
    <m/>
    <n v="21068"/>
    <m/>
    <m/>
    <m/>
    <x v="109"/>
    <x v="1"/>
    <m/>
    <m/>
    <m/>
    <m/>
    <n v="2870"/>
    <m/>
    <m/>
    <m/>
    <m/>
    <m/>
    <m/>
    <m/>
    <m/>
    <m/>
    <m/>
    <m/>
    <s v="Central Vietnam"/>
    <s v="PMN to the Federtion to support Vietnam: Typhoon Damrey Emergency Appeal. The funds were from Boejing and the PMN was handled by the region."/>
  </r>
  <r>
    <m/>
    <n v="138"/>
    <x v="145"/>
    <d v="2005-11-01T00:00:00"/>
    <x v="10"/>
    <n v="9"/>
    <m/>
    <x v="10"/>
    <n v="11"/>
    <x v="2"/>
    <s v="Colombia"/>
    <s v="Geophysical"/>
    <x v="4"/>
    <s v="Volcanic Eruption"/>
    <s v="Volcanic Eruption"/>
    <x v="0"/>
    <x v="0"/>
    <m/>
    <m/>
    <m/>
    <m/>
    <m/>
    <m/>
    <m/>
    <m/>
    <x v="0"/>
    <m/>
    <m/>
    <m/>
    <m/>
    <m/>
    <m/>
    <n v="0"/>
    <m/>
    <m/>
    <m/>
    <n v="45"/>
    <m/>
    <m/>
    <m/>
    <m/>
    <m/>
    <n v="45"/>
    <m/>
    <m/>
    <m/>
    <m/>
    <m/>
    <m/>
    <m/>
    <m/>
    <n v="17402"/>
    <m/>
    <n v="17402"/>
    <m/>
    <m/>
    <m/>
    <x v="110"/>
    <x v="1"/>
    <m/>
    <m/>
    <m/>
    <m/>
    <n v="2898"/>
    <m/>
    <m/>
    <m/>
    <m/>
    <m/>
    <m/>
    <m/>
    <m/>
    <m/>
    <m/>
    <m/>
    <s v="Galeras Volcano"/>
    <s v="tents to the CRC - cost of shipping charged to 2099."/>
  </r>
  <r>
    <m/>
    <n v="139"/>
    <x v="146"/>
    <d v="2006-01-01T00:00:00"/>
    <x v="10"/>
    <n v="10"/>
    <m/>
    <x v="11"/>
    <n v="1"/>
    <x v="1"/>
    <s v="Lesotho"/>
    <s v="Hydrometerological"/>
    <x v="1"/>
    <s v="Drought"/>
    <s v="Drought"/>
    <x v="0"/>
    <x v="1"/>
    <s v="IFRC"/>
    <m/>
    <s v="05EA023"/>
    <m/>
    <m/>
    <m/>
    <m/>
    <n v="1500000"/>
    <x v="0"/>
    <m/>
    <n v="1"/>
    <n v="100000"/>
    <m/>
    <m/>
    <m/>
    <n v="100000"/>
    <n v="3"/>
    <m/>
    <m/>
    <m/>
    <m/>
    <m/>
    <m/>
    <m/>
    <m/>
    <m/>
    <m/>
    <m/>
    <m/>
    <m/>
    <m/>
    <m/>
    <m/>
    <m/>
    <m/>
    <m/>
    <n v="100000"/>
    <m/>
    <m/>
    <m/>
    <x v="5"/>
    <x v="2"/>
    <m/>
    <m/>
    <m/>
    <m/>
    <n v="2099"/>
    <m/>
    <m/>
    <m/>
    <m/>
    <m/>
    <m/>
    <m/>
    <m/>
    <m/>
    <m/>
    <m/>
    <s v="Food Crisis"/>
    <s v="PMN contribution to support Federation's appeal relief operations in Lesotho."/>
  </r>
  <r>
    <m/>
    <n v="139"/>
    <x v="147"/>
    <d v="2006-01-01T00:00:00"/>
    <x v="10"/>
    <n v="10"/>
    <m/>
    <x v="11"/>
    <n v="1"/>
    <x v="1"/>
    <s v="Malawi"/>
    <s v="Hydrometerological"/>
    <x v="1"/>
    <s v="Drought"/>
    <s v="Drought"/>
    <x v="0"/>
    <x v="0"/>
    <m/>
    <m/>
    <s v="05EA023"/>
    <m/>
    <m/>
    <m/>
    <m/>
    <m/>
    <x v="0"/>
    <m/>
    <n v="1"/>
    <n v="150000"/>
    <m/>
    <m/>
    <m/>
    <n v="150000"/>
    <m/>
    <m/>
    <m/>
    <m/>
    <m/>
    <m/>
    <m/>
    <m/>
    <m/>
    <m/>
    <m/>
    <m/>
    <m/>
    <m/>
    <m/>
    <m/>
    <m/>
    <m/>
    <m/>
    <m/>
    <n v="150000"/>
    <m/>
    <m/>
    <m/>
    <x v="13"/>
    <x v="2"/>
    <m/>
    <m/>
    <m/>
    <m/>
    <n v="2099"/>
    <m/>
    <m/>
    <m/>
    <m/>
    <m/>
    <m/>
    <m/>
    <m/>
    <m/>
    <m/>
    <m/>
    <s v="Food Crisis"/>
    <s v="PMN contribution to support Federation's appeal earmarked for Community Base Health Care Program to leverage NLRC funding."/>
  </r>
  <r>
    <m/>
    <n v="139"/>
    <x v="148"/>
    <d v="2006-01-01T00:00:00"/>
    <x v="10"/>
    <n v="10"/>
    <m/>
    <x v="11"/>
    <n v="1"/>
    <x v="1"/>
    <s v="Zimbabwe"/>
    <s v="Hydrometerological"/>
    <x v="1"/>
    <s v="Drought"/>
    <s v="Drought"/>
    <x v="0"/>
    <x v="0"/>
    <m/>
    <m/>
    <s v="05EA023"/>
    <m/>
    <m/>
    <m/>
    <m/>
    <m/>
    <x v="0"/>
    <m/>
    <n v="1"/>
    <n v="250000"/>
    <m/>
    <m/>
    <m/>
    <n v="250000"/>
    <m/>
    <m/>
    <m/>
    <m/>
    <m/>
    <m/>
    <m/>
    <m/>
    <m/>
    <m/>
    <m/>
    <m/>
    <m/>
    <m/>
    <m/>
    <m/>
    <m/>
    <m/>
    <m/>
    <m/>
    <n v="250000"/>
    <m/>
    <m/>
    <m/>
    <x v="35"/>
    <x v="2"/>
    <m/>
    <m/>
    <m/>
    <m/>
    <n v="2099"/>
    <m/>
    <m/>
    <m/>
    <m/>
    <m/>
    <m/>
    <m/>
    <m/>
    <m/>
    <m/>
    <m/>
    <s v="Food Crisis"/>
    <s v="PMN contribution to support Federation's appeal relief operations in Zimbabwe."/>
  </r>
  <r>
    <m/>
    <n v="139"/>
    <x v="149"/>
    <d v="2006-01-01T00:00:00"/>
    <x v="10"/>
    <n v="10"/>
    <m/>
    <x v="11"/>
    <n v="1"/>
    <x v="1"/>
    <s v="Zambia"/>
    <s v="Hydrometerological"/>
    <x v="1"/>
    <s v="Drought"/>
    <s v="Drought"/>
    <x v="0"/>
    <x v="0"/>
    <m/>
    <s v="`"/>
    <s v="05EA023"/>
    <m/>
    <m/>
    <m/>
    <m/>
    <m/>
    <x v="0"/>
    <m/>
    <n v="1"/>
    <n v="400000"/>
    <m/>
    <m/>
    <m/>
    <n v="400000"/>
    <m/>
    <m/>
    <m/>
    <m/>
    <m/>
    <m/>
    <m/>
    <m/>
    <m/>
    <m/>
    <m/>
    <m/>
    <m/>
    <m/>
    <m/>
    <m/>
    <m/>
    <m/>
    <m/>
    <m/>
    <n v="400000"/>
    <m/>
    <m/>
    <m/>
    <x v="111"/>
    <x v="2"/>
    <m/>
    <m/>
    <m/>
    <m/>
    <n v="2099"/>
    <m/>
    <m/>
    <m/>
    <m/>
    <m/>
    <m/>
    <m/>
    <m/>
    <m/>
    <m/>
    <m/>
    <s v="Food Crisis"/>
    <s v="$400K &amp; $100K PMN contribution to support Federation's appeal relief operations in Zambia."/>
  </r>
  <r>
    <m/>
    <n v="140"/>
    <x v="150"/>
    <d v="2006-03-01T00:00:00"/>
    <x v="10"/>
    <n v="11"/>
    <m/>
    <x v="11"/>
    <n v="2"/>
    <x v="1"/>
    <s v="Kenya"/>
    <s v="Hydrometerological"/>
    <x v="1"/>
    <s v="Drought"/>
    <s v="Drought"/>
    <x v="0"/>
    <x v="1"/>
    <s v="IFRC"/>
    <n v="10500000"/>
    <s v="MDRKE001"/>
    <n v="1.4285714285714285E-2"/>
    <m/>
    <m/>
    <m/>
    <n v="329000"/>
    <x v="0"/>
    <m/>
    <n v="1"/>
    <n v="150000"/>
    <m/>
    <m/>
    <m/>
    <n v="150000"/>
    <m/>
    <m/>
    <m/>
    <m/>
    <m/>
    <m/>
    <m/>
    <m/>
    <m/>
    <m/>
    <m/>
    <m/>
    <m/>
    <m/>
    <m/>
    <m/>
    <m/>
    <m/>
    <m/>
    <m/>
    <n v="150000"/>
    <m/>
    <m/>
    <m/>
    <x v="13"/>
    <x v="2"/>
    <m/>
    <m/>
    <m/>
    <m/>
    <n v="2099"/>
    <m/>
    <m/>
    <m/>
    <m/>
    <m/>
    <m/>
    <m/>
    <m/>
    <m/>
    <m/>
    <m/>
    <s v="E. Africa Appeal"/>
    <s v="PMN contribution to support Federation's appeal relief operations."/>
  </r>
  <r>
    <m/>
    <n v="141"/>
    <x v="151"/>
    <d v="2006-03-01T00:00:00"/>
    <x v="10"/>
    <n v="12"/>
    <m/>
    <x v="11"/>
    <n v="3"/>
    <x v="3"/>
    <s v="Iraq"/>
    <s v="Human Related"/>
    <x v="8"/>
    <s v="Conflict"/>
    <s v="Conflict"/>
    <x v="0"/>
    <x v="1"/>
    <s v="IFRC/ ICRC"/>
    <m/>
    <s v="MDRIQ001 / 05EA026 / REX 07/346"/>
    <m/>
    <m/>
    <m/>
    <m/>
    <n v="455000"/>
    <x v="0"/>
    <m/>
    <n v="1"/>
    <n v="88443"/>
    <n v="100000"/>
    <m/>
    <m/>
    <n v="188443"/>
    <m/>
    <m/>
    <m/>
    <m/>
    <m/>
    <m/>
    <m/>
    <m/>
    <m/>
    <m/>
    <m/>
    <m/>
    <m/>
    <m/>
    <m/>
    <m/>
    <m/>
    <m/>
    <m/>
    <m/>
    <n v="188443"/>
    <m/>
    <m/>
    <n v="455000"/>
    <x v="112"/>
    <x v="1"/>
    <m/>
    <m/>
    <m/>
    <m/>
    <n v="2689"/>
    <m/>
    <m/>
    <m/>
    <m/>
    <m/>
    <m/>
    <m/>
    <m/>
    <m/>
    <m/>
    <m/>
    <s v="Humanitarian Emergency"/>
    <s v="19,170 PMN to IFRC Iraq: Floods Appeal No. MDRIQ001 for 25,000 beneficiaries; 69,272.96 PMN to IFRC Iraq: Humanitarian Emergency Appeal No. 05 EA026 for 350,000 beneficiaries; 100,000 Cash Contribution to ICRC's emergency appeal for Iraq activities related to wat/san for 80,000 beneficiaries."/>
  </r>
  <r>
    <s v="-2006-000022-TMP"/>
    <n v="142"/>
    <x v="152"/>
    <d v="2006-02-01T00:00:00"/>
    <x v="10"/>
    <n v="13"/>
    <m/>
    <x v="11"/>
    <n v="4"/>
    <x v="3"/>
    <s v="Timor-Leste"/>
    <s v="Hydrometerological"/>
    <x v="2"/>
    <s v="General Floods"/>
    <s v="General Floods"/>
    <x v="0"/>
    <x v="1"/>
    <s v="IFRC"/>
    <n v="485000"/>
    <s v="MDRTP001"/>
    <n v="0.10309278350515463"/>
    <m/>
    <m/>
    <m/>
    <n v="8400"/>
    <x v="0"/>
    <m/>
    <n v="1"/>
    <n v="50000"/>
    <m/>
    <m/>
    <m/>
    <n v="50000"/>
    <m/>
    <m/>
    <m/>
    <m/>
    <m/>
    <m/>
    <m/>
    <m/>
    <m/>
    <m/>
    <m/>
    <m/>
    <m/>
    <m/>
    <m/>
    <m/>
    <m/>
    <m/>
    <m/>
    <m/>
    <n v="50000"/>
    <m/>
    <m/>
    <n v="8400"/>
    <x v="16"/>
    <x v="2"/>
    <m/>
    <m/>
    <m/>
    <m/>
    <n v="2799"/>
    <m/>
    <m/>
    <m/>
    <m/>
    <m/>
    <m/>
    <m/>
    <m/>
    <m/>
    <m/>
    <m/>
    <s v="Oecusse, Ainaro, Viqueque, Bobonaro and Baucau Districts"/>
    <s v="PMN contribution to support the Federation's operation in response to the Timor-Leste: Storms and Floods Emergency Appeal No. MDRTP001."/>
  </r>
  <r>
    <s v="MS-2006-000179-PHL"/>
    <n v="143"/>
    <x v="153"/>
    <d v="2006-02-01T00:00:00"/>
    <x v="10"/>
    <n v="14"/>
    <m/>
    <x v="11"/>
    <n v="5"/>
    <x v="3"/>
    <s v="Philippines"/>
    <s v="Hydrometerological"/>
    <x v="18"/>
    <s v="Landslide"/>
    <s v="Mudslide"/>
    <x v="0"/>
    <x v="1"/>
    <s v="IFRC"/>
    <n v="2000000"/>
    <s v="MDRPH001"/>
    <n v="2.5000000000000001E-2"/>
    <m/>
    <m/>
    <m/>
    <n v="8000"/>
    <x v="0"/>
    <m/>
    <n v="1"/>
    <n v="50000"/>
    <m/>
    <n v="5000"/>
    <m/>
    <n v="55000"/>
    <m/>
    <m/>
    <m/>
    <m/>
    <m/>
    <m/>
    <m/>
    <m/>
    <m/>
    <m/>
    <m/>
    <m/>
    <m/>
    <m/>
    <m/>
    <m/>
    <m/>
    <m/>
    <m/>
    <m/>
    <n v="55000"/>
    <m/>
    <m/>
    <n v="8000"/>
    <x v="113"/>
    <x v="1"/>
    <m/>
    <m/>
    <m/>
    <m/>
    <n v="2032"/>
    <m/>
    <m/>
    <m/>
    <m/>
    <m/>
    <m/>
    <m/>
    <m/>
    <m/>
    <m/>
    <m/>
    <s v="Southern Leyte"/>
    <s v="PMN contribution to support the Federation's operation in the Philippines: Landslides and Floods Emergency Appeal No. MDRPH001 in the amount of 50,000 USD; Amex donation to Philippines National Red Cross for their emergency operations in the amount of 5,000 USD."/>
  </r>
  <r>
    <m/>
    <n v="144"/>
    <x v="154"/>
    <d v="2006-05-01T00:00:00"/>
    <x v="10"/>
    <n v="15"/>
    <m/>
    <x v="11"/>
    <n v="6"/>
    <x v="1"/>
    <s v="Angola"/>
    <s v="Biological"/>
    <x v="11"/>
    <s v="Bacterial"/>
    <s v="Bacterial"/>
    <x v="0"/>
    <x v="0"/>
    <m/>
    <m/>
    <m/>
    <m/>
    <m/>
    <m/>
    <m/>
    <m/>
    <x v="0"/>
    <m/>
    <m/>
    <m/>
    <m/>
    <m/>
    <m/>
    <n v="0"/>
    <n v="1"/>
    <m/>
    <m/>
    <m/>
    <m/>
    <m/>
    <m/>
    <m/>
    <m/>
    <m/>
    <m/>
    <m/>
    <m/>
    <m/>
    <m/>
    <m/>
    <m/>
    <m/>
    <m/>
    <n v="5000"/>
    <n v="5000"/>
    <m/>
    <m/>
    <m/>
    <x v="46"/>
    <x v="2"/>
    <m/>
    <m/>
    <m/>
    <m/>
    <n v="2799"/>
    <m/>
    <m/>
    <m/>
    <m/>
    <m/>
    <m/>
    <m/>
    <m/>
    <m/>
    <m/>
    <m/>
    <s v="Cholera Outbreak"/>
    <s v="J. Koepsell as FACT Health"/>
  </r>
  <r>
    <m/>
    <n v="145"/>
    <x v="5"/>
    <d v="2006-04-01T00:00:00"/>
    <x v="10"/>
    <n v="16"/>
    <m/>
    <x v="11"/>
    <n v="7"/>
    <x v="1"/>
    <s v="Ethiopia"/>
    <s v="Hydrometerological"/>
    <x v="1"/>
    <s v="Drought"/>
    <s v="Drought"/>
    <x v="0"/>
    <x v="1"/>
    <s v="IFRC"/>
    <n v="1129750"/>
    <s v="MDRET001"/>
    <n v="8.3612303606992691E-2"/>
    <m/>
    <m/>
    <m/>
    <n v="36341"/>
    <x v="0"/>
    <m/>
    <n v="1"/>
    <n v="94461"/>
    <m/>
    <m/>
    <m/>
    <n v="94461"/>
    <m/>
    <m/>
    <m/>
    <m/>
    <m/>
    <m/>
    <m/>
    <m/>
    <m/>
    <m/>
    <m/>
    <m/>
    <m/>
    <m/>
    <m/>
    <m/>
    <m/>
    <m/>
    <m/>
    <m/>
    <n v="94461"/>
    <m/>
    <m/>
    <m/>
    <x v="114"/>
    <x v="2"/>
    <m/>
    <m/>
    <m/>
    <m/>
    <n v="2099"/>
    <m/>
    <m/>
    <m/>
    <m/>
    <m/>
    <m/>
    <m/>
    <m/>
    <m/>
    <m/>
    <m/>
    <m/>
    <s v="PMN contribution to support Ethiopa: Drought Appeal"/>
  </r>
  <r>
    <m/>
    <n v="146"/>
    <x v="155"/>
    <d v="2006-04-01T00:00:00"/>
    <x v="10"/>
    <n v="17"/>
    <m/>
    <x v="11"/>
    <n v="8"/>
    <x v="1"/>
    <s v="Somalia"/>
    <s v="Hydrometerological"/>
    <x v="1"/>
    <s v="Drought"/>
    <s v="Drought"/>
    <x v="0"/>
    <x v="1"/>
    <s v="ICRC"/>
    <m/>
    <m/>
    <m/>
    <m/>
    <m/>
    <m/>
    <m/>
    <x v="0"/>
    <m/>
    <n v="1"/>
    <m/>
    <n v="250000"/>
    <m/>
    <m/>
    <n v="250000"/>
    <m/>
    <m/>
    <m/>
    <m/>
    <m/>
    <m/>
    <m/>
    <m/>
    <m/>
    <m/>
    <m/>
    <m/>
    <m/>
    <m/>
    <m/>
    <m/>
    <m/>
    <m/>
    <m/>
    <m/>
    <n v="250000"/>
    <m/>
    <m/>
    <m/>
    <x v="35"/>
    <x v="2"/>
    <m/>
    <m/>
    <m/>
    <m/>
    <n v="2099"/>
    <m/>
    <m/>
    <m/>
    <m/>
    <m/>
    <m/>
    <m/>
    <m/>
    <m/>
    <m/>
    <m/>
    <m/>
    <s v="Pledge Letter to ICRC for Somalia Emergency Appeal"/>
  </r>
  <r>
    <m/>
    <n v="147"/>
    <x v="156"/>
    <d v="2006-04-01T00:00:00"/>
    <x v="10"/>
    <n v="18"/>
    <m/>
    <x v="11"/>
    <n v="9"/>
    <x v="3"/>
    <s v="Spain"/>
    <s v="Human Related"/>
    <x v="12"/>
    <s v="Terrorism"/>
    <s v="Terrorism"/>
    <x v="0"/>
    <x v="0"/>
    <m/>
    <m/>
    <m/>
    <m/>
    <m/>
    <m/>
    <m/>
    <m/>
    <x v="0"/>
    <m/>
    <m/>
    <m/>
    <m/>
    <n v="20000"/>
    <m/>
    <n v="20000"/>
    <m/>
    <m/>
    <m/>
    <m/>
    <m/>
    <m/>
    <m/>
    <m/>
    <m/>
    <m/>
    <m/>
    <m/>
    <m/>
    <m/>
    <m/>
    <m/>
    <m/>
    <m/>
    <m/>
    <m/>
    <n v="20000"/>
    <m/>
    <m/>
    <m/>
    <x v="25"/>
    <x v="1"/>
    <m/>
    <m/>
    <m/>
    <m/>
    <n v="2903"/>
    <m/>
    <m/>
    <m/>
    <m/>
    <m/>
    <m/>
    <m/>
    <m/>
    <m/>
    <m/>
    <m/>
    <s v="April 2004 MadridTrain Bombing"/>
    <s v="Suspense acct contribution following April 2004 bombing. Grant to Spain RC for DPP"/>
  </r>
  <r>
    <m/>
    <n v="148"/>
    <x v="157"/>
    <d v="2006-05-01T00:00:00"/>
    <x v="10"/>
    <n v="19"/>
    <m/>
    <x v="11"/>
    <n v="10"/>
    <x v="2"/>
    <s v="Colombia"/>
    <s v="Hydrometerological"/>
    <x v="2"/>
    <s v="General Floods"/>
    <m/>
    <x v="0"/>
    <x v="0"/>
    <m/>
    <m/>
    <m/>
    <m/>
    <m/>
    <m/>
    <m/>
    <m/>
    <x v="0"/>
    <n v="2500"/>
    <m/>
    <m/>
    <m/>
    <n v="50000"/>
    <m/>
    <n v="50000"/>
    <m/>
    <m/>
    <m/>
    <m/>
    <m/>
    <m/>
    <m/>
    <m/>
    <m/>
    <m/>
    <m/>
    <m/>
    <m/>
    <m/>
    <m/>
    <m/>
    <m/>
    <m/>
    <m/>
    <m/>
    <n v="50000"/>
    <m/>
    <m/>
    <m/>
    <x v="16"/>
    <x v="2"/>
    <m/>
    <m/>
    <m/>
    <m/>
    <n v="2799"/>
    <m/>
    <m/>
    <m/>
    <m/>
    <m/>
    <m/>
    <m/>
    <m/>
    <m/>
    <m/>
    <m/>
    <m/>
    <s v="OFDA award in support of ARC's proposal &quot;Colombia Floods 2006&quot; to support CRC emergency relief response."/>
  </r>
  <r>
    <s v="EQ-2006-000064-IDN"/>
    <n v="149"/>
    <x v="158"/>
    <d v="2006-05-01T00:00:00"/>
    <x v="10"/>
    <n v="20"/>
    <m/>
    <x v="11"/>
    <n v="11"/>
    <x v="3"/>
    <s v="Indonesia"/>
    <s v="Geophysical"/>
    <x v="3"/>
    <s v="Earthquake"/>
    <s v="Earthquake"/>
    <x v="0"/>
    <x v="1"/>
    <s v="IFRC"/>
    <n v="31000000"/>
    <s v="MDRID001"/>
    <m/>
    <m/>
    <m/>
    <m/>
    <n v="325000"/>
    <x v="0"/>
    <m/>
    <n v="1"/>
    <n v="1398250"/>
    <m/>
    <m/>
    <m/>
    <n v="1398250"/>
    <n v="7"/>
    <s v="Relief ERU"/>
    <m/>
    <m/>
    <m/>
    <m/>
    <m/>
    <m/>
    <m/>
    <m/>
    <m/>
    <m/>
    <m/>
    <m/>
    <m/>
    <m/>
    <m/>
    <m/>
    <m/>
    <n v="87500"/>
    <n v="1485750"/>
    <m/>
    <m/>
    <n v="13000"/>
    <x v="115"/>
    <x v="1"/>
    <m/>
    <m/>
    <m/>
    <m/>
    <s v="2930 / 2799"/>
    <m/>
    <m/>
    <m/>
    <m/>
    <m/>
    <m/>
    <m/>
    <m/>
    <m/>
    <m/>
    <m/>
    <s v="Yogyakarta"/>
    <s v="CASH: 1. PMN to Fed 119,000 from AP2930  2. PMN to Fed 179,250 from AP2930 earmarked for 80K sleeping mats 3. PMN from AP2930 to Fed 1 million earmarked for tarps (600K), PSP (100K), DM (300K); PMN contribution to support Fed appeal relief operations - joint w/ 119,000 from AP 2930 4. PEOPLE: Relief ERU deployed with N. Cooper, C. Blake, S. Rahman, B. Riester, T. Betz, C. Chaperon. PA B. Gillespie, Health S. Shetty, PSP team"/>
  </r>
  <r>
    <m/>
    <n v="150"/>
    <x v="88"/>
    <d v="2006-07-01T00:00:00"/>
    <x v="11"/>
    <n v="1"/>
    <m/>
    <x v="11"/>
    <n v="12"/>
    <x v="3"/>
    <s v="Romania"/>
    <s v="Hydrometerological"/>
    <x v="2"/>
    <s v="General Floods"/>
    <s v="General Floods"/>
    <x v="0"/>
    <x v="1"/>
    <s v="IFRC"/>
    <n v="1900000"/>
    <s v="MDRRO001"/>
    <n v="2.631578947368421E-3"/>
    <m/>
    <m/>
    <m/>
    <n v="13000"/>
    <x v="0"/>
    <m/>
    <n v="0"/>
    <n v="5000"/>
    <m/>
    <m/>
    <m/>
    <n v="5000"/>
    <m/>
    <m/>
    <m/>
    <m/>
    <m/>
    <m/>
    <m/>
    <m/>
    <m/>
    <m/>
    <m/>
    <m/>
    <m/>
    <m/>
    <m/>
    <m/>
    <m/>
    <m/>
    <m/>
    <m/>
    <n v="5000"/>
    <m/>
    <m/>
    <m/>
    <x v="46"/>
    <x v="1"/>
    <m/>
    <m/>
    <m/>
    <m/>
    <n v="2685"/>
    <m/>
    <m/>
    <m/>
    <m/>
    <m/>
    <m/>
    <m/>
    <m/>
    <m/>
    <m/>
    <m/>
    <s v="Country-Wide"/>
    <s v="PMN contribution to support Federation's Emergency Appeal - AmEx contribution - from suspense acct"/>
  </r>
  <r>
    <m/>
    <n v="151"/>
    <x v="159"/>
    <d v="2006-07-01T00:00:00"/>
    <x v="11"/>
    <n v="2"/>
    <m/>
    <x v="11"/>
    <n v="13"/>
    <x v="3"/>
    <s v="Lebanon"/>
    <s v="Human Related"/>
    <x v="8"/>
    <s v="Conflict"/>
    <s v="Conflict"/>
    <x v="0"/>
    <x v="1"/>
    <s v="IFRC/ICRC"/>
    <n v="83131000"/>
    <s v="MDR81001 /REX 06/575"/>
    <m/>
    <m/>
    <m/>
    <m/>
    <n v="2000000"/>
    <x v="0"/>
    <m/>
    <n v="1"/>
    <n v="475000"/>
    <n v="1058600"/>
    <n v="356000"/>
    <m/>
    <n v="1889600"/>
    <m/>
    <m/>
    <m/>
    <m/>
    <m/>
    <m/>
    <m/>
    <m/>
    <m/>
    <m/>
    <m/>
    <m/>
    <m/>
    <m/>
    <m/>
    <m/>
    <m/>
    <m/>
    <m/>
    <m/>
    <n v="1889600"/>
    <m/>
    <m/>
    <m/>
    <x v="116"/>
    <x v="1"/>
    <m/>
    <m/>
    <m/>
    <m/>
    <s v="2099 /2649"/>
    <m/>
    <m/>
    <m/>
    <m/>
    <m/>
    <m/>
    <m/>
    <m/>
    <m/>
    <m/>
    <m/>
    <s v="Humanitarian Crisis"/>
    <s v="CASH: Contributions to ICRC - 1. $500,000 2. $150,000 3. $211,136 to MDA specifically from AP2099; Contributions to ICRC - 1. $150,000 2. 47,500 (Dow Chemical Com from AP2649 pany), Contribution to Fed $475,000 (Coca Cola) from AP2649; $200,000 grant to Palestinian Red Crescent for southern Lebanon; $156,000 grant to Lebanese Red Cross for ambulances"/>
  </r>
  <r>
    <m/>
    <n v="152"/>
    <x v="8"/>
    <d v="2006-08-01T00:00:00"/>
    <x v="11"/>
    <n v="3"/>
    <m/>
    <x v="11"/>
    <n v="14"/>
    <x v="3"/>
    <s v="China"/>
    <s v="Hydrometerological"/>
    <x v="2"/>
    <s v="General Floods"/>
    <s v="General Floods"/>
    <x v="0"/>
    <x v="1"/>
    <s v="IFRC"/>
    <n v="4825791"/>
    <s v="MDRCN001"/>
    <n v="1.036099574142353E-2"/>
    <m/>
    <m/>
    <m/>
    <n v="240000"/>
    <x v="0"/>
    <m/>
    <n v="1"/>
    <n v="50000"/>
    <m/>
    <m/>
    <m/>
    <n v="50000"/>
    <m/>
    <m/>
    <m/>
    <m/>
    <m/>
    <m/>
    <m/>
    <m/>
    <m/>
    <m/>
    <m/>
    <m/>
    <m/>
    <m/>
    <m/>
    <m/>
    <m/>
    <m/>
    <m/>
    <m/>
    <n v="50000"/>
    <m/>
    <m/>
    <m/>
    <x v="16"/>
    <x v="2"/>
    <m/>
    <m/>
    <m/>
    <m/>
    <n v="2799"/>
    <m/>
    <m/>
    <m/>
    <m/>
    <m/>
    <m/>
    <m/>
    <m/>
    <m/>
    <m/>
    <m/>
    <m/>
    <s v="PMN contribution earmarked for procurement of rice to support Fed's China: Floods Appeal"/>
  </r>
  <r>
    <s v="VO-2006-"/>
    <n v="153"/>
    <x v="160"/>
    <d v="2006-08-01T00:00:00"/>
    <x v="11"/>
    <n v="4"/>
    <m/>
    <x v="11"/>
    <n v="15"/>
    <x v="2"/>
    <s v="Ecuador"/>
    <s v="Geophysical"/>
    <x v="4"/>
    <s v="Volcanic Eruption"/>
    <s v="Volcanic Eruption"/>
    <x v="0"/>
    <x v="1"/>
    <s v="IFRC"/>
    <n v="514753"/>
    <s v="MDREC002"/>
    <n v="0"/>
    <n v="1"/>
    <m/>
    <m/>
    <n v="5475"/>
    <x v="0"/>
    <m/>
    <m/>
    <m/>
    <m/>
    <n v="50000"/>
    <m/>
    <n v="50000"/>
    <m/>
    <m/>
    <m/>
    <m/>
    <m/>
    <m/>
    <m/>
    <m/>
    <m/>
    <m/>
    <m/>
    <m/>
    <m/>
    <m/>
    <m/>
    <m/>
    <m/>
    <m/>
    <m/>
    <m/>
    <n v="50000"/>
    <m/>
    <m/>
    <m/>
    <x v="16"/>
    <x v="2"/>
    <m/>
    <m/>
    <m/>
    <m/>
    <n v="2799"/>
    <m/>
    <m/>
    <m/>
    <m/>
    <m/>
    <m/>
    <m/>
    <m/>
    <m/>
    <m/>
    <m/>
    <s v="Tungurahua"/>
    <s v="OFDA award in support of ARC's proposal &quot;Tungurahua Volcano eruption&quot; to support the ERC emergency relief response."/>
  </r>
  <r>
    <s v="FL-2006-000122-ETH"/>
    <n v="154"/>
    <x v="161"/>
    <d v="2006-08-01T00:00:00"/>
    <x v="11"/>
    <n v="5"/>
    <m/>
    <x v="11"/>
    <n v="16"/>
    <x v="1"/>
    <s v="Ethiopia"/>
    <s v="Hydrometerological"/>
    <x v="2"/>
    <s v="General Floods"/>
    <s v="General Floods"/>
    <x v="0"/>
    <x v="1"/>
    <s v="IFRC"/>
    <n v="4225070"/>
    <s v="MDRET003"/>
    <n v="2.0118009879126264E-2"/>
    <m/>
    <m/>
    <m/>
    <n v="25000"/>
    <x v="0"/>
    <m/>
    <n v="1"/>
    <n v="85000"/>
    <m/>
    <m/>
    <m/>
    <n v="85000"/>
    <n v="2"/>
    <m/>
    <m/>
    <m/>
    <m/>
    <m/>
    <m/>
    <m/>
    <m/>
    <m/>
    <m/>
    <m/>
    <m/>
    <m/>
    <m/>
    <m/>
    <m/>
    <m/>
    <m/>
    <m/>
    <n v="85000"/>
    <m/>
    <m/>
    <m/>
    <x v="117"/>
    <x v="1"/>
    <m/>
    <m/>
    <m/>
    <m/>
    <s v="2099 / 2648"/>
    <m/>
    <m/>
    <m/>
    <m/>
    <m/>
    <m/>
    <m/>
    <m/>
    <m/>
    <m/>
    <m/>
    <s v="Amhara"/>
    <s v="CASH: PMN from 2099 contribution to Fed Appeal earmarked for tarps, blankets, sleeping mats PEOPLE: Deployed J. Manley, Prog Coordinator, 2 mo. AND K.White, Prog Delegate, 2 mo. From AP 2648."/>
  </r>
  <r>
    <s v="FL-2006-000123-SDN"/>
    <n v="155"/>
    <x v="162"/>
    <d v="2006-09-01T00:00:00"/>
    <x v="11"/>
    <n v="6"/>
    <m/>
    <x v="11"/>
    <n v="17"/>
    <x v="1"/>
    <s v="Sudan"/>
    <s v="Hydrometerological"/>
    <x v="2"/>
    <s v="General Floods"/>
    <s v="General Floods"/>
    <x v="0"/>
    <x v="1"/>
    <s v="IFRC"/>
    <n v="492625"/>
    <s v="MDRSD002"/>
    <n v="2.0299416391778735E-2"/>
    <m/>
    <m/>
    <m/>
    <n v="15000"/>
    <x v="0"/>
    <m/>
    <n v="0"/>
    <n v="10000"/>
    <m/>
    <m/>
    <m/>
    <n v="10000"/>
    <m/>
    <m/>
    <m/>
    <n v="10000"/>
    <m/>
    <m/>
    <m/>
    <m/>
    <m/>
    <m/>
    <m/>
    <m/>
    <n v="10000"/>
    <m/>
    <m/>
    <m/>
    <m/>
    <m/>
    <n v="36900"/>
    <m/>
    <n v="46900"/>
    <m/>
    <m/>
    <m/>
    <x v="118"/>
    <x v="1"/>
    <m/>
    <m/>
    <m/>
    <m/>
    <n v="2802"/>
    <m/>
    <m/>
    <m/>
    <m/>
    <m/>
    <m/>
    <m/>
    <s v="N"/>
    <m/>
    <m/>
    <m/>
    <m/>
    <s v="Nets @ $3.69 each + $10,000 (transport) = $46,900"/>
  </r>
  <r>
    <s v="TC-2006-000175-PHL"/>
    <n v="156"/>
    <x v="163"/>
    <d v="2006-10-01T00:00:00"/>
    <x v="11"/>
    <n v="7"/>
    <m/>
    <x v="11"/>
    <n v="18"/>
    <x v="3"/>
    <s v="Philippines"/>
    <s v="Hydrometerological"/>
    <x v="5"/>
    <s v="Tropical Cyclone"/>
    <s v="Typhoon"/>
    <x v="0"/>
    <x v="1"/>
    <s v="IFRC"/>
    <n v="8637057"/>
    <s v="MDRPH002"/>
    <n v="9.1119000372464828E-2"/>
    <m/>
    <m/>
    <m/>
    <n v="1030000"/>
    <x v="0"/>
    <m/>
    <n v="1"/>
    <n v="787000"/>
    <m/>
    <m/>
    <m/>
    <n v="787000"/>
    <n v="2"/>
    <m/>
    <m/>
    <m/>
    <m/>
    <m/>
    <m/>
    <m/>
    <m/>
    <m/>
    <m/>
    <m/>
    <m/>
    <m/>
    <m/>
    <m/>
    <m/>
    <m/>
    <m/>
    <n v="6500"/>
    <n v="793500"/>
    <m/>
    <m/>
    <m/>
    <x v="119"/>
    <x v="1"/>
    <m/>
    <m/>
    <m/>
    <m/>
    <n v="2032"/>
    <m/>
    <m/>
    <m/>
    <m/>
    <m/>
    <m/>
    <m/>
    <s v="N"/>
    <m/>
    <m/>
    <m/>
    <s v="Xangsane / Durian"/>
    <s v="PEOPLE: Deployed B. Gaillis, Ops Coordinator, 5 wks; Deployed C. Blake, FACT Relief, 3 wks. CASH: 2. PMN Fed Philippines: Typhoons $237,000 from AP2032; PMN Fed Philippines: Typhoon Xangsane Appeal $200,000 from AP2099;  3. PMN Fed Philippines: Typhoons $350K earmarked for CGI from AP2032;"/>
  </r>
  <r>
    <s v="TC-2006-000144-VNM; TC-2006-000175-VNM"/>
    <n v="157"/>
    <x v="164"/>
    <d v="2006-10-01T00:00:00"/>
    <x v="11"/>
    <n v="8"/>
    <m/>
    <x v="11"/>
    <n v="19"/>
    <x v="3"/>
    <s v="Vietnam"/>
    <s v="Hydrometerological"/>
    <x v="5"/>
    <s v="Tropical Cyclone"/>
    <s v="Typhoon"/>
    <x v="0"/>
    <x v="1"/>
    <s v="IFRC"/>
    <n v="1340000"/>
    <s v="MDRVN001"/>
    <n v="4.7014925373134328E-2"/>
    <m/>
    <m/>
    <m/>
    <n v="60400"/>
    <x v="0"/>
    <m/>
    <n v="1"/>
    <n v="63000"/>
    <m/>
    <m/>
    <m/>
    <n v="63000"/>
    <m/>
    <m/>
    <m/>
    <m/>
    <m/>
    <m/>
    <m/>
    <m/>
    <m/>
    <m/>
    <m/>
    <m/>
    <m/>
    <m/>
    <m/>
    <m/>
    <m/>
    <m/>
    <m/>
    <m/>
    <n v="63000"/>
    <m/>
    <m/>
    <m/>
    <x v="120"/>
    <x v="2"/>
    <m/>
    <m/>
    <m/>
    <m/>
    <n v="2799"/>
    <m/>
    <m/>
    <m/>
    <m/>
    <m/>
    <m/>
    <m/>
    <s v="Y"/>
    <m/>
    <m/>
    <m/>
    <s v="Xangsane"/>
    <s v="PMN Fed Vietnam from AP2799: Typhoon Xangsane Appeal $25,000; PMN Fed Vietnam from AP2870: Typhoon Xangsane $38,000"/>
  </r>
  <r>
    <m/>
    <n v="158"/>
    <x v="165"/>
    <d v="2006-11-01T00:00:00"/>
    <x v="11"/>
    <n v="9"/>
    <m/>
    <x v="11"/>
    <n v="20"/>
    <x v="1"/>
    <s v="Somalia"/>
    <s v="Human Related"/>
    <x v="8"/>
    <s v="Conflict"/>
    <s v="Conflict"/>
    <x v="0"/>
    <x v="0"/>
    <m/>
    <m/>
    <m/>
    <m/>
    <m/>
    <m/>
    <m/>
    <m/>
    <x v="0"/>
    <m/>
    <m/>
    <m/>
    <n v="50000"/>
    <m/>
    <m/>
    <n v="50000"/>
    <m/>
    <m/>
    <m/>
    <m/>
    <m/>
    <m/>
    <m/>
    <m/>
    <m/>
    <m/>
    <m/>
    <m/>
    <m/>
    <m/>
    <m/>
    <m/>
    <m/>
    <m/>
    <m/>
    <m/>
    <n v="50000"/>
    <m/>
    <m/>
    <m/>
    <x v="16"/>
    <x v="2"/>
    <m/>
    <m/>
    <m/>
    <m/>
    <n v="2799"/>
    <m/>
    <m/>
    <m/>
    <m/>
    <m/>
    <m/>
    <m/>
    <s v="Y"/>
    <m/>
    <m/>
    <m/>
    <s v="IDP"/>
    <s v="Contribution to ICRC 2006 Somalia Emergency Appeal - spec IDPs"/>
  </r>
  <r>
    <s v="FL-2006-000159-KEN"/>
    <n v="159"/>
    <x v="81"/>
    <d v="2006-11-01T00:00:00"/>
    <x v="11"/>
    <n v="10"/>
    <m/>
    <x v="11"/>
    <n v="21"/>
    <x v="1"/>
    <s v="Kenya"/>
    <s v="Hydrometerological"/>
    <x v="2"/>
    <s v="General Floods"/>
    <s v="General Floods"/>
    <x v="0"/>
    <x v="1"/>
    <s v="IFRC"/>
    <n v="21832647"/>
    <s v="MDRKE003"/>
    <n v="2.290148326952751E-3"/>
    <m/>
    <m/>
    <m/>
    <n v="563000"/>
    <x v="0"/>
    <m/>
    <n v="1"/>
    <n v="50000"/>
    <m/>
    <n v="30000"/>
    <m/>
    <n v="80000"/>
    <m/>
    <m/>
    <m/>
    <n v="20000"/>
    <m/>
    <m/>
    <m/>
    <m/>
    <m/>
    <m/>
    <m/>
    <m/>
    <n v="20000"/>
    <m/>
    <m/>
    <m/>
    <m/>
    <m/>
    <n v="120000"/>
    <m/>
    <n v="200000"/>
    <m/>
    <m/>
    <m/>
    <x v="121"/>
    <x v="1"/>
    <m/>
    <m/>
    <m/>
    <m/>
    <s v="2925 / 2099"/>
    <m/>
    <m/>
    <m/>
    <m/>
    <m/>
    <m/>
    <m/>
    <s v="N"/>
    <m/>
    <m/>
    <m/>
    <m/>
    <s v="CASH: From AP2925: 30K - IDR/IP grant directly to Kenya Red Cross; PMN to Fed - 50k from LDS; SUPPLIES: 20,000 (mosquito nets) @ $4.44 each + PSR, etc + $20,000 (transport) = $120,000 from AP2099"/>
  </r>
  <r>
    <m/>
    <n v="160"/>
    <x v="166"/>
    <d v="2006-11-01T00:00:00"/>
    <x v="11"/>
    <n v="11"/>
    <m/>
    <x v="11"/>
    <n v="22"/>
    <x v="1"/>
    <s v="Somalia"/>
    <s v="Hydrometerological"/>
    <x v="2"/>
    <s v="General Floods"/>
    <s v="General Floods"/>
    <x v="0"/>
    <x v="1"/>
    <s v="ICRC"/>
    <n v="33508000"/>
    <s v="REX 06/813"/>
    <m/>
    <m/>
    <m/>
    <m/>
    <n v="324000"/>
    <x v="0"/>
    <m/>
    <m/>
    <m/>
    <n v="100000"/>
    <m/>
    <m/>
    <n v="100000"/>
    <m/>
    <m/>
    <m/>
    <m/>
    <m/>
    <m/>
    <m/>
    <m/>
    <m/>
    <m/>
    <m/>
    <m/>
    <m/>
    <m/>
    <m/>
    <m/>
    <m/>
    <m/>
    <m/>
    <m/>
    <n v="100000"/>
    <m/>
    <m/>
    <m/>
    <x v="5"/>
    <x v="2"/>
    <m/>
    <m/>
    <m/>
    <m/>
    <n v="2099"/>
    <m/>
    <m/>
    <m/>
    <m/>
    <m/>
    <m/>
    <m/>
    <s v="N"/>
    <m/>
    <m/>
    <m/>
    <m/>
    <s v="Contribution to ICRC 2006 Somalia Emergency Appeal - spec those affected by floods"/>
  </r>
  <r>
    <s v="FL-2006-000198-MOZ"/>
    <n v="161"/>
    <x v="46"/>
    <d v="2007-02-01T00:00:00"/>
    <x v="11"/>
    <n v="12"/>
    <m/>
    <x v="12"/>
    <n v="1"/>
    <x v="1"/>
    <s v="Mozambique"/>
    <s v="Hydrometerological"/>
    <x v="2"/>
    <s v="General Floods"/>
    <s v="General Floods"/>
    <x v="0"/>
    <x v="1"/>
    <s v="IFRC"/>
    <n v="5971938"/>
    <s v="MDRMZ002"/>
    <m/>
    <m/>
    <m/>
    <m/>
    <n v="100000"/>
    <x v="0"/>
    <m/>
    <m/>
    <m/>
    <m/>
    <m/>
    <m/>
    <n v="0"/>
    <n v="2"/>
    <s v="Relief ERU"/>
    <m/>
    <n v="26950"/>
    <m/>
    <m/>
    <n v="7050"/>
    <m/>
    <m/>
    <m/>
    <m/>
    <m/>
    <m/>
    <m/>
    <n v="3900"/>
    <m/>
    <m/>
    <m/>
    <n v="200000"/>
    <n v="45000"/>
    <n v="245000"/>
    <m/>
    <m/>
    <m/>
    <x v="122"/>
    <x v="1"/>
    <m/>
    <m/>
    <m/>
    <m/>
    <s v="2099 /2936"/>
    <m/>
    <m/>
    <m/>
    <m/>
    <m/>
    <m/>
    <m/>
    <s v="N"/>
    <m/>
    <m/>
    <m/>
    <s v="Caia"/>
    <s v="SUPPLIES: 7050 blankets @ $3.75, 3900 tarps @ $14.20, 16,000 sleeping mats @ $1.70; PEOPLE: Relief ERU deployment - T. Reines, G. Guinta, 1 month, 2nd team rotation from  AP2936"/>
  </r>
  <r>
    <s v="FL-2007-000012-BOL"/>
    <n v="162"/>
    <x v="48"/>
    <d v="2007-02-01T00:00:00"/>
    <x v="11"/>
    <n v="13"/>
    <m/>
    <x v="12"/>
    <n v="2"/>
    <x v="2"/>
    <s v="Bolivia"/>
    <s v="Hydrometerological"/>
    <x v="2"/>
    <s v="General Floods"/>
    <s v="General Floods"/>
    <x v="0"/>
    <x v="1"/>
    <s v="IFRC"/>
    <n v="484360"/>
    <s v="MDRBO002"/>
    <m/>
    <m/>
    <m/>
    <m/>
    <n v="35940"/>
    <x v="0"/>
    <m/>
    <n v="1"/>
    <n v="150000"/>
    <m/>
    <m/>
    <m/>
    <n v="150000"/>
    <m/>
    <m/>
    <m/>
    <m/>
    <m/>
    <m/>
    <m/>
    <m/>
    <m/>
    <m/>
    <m/>
    <m/>
    <m/>
    <m/>
    <m/>
    <m/>
    <m/>
    <m/>
    <m/>
    <m/>
    <n v="150000"/>
    <m/>
    <m/>
    <m/>
    <x v="13"/>
    <x v="1"/>
    <m/>
    <m/>
    <m/>
    <m/>
    <s v="2099 / 2666"/>
    <m/>
    <m/>
    <m/>
    <m/>
    <m/>
    <m/>
    <m/>
    <s v="N"/>
    <m/>
    <m/>
    <m/>
    <m/>
    <s v="$50,000 PMN to Fed - unearmarked from 2099; $100,000  from 2666 - OFDA grant to Fed via PMN. Earmarked for 1500 food parcels, 1500 tool kits and remaining goes to transport costs."/>
  </r>
  <r>
    <m/>
    <n v="163"/>
    <x v="167"/>
    <d v="2007-03-01T00:00:00"/>
    <x v="11"/>
    <n v="14"/>
    <m/>
    <x v="12"/>
    <n v="3"/>
    <x v="3"/>
    <s v="Sri Lanka"/>
    <s v="Human Related"/>
    <x v="8"/>
    <s v="Conflict"/>
    <s v="Conflict"/>
    <x v="0"/>
    <x v="1"/>
    <s v="ICRC"/>
    <n v="32018000"/>
    <s v="REX 07/376"/>
    <m/>
    <m/>
    <m/>
    <m/>
    <n v="150000"/>
    <x v="0"/>
    <m/>
    <m/>
    <m/>
    <n v="2000000"/>
    <m/>
    <m/>
    <n v="2000000"/>
    <m/>
    <m/>
    <m/>
    <m/>
    <m/>
    <m/>
    <m/>
    <m/>
    <m/>
    <m/>
    <m/>
    <m/>
    <m/>
    <m/>
    <m/>
    <m/>
    <m/>
    <m/>
    <m/>
    <m/>
    <n v="2000000"/>
    <m/>
    <m/>
    <m/>
    <x v="123"/>
    <x v="1"/>
    <m/>
    <m/>
    <m/>
    <m/>
    <s v="2695 /2692"/>
    <m/>
    <m/>
    <m/>
    <m/>
    <m/>
    <m/>
    <m/>
    <s v="N"/>
    <m/>
    <m/>
    <m/>
    <m/>
    <s v="Contribution to ICRC 2007 Sri Lanka Emergency Appeal - to build the capacity of the SLRCS in disaster relief, IHL and overall cooperation. $320K earmarked to support ICRC HQ ops"/>
  </r>
  <r>
    <m/>
    <n v="164"/>
    <x v="168"/>
    <d v="2007-03-01T00:00:00"/>
    <x v="11"/>
    <n v="15"/>
    <m/>
    <x v="12"/>
    <n v="4"/>
    <x v="1"/>
    <s v="Madagascar"/>
    <s v="Hydrometerological"/>
    <x v="5"/>
    <s v="Tropical Cyclone"/>
    <s v="Cyclone"/>
    <x v="0"/>
    <x v="1"/>
    <s v="IFRC"/>
    <n v="1649430"/>
    <s v="MDRMG002"/>
    <m/>
    <m/>
    <m/>
    <m/>
    <n v="60000"/>
    <x v="0"/>
    <m/>
    <m/>
    <m/>
    <m/>
    <m/>
    <m/>
    <n v="0"/>
    <n v="5"/>
    <s v="Relief ERU"/>
    <m/>
    <n v="10000"/>
    <m/>
    <m/>
    <m/>
    <m/>
    <m/>
    <m/>
    <m/>
    <m/>
    <n v="1000"/>
    <m/>
    <m/>
    <m/>
    <m/>
    <m/>
    <n v="74000"/>
    <n v="28000"/>
    <n v="102000"/>
    <m/>
    <m/>
    <m/>
    <x v="124"/>
    <x v="1"/>
    <m/>
    <m/>
    <m/>
    <m/>
    <s v="2936 / 2799"/>
    <m/>
    <m/>
    <m/>
    <m/>
    <m/>
    <m/>
    <m/>
    <s v="N"/>
    <m/>
    <m/>
    <m/>
    <s v="Indlala / Jaya"/>
    <s v="SUPPLIES: 1000 Mosquito Nets - $74,000 from 2799; PEOPLE: Deployed B. Gaillis, FACT, 3 wks; Deployed Relief ERU - C. Chaperon, G. Matthews 4 wks; Deployed 2nd rotation of Relief ERU - J. Manley, S. Hagerich, 4 wks - $18,000 cost from 2936"/>
  </r>
  <r>
    <s v="TS-2007-000042-SLB"/>
    <n v="165"/>
    <x v="169"/>
    <d v="2007-04-01T00:00:00"/>
    <x v="11"/>
    <n v="16"/>
    <m/>
    <x v="12"/>
    <n v="5"/>
    <x v="3"/>
    <s v="Solomon Islands"/>
    <s v="Geophysical"/>
    <x v="3"/>
    <s v="Tsunami"/>
    <s v="Tsunami"/>
    <x v="0"/>
    <x v="1"/>
    <s v="IFRC"/>
    <n v="1405645"/>
    <s v="MDRSB001"/>
    <m/>
    <m/>
    <m/>
    <m/>
    <n v="9000"/>
    <x v="0"/>
    <m/>
    <n v="1"/>
    <n v="50000"/>
    <m/>
    <m/>
    <m/>
    <n v="50000"/>
    <m/>
    <m/>
    <m/>
    <m/>
    <m/>
    <m/>
    <m/>
    <m/>
    <m/>
    <m/>
    <m/>
    <m/>
    <m/>
    <m/>
    <m/>
    <m/>
    <m/>
    <m/>
    <m/>
    <m/>
    <n v="50000"/>
    <m/>
    <m/>
    <m/>
    <x v="16"/>
    <x v="1"/>
    <m/>
    <m/>
    <m/>
    <m/>
    <n v="2881"/>
    <m/>
    <m/>
    <m/>
    <m/>
    <m/>
    <m/>
    <m/>
    <s v="N"/>
    <m/>
    <m/>
    <m/>
    <m/>
    <s v="PMN to Fed - unearmarked"/>
  </r>
  <r>
    <m/>
    <n v="166"/>
    <x v="170"/>
    <d v="2007-05-01T00:00:00"/>
    <x v="11"/>
    <n v="17"/>
    <m/>
    <x v="12"/>
    <n v="6"/>
    <x v="2"/>
    <s v="Colombia"/>
    <s v="Hydrometerological"/>
    <x v="2"/>
    <s v="General Floods"/>
    <s v="General Floods"/>
    <x v="0"/>
    <x v="0"/>
    <m/>
    <m/>
    <m/>
    <m/>
    <m/>
    <m/>
    <m/>
    <m/>
    <x v="0"/>
    <n v="3600"/>
    <m/>
    <m/>
    <m/>
    <n v="5000"/>
    <m/>
    <n v="5000"/>
    <m/>
    <m/>
    <m/>
    <m/>
    <m/>
    <m/>
    <m/>
    <m/>
    <m/>
    <m/>
    <m/>
    <m/>
    <m/>
    <m/>
    <m/>
    <m/>
    <m/>
    <m/>
    <m/>
    <m/>
    <n v="5000"/>
    <m/>
    <m/>
    <m/>
    <x v="46"/>
    <x v="2"/>
    <m/>
    <m/>
    <m/>
    <m/>
    <n v="2799"/>
    <m/>
    <m/>
    <m/>
    <m/>
    <m/>
    <m/>
    <m/>
    <s v="Y"/>
    <m/>
    <m/>
    <m/>
    <s v="Tolima"/>
    <s v="Grant to NS for NFIs, health team visits, general admin costs"/>
  </r>
  <r>
    <m/>
    <n v="167"/>
    <x v="171"/>
    <d v="2007-05-01T00:00:00"/>
    <x v="11"/>
    <n v="18"/>
    <m/>
    <x v="12"/>
    <n v="7"/>
    <x v="2"/>
    <s v="Mexico"/>
    <s v="Hydrometerological"/>
    <x v="5"/>
    <s v="Local Storm"/>
    <s v="Tornado"/>
    <x v="0"/>
    <x v="0"/>
    <s v="NS"/>
    <m/>
    <m/>
    <m/>
    <m/>
    <m/>
    <m/>
    <m/>
    <x v="0"/>
    <n v="3000"/>
    <m/>
    <m/>
    <m/>
    <n v="20000"/>
    <m/>
    <n v="20000"/>
    <m/>
    <m/>
    <m/>
    <m/>
    <m/>
    <m/>
    <m/>
    <m/>
    <m/>
    <m/>
    <m/>
    <m/>
    <m/>
    <m/>
    <m/>
    <m/>
    <m/>
    <m/>
    <m/>
    <m/>
    <n v="20000"/>
    <m/>
    <m/>
    <m/>
    <x v="25"/>
    <x v="1"/>
    <m/>
    <m/>
    <m/>
    <m/>
    <n v="2690"/>
    <m/>
    <m/>
    <m/>
    <m/>
    <m/>
    <m/>
    <m/>
    <s v="N"/>
    <m/>
    <m/>
    <m/>
    <s v="Coahuila"/>
    <s v="Grant to NS for NFIs - kitchen, hygiene, baby kits; laterns w/ radios"/>
  </r>
  <r>
    <m/>
    <n v="168"/>
    <x v="165"/>
    <d v="2007-06-01T00:00:00"/>
    <x v="11"/>
    <n v="19"/>
    <m/>
    <x v="12"/>
    <n v="8"/>
    <x v="1"/>
    <s v="Somalia"/>
    <s v="Human Related"/>
    <x v="8"/>
    <s v="Conflict"/>
    <s v="Conflict"/>
    <x v="0"/>
    <x v="1"/>
    <s v="ICRC"/>
    <n v="38292000"/>
    <s v="REX 07/347"/>
    <m/>
    <m/>
    <m/>
    <m/>
    <n v="612000"/>
    <x v="0"/>
    <m/>
    <n v="1"/>
    <m/>
    <n v="100000"/>
    <m/>
    <m/>
    <n v="100000"/>
    <m/>
    <m/>
    <m/>
    <m/>
    <m/>
    <m/>
    <m/>
    <m/>
    <m/>
    <m/>
    <m/>
    <m/>
    <m/>
    <m/>
    <m/>
    <m/>
    <m/>
    <m/>
    <m/>
    <m/>
    <n v="100000"/>
    <m/>
    <m/>
    <m/>
    <x v="5"/>
    <x v="1"/>
    <m/>
    <m/>
    <m/>
    <m/>
    <n v="2817"/>
    <m/>
    <m/>
    <m/>
    <m/>
    <m/>
    <m/>
    <m/>
    <s v="N"/>
    <m/>
    <m/>
    <m/>
    <m/>
    <s v="Contribution to ICRC 2007 Somalia Emergency Appeal: Budget Extension - support for capacity bldg."/>
  </r>
  <r>
    <m/>
    <n v="169"/>
    <x v="125"/>
    <d v="2007-06-01T00:00:00"/>
    <x v="11"/>
    <n v="20"/>
    <m/>
    <x v="12"/>
    <n v="9"/>
    <x v="1"/>
    <s v="Sudan"/>
    <s v="Human Related"/>
    <x v="8"/>
    <s v="Conflict"/>
    <s v="Conflict"/>
    <x v="0"/>
    <x v="1"/>
    <s v="ICRC"/>
    <n v="86239000"/>
    <s v="REX 07/207"/>
    <m/>
    <m/>
    <m/>
    <m/>
    <n v="125000"/>
    <x v="0"/>
    <m/>
    <m/>
    <m/>
    <n v="200000"/>
    <m/>
    <m/>
    <n v="200000"/>
    <m/>
    <m/>
    <m/>
    <m/>
    <m/>
    <m/>
    <m/>
    <m/>
    <m/>
    <m/>
    <m/>
    <m/>
    <m/>
    <m/>
    <m/>
    <m/>
    <m/>
    <m/>
    <m/>
    <m/>
    <n v="200000"/>
    <m/>
    <m/>
    <m/>
    <x v="121"/>
    <x v="1"/>
    <m/>
    <m/>
    <m/>
    <m/>
    <n v="2661"/>
    <m/>
    <m/>
    <m/>
    <m/>
    <m/>
    <m/>
    <m/>
    <s v="N"/>
    <m/>
    <m/>
    <m/>
    <m/>
    <s v="Contribution to ICRC 2007 Sudan Emergency Appeal: Budget Extension - support for capacity bldg."/>
  </r>
  <r>
    <s v="FF-2007-000082-PAK; and TC-2007-000084-PAK"/>
    <n v="170"/>
    <x v="172"/>
    <d v="2007-07-01T00:00:00"/>
    <x v="12"/>
    <n v="1"/>
    <m/>
    <x v="12"/>
    <n v="10"/>
    <x v="3"/>
    <s v="Pakistan"/>
    <s v="Hydrometerological"/>
    <x v="5"/>
    <s v="Tropical Cyclone"/>
    <s v="Cyclone"/>
    <x v="6"/>
    <x v="1"/>
    <s v="IFRC"/>
    <n v="17000000"/>
    <s v="MDRPK001"/>
    <m/>
    <m/>
    <m/>
    <m/>
    <n v="257500"/>
    <x v="0"/>
    <m/>
    <n v="1"/>
    <n v="285000"/>
    <m/>
    <m/>
    <m/>
    <n v="285000"/>
    <n v="1"/>
    <m/>
    <m/>
    <m/>
    <m/>
    <m/>
    <m/>
    <m/>
    <m/>
    <m/>
    <m/>
    <m/>
    <m/>
    <m/>
    <m/>
    <m/>
    <m/>
    <m/>
    <m/>
    <n v="10000"/>
    <n v="295000"/>
    <m/>
    <m/>
    <m/>
    <x v="125"/>
    <x v="1"/>
    <m/>
    <m/>
    <m/>
    <m/>
    <s v="2099/2897"/>
    <m/>
    <m/>
    <m/>
    <m/>
    <m/>
    <m/>
    <m/>
    <s v="N"/>
    <m/>
    <m/>
    <m/>
    <s v="Yemyin"/>
    <s v="CASH: PMN to Fed - unearmarked; PEOPLE: T. Betz deployed on FACT as Relief/Logs Ap2897"/>
  </r>
  <r>
    <s v="FF-2007-000080-BGD"/>
    <n v="171"/>
    <x v="19"/>
    <d v="2007-07-01T00:00:00"/>
    <x v="12"/>
    <n v="2"/>
    <m/>
    <x v="12"/>
    <n v="11"/>
    <x v="3"/>
    <s v="Bangladesh"/>
    <s v="Hydrometerological"/>
    <x v="2"/>
    <s v="General Floods"/>
    <s v="General Floods"/>
    <x v="7"/>
    <x v="1"/>
    <s v="IFRC"/>
    <n v="4850000"/>
    <s v="MDRBD002"/>
    <n v="2.5670103092783506E-2"/>
    <n v="0.95"/>
    <m/>
    <m/>
    <n v="1200000"/>
    <x v="0"/>
    <m/>
    <n v="1"/>
    <n v="124500"/>
    <m/>
    <m/>
    <m/>
    <n v="124500"/>
    <m/>
    <m/>
    <m/>
    <m/>
    <m/>
    <m/>
    <m/>
    <m/>
    <m/>
    <m/>
    <m/>
    <m/>
    <m/>
    <m/>
    <m/>
    <m/>
    <m/>
    <m/>
    <m/>
    <m/>
    <n v="124500"/>
    <m/>
    <m/>
    <m/>
    <x v="126"/>
    <x v="1"/>
    <m/>
    <m/>
    <m/>
    <m/>
    <s v="2017 / 2099"/>
    <m/>
    <m/>
    <m/>
    <m/>
    <m/>
    <m/>
    <m/>
    <s v="N"/>
    <m/>
    <m/>
    <m/>
    <m/>
    <s v="CASH: $24,500 PMN to Fed - unearmarked from 2017; $100,000 PMN to Fed - unearmarked from 2099;"/>
  </r>
  <r>
    <m/>
    <n v="172"/>
    <x v="105"/>
    <d v="2007-07-01T00:00:00"/>
    <x v="12"/>
    <n v="3"/>
    <m/>
    <x v="12"/>
    <n v="12"/>
    <x v="3"/>
    <s v="Iraq"/>
    <s v="Human Related"/>
    <x v="8"/>
    <s v="Conflict"/>
    <s v="Conflict"/>
    <x v="8"/>
    <x v="1"/>
    <s v="IFRC"/>
    <n v="15000000"/>
    <s v="MDR81002"/>
    <n v="1.6666666666666666E-2"/>
    <m/>
    <m/>
    <m/>
    <n v="250000"/>
    <x v="0"/>
    <m/>
    <n v="1"/>
    <n v="250000"/>
    <m/>
    <m/>
    <m/>
    <n v="250000"/>
    <m/>
    <m/>
    <m/>
    <m/>
    <m/>
    <m/>
    <m/>
    <m/>
    <m/>
    <m/>
    <m/>
    <m/>
    <m/>
    <m/>
    <m/>
    <m/>
    <m/>
    <m/>
    <m/>
    <m/>
    <n v="250000"/>
    <m/>
    <m/>
    <m/>
    <x v="35"/>
    <x v="2"/>
    <m/>
    <m/>
    <m/>
    <m/>
    <n v="2099"/>
    <m/>
    <m/>
    <m/>
    <m/>
    <m/>
    <m/>
    <m/>
    <s v="N"/>
    <m/>
    <m/>
    <m/>
    <s v="Refugees from Iraq in Syria and Jordan"/>
    <s v="PMN to Fed - unearmarked"/>
  </r>
  <r>
    <s v="FL-2007-00093-SDN"/>
    <n v="173"/>
    <x v="162"/>
    <d v="2007-07-01T00:00:00"/>
    <x v="12"/>
    <n v="4"/>
    <m/>
    <x v="12"/>
    <n v="13"/>
    <x v="1"/>
    <s v="Sudan"/>
    <s v="Hydrometerological"/>
    <x v="2"/>
    <s v="General Floods"/>
    <s v="General Floods"/>
    <x v="9"/>
    <x v="1"/>
    <s v="IFRC"/>
    <n v="6800000"/>
    <s v="MDRSD004"/>
    <m/>
    <m/>
    <m/>
    <m/>
    <n v="200000"/>
    <x v="0"/>
    <m/>
    <n v="1"/>
    <n v="100000"/>
    <m/>
    <m/>
    <m/>
    <n v="100000"/>
    <n v="1"/>
    <m/>
    <m/>
    <n v="10000"/>
    <m/>
    <m/>
    <m/>
    <m/>
    <m/>
    <m/>
    <m/>
    <m/>
    <n v="10000"/>
    <m/>
    <m/>
    <m/>
    <m/>
    <m/>
    <n v="44400"/>
    <n v="9000"/>
    <n v="153400"/>
    <m/>
    <m/>
    <m/>
    <x v="127"/>
    <x v="1"/>
    <m/>
    <m/>
    <m/>
    <m/>
    <s v="2802 /2099"/>
    <m/>
    <m/>
    <m/>
    <m/>
    <m/>
    <m/>
    <m/>
    <s v="N"/>
    <m/>
    <m/>
    <m/>
    <m/>
    <s v="CASH: $100,000 PMN to Fed earmarked for improved emergency shelters (Appeal obj 1) and tree saplings (obj 4) for 500 families from AP 2099; PEOPLE: N.Cooper deployed on FACT as Relief/Shelter"/>
  </r>
  <r>
    <s v="FL-2007-000111-GBR"/>
    <n v="174"/>
    <x v="173"/>
    <d v="2007-07-01T00:00:00"/>
    <x v="12"/>
    <n v="5"/>
    <m/>
    <x v="12"/>
    <n v="15"/>
    <x v="3"/>
    <s v="United Kingdom"/>
    <s v="Hydrometerological"/>
    <x v="2"/>
    <s v="General Floods"/>
    <s v="General Floods"/>
    <x v="10"/>
    <x v="0"/>
    <m/>
    <m/>
    <m/>
    <m/>
    <m/>
    <m/>
    <m/>
    <m/>
    <x v="0"/>
    <m/>
    <m/>
    <m/>
    <m/>
    <n v="20188"/>
    <m/>
    <n v="20188"/>
    <m/>
    <m/>
    <m/>
    <m/>
    <m/>
    <m/>
    <m/>
    <m/>
    <m/>
    <m/>
    <m/>
    <m/>
    <m/>
    <m/>
    <m/>
    <m/>
    <m/>
    <m/>
    <m/>
    <m/>
    <n v="20188"/>
    <m/>
    <m/>
    <m/>
    <x v="128"/>
    <x v="1"/>
    <m/>
    <m/>
    <m/>
    <m/>
    <n v="2605"/>
    <m/>
    <m/>
    <m/>
    <m/>
    <m/>
    <m/>
    <m/>
    <s v="N"/>
    <m/>
    <m/>
    <m/>
    <m/>
    <s v="Grant letter to British Red Cross; 10,000 GBP donation from Cargill + individual donations"/>
  </r>
  <r>
    <s v="FF-2007-000117-NPL"/>
    <n v="175"/>
    <x v="174"/>
    <d v="2007-08-01T00:00:00"/>
    <x v="12"/>
    <n v="6"/>
    <m/>
    <x v="12"/>
    <n v="16"/>
    <x v="3"/>
    <s v="Nepal"/>
    <s v="Hydrometerological"/>
    <x v="2"/>
    <s v="General Floods"/>
    <s v="General Floods"/>
    <x v="11"/>
    <x v="1"/>
    <s v="IFRC"/>
    <n v="2340000"/>
    <m/>
    <n v="2.1367521367521368E-2"/>
    <m/>
    <s v="Y"/>
    <m/>
    <n v="150000"/>
    <x v="0"/>
    <m/>
    <n v="1"/>
    <n v="50000"/>
    <m/>
    <m/>
    <m/>
    <n v="50000"/>
    <m/>
    <m/>
    <m/>
    <m/>
    <m/>
    <m/>
    <m/>
    <m/>
    <m/>
    <m/>
    <m/>
    <m/>
    <m/>
    <m/>
    <m/>
    <m/>
    <m/>
    <m/>
    <m/>
    <m/>
    <n v="50000"/>
    <m/>
    <m/>
    <m/>
    <x v="16"/>
    <x v="2"/>
    <m/>
    <m/>
    <m/>
    <m/>
    <n v="2099"/>
    <m/>
    <m/>
    <m/>
    <m/>
    <m/>
    <m/>
    <m/>
    <s v="N"/>
    <m/>
    <m/>
    <m/>
    <m/>
    <s v="PMN to Fed - unearmarked"/>
  </r>
  <r>
    <s v="EQ-2007-000133-PER"/>
    <n v="176"/>
    <x v="54"/>
    <d v="2007-08-01T00:00:00"/>
    <x v="12"/>
    <n v="7"/>
    <m/>
    <x v="12"/>
    <n v="17"/>
    <x v="2"/>
    <s v="Peru"/>
    <s v="Geophysical"/>
    <x v="3"/>
    <s v="Earthquake"/>
    <s v="Earthquake"/>
    <x v="12"/>
    <x v="1"/>
    <s v="IFRC"/>
    <n v="9600000"/>
    <s v="MDRPE003"/>
    <n v="3.125E-2"/>
    <n v="0.93"/>
    <m/>
    <m/>
    <n v="37500"/>
    <x v="0"/>
    <m/>
    <n v="1"/>
    <n v="300000"/>
    <m/>
    <m/>
    <m/>
    <n v="300000"/>
    <n v="6"/>
    <m/>
    <m/>
    <n v="16500"/>
    <m/>
    <n v="3500"/>
    <m/>
    <m/>
    <m/>
    <m/>
    <n v="2000"/>
    <m/>
    <m/>
    <m/>
    <n v="11000"/>
    <m/>
    <m/>
    <m/>
    <n v="214800"/>
    <n v="5000"/>
    <n v="519800"/>
    <m/>
    <m/>
    <m/>
    <x v="129"/>
    <x v="1"/>
    <m/>
    <m/>
    <m/>
    <m/>
    <n v="2816"/>
    <m/>
    <m/>
    <m/>
    <m/>
    <m/>
    <m/>
    <m/>
    <s v="N"/>
    <m/>
    <m/>
    <s v="y"/>
    <m/>
    <s v="CASH: 100K PMN Unearmarked, 200K PMN earmarked for hygiene kits, jerry cans and shelter kits + ops costs; SUPPLIES: hygiene kits @ $13.55; tarps @ $11.30; kitchen sets @ $14.55 + PSR; PEOPLE: C Michaud deployed on Relief ERU (2 days) replaced by L Aceves for 1 month; C Chaperon sent to deliver equipment; Roberto Brito and Richard Urrutia (early recovery assmt); Shelley Cheatham (Admin/Ops), Lee Malany (shelter) and Jessica (PSP early recovery delegate)"/>
  </r>
  <r>
    <s v="TC-2007-000135"/>
    <n v="177"/>
    <x v="175"/>
    <d v="2007-08-01T00:00:00"/>
    <x v="12"/>
    <n v="8"/>
    <m/>
    <x v="12"/>
    <n v="18"/>
    <x v="2"/>
    <s v="Jamaica"/>
    <s v="Hydrometerological"/>
    <x v="5"/>
    <s v="Tropical Cyclone"/>
    <s v="Hurricane"/>
    <x v="13"/>
    <x v="1"/>
    <s v="IFRC"/>
    <n v="2927000"/>
    <s v="MDR49001"/>
    <m/>
    <m/>
    <m/>
    <m/>
    <n v="108550"/>
    <x v="0"/>
    <n v="5000"/>
    <m/>
    <m/>
    <m/>
    <m/>
    <m/>
    <n v="0"/>
    <m/>
    <m/>
    <m/>
    <n v="2350"/>
    <m/>
    <n v="1000"/>
    <m/>
    <m/>
    <m/>
    <m/>
    <n v="1000"/>
    <m/>
    <m/>
    <m/>
    <n v="350"/>
    <m/>
    <m/>
    <m/>
    <n v="34565"/>
    <m/>
    <n v="34565"/>
    <m/>
    <m/>
    <m/>
    <x v="130"/>
    <x v="1"/>
    <m/>
    <m/>
    <m/>
    <m/>
    <n v="2837"/>
    <m/>
    <m/>
    <m/>
    <m/>
    <m/>
    <m/>
    <m/>
    <s v="N"/>
    <m/>
    <m/>
    <m/>
    <s v="Dean"/>
    <m/>
  </r>
  <r>
    <s v="TC-2007-000135"/>
    <n v="177"/>
    <x v="175"/>
    <d v="2007-08-01T00:00:00"/>
    <x v="12"/>
    <n v="8"/>
    <m/>
    <x v="12"/>
    <n v="18"/>
    <x v="2"/>
    <s v="Mexico"/>
    <s v="Hydrometerological"/>
    <x v="5"/>
    <s v="Tropical Cyclone"/>
    <s v="Hurricane"/>
    <x v="0"/>
    <x v="0"/>
    <m/>
    <m/>
    <m/>
    <m/>
    <m/>
    <m/>
    <m/>
    <m/>
    <x v="0"/>
    <n v="24000"/>
    <m/>
    <m/>
    <m/>
    <n v="298680"/>
    <m/>
    <n v="298680"/>
    <n v="1"/>
    <m/>
    <m/>
    <m/>
    <m/>
    <m/>
    <m/>
    <m/>
    <m/>
    <m/>
    <m/>
    <m/>
    <m/>
    <m/>
    <m/>
    <m/>
    <m/>
    <m/>
    <m/>
    <m/>
    <n v="298680"/>
    <m/>
    <m/>
    <m/>
    <x v="131"/>
    <x v="1"/>
    <m/>
    <m/>
    <m/>
    <m/>
    <s v="2868 / 2099"/>
    <m/>
    <m/>
    <m/>
    <m/>
    <m/>
    <m/>
    <m/>
    <s v="N"/>
    <m/>
    <m/>
    <m/>
    <s v="Dean"/>
    <s v="CASH:  ARC grant ($76k) to MRC for hygiene kits, kitchen sets, and roofing materials for 670 families; ARC/OFDA subgrant to MRC ($222k) for 1,830 families; PEOPLE: Shelley Cheatham (Monitoring)"/>
  </r>
  <r>
    <s v="TC-2007-000135"/>
    <n v="177"/>
    <x v="175"/>
    <d v="2007-08-01T00:00:00"/>
    <x v="12"/>
    <n v="8"/>
    <m/>
    <x v="12"/>
    <n v="18"/>
    <x v="2"/>
    <s v="Haiti"/>
    <s v="Hydrometerological"/>
    <x v="5"/>
    <s v="Tropical Cyclone"/>
    <s v="Hurricane"/>
    <x v="0"/>
    <x v="0"/>
    <m/>
    <m/>
    <m/>
    <m/>
    <m/>
    <m/>
    <m/>
    <m/>
    <x v="0"/>
    <m/>
    <m/>
    <m/>
    <m/>
    <n v="2500"/>
    <m/>
    <n v="2500"/>
    <n v="1"/>
    <m/>
    <m/>
    <m/>
    <m/>
    <m/>
    <m/>
    <m/>
    <m/>
    <m/>
    <m/>
    <m/>
    <m/>
    <m/>
    <m/>
    <m/>
    <m/>
    <m/>
    <m/>
    <m/>
    <n v="2500"/>
    <m/>
    <m/>
    <m/>
    <x v="132"/>
    <x v="1"/>
    <m/>
    <m/>
    <m/>
    <m/>
    <n v="2837"/>
    <m/>
    <m/>
    <m/>
    <m/>
    <m/>
    <m/>
    <m/>
    <s v="N"/>
    <m/>
    <m/>
    <m/>
    <s v="Dean"/>
    <s v="CASH: Grant to Haitian Red Cross - restock relief supplies; PEOPLE: Brigitte Gaillis (Contingency Planning)"/>
  </r>
  <r>
    <s v="WF-2007-000148-GRC"/>
    <n v="178"/>
    <x v="176"/>
    <d v="2007-09-01T00:00:00"/>
    <x v="12"/>
    <n v="9"/>
    <m/>
    <x v="12"/>
    <n v="19"/>
    <x v="3"/>
    <s v="Greece"/>
    <s v="Hydrometerological"/>
    <x v="15"/>
    <s v="Forest Fire"/>
    <s v="Fire"/>
    <x v="0"/>
    <x v="0"/>
    <m/>
    <m/>
    <m/>
    <m/>
    <m/>
    <m/>
    <m/>
    <m/>
    <x v="0"/>
    <m/>
    <m/>
    <m/>
    <m/>
    <n v="40000"/>
    <m/>
    <n v="40000"/>
    <m/>
    <m/>
    <m/>
    <m/>
    <m/>
    <m/>
    <m/>
    <m/>
    <m/>
    <m/>
    <m/>
    <m/>
    <m/>
    <m/>
    <m/>
    <m/>
    <m/>
    <m/>
    <m/>
    <m/>
    <n v="40000"/>
    <m/>
    <m/>
    <m/>
    <x v="27"/>
    <x v="2"/>
    <m/>
    <m/>
    <m/>
    <m/>
    <n v="2099"/>
    <m/>
    <m/>
    <m/>
    <m/>
    <m/>
    <m/>
    <m/>
    <s v="N"/>
    <m/>
    <m/>
    <m/>
    <m/>
    <s v="UPS 25k, Gen Mills 15k - Grant letter"/>
  </r>
  <r>
    <s v="TC-2007-000157"/>
    <n v="179"/>
    <x v="177"/>
    <d v="2007-09-01T00:00:00"/>
    <x v="12"/>
    <n v="10"/>
    <m/>
    <x v="12"/>
    <n v="20"/>
    <x v="2"/>
    <s v="Nicaragua"/>
    <s v="Hydrometerological"/>
    <x v="5"/>
    <s v="Tropical Cyclone"/>
    <s v="Hurricane"/>
    <x v="14"/>
    <x v="1"/>
    <s v="IFRC"/>
    <n v="1300000"/>
    <s v="MDR43002"/>
    <n v="3.8461538461538464E-2"/>
    <m/>
    <m/>
    <m/>
    <n v="31658"/>
    <x v="0"/>
    <m/>
    <n v="1"/>
    <n v="50000"/>
    <m/>
    <m/>
    <m/>
    <n v="50000"/>
    <m/>
    <m/>
    <m/>
    <m/>
    <m/>
    <m/>
    <m/>
    <m/>
    <m/>
    <m/>
    <m/>
    <m/>
    <m/>
    <m/>
    <m/>
    <m/>
    <m/>
    <m/>
    <m/>
    <m/>
    <n v="50000"/>
    <m/>
    <m/>
    <m/>
    <x v="16"/>
    <x v="2"/>
    <m/>
    <m/>
    <m/>
    <m/>
    <n v="2099"/>
    <m/>
    <m/>
    <m/>
    <m/>
    <m/>
    <m/>
    <m/>
    <s v="N"/>
    <m/>
    <m/>
    <m/>
    <s v="Felix"/>
    <s v="PMN to Fed - earmarked $50,000 for Nicaragua and $22,500 for Honduras (includes $25,000 from Exxon for Honduras); "/>
  </r>
  <r>
    <s v="TC-2007-000157"/>
    <n v="179"/>
    <x v="177"/>
    <d v="2007-09-01T00:00:00"/>
    <x v="12"/>
    <n v="10"/>
    <m/>
    <x v="12"/>
    <n v="20"/>
    <x v="2"/>
    <s v="Honduras"/>
    <s v="Hydrometerological"/>
    <x v="5"/>
    <s v="Tropical Cyclone"/>
    <s v="Hurricane"/>
    <x v="0"/>
    <x v="0"/>
    <m/>
    <m/>
    <m/>
    <m/>
    <m/>
    <m/>
    <m/>
    <m/>
    <x v="0"/>
    <m/>
    <n v="0"/>
    <n v="22500"/>
    <m/>
    <m/>
    <m/>
    <n v="22500"/>
    <m/>
    <m/>
    <m/>
    <m/>
    <m/>
    <m/>
    <m/>
    <m/>
    <m/>
    <m/>
    <m/>
    <m/>
    <m/>
    <m/>
    <m/>
    <m/>
    <m/>
    <m/>
    <m/>
    <m/>
    <n v="22500"/>
    <m/>
    <m/>
    <m/>
    <x v="133"/>
    <x v="2"/>
    <m/>
    <m/>
    <m/>
    <m/>
    <n v="2099"/>
    <m/>
    <m/>
    <m/>
    <m/>
    <m/>
    <m/>
    <m/>
    <s v="N"/>
    <m/>
    <m/>
    <m/>
    <s v="Felix"/>
    <m/>
  </r>
  <r>
    <s v="TC-2007-000157"/>
    <n v="179"/>
    <x v="177"/>
    <d v="2007-09-01T00:00:00"/>
    <x v="12"/>
    <n v="10"/>
    <m/>
    <x v="12"/>
    <n v="20"/>
    <x v="2"/>
    <s v="Honduras"/>
    <s v="Hydrometerological"/>
    <x v="5"/>
    <s v="Tropical Cyclone"/>
    <s v="Hurricane"/>
    <x v="0"/>
    <x v="0"/>
    <m/>
    <m/>
    <m/>
    <m/>
    <m/>
    <m/>
    <m/>
    <m/>
    <x v="0"/>
    <m/>
    <n v="0"/>
    <n v="47500"/>
    <m/>
    <m/>
    <m/>
    <n v="47500"/>
    <m/>
    <m/>
    <m/>
    <m/>
    <m/>
    <m/>
    <m/>
    <m/>
    <m/>
    <m/>
    <m/>
    <m/>
    <m/>
    <m/>
    <m/>
    <m/>
    <m/>
    <m/>
    <m/>
    <m/>
    <n v="47500"/>
    <m/>
    <m/>
    <m/>
    <x v="134"/>
    <x v="1"/>
    <m/>
    <m/>
    <m/>
    <m/>
    <n v="2696"/>
    <m/>
    <m/>
    <m/>
    <m/>
    <m/>
    <m/>
    <m/>
    <s v="N"/>
    <m/>
    <m/>
    <m/>
    <s v="Felix"/>
    <s v="CASH: PMN to Fed - unearmarked"/>
  </r>
  <r>
    <s v="EQ-2007-000157-IDN"/>
    <n v="180"/>
    <x v="178"/>
    <d v="2007-09-01T00:00:00"/>
    <x v="12"/>
    <n v="11"/>
    <m/>
    <x v="12"/>
    <n v="21"/>
    <x v="3"/>
    <s v="Indonesia"/>
    <s v="Geophysical"/>
    <x v="3"/>
    <s v="Earthquake"/>
    <s v="Earthquake"/>
    <x v="0"/>
    <x v="0"/>
    <m/>
    <m/>
    <m/>
    <m/>
    <m/>
    <m/>
    <m/>
    <m/>
    <x v="0"/>
    <m/>
    <m/>
    <m/>
    <m/>
    <n v="3000"/>
    <m/>
    <n v="3000"/>
    <m/>
    <m/>
    <m/>
    <m/>
    <m/>
    <m/>
    <m/>
    <m/>
    <m/>
    <m/>
    <m/>
    <m/>
    <m/>
    <m/>
    <m/>
    <m/>
    <m/>
    <m/>
    <m/>
    <m/>
    <n v="3000"/>
    <m/>
    <m/>
    <m/>
    <x v="86"/>
    <x v="2"/>
    <m/>
    <m/>
    <m/>
    <m/>
    <n v="2799"/>
    <m/>
    <m/>
    <m/>
    <m/>
    <m/>
    <m/>
    <m/>
    <s v="Y"/>
    <m/>
    <m/>
    <m/>
    <s v="Bengkulu"/>
    <s v="Per diem for PMI response team"/>
  </r>
  <r>
    <s v="FL-2007-000138-UGA"/>
    <n v="181"/>
    <x v="179"/>
    <d v="2007-09-01T00:00:00"/>
    <x v="12"/>
    <n v="12"/>
    <m/>
    <x v="12"/>
    <n v="22"/>
    <x v="1"/>
    <s v="Uganda"/>
    <s v="Hydrometerological"/>
    <x v="2"/>
    <s v="General Floods"/>
    <s v="General Floods"/>
    <x v="15"/>
    <x v="1"/>
    <s v="IFRC"/>
    <n v="9511366"/>
    <s v="MDRUG006"/>
    <m/>
    <n v="0.64"/>
    <m/>
    <m/>
    <n v="125000"/>
    <x v="0"/>
    <m/>
    <m/>
    <m/>
    <m/>
    <m/>
    <m/>
    <n v="0"/>
    <n v="3"/>
    <s v="IT/Telecoms"/>
    <m/>
    <m/>
    <m/>
    <m/>
    <m/>
    <m/>
    <m/>
    <m/>
    <m/>
    <m/>
    <m/>
    <m/>
    <m/>
    <m/>
    <m/>
    <m/>
    <m/>
    <n v="17400"/>
    <n v="17400"/>
    <m/>
    <m/>
    <m/>
    <x v="135"/>
    <x v="2"/>
    <m/>
    <m/>
    <m/>
    <m/>
    <n v="2799"/>
    <m/>
    <m/>
    <m/>
    <m/>
    <m/>
    <m/>
    <m/>
    <s v="Y"/>
    <m/>
    <m/>
    <m/>
    <m/>
    <s v="C Chaperon (relief) and B Nandiga (wat/san) deployed on FACT.  M Million deployed on joint Danish-American IT/Telecom ERU."/>
  </r>
  <r>
    <s v="FL-2007-000158-TGO; FL-2007-000132-BFA;FL-2007-000153-GHA"/>
    <n v="182"/>
    <x v="180"/>
    <d v="2007-09-01T00:00:00"/>
    <x v="12"/>
    <n v="13"/>
    <m/>
    <x v="12"/>
    <n v="23"/>
    <x v="1"/>
    <s v="Togo"/>
    <s v="Hydrometerological"/>
    <x v="2"/>
    <s v="General Floods"/>
    <s v="General Floods"/>
    <x v="16"/>
    <x v="1"/>
    <s v="IFRC"/>
    <n v="3200000"/>
    <s v="MDR61002"/>
    <n v="6.2406249999999996E-3"/>
    <n v="0.95"/>
    <m/>
    <m/>
    <n v="94825"/>
    <x v="0"/>
    <m/>
    <n v="0"/>
    <n v="19970"/>
    <m/>
    <m/>
    <m/>
    <n v="19970"/>
    <m/>
    <m/>
    <m/>
    <m/>
    <m/>
    <m/>
    <m/>
    <m/>
    <m/>
    <m/>
    <m/>
    <m/>
    <m/>
    <m/>
    <m/>
    <m/>
    <m/>
    <m/>
    <m/>
    <m/>
    <n v="19970"/>
    <m/>
    <m/>
    <m/>
    <x v="136"/>
    <x v="2"/>
    <m/>
    <m/>
    <m/>
    <m/>
    <n v="2799"/>
    <m/>
    <m/>
    <m/>
    <m/>
    <m/>
    <m/>
    <m/>
    <s v="Y"/>
    <m/>
    <m/>
    <m/>
    <m/>
    <s v="PMN (CHF 10,300) to cover delegate costs for Youssouff Langui on FACT to Togo.  PMN (CHF 13,102) to cover costs for 3 RDRTs for one month."/>
  </r>
  <r>
    <s v="TC-000198-DOM/HTI;"/>
    <n v="183"/>
    <x v="181"/>
    <d v="2007-10-01T00:00:00"/>
    <x v="12"/>
    <n v="14"/>
    <m/>
    <x v="12"/>
    <n v="24"/>
    <x v="2"/>
    <s v="Dominican Republic"/>
    <s v="Hydrometerological"/>
    <x v="5"/>
    <s v="Tropical Cyclone"/>
    <s v="Tropical Storm"/>
    <x v="17"/>
    <x v="1"/>
    <s v="IFRC"/>
    <n v="1544000"/>
    <s v="MDR49002"/>
    <n v="2.266839378238342E-2"/>
    <m/>
    <m/>
    <m/>
    <n v="52995"/>
    <x v="0"/>
    <m/>
    <n v="0"/>
    <n v="35000"/>
    <m/>
    <m/>
    <m/>
    <n v="35000"/>
    <m/>
    <m/>
    <m/>
    <n v="4000"/>
    <m/>
    <n v="1000"/>
    <m/>
    <m/>
    <m/>
    <m/>
    <n v="1000"/>
    <m/>
    <m/>
    <m/>
    <n v="2000"/>
    <m/>
    <m/>
    <m/>
    <n v="69055"/>
    <m/>
    <n v="104055"/>
    <m/>
    <m/>
    <m/>
    <x v="137"/>
    <x v="1"/>
    <m/>
    <m/>
    <m/>
    <m/>
    <n v="2694"/>
    <m/>
    <m/>
    <m/>
    <m/>
    <m/>
    <m/>
    <m/>
    <s v="N"/>
    <m/>
    <m/>
    <m/>
    <s v="Noel"/>
    <s v="PSR"/>
  </r>
  <r>
    <s v="TC-000198-DOM/HTI;"/>
    <n v="183"/>
    <x v="181"/>
    <d v="2007-11-01T00:00:00"/>
    <x v="12"/>
    <n v="14"/>
    <m/>
    <x v="12"/>
    <n v="24"/>
    <x v="2"/>
    <s v="Haiti"/>
    <s v="Hydrometerological"/>
    <x v="5"/>
    <s v="Tropical Cyclone"/>
    <s v="Tropical Storm"/>
    <x v="0"/>
    <x v="0"/>
    <m/>
    <m/>
    <s v="MDR49002"/>
    <m/>
    <m/>
    <m/>
    <m/>
    <m/>
    <x v="0"/>
    <m/>
    <n v="1"/>
    <n v="50000"/>
    <m/>
    <m/>
    <m/>
    <n v="50000"/>
    <m/>
    <m/>
    <m/>
    <n v="2000"/>
    <m/>
    <m/>
    <n v="2000"/>
    <m/>
    <m/>
    <m/>
    <m/>
    <m/>
    <m/>
    <m/>
    <m/>
    <m/>
    <m/>
    <m/>
    <n v="8073"/>
    <m/>
    <n v="58073"/>
    <m/>
    <m/>
    <m/>
    <x v="138"/>
    <x v="1"/>
    <m/>
    <m/>
    <m/>
    <m/>
    <n v="2024"/>
    <m/>
    <m/>
    <m/>
    <m/>
    <m/>
    <m/>
    <m/>
    <s v="N"/>
    <m/>
    <m/>
    <m/>
    <s v="Noel"/>
    <s v="PSR"/>
  </r>
  <r>
    <s v="TC-000198-DOM/HTI;"/>
    <n v="183"/>
    <x v="181"/>
    <d v="2007-11-01T00:00:00"/>
    <x v="12"/>
    <n v="14"/>
    <m/>
    <x v="12"/>
    <n v="24"/>
    <x v="2"/>
    <s v="Bahamas"/>
    <s v="Hydrometerological"/>
    <x v="5"/>
    <s v="Tropical Cyclone"/>
    <s v="Tropical Storm"/>
    <x v="0"/>
    <x v="0"/>
    <m/>
    <m/>
    <s v="MDR49002"/>
    <m/>
    <m/>
    <m/>
    <m/>
    <m/>
    <x v="0"/>
    <m/>
    <n v="0"/>
    <n v="30000"/>
    <m/>
    <m/>
    <m/>
    <n v="30000"/>
    <n v="2"/>
    <m/>
    <m/>
    <m/>
    <m/>
    <m/>
    <m/>
    <m/>
    <m/>
    <m/>
    <m/>
    <m/>
    <m/>
    <m/>
    <m/>
    <m/>
    <m/>
    <m/>
    <m/>
    <n v="7440"/>
    <n v="37440"/>
    <m/>
    <m/>
    <m/>
    <x v="139"/>
    <x v="1"/>
    <m/>
    <m/>
    <m/>
    <m/>
    <n v="2024"/>
    <m/>
    <m/>
    <m/>
    <m/>
    <m/>
    <m/>
    <m/>
    <s v="N"/>
    <m/>
    <m/>
    <m/>
    <s v="Noel"/>
    <s v="PEOPLE: O Abou-Samra, J Ferguson (cash/livelihoods); CASH: PMN to Fed ($10k for cash distribution project, $20k operational costs)"/>
  </r>
  <r>
    <s v="FL-2007-000200-MEX"/>
    <n v="184"/>
    <x v="6"/>
    <d v="2007-11-01T00:00:00"/>
    <x v="12"/>
    <n v="15"/>
    <m/>
    <x v="12"/>
    <n v="25"/>
    <x v="2"/>
    <s v="Mexico"/>
    <s v="Hydrometerological"/>
    <x v="2"/>
    <s v="General Floods"/>
    <s v="General Floods"/>
    <x v="10"/>
    <x v="1"/>
    <s v="IFRC"/>
    <n v="1800000"/>
    <s v="MDRMX002"/>
    <n v="9.2820555555555559E-2"/>
    <n v="1"/>
    <m/>
    <m/>
    <n v="44380"/>
    <x v="0"/>
    <n v="10000"/>
    <n v="1"/>
    <n v="167077"/>
    <m/>
    <n v="350000"/>
    <m/>
    <n v="517077"/>
    <n v="1"/>
    <m/>
    <m/>
    <n v="15500"/>
    <m/>
    <n v="3500"/>
    <m/>
    <m/>
    <m/>
    <m/>
    <n v="2000"/>
    <m/>
    <n v="10000"/>
    <m/>
    <m/>
    <m/>
    <m/>
    <m/>
    <n v="143415"/>
    <n v="357"/>
    <n v="660849"/>
    <m/>
    <m/>
    <m/>
    <x v="140"/>
    <x v="1"/>
    <m/>
    <m/>
    <m/>
    <m/>
    <s v="2690/OFDA/2799 "/>
    <m/>
    <m/>
    <m/>
    <m/>
    <m/>
    <m/>
    <m/>
    <s v="N"/>
    <m/>
    <m/>
    <m/>
    <s v="Tabasco"/>
    <s v="CASH: Grants to MxRC ($50k from 2799 + $300k from 2690), PMN to Fed $167k (earmarked for 4,000 hygiene kits, 4,000 jerry cans, 4,000 buckets);  OFDA Grant; PEOPLE: W Romeril (info)"/>
  </r>
  <r>
    <s v="TC-2007-00178-VNM"/>
    <n v="185"/>
    <x v="182"/>
    <d v="2007-11-01T00:00:00"/>
    <x v="12"/>
    <n v="16"/>
    <m/>
    <x v="12"/>
    <n v="26"/>
    <x v="3"/>
    <s v="Vietnam"/>
    <s v="Hydrometerological"/>
    <x v="5"/>
    <s v="Tropical Cyclone"/>
    <s v="Typhoon"/>
    <x v="18"/>
    <x v="1"/>
    <s v="IFRC"/>
    <n v="2700000"/>
    <s v="MDRVN002"/>
    <n v="4.2592592592592592E-2"/>
    <n v="0.77"/>
    <m/>
    <m/>
    <n v="180000"/>
    <x v="0"/>
    <m/>
    <n v="1"/>
    <n v="115000"/>
    <m/>
    <m/>
    <m/>
    <n v="115000"/>
    <m/>
    <m/>
    <m/>
    <m/>
    <m/>
    <m/>
    <m/>
    <m/>
    <m/>
    <m/>
    <m/>
    <m/>
    <m/>
    <m/>
    <m/>
    <m/>
    <m/>
    <m/>
    <m/>
    <m/>
    <n v="115000"/>
    <m/>
    <m/>
    <m/>
    <x v="141"/>
    <x v="1"/>
    <m/>
    <m/>
    <m/>
    <m/>
    <s v="2099/ 2869"/>
    <m/>
    <m/>
    <m/>
    <m/>
    <m/>
    <m/>
    <m/>
    <s v="N"/>
    <m/>
    <s v="ARCT"/>
    <m/>
    <s v="Lekima"/>
    <s v="CASH: PMN  from AP 2099 to Fed unearmarked; PMN from AP 2869 to Fed earmarked purchase/dist household kits;  $100,000 from ARCT for shelter to Federation"/>
  </r>
  <r>
    <s v="FF-2007-000080-BGD"/>
    <n v="186"/>
    <x v="183"/>
    <d v="2007-11-01T00:00:00"/>
    <x v="12"/>
    <n v="17"/>
    <m/>
    <x v="12"/>
    <n v="27"/>
    <x v="3"/>
    <s v="Bangladesh"/>
    <s v="Hydrometerological"/>
    <x v="5"/>
    <s v="Tropical Cyclone"/>
    <s v="Cyclone"/>
    <x v="19"/>
    <x v="1"/>
    <s v="IFRC"/>
    <n v="22000000"/>
    <s v="MDRBD002"/>
    <n v="4.926618181818182E-2"/>
    <n v="0.66"/>
    <m/>
    <m/>
    <n v="1215000"/>
    <x v="0"/>
    <m/>
    <n v="1"/>
    <n v="1083856"/>
    <m/>
    <m/>
    <m/>
    <n v="1083856"/>
    <n v="3"/>
    <m/>
    <m/>
    <n v="39000"/>
    <m/>
    <n v="4000"/>
    <n v="25000"/>
    <m/>
    <m/>
    <m/>
    <m/>
    <m/>
    <m/>
    <m/>
    <n v="10000"/>
    <m/>
    <m/>
    <m/>
    <n v="260798"/>
    <n v="12000"/>
    <n v="1356654"/>
    <m/>
    <m/>
    <m/>
    <x v="142"/>
    <x v="1"/>
    <m/>
    <m/>
    <m/>
    <m/>
    <s v="2017/OFDA"/>
    <m/>
    <m/>
    <m/>
    <m/>
    <m/>
    <m/>
    <m/>
    <s v="N"/>
    <m/>
    <m/>
    <m/>
    <s v="Sidr"/>
    <s v="CASH:  1st PMN ($100k unearmarked from AP 2099), 2nd PMN ($100k earmarked to tsunami affected areas from AP 2546), 3rd PMN ($300k earmarked for shelter and wat/san from OFDA), 4th PMN ($583k earmarked for shelter and wat/san from OFDA); SUPPLIES: + PSR; PEOPLE: Nek Alam (wat/san); S Wiseman (wat/san), L Malany (shelter)"/>
  </r>
  <r>
    <s v="FL-2007-000209-PNG"/>
    <n v="187"/>
    <x v="184"/>
    <d v="2007-11-01T00:00:00"/>
    <x v="12"/>
    <n v="18"/>
    <m/>
    <x v="12"/>
    <n v="28"/>
    <x v="3"/>
    <s v="Papua New Guinea"/>
    <s v="Hydrometerological"/>
    <x v="5"/>
    <s v="Tropical Cyclone"/>
    <s v="Cyclone"/>
    <x v="20"/>
    <x v="1"/>
    <s v="IFRC"/>
    <n v="672000"/>
    <s v="MDRPG002"/>
    <n v="3.5342261904761904E-2"/>
    <n v="0.76"/>
    <m/>
    <m/>
    <n v="13000"/>
    <x v="0"/>
    <m/>
    <n v="0"/>
    <n v="23750"/>
    <m/>
    <m/>
    <m/>
    <n v="23750"/>
    <m/>
    <m/>
    <m/>
    <m/>
    <m/>
    <m/>
    <m/>
    <m/>
    <m/>
    <m/>
    <m/>
    <m/>
    <m/>
    <m/>
    <m/>
    <m/>
    <m/>
    <m/>
    <m/>
    <m/>
    <n v="23750"/>
    <m/>
    <m/>
    <m/>
    <x v="143"/>
    <x v="1"/>
    <m/>
    <m/>
    <m/>
    <m/>
    <n v="2881"/>
    <m/>
    <m/>
    <m/>
    <m/>
    <m/>
    <m/>
    <m/>
    <s v="N"/>
    <m/>
    <m/>
    <m/>
    <s v="Guba"/>
    <s v="CASH: PMN to Fed unearmarked"/>
  </r>
  <r>
    <m/>
    <n v="188"/>
    <x v="185"/>
    <d v="2008-01-01T00:00:00"/>
    <x v="12"/>
    <n v="19"/>
    <m/>
    <x v="13"/>
    <n v="1"/>
    <x v="1"/>
    <s v="Kenya"/>
    <s v="Human Related"/>
    <x v="19"/>
    <s v="Civil Unrest"/>
    <s v="Civil Unrest"/>
    <x v="21"/>
    <x v="1"/>
    <s v="ICRC"/>
    <n v="14200000"/>
    <m/>
    <n v="1.7605633802816902E-2"/>
    <m/>
    <m/>
    <m/>
    <n v="500000"/>
    <x v="0"/>
    <m/>
    <n v="1"/>
    <m/>
    <n v="250000"/>
    <n v="50000"/>
    <m/>
    <n v="300000"/>
    <m/>
    <m/>
    <m/>
    <m/>
    <m/>
    <m/>
    <m/>
    <m/>
    <m/>
    <m/>
    <m/>
    <m/>
    <m/>
    <m/>
    <m/>
    <m/>
    <m/>
    <m/>
    <m/>
    <m/>
    <n v="300000"/>
    <m/>
    <m/>
    <m/>
    <x v="144"/>
    <x v="1"/>
    <m/>
    <m/>
    <m/>
    <m/>
    <s v="2002 / 2099"/>
    <m/>
    <m/>
    <m/>
    <m/>
    <m/>
    <m/>
    <m/>
    <s v="N"/>
    <m/>
    <m/>
    <m/>
    <s v="Elections"/>
    <s v="CASH: 50k to KRCS  from 2799 and 50k to ICRC from 2002; CASH from 2099: 200k to ICRC"/>
  </r>
  <r>
    <s v="CW-2008-000013-CHN"/>
    <n v="189"/>
    <x v="186"/>
    <d v="2008-02-01T00:00:00"/>
    <x v="12"/>
    <n v="20"/>
    <m/>
    <x v="13"/>
    <n v="2"/>
    <x v="3"/>
    <s v="China"/>
    <s v="Hydrometerological"/>
    <x v="5"/>
    <s v="Winter Storm"/>
    <s v="Snowstorm"/>
    <x v="22"/>
    <x v="0"/>
    <m/>
    <s v="n/a"/>
    <m/>
    <m/>
    <m/>
    <m/>
    <m/>
    <s v="n/a"/>
    <x v="0"/>
    <s v="n/a"/>
    <m/>
    <m/>
    <m/>
    <n v="867000"/>
    <m/>
    <n v="867000"/>
    <m/>
    <m/>
    <m/>
    <m/>
    <m/>
    <m/>
    <m/>
    <m/>
    <m/>
    <m/>
    <m/>
    <m/>
    <m/>
    <m/>
    <m/>
    <m/>
    <m/>
    <m/>
    <m/>
    <m/>
    <n v="867000"/>
    <m/>
    <m/>
    <m/>
    <x v="145"/>
    <x v="1"/>
    <m/>
    <m/>
    <m/>
    <m/>
    <n v="2060"/>
    <m/>
    <m/>
    <m/>
    <m/>
    <m/>
    <m/>
    <m/>
    <s v="N"/>
    <m/>
    <m/>
    <s v="y"/>
    <m/>
    <s v="CASH: Bilateral to RCSC"/>
  </r>
  <r>
    <m/>
    <n v="190"/>
    <x v="187"/>
    <d v="2008-02-01T00:00:00"/>
    <x v="12"/>
    <n v="21"/>
    <m/>
    <x v="13"/>
    <n v="3"/>
    <x v="1"/>
    <s v="Guyana"/>
    <s v="Human Related"/>
    <x v="19"/>
    <s v="Civil Unrest"/>
    <s v="Civil Unrest"/>
    <x v="0"/>
    <x v="0"/>
    <m/>
    <s v="n/a"/>
    <m/>
    <m/>
    <m/>
    <m/>
    <m/>
    <n v="0"/>
    <x v="0"/>
    <n v="0"/>
    <m/>
    <m/>
    <m/>
    <n v="2400"/>
    <m/>
    <n v="2400"/>
    <n v="2"/>
    <m/>
    <m/>
    <m/>
    <m/>
    <m/>
    <m/>
    <m/>
    <m/>
    <m/>
    <m/>
    <m/>
    <m/>
    <m/>
    <m/>
    <m/>
    <m/>
    <m/>
    <m/>
    <n v="10000"/>
    <n v="12400"/>
    <m/>
    <m/>
    <m/>
    <x v="146"/>
    <x v="2"/>
    <m/>
    <m/>
    <m/>
    <m/>
    <n v="2799"/>
    <m/>
    <m/>
    <m/>
    <m/>
    <m/>
    <m/>
    <m/>
    <s v="Y"/>
    <m/>
    <m/>
    <m/>
    <s v="Violence"/>
    <s v="PEOPLE: G. Dodge, V. Vibhakar to Guyana for PSP ($10k) CASH: cash to NS $2,400 - total both $12,400"/>
  </r>
  <r>
    <m/>
    <n v="191"/>
    <x v="125"/>
    <d v="2008-02-01T00:00:00"/>
    <x v="12"/>
    <n v="22"/>
    <m/>
    <x v="13"/>
    <n v="4"/>
    <x v="1"/>
    <s v="Sudan"/>
    <s v="Human Related"/>
    <x v="8"/>
    <s v="Conflict"/>
    <s v="Conflict"/>
    <x v="8"/>
    <x v="1"/>
    <s v="ICRC"/>
    <n v="94000000"/>
    <m/>
    <n v="7.5957446808510637E-3"/>
    <m/>
    <m/>
    <m/>
    <n v="600000"/>
    <x v="0"/>
    <m/>
    <n v="1"/>
    <m/>
    <n v="714000"/>
    <m/>
    <m/>
    <n v="714000"/>
    <m/>
    <m/>
    <m/>
    <m/>
    <m/>
    <m/>
    <m/>
    <m/>
    <m/>
    <m/>
    <m/>
    <m/>
    <m/>
    <m/>
    <m/>
    <m/>
    <m/>
    <m/>
    <m/>
    <m/>
    <n v="714000"/>
    <m/>
    <m/>
    <m/>
    <x v="147"/>
    <x v="1"/>
    <m/>
    <m/>
    <m/>
    <m/>
    <n v="2661"/>
    <m/>
    <m/>
    <m/>
    <m/>
    <m/>
    <m/>
    <m/>
    <s v="N"/>
    <m/>
    <m/>
    <m/>
    <m/>
    <s v="CASH: 714k to ICRC from Coca Cola"/>
  </r>
  <r>
    <s v="FL-2008-000018-ECU"/>
    <n v="192"/>
    <x v="188"/>
    <d v="2008-02-01T00:00:00"/>
    <x v="12"/>
    <n v="23"/>
    <m/>
    <x v="13"/>
    <n v="5"/>
    <x v="2"/>
    <s v="Ecuador"/>
    <s v="Hydrometerological"/>
    <x v="2"/>
    <s v="General Floods"/>
    <s v="General Floods"/>
    <x v="23"/>
    <x v="0"/>
    <s v="?"/>
    <n v="700000"/>
    <m/>
    <n v="0"/>
    <m/>
    <m/>
    <m/>
    <n v="15220"/>
    <x v="0"/>
    <n v="6445"/>
    <m/>
    <m/>
    <m/>
    <n v="245000"/>
    <m/>
    <n v="245000"/>
    <m/>
    <m/>
    <m/>
    <m/>
    <m/>
    <m/>
    <m/>
    <m/>
    <m/>
    <m/>
    <m/>
    <m/>
    <m/>
    <m/>
    <m/>
    <m/>
    <m/>
    <m/>
    <m/>
    <m/>
    <n v="245000"/>
    <m/>
    <m/>
    <m/>
    <x v="122"/>
    <x v="1"/>
    <m/>
    <m/>
    <m/>
    <m/>
    <s v="2597 / 2099"/>
    <m/>
    <m/>
    <m/>
    <m/>
    <m/>
    <m/>
    <m/>
    <s v="N"/>
    <m/>
    <m/>
    <m/>
    <s v="Pacific Coast"/>
    <s v="CASH from 2597: OFDA grant for procurement of NFIs - nets, clean-up kits, kitchen sets;  CASH from 2099: To ERC for purchase of food parcels "/>
  </r>
  <r>
    <m/>
    <n v="193"/>
    <x v="105"/>
    <d v="2008-03-08T00:00:00"/>
    <x v="12"/>
    <n v="24"/>
    <m/>
    <x v="13"/>
    <n v="6"/>
    <x v="3"/>
    <s v="Iraq"/>
    <s v="Human Related"/>
    <x v="8"/>
    <s v="Conflict"/>
    <s v="Conflict"/>
    <x v="24"/>
    <x v="1"/>
    <s v="IFRC"/>
    <n v="18900000"/>
    <m/>
    <n v="1.4232804232804232E-2"/>
    <m/>
    <m/>
    <m/>
    <n v="900000"/>
    <x v="0"/>
    <m/>
    <n v="1"/>
    <n v="269000"/>
    <m/>
    <m/>
    <m/>
    <n v="269000"/>
    <m/>
    <m/>
    <m/>
    <m/>
    <m/>
    <m/>
    <m/>
    <m/>
    <m/>
    <m/>
    <m/>
    <m/>
    <m/>
    <m/>
    <m/>
    <m/>
    <m/>
    <m/>
    <m/>
    <m/>
    <n v="269000"/>
    <m/>
    <m/>
    <m/>
    <x v="148"/>
    <x v="1"/>
    <m/>
    <m/>
    <m/>
    <m/>
    <s v="2099/2689"/>
    <m/>
    <m/>
    <m/>
    <m/>
    <m/>
    <m/>
    <m/>
    <s v="N"/>
    <m/>
    <m/>
    <m/>
    <s v="Country-wide"/>
    <s v="CASH from 2099: $250k Earmarked for OD and M&amp;E; CASH from 2689: $19k Earmarked for OD and M&amp;E;"/>
  </r>
  <r>
    <s v="TC-2008-000023-MDG"/>
    <n v="194"/>
    <x v="189"/>
    <d v="2008-03-08T00:00:00"/>
    <x v="12"/>
    <n v="25"/>
    <m/>
    <x v="13"/>
    <n v="7"/>
    <x v="1"/>
    <s v="Madagascar"/>
    <s v="Hydrometerological"/>
    <x v="5"/>
    <s v="Tropical Cyclone"/>
    <s v="Cyclone"/>
    <x v="25"/>
    <x v="1"/>
    <s v="IFRC"/>
    <n v="1000000"/>
    <s v="MDRMG003"/>
    <n v="0"/>
    <m/>
    <m/>
    <m/>
    <n v="50000"/>
    <x v="0"/>
    <m/>
    <m/>
    <m/>
    <m/>
    <m/>
    <m/>
    <n v="0"/>
    <m/>
    <m/>
    <m/>
    <n v="10000"/>
    <m/>
    <m/>
    <m/>
    <m/>
    <m/>
    <m/>
    <m/>
    <m/>
    <n v="10000"/>
    <m/>
    <m/>
    <m/>
    <m/>
    <m/>
    <n v="50000"/>
    <m/>
    <n v="50000"/>
    <m/>
    <m/>
    <m/>
    <x v="16"/>
    <x v="2"/>
    <m/>
    <m/>
    <m/>
    <m/>
    <n v="2799"/>
    <m/>
    <m/>
    <m/>
    <m/>
    <m/>
    <m/>
    <m/>
    <s v="Y"/>
    <m/>
    <m/>
    <m/>
    <s v="Ivan"/>
    <m/>
  </r>
  <r>
    <s v="TC-2008-000033-MOZ"/>
    <n v="195"/>
    <x v="190"/>
    <d v="2008-03-08T00:00:00"/>
    <x v="12"/>
    <n v="26"/>
    <m/>
    <x v="13"/>
    <n v="8"/>
    <x v="1"/>
    <s v="Mozambique"/>
    <s v="Hydrometerological"/>
    <x v="2"/>
    <s v="General Floods"/>
    <s v="General Floods"/>
    <x v="26"/>
    <x v="1"/>
    <m/>
    <n v="8400000"/>
    <m/>
    <n v="3.5714285714285712E-2"/>
    <m/>
    <m/>
    <m/>
    <n v="97550"/>
    <x v="0"/>
    <n v="15000"/>
    <n v="1"/>
    <n v="300000"/>
    <m/>
    <m/>
    <m/>
    <n v="300000"/>
    <m/>
    <m/>
    <m/>
    <m/>
    <m/>
    <m/>
    <m/>
    <m/>
    <m/>
    <m/>
    <m/>
    <m/>
    <m/>
    <m/>
    <m/>
    <m/>
    <m/>
    <m/>
    <m/>
    <m/>
    <n v="300000"/>
    <m/>
    <m/>
    <m/>
    <x v="144"/>
    <x v="1"/>
    <m/>
    <m/>
    <m/>
    <m/>
    <s v="2099/($200k)/2869 ($100k)"/>
    <m/>
    <m/>
    <m/>
    <m/>
    <m/>
    <m/>
    <m/>
    <s v="N"/>
    <m/>
    <s v="ARCT"/>
    <m/>
    <s v="Southern Africa"/>
    <s v="CASH: 285k earmarked shelter/relief activities, 15k earmarked for RDRT costs x3; 2099 = $200k/ 2869 = $100k. Note ARCT funds used - $100,000 to Federation for shelter, see ARCT 2008 report."/>
  </r>
  <r>
    <s v="TC-2008-000033-MOZ"/>
    <n v="196"/>
    <x v="190"/>
    <d v="2008-03-08T00:00:00"/>
    <x v="12"/>
    <n v="27"/>
    <m/>
    <x v="13"/>
    <n v="9"/>
    <x v="1"/>
    <s v="Tanzania"/>
    <s v="Hydrometerological"/>
    <x v="2"/>
    <s v="General Floods"/>
    <s v="General Floods"/>
    <x v="27"/>
    <x v="0"/>
    <m/>
    <s v="n/a"/>
    <m/>
    <m/>
    <m/>
    <m/>
    <m/>
    <n v="2700"/>
    <x v="0"/>
    <m/>
    <m/>
    <m/>
    <m/>
    <n v="48500"/>
    <m/>
    <n v="48500"/>
    <m/>
    <m/>
    <m/>
    <m/>
    <m/>
    <m/>
    <m/>
    <m/>
    <m/>
    <m/>
    <m/>
    <m/>
    <m/>
    <m/>
    <m/>
    <m/>
    <m/>
    <m/>
    <m/>
    <m/>
    <n v="48500"/>
    <m/>
    <m/>
    <m/>
    <x v="149"/>
    <x v="1"/>
    <m/>
    <m/>
    <m/>
    <m/>
    <n v="2002"/>
    <m/>
    <m/>
    <m/>
    <m/>
    <m/>
    <m/>
    <m/>
    <s v="N"/>
    <m/>
    <m/>
    <m/>
    <s v="Flood/Mine"/>
    <s v="CASH: Grant letter to TRCS, relief/shelter"/>
  </r>
  <r>
    <s v="TC-2008-000057-MMR"/>
    <n v="197"/>
    <x v="191"/>
    <d v="2008-05-08T00:00:00"/>
    <x v="12"/>
    <n v="28"/>
    <m/>
    <x v="13"/>
    <n v="10"/>
    <x v="3"/>
    <s v="Myanmar"/>
    <s v="Hydrometerological"/>
    <x v="5"/>
    <s v="Tropical Cyclone"/>
    <s v="Cyclone"/>
    <x v="28"/>
    <x v="1"/>
    <s v="IFRC"/>
    <n v="72537164"/>
    <s v="MDRMM002"/>
    <n v="3.446509157705697E-3"/>
    <n v="0.9"/>
    <m/>
    <m/>
    <n v="500000"/>
    <x v="0"/>
    <m/>
    <n v="1"/>
    <n v="250000"/>
    <m/>
    <m/>
    <m/>
    <n v="250000"/>
    <n v="1"/>
    <m/>
    <n v="1"/>
    <n v="205000"/>
    <m/>
    <m/>
    <n v="25000"/>
    <m/>
    <m/>
    <m/>
    <n v="5000"/>
    <m/>
    <n v="20000"/>
    <m/>
    <n v="9995"/>
    <m/>
    <m/>
    <m/>
    <n v="900000"/>
    <m/>
    <n v="1150000"/>
    <m/>
    <m/>
    <m/>
    <x v="129"/>
    <x v="1"/>
    <m/>
    <m/>
    <m/>
    <m/>
    <s v="2594 / 2875"/>
    <m/>
    <m/>
    <m/>
    <m/>
    <m/>
    <m/>
    <m/>
    <s v="N"/>
    <m/>
    <m/>
    <s v="y"/>
    <s v="Nargis"/>
    <s v="SUPPLIES from 2594: OFDA  jerry cans, plus roughly 60k transport and associated costs; SUPPLIES from 2875: $1,150,000 plus transport"/>
  </r>
  <r>
    <s v="EQ-2008-000062-CHN"/>
    <n v="198"/>
    <x v="192"/>
    <d v="2008-05-08T00:00:00"/>
    <x v="12"/>
    <n v="29"/>
    <m/>
    <x v="13"/>
    <n v="11"/>
    <x v="3"/>
    <s v="China"/>
    <s v="Geophysical"/>
    <x v="3"/>
    <s v="Earthquake"/>
    <s v="Earthquake"/>
    <x v="29"/>
    <x v="1"/>
    <s v="IFRC"/>
    <n v="92700000"/>
    <s v="MDRCN003"/>
    <n v="0.10787486515641856"/>
    <n v="0.65"/>
    <m/>
    <m/>
    <n v="500000"/>
    <x v="0"/>
    <m/>
    <n v="1"/>
    <n v="10000000"/>
    <m/>
    <m/>
    <m/>
    <n v="10000000"/>
    <n v="3"/>
    <m/>
    <m/>
    <m/>
    <m/>
    <m/>
    <m/>
    <m/>
    <m/>
    <m/>
    <m/>
    <m/>
    <m/>
    <m/>
    <m/>
    <m/>
    <m/>
    <m/>
    <m/>
    <m/>
    <n v="10000000"/>
    <m/>
    <m/>
    <m/>
    <x v="150"/>
    <x v="1"/>
    <m/>
    <m/>
    <m/>
    <m/>
    <n v="2060"/>
    <m/>
    <m/>
    <m/>
    <m/>
    <m/>
    <m/>
    <m/>
    <s v="N"/>
    <m/>
    <m/>
    <s v="y"/>
    <s v="Sichuan"/>
    <s v="CASH: Unearmarked PMN; PEOPLE: R. Rayyis 1 wk info gathering, T. Betz 3 wk relief/logs/monitoring del; S. Thornton 6 mo relief del"/>
  </r>
  <r>
    <s v="DR-2008-000043-ETH"/>
    <n v="199"/>
    <x v="193"/>
    <d v="2008-06-08T00:00:00"/>
    <x v="12"/>
    <n v="32"/>
    <m/>
    <x v="13"/>
    <n v="14"/>
    <x v="1"/>
    <s v="Ethiopia"/>
    <s v="Human Related"/>
    <x v="14"/>
    <s v="Food Insecurity"/>
    <s v="Food Insecurity"/>
    <x v="30"/>
    <x v="1"/>
    <s v="IFRC"/>
    <n v="7920006"/>
    <s v="MDRET005"/>
    <n v="1.2626253060919398E-2"/>
    <m/>
    <m/>
    <m/>
    <n v="76075"/>
    <x v="0"/>
    <m/>
    <n v="1"/>
    <n v="100000"/>
    <m/>
    <m/>
    <m/>
    <n v="100000"/>
    <m/>
    <m/>
    <m/>
    <m/>
    <m/>
    <m/>
    <m/>
    <m/>
    <m/>
    <m/>
    <m/>
    <m/>
    <m/>
    <m/>
    <m/>
    <m/>
    <m/>
    <m/>
    <m/>
    <m/>
    <n v="100000"/>
    <m/>
    <m/>
    <m/>
    <x v="5"/>
    <x v="1"/>
    <m/>
    <m/>
    <m/>
    <m/>
    <n v="2949"/>
    <m/>
    <m/>
    <m/>
    <m/>
    <m/>
    <m/>
    <m/>
    <s v="N"/>
    <m/>
    <m/>
    <m/>
    <m/>
    <s v="CASH: PMN earmarked for procurement, transport, distribution of food"/>
  </r>
  <r>
    <m/>
    <n v="200"/>
    <x v="194"/>
    <d v="2008-06-08T00:00:00"/>
    <x v="12"/>
    <n v="30"/>
    <m/>
    <x v="13"/>
    <n v="12"/>
    <x v="1"/>
    <s v="South Africa"/>
    <s v="Human Related"/>
    <x v="19"/>
    <s v="Civil Unrest"/>
    <s v="Civil Unrest"/>
    <x v="31"/>
    <x v="0"/>
    <m/>
    <s v="n/a"/>
    <m/>
    <m/>
    <m/>
    <m/>
    <m/>
    <n v="30000"/>
    <x v="0"/>
    <n v="0"/>
    <m/>
    <m/>
    <m/>
    <m/>
    <m/>
    <n v="0"/>
    <n v="1"/>
    <m/>
    <m/>
    <m/>
    <m/>
    <m/>
    <m/>
    <m/>
    <m/>
    <m/>
    <m/>
    <m/>
    <m/>
    <m/>
    <m/>
    <m/>
    <m/>
    <m/>
    <m/>
    <n v="10000"/>
    <n v="10000"/>
    <m/>
    <m/>
    <m/>
    <x v="6"/>
    <x v="2"/>
    <m/>
    <m/>
    <m/>
    <m/>
    <n v="2799"/>
    <m/>
    <m/>
    <m/>
    <m/>
    <m/>
    <m/>
    <m/>
    <s v="Y"/>
    <m/>
    <m/>
    <m/>
    <s v="Urban Violence"/>
    <s v="PEOPLE: C. Bell bilateral - dev systems/tracking"/>
  </r>
  <r>
    <s v="FL-2008-000069-CHL"/>
    <n v="201"/>
    <x v="195"/>
    <d v="2008-06-08T00:00:00"/>
    <x v="12"/>
    <n v="31"/>
    <m/>
    <x v="13"/>
    <n v="13"/>
    <x v="2"/>
    <s v="Chile"/>
    <s v="Hydrometerological"/>
    <x v="2"/>
    <s v="General Floods"/>
    <s v="General Floods"/>
    <x v="31"/>
    <x v="0"/>
    <m/>
    <s v="n/a"/>
    <m/>
    <m/>
    <m/>
    <m/>
    <m/>
    <n v="4000"/>
    <x v="0"/>
    <n v="1250"/>
    <n v="0"/>
    <n v="2000"/>
    <m/>
    <m/>
    <m/>
    <n v="2000"/>
    <n v="1"/>
    <m/>
    <m/>
    <m/>
    <m/>
    <m/>
    <m/>
    <m/>
    <m/>
    <m/>
    <m/>
    <m/>
    <m/>
    <m/>
    <m/>
    <m/>
    <m/>
    <m/>
    <m/>
    <m/>
    <n v="2000"/>
    <m/>
    <m/>
    <m/>
    <x v="55"/>
    <x v="2"/>
    <m/>
    <m/>
    <m/>
    <m/>
    <n v="2799"/>
    <m/>
    <m/>
    <m/>
    <m/>
    <m/>
    <m/>
    <m/>
    <s v="Y"/>
    <m/>
    <m/>
    <m/>
    <m/>
    <s v="PEOPLE: S. DiPretoro, w/RIT, cash voucher/market assessment"/>
  </r>
  <r>
    <s v="TC-2008-000093-PHL"/>
    <n v="202"/>
    <x v="196"/>
    <d v="2008-06-08T00:00:00"/>
    <x v="12"/>
    <n v="33"/>
    <m/>
    <x v="13"/>
    <n v="15"/>
    <x v="3"/>
    <s v="Philippines"/>
    <s v="Hydrometerological"/>
    <x v="5"/>
    <s v="Tropical Cyclone"/>
    <s v="Typhoon"/>
    <x v="32"/>
    <x v="1"/>
    <s v="IFRC"/>
    <n v="8000000"/>
    <s v="MDRPH004"/>
    <n v="2.3125E-2"/>
    <n v="1"/>
    <m/>
    <m/>
    <n v="30000"/>
    <x v="0"/>
    <m/>
    <n v="1"/>
    <n v="185000"/>
    <m/>
    <m/>
    <m/>
    <n v="185000"/>
    <n v="1"/>
    <m/>
    <m/>
    <m/>
    <m/>
    <m/>
    <m/>
    <m/>
    <m/>
    <m/>
    <m/>
    <m/>
    <m/>
    <m/>
    <m/>
    <m/>
    <m/>
    <m/>
    <m/>
    <m/>
    <n v="185000"/>
    <m/>
    <m/>
    <m/>
    <x v="151"/>
    <x v="1"/>
    <m/>
    <m/>
    <m/>
    <m/>
    <s v="2032/2799/2869"/>
    <m/>
    <m/>
    <m/>
    <m/>
    <m/>
    <m/>
    <m/>
    <s v="N"/>
    <m/>
    <s v="ARCT"/>
    <m/>
    <s v="Fengshen"/>
    <s v="CASH: 1st PMN (135K)earmarked for typhoon-resistant shelter construction, and DP programs, 2nd (50k) earmarked for shelters after IFRC reported severe underfunding; 1st PMN: AP 2869 - $80,938.17, AP 2799 - $45,211.83. AP 2032 - $8,850.00 / 2nd PMN: AP 2799 - $50,000 PEOPLE: G. Bicego, wat/san assessment team, Fed will pay all expenses. Note: ARCT Funds $100,000 used for shelter to Federation as noted in ARCT report for 2008."/>
  </r>
  <r>
    <m/>
    <n v="203"/>
    <x v="197"/>
    <d v="2008-07-08T00:00:00"/>
    <x v="13"/>
    <n v="1"/>
    <m/>
    <x v="13"/>
    <n v="16"/>
    <x v="3"/>
    <s v="Yemen"/>
    <s v="Human Related"/>
    <x v="8"/>
    <s v="Conflict"/>
    <s v="Conflict"/>
    <x v="33"/>
    <x v="1"/>
    <s v="ICRC"/>
    <n v="13707000"/>
    <m/>
    <n v="3.6477712117895965E-3"/>
    <m/>
    <m/>
    <m/>
    <n v="80500"/>
    <x v="0"/>
    <m/>
    <n v="1"/>
    <m/>
    <n v="50000"/>
    <m/>
    <m/>
    <n v="50000"/>
    <m/>
    <m/>
    <m/>
    <s v="-"/>
    <m/>
    <m/>
    <m/>
    <m/>
    <m/>
    <m/>
    <m/>
    <m/>
    <m/>
    <m/>
    <m/>
    <m/>
    <m/>
    <m/>
    <m/>
    <m/>
    <n v="50000"/>
    <m/>
    <m/>
    <m/>
    <x v="16"/>
    <x v="2"/>
    <m/>
    <m/>
    <m/>
    <m/>
    <n v="2799"/>
    <m/>
    <m/>
    <m/>
    <m/>
    <m/>
    <m/>
    <m/>
    <s v="Y"/>
    <m/>
    <m/>
    <m/>
    <s v="Believing Youth"/>
    <s v="CASH: $50,000 Pledge Letter to ICRC"/>
  </r>
  <r>
    <s v="FL-2008-000095-SUR"/>
    <n v="204"/>
    <x v="198"/>
    <d v="2008-07-01T00:00:00"/>
    <x v="13"/>
    <n v="2"/>
    <m/>
    <x v="13"/>
    <n v="17"/>
    <x v="2"/>
    <s v="Suriname"/>
    <s v="Hydrometerological"/>
    <x v="2"/>
    <s v="General Floods"/>
    <s v="General Floods"/>
    <x v="34"/>
    <x v="1"/>
    <s v="IFRC"/>
    <n v="861000"/>
    <s v="MDRSR002"/>
    <m/>
    <m/>
    <m/>
    <m/>
    <n v="3000"/>
    <x v="0"/>
    <m/>
    <m/>
    <m/>
    <m/>
    <m/>
    <m/>
    <s v="-"/>
    <n v="2"/>
    <s v="IT/Telecoms"/>
    <n v="2"/>
    <s v="-"/>
    <m/>
    <m/>
    <m/>
    <m/>
    <m/>
    <m/>
    <m/>
    <m/>
    <m/>
    <m/>
    <m/>
    <m/>
    <m/>
    <m/>
    <s v="-"/>
    <s v="-"/>
    <m/>
    <m/>
    <m/>
    <m/>
    <x v="152"/>
    <x v="2"/>
    <m/>
    <m/>
    <m/>
    <m/>
    <n v="2799"/>
    <m/>
    <m/>
    <m/>
    <m/>
    <m/>
    <m/>
    <m/>
    <s v="Y"/>
    <m/>
    <m/>
    <m/>
    <m/>
    <s v="PEOPLE: M. Million, R. Palmer IT capacity bldg"/>
  </r>
  <r>
    <s v="FL-2008-000122-UKR/MDA"/>
    <n v="205"/>
    <x v="199"/>
    <d v="2008-08-01T00:00:00"/>
    <x v="13"/>
    <n v="3"/>
    <m/>
    <x v="13"/>
    <n v="18"/>
    <x v="3"/>
    <s v="Ukraine"/>
    <s v="Hydrometerological"/>
    <x v="2"/>
    <s v="General Floods"/>
    <s v="General Floods"/>
    <x v="35"/>
    <x v="1"/>
    <s v="IFRC"/>
    <n v="1193000"/>
    <s v="MDR67003"/>
    <n v="3.7091366303436714E-2"/>
    <n v="0.54"/>
    <m/>
    <m/>
    <n v="60000"/>
    <x v="0"/>
    <m/>
    <n v="1"/>
    <n v="44250"/>
    <m/>
    <m/>
    <m/>
    <n v="44250"/>
    <m/>
    <m/>
    <m/>
    <s v="-"/>
    <m/>
    <m/>
    <m/>
    <m/>
    <m/>
    <m/>
    <m/>
    <m/>
    <m/>
    <m/>
    <m/>
    <m/>
    <m/>
    <m/>
    <m/>
    <m/>
    <n v="44250"/>
    <m/>
    <m/>
    <m/>
    <x v="153"/>
    <x v="1"/>
    <m/>
    <m/>
    <m/>
    <m/>
    <n v="2048"/>
    <m/>
    <m/>
    <m/>
    <m/>
    <m/>
    <m/>
    <m/>
    <s v="N"/>
    <m/>
    <m/>
    <m/>
    <m/>
    <s v="CASH: $44,280 PMN unearmarked, Boeing donation"/>
  </r>
  <r>
    <m/>
    <n v="206"/>
    <x v="200"/>
    <d v="2008-08-01T00:00:00"/>
    <x v="13"/>
    <n v="4"/>
    <m/>
    <x v="13"/>
    <n v="19"/>
    <x v="3"/>
    <s v="Georgia"/>
    <s v="Human Related"/>
    <x v="8"/>
    <s v="Conflict"/>
    <s v="Conflict"/>
    <x v="36"/>
    <x v="1"/>
    <s v="ICRC"/>
    <n v="7395000"/>
    <s v="REX08/555"/>
    <m/>
    <m/>
    <m/>
    <m/>
    <n v="50000"/>
    <x v="0"/>
    <m/>
    <n v="1"/>
    <m/>
    <n v="100000"/>
    <m/>
    <m/>
    <n v="100000"/>
    <m/>
    <m/>
    <m/>
    <s v="-"/>
    <m/>
    <m/>
    <m/>
    <m/>
    <m/>
    <m/>
    <m/>
    <m/>
    <m/>
    <m/>
    <m/>
    <m/>
    <m/>
    <m/>
    <m/>
    <m/>
    <n v="100000"/>
    <m/>
    <m/>
    <m/>
    <x v="5"/>
    <x v="2"/>
    <m/>
    <m/>
    <m/>
    <m/>
    <n v="2799"/>
    <m/>
    <m/>
    <m/>
    <m/>
    <m/>
    <m/>
    <m/>
    <s v="Y"/>
    <m/>
    <m/>
    <m/>
    <s v="S. Ossetia"/>
    <s v="CASH: $100,000 Pledge Letter to ICRC"/>
  </r>
  <r>
    <s v="FL-2008-000104-NPL"/>
    <n v="207"/>
    <x v="174"/>
    <d v="2008-09-08T00:00:00"/>
    <x v="13"/>
    <n v="5"/>
    <m/>
    <x v="13"/>
    <n v="20"/>
    <x v="3"/>
    <s v="Nepal"/>
    <s v="Hydrometerological"/>
    <x v="2"/>
    <s v="General Floods"/>
    <s v="General Floods"/>
    <x v="37"/>
    <x v="1"/>
    <s v="IFRC"/>
    <n v="2647699"/>
    <s v="MDRNP002"/>
    <n v="1.8884321820569483E-2"/>
    <n v="0.72"/>
    <m/>
    <m/>
    <n v="150000"/>
    <x v="0"/>
    <m/>
    <n v="1"/>
    <n v="50000"/>
    <m/>
    <m/>
    <m/>
    <n v="50000"/>
    <m/>
    <m/>
    <m/>
    <s v="-"/>
    <m/>
    <m/>
    <m/>
    <m/>
    <m/>
    <m/>
    <m/>
    <m/>
    <m/>
    <m/>
    <m/>
    <m/>
    <m/>
    <m/>
    <m/>
    <m/>
    <n v="50000"/>
    <m/>
    <m/>
    <m/>
    <x v="16"/>
    <x v="2"/>
    <m/>
    <m/>
    <m/>
    <m/>
    <n v="2799"/>
    <m/>
    <m/>
    <m/>
    <m/>
    <m/>
    <m/>
    <m/>
    <s v="Y"/>
    <m/>
    <m/>
    <m/>
    <s v="Koshi River Embankment Breach"/>
    <s v="CASH: PMN $50,000 unearmarked to Fed"/>
  </r>
  <r>
    <s v="TC-2008-000147-HTI"/>
    <n v="208"/>
    <x v="201"/>
    <d v="2008-09-08T00:00:00"/>
    <x v="13"/>
    <n v="6"/>
    <m/>
    <x v="13"/>
    <n v="21"/>
    <x v="2"/>
    <s v="Haiti"/>
    <s v="Hydrometerological"/>
    <x v="5"/>
    <s v="Tropical Cyclone"/>
    <s v="Hurricane"/>
    <x v="38"/>
    <x v="1"/>
    <s v="IFRC"/>
    <n v="7600000"/>
    <s v="MDRHT005"/>
    <n v="3.7326578947368419E-2"/>
    <n v="1.04"/>
    <m/>
    <m/>
    <n v="50000"/>
    <x v="0"/>
    <m/>
    <n v="1"/>
    <n v="283682"/>
    <m/>
    <m/>
    <m/>
    <n v="283682"/>
    <n v="5"/>
    <s v="Relief ERU"/>
    <n v="5"/>
    <n v="19100"/>
    <m/>
    <n v="4000"/>
    <m/>
    <m/>
    <n v="4800"/>
    <m/>
    <n v="3000"/>
    <m/>
    <n v="6000"/>
    <m/>
    <n v="1300"/>
    <m/>
    <m/>
    <m/>
    <n v="340000"/>
    <m/>
    <n v="1532876"/>
    <m/>
    <m/>
    <m/>
    <x v="154"/>
    <x v="1"/>
    <m/>
    <m/>
    <m/>
    <m/>
    <s v="2869/2885/ 2591"/>
    <m/>
    <m/>
    <m/>
    <m/>
    <m/>
    <m/>
    <m/>
    <s v="N"/>
    <m/>
    <s v="OFDA grant for $500,000; ARCT funds used - $100,000"/>
    <s v="y"/>
    <s v="Gustav, Hanna, Ike"/>
    <s v="CASH: $100K PMN from AP 2885 earmarked for shelter kits from ARCT; PEOPLE: B. Gaillis (FACT TL), Relief ERU - C. Chaperon (TL), M. Marek, 2nd round - M. Marek (TL), J. Manley, G. Matthews, value at 50k to Fed;  OFDA grant for $500,000. SUPPLIES plus transport/PSR"/>
  </r>
  <r>
    <s v="TC-2008-000143"/>
    <n v="209"/>
    <x v="202"/>
    <d v="2008-09-08T00:00:00"/>
    <x v="13"/>
    <n v="7"/>
    <m/>
    <x v="13"/>
    <n v="22"/>
    <x v="2"/>
    <s v="Bahamas"/>
    <s v="Hydrometerological"/>
    <x v="5"/>
    <s v="Tropical Cyclone"/>
    <s v="Hurricane"/>
    <x v="39"/>
    <x v="1"/>
    <s v="IFRC"/>
    <n v="1638300"/>
    <s v="MDR49003"/>
    <n v="7.3883904046877863E-2"/>
    <n v="0.77"/>
    <m/>
    <m/>
    <n v="20000"/>
    <x v="0"/>
    <m/>
    <n v="1"/>
    <n v="121044"/>
    <m/>
    <m/>
    <m/>
    <n v="121044"/>
    <n v="1"/>
    <m/>
    <n v="1"/>
    <s v="-"/>
    <m/>
    <m/>
    <m/>
    <m/>
    <m/>
    <m/>
    <m/>
    <m/>
    <m/>
    <m/>
    <m/>
    <m/>
    <m/>
    <m/>
    <m/>
    <m/>
    <n v="121044"/>
    <m/>
    <m/>
    <m/>
    <x v="155"/>
    <x v="2"/>
    <m/>
    <m/>
    <m/>
    <m/>
    <n v="2799"/>
    <m/>
    <m/>
    <m/>
    <m/>
    <m/>
    <m/>
    <m/>
    <s v="Y"/>
    <m/>
    <m/>
    <s v="y"/>
    <s v="Bahamas, Jamaica"/>
    <s v="CASH: PMN $100,000 earmarked for Bahamas and Jamaica; PEOPLE: C. Hammond (RIT)"/>
  </r>
  <r>
    <s v="TC-2008-000143"/>
    <n v="209"/>
    <x v="203"/>
    <d v="2008-09-08T00:00:00"/>
    <x v="13"/>
    <n v="7"/>
    <m/>
    <x v="13"/>
    <n v="22"/>
    <x v="2"/>
    <s v="Jamaica"/>
    <s v="Hydrometerological"/>
    <x v="5"/>
    <s v="Tropical Cyclone"/>
    <s v="Hurricane"/>
    <x v="40"/>
    <x v="0"/>
    <m/>
    <s v="-"/>
    <s v="MDR49003"/>
    <m/>
    <m/>
    <m/>
    <m/>
    <s v="-"/>
    <x v="0"/>
    <s v="-"/>
    <m/>
    <m/>
    <m/>
    <m/>
    <m/>
    <m/>
    <m/>
    <m/>
    <m/>
    <s v="-"/>
    <m/>
    <m/>
    <m/>
    <m/>
    <m/>
    <m/>
    <m/>
    <m/>
    <m/>
    <m/>
    <m/>
    <m/>
    <m/>
    <m/>
    <m/>
    <m/>
    <s v="-"/>
    <m/>
    <m/>
    <m/>
    <x v="156"/>
    <x v="1"/>
    <m/>
    <m/>
    <m/>
    <m/>
    <m/>
    <m/>
    <m/>
    <m/>
    <m/>
    <m/>
    <m/>
    <m/>
    <s v="N"/>
    <m/>
    <m/>
    <s v="y"/>
    <s v="Bahamas, Jamaica"/>
    <s v="CASH: PMN earmarked for Bahamas and Jamaica"/>
  </r>
  <r>
    <s v="TC-2008-000143"/>
    <n v="210"/>
    <x v="204"/>
    <d v="2008-09-08T00:00:00"/>
    <x v="13"/>
    <n v="8"/>
    <m/>
    <x v="13"/>
    <n v="23"/>
    <x v="2"/>
    <s v="Cuba"/>
    <s v="Hydrometerological"/>
    <x v="5"/>
    <s v="Tropical Cyclone"/>
    <s v="Hurricane"/>
    <x v="41"/>
    <x v="1"/>
    <s v="IFRC"/>
    <n v="8811345"/>
    <s v="MDRCU001"/>
    <n v="0.12823728953979216"/>
    <n v="0.66"/>
    <m/>
    <m/>
    <n v="60000"/>
    <x v="0"/>
    <n v="10380"/>
    <n v="1"/>
    <n v="1129943"/>
    <m/>
    <m/>
    <m/>
    <n v="1129943"/>
    <m/>
    <m/>
    <m/>
    <s v="-"/>
    <m/>
    <m/>
    <m/>
    <m/>
    <m/>
    <m/>
    <m/>
    <m/>
    <m/>
    <m/>
    <m/>
    <m/>
    <m/>
    <m/>
    <m/>
    <m/>
    <n v="1129943"/>
    <m/>
    <m/>
    <m/>
    <x v="157"/>
    <x v="2"/>
    <m/>
    <m/>
    <m/>
    <m/>
    <n v="2099"/>
    <m/>
    <m/>
    <m/>
    <m/>
    <m/>
    <m/>
    <m/>
    <s v="N"/>
    <m/>
    <m/>
    <s v="y"/>
    <s v="Gustav, Ike"/>
    <s v="CASH: PMN unearmarked - OFAC license received"/>
  </r>
  <r>
    <s v="FL-2008-000198"/>
    <n v="211"/>
    <x v="205"/>
    <d v="2008-10-01T00:00:00"/>
    <x v="13"/>
    <n v="9"/>
    <m/>
    <x v="13"/>
    <n v="24"/>
    <x v="2"/>
    <s v="Nicaragua"/>
    <s v="Hydrometerological"/>
    <x v="2"/>
    <s v="Storm Surge"/>
    <s v="Storm Surge"/>
    <x v="42"/>
    <x v="0"/>
    <m/>
    <s v="-"/>
    <m/>
    <m/>
    <m/>
    <m/>
    <m/>
    <s v="-"/>
    <x v="0"/>
    <s v="-"/>
    <m/>
    <m/>
    <m/>
    <m/>
    <m/>
    <m/>
    <m/>
    <m/>
    <m/>
    <s v="-"/>
    <m/>
    <m/>
    <m/>
    <m/>
    <m/>
    <m/>
    <m/>
    <m/>
    <m/>
    <m/>
    <m/>
    <m/>
    <m/>
    <m/>
    <m/>
    <m/>
    <s v="-"/>
    <m/>
    <m/>
    <m/>
    <x v="156"/>
    <x v="1"/>
    <m/>
    <m/>
    <m/>
    <m/>
    <m/>
    <m/>
    <m/>
    <m/>
    <m/>
    <m/>
    <m/>
    <m/>
    <s v="N"/>
    <m/>
    <m/>
    <s v="y"/>
    <m/>
    <m/>
  </r>
  <r>
    <s v="FL-2008-000198"/>
    <n v="211"/>
    <x v="205"/>
    <d v="2008-10-01T00:00:00"/>
    <x v="13"/>
    <n v="9"/>
    <m/>
    <x v="13"/>
    <n v="24"/>
    <x v="2"/>
    <s v="Honduras"/>
    <s v="Hydrometerological"/>
    <x v="2"/>
    <s v="Storm Surge"/>
    <s v="Storm Surge"/>
    <x v="42"/>
    <x v="0"/>
    <m/>
    <s v="-"/>
    <m/>
    <m/>
    <m/>
    <m/>
    <m/>
    <s v="-"/>
    <x v="0"/>
    <s v="-"/>
    <n v="0"/>
    <n v="25000"/>
    <m/>
    <m/>
    <m/>
    <m/>
    <m/>
    <m/>
    <m/>
    <s v="-"/>
    <m/>
    <m/>
    <m/>
    <m/>
    <m/>
    <m/>
    <m/>
    <m/>
    <m/>
    <m/>
    <m/>
    <m/>
    <m/>
    <m/>
    <m/>
    <m/>
    <s v="-"/>
    <m/>
    <m/>
    <m/>
    <x v="156"/>
    <x v="1"/>
    <m/>
    <m/>
    <m/>
    <m/>
    <n v="2882"/>
    <m/>
    <m/>
    <m/>
    <m/>
    <m/>
    <m/>
    <m/>
    <s v="N"/>
    <m/>
    <m/>
    <s v="y"/>
    <m/>
    <s v="CASH: PMN 25k earmarked to Honduras from 2882"/>
  </r>
  <r>
    <s v="FL-2008-000198"/>
    <n v="211"/>
    <x v="205"/>
    <d v="2008-10-01T00:00:00"/>
    <x v="13"/>
    <n v="9"/>
    <m/>
    <x v="13"/>
    <n v="24"/>
    <x v="2"/>
    <s v="[rollup]"/>
    <s v="Hydrometerological"/>
    <x v="2"/>
    <s v="Storm Surge"/>
    <s v="Storm Surge"/>
    <x v="43"/>
    <x v="1"/>
    <s v="IFRC"/>
    <n v="1388924"/>
    <s v="MDR43004"/>
    <n v="0.17760727008821217"/>
    <n v="0.67"/>
    <m/>
    <m/>
    <n v="32000"/>
    <x v="0"/>
    <m/>
    <n v="1"/>
    <n v="246683"/>
    <m/>
    <m/>
    <m/>
    <n v="246683"/>
    <m/>
    <m/>
    <m/>
    <s v="-"/>
    <m/>
    <m/>
    <m/>
    <m/>
    <m/>
    <m/>
    <m/>
    <m/>
    <m/>
    <m/>
    <m/>
    <m/>
    <m/>
    <m/>
    <m/>
    <m/>
    <n v="246683"/>
    <m/>
    <m/>
    <m/>
    <x v="158"/>
    <x v="1"/>
    <m/>
    <m/>
    <m/>
    <m/>
    <s v="2799 /2882 /2869"/>
    <m/>
    <m/>
    <m/>
    <m/>
    <m/>
    <m/>
    <m/>
    <s v="N"/>
    <m/>
    <s v="ARCT funds used - $100,000"/>
    <s v="y"/>
    <m/>
    <s v="CASH: PMN 100k from 2799 unearmarked; PMN 91k - ( $88,500 from 2869 ARCT and $2,500 from 2799); $25,000 from 2882 earmarked for Honduras"/>
  </r>
  <r>
    <s v="FL-2008-000198"/>
    <n v="211"/>
    <x v="205"/>
    <d v="2008-10-01T00:00:00"/>
    <x v="13"/>
    <n v="9"/>
    <m/>
    <x v="13"/>
    <n v="24"/>
    <x v="2"/>
    <s v="Guatemala"/>
    <s v="Hydrometerological"/>
    <x v="2"/>
    <s v="Storm Surge"/>
    <s v="Storm Surge"/>
    <x v="0"/>
    <x v="0"/>
    <m/>
    <m/>
    <m/>
    <m/>
    <m/>
    <m/>
    <m/>
    <m/>
    <x v="0"/>
    <m/>
    <m/>
    <m/>
    <m/>
    <m/>
    <m/>
    <m/>
    <m/>
    <m/>
    <m/>
    <s v="-"/>
    <m/>
    <m/>
    <m/>
    <m/>
    <m/>
    <m/>
    <m/>
    <m/>
    <m/>
    <m/>
    <m/>
    <m/>
    <m/>
    <m/>
    <m/>
    <m/>
    <m/>
    <m/>
    <m/>
    <m/>
    <x v="7"/>
    <x v="1"/>
    <m/>
    <m/>
    <m/>
    <m/>
    <m/>
    <m/>
    <m/>
    <m/>
    <m/>
    <m/>
    <m/>
    <m/>
    <s v="N"/>
    <m/>
    <m/>
    <s v="y"/>
    <m/>
    <m/>
  </r>
  <r>
    <s v="EQ-2008-000206-PAK"/>
    <n v="212"/>
    <x v="206"/>
    <d v="2008-11-08T00:00:00"/>
    <x v="13"/>
    <n v="10"/>
    <m/>
    <x v="13"/>
    <n v="25"/>
    <x v="3"/>
    <s v="Pakistan"/>
    <s v="Geophysical"/>
    <x v="3"/>
    <s v="Earthquake"/>
    <s v="Earthquake"/>
    <x v="44"/>
    <x v="1"/>
    <s v="ICRC &amp; IFRC"/>
    <n v="9880000"/>
    <s v="REX08/722 &amp; MDRPK002"/>
    <m/>
    <m/>
    <m/>
    <m/>
    <n v="37930"/>
    <x v="0"/>
    <m/>
    <m/>
    <m/>
    <m/>
    <n v="100000"/>
    <m/>
    <n v="100000"/>
    <m/>
    <m/>
    <m/>
    <s v="-"/>
    <m/>
    <m/>
    <m/>
    <m/>
    <m/>
    <m/>
    <m/>
    <m/>
    <m/>
    <m/>
    <m/>
    <m/>
    <m/>
    <m/>
    <m/>
    <m/>
    <n v="100000"/>
    <m/>
    <m/>
    <n v="37930"/>
    <x v="5"/>
    <x v="2"/>
    <m/>
    <m/>
    <m/>
    <m/>
    <n v="2799"/>
    <m/>
    <m/>
    <m/>
    <m/>
    <m/>
    <m/>
    <m/>
    <s v="Y"/>
    <m/>
    <m/>
    <m/>
    <s v="Baluchistan"/>
    <s v="CASH: $100,000 to purchase relief supplies."/>
  </r>
  <r>
    <s v="FF-2008-000211-VNM"/>
    <n v="213"/>
    <x v="21"/>
    <d v="2008-11-08T00:00:00"/>
    <x v="13"/>
    <n v="11"/>
    <m/>
    <x v="13"/>
    <n v="26"/>
    <x v="3"/>
    <s v="Vietnam"/>
    <s v="Hydrometerological"/>
    <x v="2"/>
    <s v="General Floods"/>
    <s v="General Floods"/>
    <x v="18"/>
    <x v="1"/>
    <s v="IFRC"/>
    <n v="4000000"/>
    <s v="MDRVN005"/>
    <n v="1.2500000000000001E-2"/>
    <n v="0.47"/>
    <m/>
    <m/>
    <n v="300000"/>
    <x v="0"/>
    <m/>
    <n v="1"/>
    <n v="50000"/>
    <m/>
    <m/>
    <m/>
    <n v="50000"/>
    <m/>
    <m/>
    <m/>
    <s v="-"/>
    <m/>
    <m/>
    <m/>
    <m/>
    <m/>
    <m/>
    <m/>
    <m/>
    <m/>
    <m/>
    <m/>
    <m/>
    <m/>
    <m/>
    <m/>
    <m/>
    <n v="50000"/>
    <m/>
    <m/>
    <m/>
    <x v="16"/>
    <x v="2"/>
    <m/>
    <m/>
    <m/>
    <m/>
    <n v="2799"/>
    <m/>
    <m/>
    <m/>
    <m/>
    <m/>
    <m/>
    <m/>
    <s v="Y"/>
    <m/>
    <m/>
    <m/>
    <s v="North and Central Regions"/>
    <s v="CASH: PMN 50k unearmarked "/>
  </r>
  <r>
    <s v="FL-2008-000232-CRI"/>
    <n v="214"/>
    <x v="207"/>
    <d v="2008-12-09T00:00:00"/>
    <x v="13"/>
    <n v="12"/>
    <m/>
    <x v="13"/>
    <n v="27"/>
    <x v="2"/>
    <s v="Costa Rica"/>
    <s v="Hydrometerological"/>
    <x v="2"/>
    <s v="General Floods"/>
    <m/>
    <x v="42"/>
    <x v="0"/>
    <m/>
    <s v="-"/>
    <m/>
    <m/>
    <m/>
    <m/>
    <m/>
    <s v="-"/>
    <x v="0"/>
    <s v="-"/>
    <m/>
    <m/>
    <m/>
    <m/>
    <m/>
    <m/>
    <m/>
    <m/>
    <m/>
    <s v="-"/>
    <m/>
    <m/>
    <m/>
    <m/>
    <m/>
    <m/>
    <m/>
    <m/>
    <m/>
    <m/>
    <m/>
    <m/>
    <m/>
    <m/>
    <m/>
    <m/>
    <s v="-"/>
    <m/>
    <m/>
    <m/>
    <x v="156"/>
    <x v="1"/>
    <m/>
    <m/>
    <m/>
    <m/>
    <m/>
    <m/>
    <m/>
    <m/>
    <m/>
    <m/>
    <m/>
    <m/>
    <s v="N"/>
    <m/>
    <m/>
    <m/>
    <m/>
    <m/>
  </r>
  <r>
    <s v="FL-2008-000158-PAN"/>
    <n v="214"/>
    <x v="207"/>
    <d v="2008-12-08T00:00:00"/>
    <x v="13"/>
    <n v="12"/>
    <m/>
    <x v="13"/>
    <n v="27"/>
    <x v="2"/>
    <s v="Panama"/>
    <s v="Hydrometerological"/>
    <x v="2"/>
    <s v="General Floods"/>
    <m/>
    <x v="45"/>
    <x v="1"/>
    <s v="IFRC"/>
    <n v="571953"/>
    <s v="MDR43005"/>
    <n v="0.17483954101123694"/>
    <n v="0.39"/>
    <m/>
    <m/>
    <n v="15000"/>
    <x v="0"/>
    <m/>
    <n v="1"/>
    <n v="100000"/>
    <m/>
    <m/>
    <m/>
    <n v="100000"/>
    <m/>
    <m/>
    <m/>
    <s v="-"/>
    <m/>
    <m/>
    <m/>
    <m/>
    <m/>
    <m/>
    <m/>
    <m/>
    <m/>
    <m/>
    <m/>
    <m/>
    <m/>
    <m/>
    <m/>
    <m/>
    <n v="100000"/>
    <m/>
    <m/>
    <m/>
    <x v="5"/>
    <x v="2"/>
    <m/>
    <m/>
    <m/>
    <m/>
    <n v="2799"/>
    <m/>
    <m/>
    <m/>
    <m/>
    <m/>
    <m/>
    <m/>
    <s v="Y"/>
    <m/>
    <m/>
    <m/>
    <m/>
    <s v="CASH: PMN $100,000 for Fed Appeal"/>
  </r>
  <r>
    <m/>
    <n v="215"/>
    <x v="208"/>
    <d v="2008-12-11T00:00:00"/>
    <x v="13"/>
    <n v="13"/>
    <m/>
    <x v="13"/>
    <n v="28"/>
    <x v="1"/>
    <s v="Ethiopia"/>
    <s v="Human Related"/>
    <x v="14"/>
    <s v="Food Insecurity"/>
    <m/>
    <x v="42"/>
    <x v="0"/>
    <m/>
    <s v="-"/>
    <m/>
    <m/>
    <m/>
    <m/>
    <m/>
    <s v="-"/>
    <x v="0"/>
    <s v="-"/>
    <m/>
    <m/>
    <m/>
    <m/>
    <m/>
    <m/>
    <m/>
    <m/>
    <m/>
    <s v="-"/>
    <m/>
    <m/>
    <m/>
    <m/>
    <m/>
    <m/>
    <m/>
    <m/>
    <m/>
    <m/>
    <m/>
    <m/>
    <m/>
    <m/>
    <m/>
    <m/>
    <s v="-"/>
    <m/>
    <m/>
    <m/>
    <x v="156"/>
    <x v="1"/>
    <m/>
    <m/>
    <m/>
    <m/>
    <m/>
    <m/>
    <m/>
    <m/>
    <m/>
    <m/>
    <m/>
    <m/>
    <s v="N"/>
    <m/>
    <m/>
    <m/>
    <m/>
    <m/>
  </r>
  <r>
    <m/>
    <n v="215"/>
    <x v="208"/>
    <d v="2008-12-12T00:00:00"/>
    <x v="13"/>
    <n v="13"/>
    <m/>
    <x v="13"/>
    <n v="28"/>
    <x v="1"/>
    <s v="Kenya"/>
    <s v="Human Related"/>
    <x v="14"/>
    <s v="Food Insecurity"/>
    <m/>
    <x v="42"/>
    <x v="0"/>
    <m/>
    <s v="-"/>
    <m/>
    <m/>
    <m/>
    <m/>
    <m/>
    <s v="-"/>
    <x v="0"/>
    <s v="-"/>
    <m/>
    <m/>
    <m/>
    <m/>
    <m/>
    <m/>
    <m/>
    <m/>
    <m/>
    <s v="-"/>
    <m/>
    <m/>
    <m/>
    <m/>
    <m/>
    <m/>
    <m/>
    <m/>
    <m/>
    <m/>
    <m/>
    <m/>
    <m/>
    <m/>
    <m/>
    <m/>
    <s v="-"/>
    <m/>
    <m/>
    <m/>
    <x v="156"/>
    <x v="1"/>
    <m/>
    <m/>
    <m/>
    <m/>
    <m/>
    <m/>
    <m/>
    <m/>
    <m/>
    <m/>
    <m/>
    <m/>
    <s v="N"/>
    <m/>
    <m/>
    <m/>
    <m/>
    <m/>
  </r>
  <r>
    <m/>
    <n v="215"/>
    <x v="208"/>
    <d v="2008-12-13T00:00:00"/>
    <x v="13"/>
    <n v="13"/>
    <m/>
    <x v="13"/>
    <n v="28"/>
    <x v="1"/>
    <s v="Somalia"/>
    <s v="Human Related"/>
    <x v="14"/>
    <s v="Food Insecurity"/>
    <m/>
    <x v="42"/>
    <x v="0"/>
    <m/>
    <s v="-"/>
    <m/>
    <m/>
    <m/>
    <m/>
    <m/>
    <s v="-"/>
    <x v="0"/>
    <s v="-"/>
    <m/>
    <m/>
    <m/>
    <m/>
    <m/>
    <m/>
    <m/>
    <m/>
    <m/>
    <s v="-"/>
    <m/>
    <m/>
    <m/>
    <m/>
    <m/>
    <m/>
    <m/>
    <m/>
    <m/>
    <m/>
    <m/>
    <m/>
    <m/>
    <m/>
    <m/>
    <m/>
    <s v="-"/>
    <m/>
    <m/>
    <m/>
    <x v="156"/>
    <x v="1"/>
    <m/>
    <m/>
    <m/>
    <m/>
    <m/>
    <m/>
    <m/>
    <m/>
    <m/>
    <m/>
    <m/>
    <m/>
    <s v="N"/>
    <m/>
    <m/>
    <m/>
    <m/>
    <m/>
  </r>
  <r>
    <s v="OT-2008-000196-DJI/ERI/ETH/KEN/SOM"/>
    <n v="215"/>
    <x v="208"/>
    <d v="2008-12-10T00:00:00"/>
    <x v="13"/>
    <n v="13"/>
    <m/>
    <x v="13"/>
    <n v="28"/>
    <x v="1"/>
    <s v="Djibouti"/>
    <s v="Human Related"/>
    <x v="14"/>
    <s v="Food Insecurity"/>
    <m/>
    <x v="46"/>
    <x v="1"/>
    <s v="IFRC"/>
    <n v="66586679"/>
    <s v="MDR64003"/>
    <n v="0"/>
    <n v="0.09"/>
    <s v="Y"/>
    <n v="118830"/>
    <n v="2488500"/>
    <x v="0"/>
    <m/>
    <m/>
    <m/>
    <m/>
    <n v="500000"/>
    <m/>
    <m/>
    <n v="1"/>
    <m/>
    <n v="1"/>
    <s v="-"/>
    <m/>
    <m/>
    <m/>
    <m/>
    <m/>
    <m/>
    <m/>
    <m/>
    <m/>
    <m/>
    <m/>
    <m/>
    <m/>
    <m/>
    <m/>
    <m/>
    <n v="0"/>
    <m/>
    <m/>
    <m/>
    <x v="7"/>
    <x v="2"/>
    <m/>
    <m/>
    <m/>
    <m/>
    <n v="2799"/>
    <m/>
    <m/>
    <m/>
    <m/>
    <m/>
    <m/>
    <m/>
    <s v="Y"/>
    <m/>
    <m/>
    <m/>
    <m/>
    <s v="PEOPLE: T. Reines, relief del on Fed assessment team x3 wks (entire Horn of Africa); CASH: Intially $500,000 was approved but issues related to the programming and the appeal kept these funds from being disbursed to IFRC appeal. Eventually appeal was cancelled. Instead, ARC provided the resources to a British Red Cross led effort in Djibouti around livelihoods that was consistent with the appeal and recognized by the Federation as such."/>
  </r>
  <r>
    <m/>
    <n v="216"/>
    <x v="209"/>
    <d v="2008-12-14T00:00:00"/>
    <x v="13"/>
    <n v="14"/>
    <m/>
    <x v="13"/>
    <n v="29"/>
    <x v="1"/>
    <s v="Uganda"/>
    <s v="Human Related"/>
    <x v="8"/>
    <s v="Conflict"/>
    <s v="Conflict"/>
    <x v="47"/>
    <x v="1"/>
    <s v="IFRC"/>
    <n v="1437632"/>
    <s v="MDR64004"/>
    <n v="3.4779415038062589E-2"/>
    <n v="0.62"/>
    <s v="Y"/>
    <n v="201571"/>
    <n v="60000"/>
    <x v="0"/>
    <m/>
    <n v="1"/>
    <n v="50000"/>
    <m/>
    <m/>
    <m/>
    <n v="50000"/>
    <n v="1"/>
    <m/>
    <n v="1"/>
    <s v="-"/>
    <m/>
    <m/>
    <m/>
    <m/>
    <m/>
    <m/>
    <m/>
    <m/>
    <m/>
    <m/>
    <m/>
    <m/>
    <m/>
    <m/>
    <m/>
    <m/>
    <n v="50000"/>
    <m/>
    <m/>
    <m/>
    <x v="16"/>
    <x v="2"/>
    <m/>
    <m/>
    <m/>
    <m/>
    <n v="2799"/>
    <m/>
    <m/>
    <m/>
    <m/>
    <m/>
    <m/>
    <m/>
    <s v="Y"/>
    <m/>
    <m/>
    <m/>
    <m/>
    <s v="CASH: $50,000 PMN to Appeal earmarked to Uganda. PEOPLE: B. Banks, seconded to NBO as backfill DM coordinator deployed to Uganda on Fed assessment"/>
  </r>
  <r>
    <s v="EP-2008-000218-ZWE"/>
    <n v="217"/>
    <x v="210"/>
    <d v="2008-12-17T00:00:00"/>
    <x v="13"/>
    <n v="15"/>
    <m/>
    <x v="13"/>
    <n v="30"/>
    <x v="1"/>
    <s v="Zimbabwe"/>
    <s v="Biological"/>
    <x v="11"/>
    <s v="Disease"/>
    <s v="Cholera"/>
    <x v="31"/>
    <x v="1"/>
    <s v="IFRC"/>
    <n v="9200000"/>
    <s v="MDRZW004"/>
    <n v="1.0869565217391304E-2"/>
    <n v="0.64"/>
    <s v="Y"/>
    <n v="359374"/>
    <n v="1500000"/>
    <x v="0"/>
    <m/>
    <n v="1"/>
    <n v="100000"/>
    <m/>
    <m/>
    <m/>
    <n v="100000"/>
    <m/>
    <m/>
    <m/>
    <s v="-"/>
    <m/>
    <m/>
    <m/>
    <m/>
    <m/>
    <m/>
    <m/>
    <m/>
    <m/>
    <m/>
    <m/>
    <m/>
    <m/>
    <m/>
    <m/>
    <m/>
    <n v="100000"/>
    <m/>
    <m/>
    <m/>
    <x v="5"/>
    <x v="2"/>
    <m/>
    <m/>
    <m/>
    <m/>
    <n v="2799"/>
    <m/>
    <m/>
    <m/>
    <m/>
    <m/>
    <m/>
    <m/>
    <s v="Y"/>
    <m/>
    <m/>
    <m/>
    <m/>
    <s v="CASH: PMN $100k to IFRC from 2799 - 75% operational needs, 25% support costs."/>
  </r>
  <r>
    <m/>
    <n v="218"/>
    <x v="211"/>
    <d v="2008-12-17T00:00:00"/>
    <x v="13"/>
    <n v="16"/>
    <m/>
    <x v="13"/>
    <n v="31"/>
    <x v="3"/>
    <s v="Israel"/>
    <s v="Human Related"/>
    <x v="8"/>
    <s v="Conflict"/>
    <s v="Conflict"/>
    <x v="42"/>
    <x v="1"/>
    <s v="ICRC/Ntl Socs"/>
    <s v="-"/>
    <m/>
    <m/>
    <m/>
    <m/>
    <m/>
    <s v="-"/>
    <x v="0"/>
    <s v="-"/>
    <m/>
    <m/>
    <s v=" "/>
    <n v="200000"/>
    <m/>
    <m/>
    <m/>
    <m/>
    <m/>
    <s v="-"/>
    <m/>
    <m/>
    <m/>
    <m/>
    <m/>
    <m/>
    <m/>
    <m/>
    <m/>
    <m/>
    <m/>
    <m/>
    <m/>
    <m/>
    <m/>
    <m/>
    <s v="-"/>
    <m/>
    <m/>
    <m/>
    <x v="156"/>
    <x v="2"/>
    <m/>
    <m/>
    <m/>
    <m/>
    <n v="2099"/>
    <m/>
    <m/>
    <m/>
    <m/>
    <m/>
    <m/>
    <m/>
    <s v="N"/>
    <m/>
    <m/>
    <m/>
    <m/>
    <s v="CASH: 5 Jan 09 - $250,000 from 2799 RRF to ICRC;  9 Jan 09 $250,000 from 2799 RRF, to PRCS;  30 Jan 09 $200,000 from 2099 IRF to MDA;  5 Feb 09: $110,625 from 2010 Middle East, to PRCS appeal, and $110,625, 2010 Middle East to ICRC appeal."/>
  </r>
  <r>
    <m/>
    <n v="218"/>
    <x v="212"/>
    <d v="2008-12-17T00:00:00"/>
    <x v="13"/>
    <n v="16"/>
    <m/>
    <x v="13"/>
    <n v="31"/>
    <x v="3"/>
    <s v="Palestine"/>
    <s v="Human Related"/>
    <x v="8"/>
    <s v="Conflict"/>
    <s v="Conflict"/>
    <x v="48"/>
    <x v="1"/>
    <s v="ICRC/Ntl Socs"/>
    <m/>
    <m/>
    <m/>
    <m/>
    <s v="Y"/>
    <n v="310244"/>
    <n v="50000"/>
    <x v="0"/>
    <m/>
    <n v="1"/>
    <m/>
    <n v="360625"/>
    <n v="560625"/>
    <m/>
    <n v="921250"/>
    <m/>
    <m/>
    <m/>
    <s v="-"/>
    <m/>
    <m/>
    <m/>
    <m/>
    <m/>
    <m/>
    <m/>
    <m/>
    <m/>
    <m/>
    <m/>
    <m/>
    <m/>
    <m/>
    <m/>
    <m/>
    <n v="921250"/>
    <m/>
    <m/>
    <m/>
    <x v="159"/>
    <x v="1"/>
    <m/>
    <m/>
    <m/>
    <m/>
    <s v="2799/2099/2010"/>
    <m/>
    <m/>
    <m/>
    <m/>
    <m/>
    <m/>
    <m/>
    <s v="N"/>
    <m/>
    <m/>
    <m/>
    <m/>
    <s v="CASH: 5 Jan 09 - $250,000 from 2799 RRF to ICRC;  9 Jan 09 $250,000 from 2799 RRF, to PRCS;  30 Jan 09 $200,000 from 2099 IRF to MDA;  5 Feb 09: $110,625 from 2010 Middle East, to PRCS appeal, and $110,625, 2010 Middle East to ICRC appeal."/>
  </r>
  <r>
    <s v="EQ-2009-000009-CRI"/>
    <n v="219"/>
    <x v="213"/>
    <d v="2009-01-08T00:00:00"/>
    <x v="13"/>
    <n v="17"/>
    <s v="Q3"/>
    <x v="14"/>
    <n v="2"/>
    <x v="2"/>
    <s v="Costa Rica"/>
    <s v="Geophysical"/>
    <x v="3"/>
    <s v="Earthquake"/>
    <s v="Earthquake"/>
    <x v="49"/>
    <x v="2"/>
    <m/>
    <s v="-"/>
    <m/>
    <m/>
    <m/>
    <s v="Y"/>
    <n v="49273"/>
    <s v="-"/>
    <x v="1"/>
    <n v="640"/>
    <m/>
    <m/>
    <m/>
    <n v="62250"/>
    <m/>
    <n v="62250"/>
    <n v="2"/>
    <m/>
    <n v="2"/>
    <m/>
    <m/>
    <m/>
    <m/>
    <m/>
    <m/>
    <m/>
    <m/>
    <m/>
    <m/>
    <m/>
    <m/>
    <m/>
    <m/>
    <m/>
    <m/>
    <n v="11950"/>
    <n v="74200"/>
    <m/>
    <m/>
    <m/>
    <x v="160"/>
    <x v="1"/>
    <m/>
    <m/>
    <m/>
    <m/>
    <n v="2882"/>
    <m/>
    <m/>
    <m/>
    <m/>
    <m/>
    <m/>
    <m/>
    <s v="N"/>
    <m/>
    <m/>
    <m/>
    <s v="Earthquake"/>
    <s v="CASH: Bilateral to CRRC; PEOPLE: S. DiPretoro, A. Vargas"/>
  </r>
  <r>
    <s v="WF-2009-000035-AUS"/>
    <n v="220"/>
    <x v="214"/>
    <d v="2009-02-07T00:00:00"/>
    <x v="13"/>
    <n v="18"/>
    <s v="Q3"/>
    <x v="14"/>
    <n v="3"/>
    <x v="3"/>
    <s v="Australia"/>
    <s v="Hydrometerological"/>
    <x v="15"/>
    <m/>
    <m/>
    <x v="50"/>
    <x v="2"/>
    <m/>
    <m/>
    <m/>
    <m/>
    <m/>
    <m/>
    <m/>
    <m/>
    <x v="1"/>
    <m/>
    <m/>
    <m/>
    <m/>
    <n v="1520000"/>
    <m/>
    <n v="1520000"/>
    <m/>
    <m/>
    <m/>
    <m/>
    <m/>
    <m/>
    <m/>
    <m/>
    <m/>
    <m/>
    <m/>
    <m/>
    <m/>
    <m/>
    <m/>
    <m/>
    <m/>
    <m/>
    <m/>
    <m/>
    <n v="1520000"/>
    <m/>
    <m/>
    <m/>
    <x v="161"/>
    <x v="1"/>
    <m/>
    <m/>
    <m/>
    <m/>
    <n v="2881"/>
    <m/>
    <m/>
    <m/>
    <m/>
    <m/>
    <m/>
    <m/>
    <s v="N"/>
    <m/>
    <m/>
    <m/>
    <m/>
    <s v="CASH: ARC coordinated US corporate donations to joint domestic AusRC &amp; Ntl Govt appeal -  totaled $1,250,000 - sent August 2009"/>
  </r>
  <r>
    <m/>
    <n v="221"/>
    <x v="167"/>
    <d v="2009-03-05T00:00:00"/>
    <x v="13"/>
    <n v="19"/>
    <s v="Q3"/>
    <x v="14"/>
    <n v="4"/>
    <x v="3"/>
    <s v="Sri Lanka"/>
    <s v="Human Related"/>
    <x v="8"/>
    <m/>
    <m/>
    <x v="51"/>
    <x v="1"/>
    <s v="ICRC"/>
    <m/>
    <m/>
    <m/>
    <m/>
    <m/>
    <m/>
    <m/>
    <x v="0"/>
    <n v="20000"/>
    <n v="1"/>
    <m/>
    <n v="500000"/>
    <m/>
    <m/>
    <n v="500000"/>
    <n v="1"/>
    <m/>
    <n v="1"/>
    <m/>
    <m/>
    <m/>
    <m/>
    <m/>
    <m/>
    <m/>
    <m/>
    <m/>
    <m/>
    <m/>
    <m/>
    <m/>
    <m/>
    <m/>
    <m/>
    <m/>
    <n v="500000"/>
    <m/>
    <m/>
    <m/>
    <x v="162"/>
    <x v="1"/>
    <m/>
    <m/>
    <m/>
    <m/>
    <s v="TRP"/>
    <m/>
    <m/>
    <m/>
    <m/>
    <m/>
    <m/>
    <m/>
    <s v="N"/>
    <m/>
    <m/>
    <m/>
    <s v="Sri Lanka Conflict"/>
    <s v="CASH: $500,000 to ICRC for baby kits to IDPs in camps. PEOPLE: Gina Guinta ICRC volunteer to work in IDP camps doing relief distribution, 30 days."/>
  </r>
  <r>
    <s v="FL-2009-000052-COL"/>
    <n v="222"/>
    <x v="157"/>
    <d v="2009-03-19T00:00:00"/>
    <x v="13"/>
    <n v="20"/>
    <s v="Q3"/>
    <x v="14"/>
    <n v="5"/>
    <x v="2"/>
    <s v="Colombia"/>
    <s v="Hydrometerological"/>
    <x v="2"/>
    <m/>
    <m/>
    <x v="52"/>
    <x v="1"/>
    <s v="IFRC"/>
    <n v="957924"/>
    <s v="MDRCO006"/>
    <m/>
    <n v="0.99"/>
    <s v="Y"/>
    <n v="152369"/>
    <n v="25000"/>
    <x v="0"/>
    <m/>
    <m/>
    <m/>
    <m/>
    <m/>
    <m/>
    <m/>
    <m/>
    <m/>
    <m/>
    <n v="8000"/>
    <m/>
    <m/>
    <m/>
    <n v="8000"/>
    <m/>
    <m/>
    <m/>
    <m/>
    <m/>
    <m/>
    <m/>
    <m/>
    <m/>
    <m/>
    <n v="30000"/>
    <m/>
    <n v="30000"/>
    <m/>
    <m/>
    <m/>
    <x v="163"/>
    <x v="2"/>
    <m/>
    <m/>
    <m/>
    <m/>
    <n v="2799"/>
    <m/>
    <m/>
    <m/>
    <m/>
    <m/>
    <m/>
    <m/>
    <s v="Y"/>
    <m/>
    <m/>
    <m/>
    <s v="Colombia Floods"/>
    <s v="SUPPLIES: 8,000 ARC Jerry Cans from stock at PADRU shipped to IFRC in Colombia."/>
  </r>
  <r>
    <s v="EQ-2009-000072-ITA"/>
    <n v="223"/>
    <x v="96"/>
    <d v="2009-04-07T00:00:00"/>
    <x v="13"/>
    <n v="21"/>
    <s v="Q4"/>
    <x v="14"/>
    <n v="6"/>
    <x v="3"/>
    <s v="Italy"/>
    <s v="Geophysical"/>
    <x v="3"/>
    <m/>
    <m/>
    <x v="53"/>
    <x v="2"/>
    <m/>
    <m/>
    <m/>
    <m/>
    <m/>
    <s v="Y"/>
    <n v="613944"/>
    <m/>
    <x v="1"/>
    <m/>
    <m/>
    <m/>
    <m/>
    <n v="981315"/>
    <m/>
    <n v="981315"/>
    <m/>
    <m/>
    <m/>
    <m/>
    <m/>
    <m/>
    <m/>
    <m/>
    <m/>
    <m/>
    <m/>
    <m/>
    <m/>
    <m/>
    <m/>
    <m/>
    <m/>
    <m/>
    <m/>
    <m/>
    <n v="981315"/>
    <m/>
    <m/>
    <m/>
    <x v="164"/>
    <x v="1"/>
    <m/>
    <m/>
    <m/>
    <m/>
    <s v="2799/2697"/>
    <m/>
    <m/>
    <m/>
    <m/>
    <m/>
    <m/>
    <m/>
    <s v="N"/>
    <m/>
    <m/>
    <m/>
    <s v="L'Aquila Earthquake"/>
    <s v="CASH: $50,000 to Italian Red Cross from RRF 2799 - later repaid by 2697 when raised; Receiving donor funds to AP 2697 from public and chapters. Additional $522,180 from donor funds sent 5/29/09. Final amount in Aug. 2009"/>
  </r>
  <r>
    <s v="Fl-2009-000062-NAM"/>
    <n v="224"/>
    <x v="215"/>
    <d v="2009-05-15T00:00:00"/>
    <x v="13"/>
    <n v="22"/>
    <s v="Q4"/>
    <x v="14"/>
    <n v="7"/>
    <x v="1"/>
    <s v="Namibia"/>
    <s v="Hydrometerological"/>
    <x v="2"/>
    <m/>
    <m/>
    <x v="54"/>
    <x v="1"/>
    <s v="IFRC"/>
    <n v="1878181"/>
    <s v="MDRNA004"/>
    <n v="2.6621502400460871E-2"/>
    <n v="0.91"/>
    <s v="Y"/>
    <n v="128552"/>
    <n v="20000"/>
    <x v="0"/>
    <m/>
    <n v="1"/>
    <n v="50000"/>
    <m/>
    <m/>
    <m/>
    <n v="50000"/>
    <m/>
    <m/>
    <m/>
    <m/>
    <m/>
    <m/>
    <m/>
    <m/>
    <m/>
    <m/>
    <m/>
    <m/>
    <m/>
    <m/>
    <m/>
    <m/>
    <m/>
    <m/>
    <m/>
    <m/>
    <n v="50000"/>
    <m/>
    <m/>
    <m/>
    <x v="16"/>
    <x v="2"/>
    <m/>
    <m/>
    <m/>
    <m/>
    <n v="2799"/>
    <m/>
    <m/>
    <m/>
    <m/>
    <m/>
    <m/>
    <m/>
    <s v="Y"/>
    <m/>
    <m/>
    <m/>
    <m/>
    <s v="CASH: $50k to IFRC from 2799 earmarked for relief supplies"/>
  </r>
  <r>
    <m/>
    <n v="225"/>
    <x v="216"/>
    <d v="2009-05-15T00:00:00"/>
    <x v="13"/>
    <n v="23"/>
    <s v="Q4"/>
    <x v="14"/>
    <n v="8"/>
    <x v="1"/>
    <s v="Sudan"/>
    <s v="Biological"/>
    <x v="11"/>
    <m/>
    <m/>
    <x v="55"/>
    <x v="1"/>
    <s v="IFRC"/>
    <n v="2200000"/>
    <s v="MDR61004; MDR64004; MDR63002"/>
    <n v="9.0909090909090912E-2"/>
    <s v="various"/>
    <s v="Y"/>
    <n v="315628"/>
    <n v="25000000"/>
    <x v="0"/>
    <m/>
    <n v="1"/>
    <n v="200000"/>
    <m/>
    <m/>
    <m/>
    <n v="200000"/>
    <m/>
    <m/>
    <m/>
    <m/>
    <m/>
    <m/>
    <m/>
    <m/>
    <m/>
    <m/>
    <m/>
    <m/>
    <m/>
    <m/>
    <m/>
    <m/>
    <m/>
    <m/>
    <m/>
    <m/>
    <n v="200000"/>
    <m/>
    <m/>
    <m/>
    <x v="121"/>
    <x v="1"/>
    <m/>
    <m/>
    <m/>
    <m/>
    <n v="2869"/>
    <m/>
    <m/>
    <m/>
    <m/>
    <m/>
    <s v="Y"/>
    <m/>
    <s v="N"/>
    <m/>
    <s v="ARCT Funds used - $200,000"/>
    <m/>
    <s v="Polio - Sudan"/>
    <s v="CASH: $200k to IFRC earmarked for Sudan vaccination campaign from ARCT - funds went out as of August 2009."/>
  </r>
  <r>
    <m/>
    <n v="226"/>
    <x v="217"/>
    <d v="2009-05-15T00:00:00"/>
    <x v="13"/>
    <n v="24"/>
    <s v="Q4"/>
    <x v="14"/>
    <n v="9"/>
    <x v="3"/>
    <s v="Pakistan"/>
    <s v="Human Related"/>
    <x v="8"/>
    <m/>
    <m/>
    <x v="8"/>
    <x v="1"/>
    <s v="IFRC"/>
    <n v="7300000"/>
    <s v="MDRPK003"/>
    <n v="3.4246575342465752E-2"/>
    <n v="0.45"/>
    <m/>
    <m/>
    <n v="91000"/>
    <x v="0"/>
    <m/>
    <n v="1"/>
    <n v="250000"/>
    <m/>
    <m/>
    <m/>
    <n v="250000"/>
    <m/>
    <m/>
    <m/>
    <n v="5150"/>
    <m/>
    <m/>
    <m/>
    <m/>
    <m/>
    <m/>
    <m/>
    <m/>
    <m/>
    <m/>
    <m/>
    <m/>
    <m/>
    <m/>
    <n v="80000"/>
    <m/>
    <n v="330000"/>
    <m/>
    <m/>
    <m/>
    <x v="165"/>
    <x v="2"/>
    <m/>
    <m/>
    <m/>
    <m/>
    <n v="2799"/>
    <m/>
    <m/>
    <m/>
    <m/>
    <m/>
    <m/>
    <m/>
    <s v="Y"/>
    <m/>
    <m/>
    <m/>
    <s v="Pakistan Complex Emergency"/>
    <s v="SUPPLIES: $80,000 bilateral for beds and mattresses to be transported to PRCS for IDP camps. CASH: $250,000 earmarked for NFIs. on June 26 to support Federation Appeal. "/>
  </r>
  <r>
    <s v="TC-2009-000105-BGD"/>
    <n v="227"/>
    <x v="218"/>
    <d v="2009-06-26T00:00:00"/>
    <x v="13"/>
    <n v="25"/>
    <s v="Q4"/>
    <x v="14"/>
    <n v="10"/>
    <x v="3"/>
    <s v="Bangladesh"/>
    <s v="Hydrometerological"/>
    <x v="5"/>
    <m/>
    <m/>
    <x v="56"/>
    <x v="1"/>
    <s v="IFRC"/>
    <n v="2200000"/>
    <s v="MDRBD004"/>
    <n v="0"/>
    <m/>
    <s v="Y"/>
    <n v="230677"/>
    <n v="184000"/>
    <x v="0"/>
    <m/>
    <m/>
    <m/>
    <m/>
    <m/>
    <m/>
    <m/>
    <n v="1"/>
    <m/>
    <n v="1"/>
    <m/>
    <m/>
    <m/>
    <m/>
    <m/>
    <m/>
    <m/>
    <m/>
    <m/>
    <m/>
    <m/>
    <m/>
    <m/>
    <m/>
    <m/>
    <m/>
    <m/>
    <n v="0"/>
    <m/>
    <m/>
    <m/>
    <x v="7"/>
    <x v="1"/>
    <m/>
    <m/>
    <m/>
    <m/>
    <n v="2017"/>
    <m/>
    <m/>
    <m/>
    <m/>
    <m/>
    <m/>
    <m/>
    <s v="N"/>
    <m/>
    <m/>
    <m/>
    <s v="Bangladesh Cyclone Aila"/>
    <s v="PEOPLE: Relief Operations Support Delegate: Travis Betz deployed 4 weeks as a Relief Operations Support Delegate to provide support to the Bangladesh Delegation and affected National Society in response to Cyclone Aila. "/>
  </r>
  <r>
    <s v="FL-2009-000095-TJK"/>
    <n v="228"/>
    <x v="219"/>
    <d v="2009-08-12T00:00:00"/>
    <x v="14"/>
    <n v="1"/>
    <s v="Q1"/>
    <x v="14"/>
    <n v="11"/>
    <x v="3"/>
    <s v="Tajikistan"/>
    <s v="Hydrometerological"/>
    <x v="2"/>
    <m/>
    <m/>
    <x v="57"/>
    <x v="1"/>
    <s v="IFRC"/>
    <n v="806936"/>
    <s v="MDRTJ005"/>
    <n v="1.4251440015069349E-2"/>
    <n v="0.61"/>
    <s v="Y"/>
    <n v="118472"/>
    <n v="4320"/>
    <x v="0"/>
    <n v="165"/>
    <m/>
    <n v="11500"/>
    <m/>
    <m/>
    <m/>
    <n v="11500"/>
    <m/>
    <m/>
    <m/>
    <m/>
    <m/>
    <m/>
    <m/>
    <m/>
    <m/>
    <m/>
    <m/>
    <m/>
    <m/>
    <m/>
    <m/>
    <m/>
    <m/>
    <m/>
    <m/>
    <m/>
    <n v="11500"/>
    <m/>
    <m/>
    <m/>
    <x v="166"/>
    <x v="2"/>
    <m/>
    <m/>
    <m/>
    <m/>
    <n v="2799"/>
    <m/>
    <m/>
    <m/>
    <m/>
    <m/>
    <m/>
    <m/>
    <s v="Y"/>
    <m/>
    <m/>
    <m/>
    <m/>
    <s v="CASH: $11,500 (plus cost recovery) to IFRC Appeal from 2799"/>
  </r>
  <r>
    <s v="DR-2009-00149-SYR"/>
    <n v="229"/>
    <x v="220"/>
    <d v="2009-09-01T00:00:00"/>
    <x v="14"/>
    <n v="2"/>
    <s v="Q1"/>
    <x v="14"/>
    <n v="12"/>
    <x v="3"/>
    <s v="Syria"/>
    <s v="Hydrometerological"/>
    <x v="1"/>
    <m/>
    <m/>
    <x v="58"/>
    <x v="1"/>
    <s v="IFRC"/>
    <n v="3076415"/>
    <s v="MDRSY001"/>
    <n v="1.6252683724399992E-2"/>
    <n v="0.34"/>
    <s v="Y"/>
    <n v="303195"/>
    <n v="260000"/>
    <x v="0"/>
    <m/>
    <n v="1"/>
    <n v="50000"/>
    <m/>
    <m/>
    <m/>
    <n v="50000"/>
    <m/>
    <m/>
    <m/>
    <m/>
    <m/>
    <m/>
    <m/>
    <m/>
    <m/>
    <m/>
    <m/>
    <m/>
    <m/>
    <m/>
    <m/>
    <m/>
    <m/>
    <m/>
    <m/>
    <m/>
    <n v="50000"/>
    <m/>
    <m/>
    <m/>
    <x v="16"/>
    <x v="1"/>
    <m/>
    <m/>
    <m/>
    <m/>
    <n v="2869"/>
    <m/>
    <m/>
    <m/>
    <m/>
    <m/>
    <s v="Y"/>
    <m/>
    <s v="N"/>
    <m/>
    <s v="ARCT Funds used"/>
    <m/>
    <m/>
    <s v="CASH: $50,000 from ARCT for Overlooked Disasters Fund (plus cost recovery to be covered from RRF 2799)"/>
  </r>
  <r>
    <s v="FL-2009-000172-BFA "/>
    <n v="230"/>
    <x v="221"/>
    <d v="2009-09-10T00:00:00"/>
    <x v="14"/>
    <n v="3"/>
    <s v="Q1"/>
    <x v="14"/>
    <n v="13"/>
    <x v="1"/>
    <s v="Burkina Faso"/>
    <s v="Hydrometerological"/>
    <x v="2"/>
    <m/>
    <m/>
    <x v="18"/>
    <x v="1"/>
    <s v="IFRC"/>
    <n v="2600000"/>
    <s v="MDRBF008 &amp; MDRSN002"/>
    <n v="0"/>
    <n v="0.32"/>
    <s v="Y"/>
    <n v="419190"/>
    <n v="40000"/>
    <x v="0"/>
    <m/>
    <m/>
    <m/>
    <m/>
    <m/>
    <m/>
    <n v="0"/>
    <n v="1"/>
    <m/>
    <n v="1"/>
    <m/>
    <m/>
    <n v="7500"/>
    <n v="37500"/>
    <n v="7500"/>
    <n v="7500"/>
    <n v="500"/>
    <n v="7500"/>
    <m/>
    <m/>
    <m/>
    <m/>
    <m/>
    <m/>
    <m/>
    <m/>
    <m/>
    <n v="0"/>
    <m/>
    <m/>
    <m/>
    <x v="7"/>
    <x v="2"/>
    <m/>
    <m/>
    <m/>
    <m/>
    <n v="2799"/>
    <m/>
    <m/>
    <m/>
    <m/>
    <m/>
    <m/>
    <m/>
    <s v="Y"/>
    <m/>
    <m/>
    <m/>
    <m/>
    <s v="PEOPLE: John Manley deployed to Burkina Faso as FACT team member for 1 month. "/>
  </r>
  <r>
    <s v="FL-2009-000164-SEN"/>
    <n v="230"/>
    <x v="222"/>
    <d v="2009-09-10T00:00:00"/>
    <x v="14"/>
    <n v="3"/>
    <s v="Q1"/>
    <x v="14"/>
    <n v="13"/>
    <x v="1"/>
    <s v="Senegal"/>
    <s v="Hydrometerological"/>
    <x v="2"/>
    <m/>
    <m/>
    <x v="59"/>
    <x v="1"/>
    <s v="IFRC"/>
    <n v="2000000"/>
    <s v="MDRBF008 &amp; MDRSN002"/>
    <n v="0"/>
    <n v="0.47"/>
    <s v="Y"/>
    <n v="419190"/>
    <n v="25000"/>
    <x v="0"/>
    <m/>
    <m/>
    <m/>
    <m/>
    <m/>
    <m/>
    <n v="0"/>
    <n v="3"/>
    <s v="Relief ERU"/>
    <n v="3"/>
    <m/>
    <m/>
    <m/>
    <m/>
    <m/>
    <m/>
    <m/>
    <m/>
    <m/>
    <m/>
    <m/>
    <m/>
    <m/>
    <m/>
    <m/>
    <m/>
    <m/>
    <n v="0"/>
    <m/>
    <m/>
    <m/>
    <x v="7"/>
    <x v="2"/>
    <m/>
    <m/>
    <m/>
    <m/>
    <n v="2799"/>
    <m/>
    <m/>
    <m/>
    <m/>
    <m/>
    <m/>
    <m/>
    <s v="Y"/>
    <m/>
    <m/>
    <m/>
    <m/>
    <s v="PEOPLE: 3 ERU team members deployed jointly with DanishRC for 1 month: Steve McAndrew – ERU Team leader, Shinko Mondori- ERU team member, Luis Matnog- ERU team member . ERUs are part of Appeal Mob table so we can claim multilateral beneficiaries."/>
  </r>
  <r>
    <s v="TC-2009-000167-MEX"/>
    <n v="231"/>
    <x v="223"/>
    <d v="2009-09-03T00:00:00"/>
    <x v="14"/>
    <n v="4"/>
    <s v="Q1"/>
    <x v="14"/>
    <n v="14"/>
    <x v="2"/>
    <s v="Mexico"/>
    <s v="Hydrometerological"/>
    <x v="20"/>
    <m/>
    <m/>
    <x v="60"/>
    <x v="2"/>
    <m/>
    <m/>
    <m/>
    <m/>
    <m/>
    <s v="Y"/>
    <n v="319632"/>
    <m/>
    <x v="1"/>
    <n v="15000"/>
    <m/>
    <m/>
    <m/>
    <m/>
    <m/>
    <n v="0"/>
    <n v="1"/>
    <m/>
    <n v="1"/>
    <n v="13840"/>
    <s v="mixed"/>
    <n v="1840"/>
    <m/>
    <m/>
    <m/>
    <m/>
    <n v="3000"/>
    <m/>
    <n v="6000"/>
    <m/>
    <m/>
    <m/>
    <n v="3000"/>
    <m/>
    <n v="259500"/>
    <m/>
    <n v="259500"/>
    <m/>
    <m/>
    <m/>
    <x v="167"/>
    <x v="2"/>
    <m/>
    <m/>
    <m/>
    <m/>
    <s v="2799  + OFDA"/>
    <m/>
    <m/>
    <m/>
    <m/>
    <m/>
    <m/>
    <s v="Y"/>
    <s v="N"/>
    <m/>
    <m/>
    <m/>
    <m/>
    <s v="SUPPLIES: Bilateral to Mexican RC: 1,840 hygiene kits from stock at PADRU, 3,000 kitchen sets from stock at PADRU, 3,000 reconstruction kits to be procured locally. Funding: For 1,840  hygiene kits ($60,000) from 2799; 3,000 kitchen sets ($75,000) from OFDA; 3,000 reconstruction kits ($124,500) from OFDA.  PEOPLE: Jono Anzalone deployed to do M &amp; E for relief distribution."/>
  </r>
  <r>
    <s v="EQ-2009-000173-IDN"/>
    <n v="232"/>
    <x v="224"/>
    <d v="2009-09-02T00:00:00"/>
    <x v="14"/>
    <n v="5"/>
    <s v="Q1"/>
    <x v="14"/>
    <n v="15"/>
    <x v="3"/>
    <s v="Indonesia"/>
    <s v="Geophysical"/>
    <x v="3"/>
    <m/>
    <m/>
    <x v="48"/>
    <x v="2"/>
    <m/>
    <m/>
    <m/>
    <m/>
    <m/>
    <s v="N"/>
    <m/>
    <m/>
    <x v="1"/>
    <m/>
    <m/>
    <m/>
    <m/>
    <m/>
    <m/>
    <n v="0"/>
    <n v="1"/>
    <m/>
    <n v="1"/>
    <m/>
    <m/>
    <m/>
    <m/>
    <m/>
    <m/>
    <m/>
    <m/>
    <m/>
    <m/>
    <m/>
    <m/>
    <m/>
    <m/>
    <m/>
    <m/>
    <m/>
    <n v="0"/>
    <m/>
    <m/>
    <m/>
    <x v="7"/>
    <x v="2"/>
    <m/>
    <m/>
    <m/>
    <m/>
    <n v="2799"/>
    <m/>
    <m/>
    <m/>
    <m/>
    <m/>
    <m/>
    <m/>
    <s v="Y"/>
    <m/>
    <m/>
    <m/>
    <m/>
    <s v="PEOPLE: Cristina Hammond deployed to fill the role of IFRC Shelter Cluster Information Manager for Java Earthquake response - 4 weeks."/>
  </r>
  <r>
    <s v="TC-2009-000205-PHL"/>
    <n v="233"/>
    <x v="225"/>
    <d v="2009-09-02T00:00:00"/>
    <x v="14"/>
    <n v="6"/>
    <s v="Q1"/>
    <x v="14"/>
    <n v="16"/>
    <x v="3"/>
    <s v="Philippines"/>
    <s v="Hydrometerological"/>
    <x v="20"/>
    <m/>
    <m/>
    <x v="10"/>
    <x v="1"/>
    <s v="IFRC"/>
    <n v="6650000"/>
    <s v="MDRPH005"/>
    <n v="8.2706766917293228E-2"/>
    <n v="0.53"/>
    <s v="Y"/>
    <n v="242000"/>
    <n v="200000"/>
    <x v="0"/>
    <n v="50000"/>
    <n v="1"/>
    <n v="550000"/>
    <m/>
    <n v="500000"/>
    <m/>
    <n v="1050000"/>
    <n v="2"/>
    <m/>
    <n v="2"/>
    <n v="22300"/>
    <s v="Y"/>
    <m/>
    <n v="4000"/>
    <n v="10000"/>
    <m/>
    <m/>
    <n v="1500"/>
    <m/>
    <n v="6800"/>
    <m/>
    <m/>
    <m/>
    <m/>
    <m/>
    <n v="118000"/>
    <m/>
    <n v="1168000"/>
    <m/>
    <m/>
    <m/>
    <x v="168"/>
    <x v="1"/>
    <m/>
    <m/>
    <m/>
    <m/>
    <n v="2698"/>
    <m/>
    <m/>
    <m/>
    <m/>
    <m/>
    <m/>
    <s v="Y"/>
    <s v="N"/>
    <m/>
    <s v="OFDA grant for $500,000 for NFIs"/>
    <m/>
    <m/>
    <s v="Philippines: SUPPLIES: approx $118,000 in relief supplies from KL warehouse. CASH: $550,000 = $250,000 PMN to Philippines Appeal for early recovery (plus cost recovery) +$300,000 PMN to Philippines appeal for shelter, relief and watsan (plus cost recovery); plus OFDA grant for $500,000 for locally procured NFIs l w/ARC mgmt through Philippines RC (counted as cash to Ntl Soc). PEOPLE: 1) Mariza Rogers deployed as shelter coordinator delegate for one month - started Oct. 5.  2) Cristina Hammond deployed to implement OFDA NFI distribution Oct. 16 for one month"/>
  </r>
  <r>
    <s v="FL-2009-000207-VNM"/>
    <n v="233"/>
    <x v="226"/>
    <d v="2009-09-02T00:00:00"/>
    <x v="14"/>
    <n v="6"/>
    <s v="Q1"/>
    <x v="14"/>
    <n v="16"/>
    <x v="3"/>
    <s v="Vietnam"/>
    <s v="Hydrometerological"/>
    <x v="20"/>
    <m/>
    <m/>
    <x v="61"/>
    <x v="1"/>
    <s v="IFRC"/>
    <n v="5470000"/>
    <s v="MDRRVN006"/>
    <n v="8.226691042047532E-2"/>
    <n v="0.77"/>
    <s v="Y"/>
    <n v="324167"/>
    <n v="270000"/>
    <x v="0"/>
    <m/>
    <n v="1"/>
    <n v="450000"/>
    <m/>
    <n v="500000"/>
    <m/>
    <n v="950000"/>
    <n v="1"/>
    <m/>
    <n v="1"/>
    <m/>
    <m/>
    <m/>
    <m/>
    <m/>
    <m/>
    <m/>
    <m/>
    <m/>
    <m/>
    <m/>
    <m/>
    <m/>
    <m/>
    <m/>
    <m/>
    <m/>
    <n v="950000"/>
    <n v="1200000"/>
    <m/>
    <m/>
    <x v="169"/>
    <x v="1"/>
    <m/>
    <m/>
    <m/>
    <m/>
    <n v="2698"/>
    <m/>
    <m/>
    <m/>
    <m/>
    <m/>
    <m/>
    <s v="Y"/>
    <s v="N"/>
    <m/>
    <s v="OFDA grant for $500,000 for cash transfer programming"/>
    <m/>
    <m/>
    <s v="Vietnam: CASH: Cash: $450,000 total:  $50,000 PMN Oct. 2 + $300,000 PMN Oct. 5 to Federation Vietnam Appeal - earmarked for shelter, NFIs and Wat/San + $100,000 PMN to Vietnam Appeal for DRR (plus cost recovery). OFDA grant for $500,000 for cash programming; PEOPLE: Michael Zeleke delegate to Vietnam to work on cash programming."/>
  </r>
  <r>
    <s v="TS-2009-000211-IDN"/>
    <n v="234"/>
    <x v="227"/>
    <d v="2009-09-02T00:00:00"/>
    <x v="14"/>
    <n v="7"/>
    <s v="Q1"/>
    <x v="14"/>
    <n v="17"/>
    <x v="3"/>
    <s v="Indonesia"/>
    <s v="Geophysical"/>
    <x v="3"/>
    <m/>
    <m/>
    <x v="10"/>
    <x v="1"/>
    <s v="IFRC"/>
    <n v="18600000"/>
    <s v="MDRID004"/>
    <n v="4.8387096774193547E-2"/>
    <n v="0.93"/>
    <s v="Y"/>
    <n v="227106"/>
    <n v="100000"/>
    <x v="0"/>
    <n v="25000"/>
    <n v="1"/>
    <m/>
    <m/>
    <n v="500000"/>
    <m/>
    <n v="500000"/>
    <n v="1"/>
    <m/>
    <n v="1"/>
    <n v="44181"/>
    <s v="Y"/>
    <m/>
    <n v="20981"/>
    <m/>
    <m/>
    <m/>
    <m/>
    <m/>
    <n v="13200"/>
    <m/>
    <n v="10000"/>
    <m/>
    <m/>
    <m/>
    <n v="400000"/>
    <m/>
    <n v="900000"/>
    <n v="764192.86"/>
    <m/>
    <m/>
    <x v="170"/>
    <x v="1"/>
    <m/>
    <m/>
    <m/>
    <m/>
    <n v="2930"/>
    <m/>
    <m/>
    <m/>
    <m/>
    <m/>
    <m/>
    <s v="Y"/>
    <s v="N"/>
    <m/>
    <s v="OFDA grant for $500,000 for NFIs"/>
    <m/>
    <m/>
    <s v="CASH: OFDA grant for $500,000 to fund NFIs; SUPPLIES: 44,180 supplies (cost: $400,000) from KL warehouse; PEOPLE: Alex Mahoney onsite 3 weeks to coordinate OFDA NFIs distribution."/>
  </r>
  <r>
    <s v="2009-000209 - ASM; 2009-000210-WSM"/>
    <n v="235"/>
    <x v="228"/>
    <d v="2009-10-01T00:00:00"/>
    <x v="14"/>
    <n v="8"/>
    <s v="Q2"/>
    <x v="14"/>
    <n v="18"/>
    <x v="3"/>
    <s v="Samoa"/>
    <s v="Hydrometerological"/>
    <x v="16"/>
    <m/>
    <m/>
    <x v="62"/>
    <x v="1"/>
    <s v="IFRC"/>
    <n v="2450000"/>
    <s v="MDRWS001"/>
    <n v="4.0816326530612242E-2"/>
    <n v="0.25"/>
    <s v="Y"/>
    <n v="313729"/>
    <n v="5000"/>
    <x v="0"/>
    <n v="2500"/>
    <n v="1"/>
    <n v="100000"/>
    <m/>
    <m/>
    <m/>
    <n v="100000"/>
    <m/>
    <m/>
    <m/>
    <m/>
    <m/>
    <m/>
    <m/>
    <m/>
    <m/>
    <m/>
    <m/>
    <m/>
    <m/>
    <m/>
    <m/>
    <m/>
    <m/>
    <m/>
    <m/>
    <m/>
    <n v="100000"/>
    <m/>
    <m/>
    <m/>
    <x v="5"/>
    <x v="2"/>
    <m/>
    <m/>
    <m/>
    <m/>
    <n v="2799"/>
    <m/>
    <m/>
    <m/>
    <m/>
    <m/>
    <m/>
    <m/>
    <s v="Y"/>
    <m/>
    <m/>
    <m/>
    <m/>
    <s v="CASH: $100,000 PMN to Federation Appeal from Rapid Response Fund"/>
  </r>
  <r>
    <s v="FL-2009-000217-IND"/>
    <n v="236"/>
    <x v="33"/>
    <d v="2009-10-27T00:00:00"/>
    <x v="14"/>
    <n v="9"/>
    <s v="Q2"/>
    <x v="14"/>
    <n v="19"/>
    <x v="3"/>
    <s v="India"/>
    <s v="Hydrometerological"/>
    <x v="2"/>
    <m/>
    <m/>
    <x v="63"/>
    <x v="1"/>
    <s v="NS"/>
    <n v="3100000"/>
    <s v="MDRIN004"/>
    <n v="0"/>
    <m/>
    <s v="Y"/>
    <n v="51364"/>
    <n v="125000"/>
    <x v="0"/>
    <m/>
    <m/>
    <m/>
    <m/>
    <m/>
    <m/>
    <n v="0"/>
    <m/>
    <m/>
    <m/>
    <n v="7500"/>
    <s v="N"/>
    <m/>
    <m/>
    <m/>
    <m/>
    <m/>
    <n v="7500"/>
    <m/>
    <m/>
    <m/>
    <m/>
    <m/>
    <m/>
    <m/>
    <n v="190000"/>
    <m/>
    <n v="190000"/>
    <m/>
    <m/>
    <m/>
    <x v="171"/>
    <x v="1"/>
    <m/>
    <m/>
    <m/>
    <m/>
    <s v="2003/2695"/>
    <m/>
    <m/>
    <m/>
    <m/>
    <m/>
    <m/>
    <m/>
    <s v="N"/>
    <m/>
    <m/>
    <m/>
    <m/>
    <s v="SUPPLIES: In response to Indian RC national appeal, ARC locally procured approx 2,700 kitchen sets to deliver to Indian RC, using APs 2003 (India R &amp; D) and 2695 (TRP funds for Andra Pradesh DM) - this effectively closes out these APs ($190,000 spent total)"/>
  </r>
  <r>
    <s v="DR-2009-000197-KEN"/>
    <n v="237"/>
    <x v="229"/>
    <d v="2009-11-05T00:00:00"/>
    <x v="14"/>
    <n v="10"/>
    <s v="Q2"/>
    <x v="14"/>
    <n v="20"/>
    <x v="1"/>
    <s v="Kenya"/>
    <s v="Hydrometerological"/>
    <x v="1"/>
    <m/>
    <m/>
    <x v="64"/>
    <x v="1"/>
    <s v="IFRC"/>
    <n v="8427856"/>
    <s v="MDRKE009"/>
    <n v="1.1865413932084269E-2"/>
    <n v="0.06"/>
    <s v="Y"/>
    <n v="500000"/>
    <n v="1692428"/>
    <x v="0"/>
    <n v="21668"/>
    <n v="1"/>
    <n v="100000"/>
    <m/>
    <m/>
    <m/>
    <n v="100000"/>
    <m/>
    <m/>
    <m/>
    <m/>
    <m/>
    <m/>
    <m/>
    <m/>
    <m/>
    <m/>
    <m/>
    <m/>
    <m/>
    <m/>
    <m/>
    <m/>
    <m/>
    <m/>
    <m/>
    <m/>
    <n v="100000"/>
    <m/>
    <m/>
    <m/>
    <x v="5"/>
    <x v="2"/>
    <m/>
    <m/>
    <m/>
    <m/>
    <n v="2799"/>
    <m/>
    <m/>
    <m/>
    <m/>
    <m/>
    <m/>
    <m/>
    <s v="Y"/>
    <m/>
    <m/>
    <m/>
    <m/>
    <s v="CASH: $100,000 PMN to Federation Appeal from Rapid Response Fund earmarked for seeds."/>
  </r>
  <r>
    <s v="FL-2009-000206-HTI"/>
    <n v="238"/>
    <x v="120"/>
    <d v="2009-11-12T00:00:00"/>
    <x v="14"/>
    <n v="11"/>
    <s v="Q2"/>
    <x v="14"/>
    <n v="21"/>
    <x v="2"/>
    <s v="Haiti"/>
    <s v="Hydrometerological"/>
    <x v="2"/>
    <m/>
    <m/>
    <x v="65"/>
    <x v="2"/>
    <m/>
    <m/>
    <m/>
    <m/>
    <m/>
    <s v="Y"/>
    <n v="103918"/>
    <n v="2500"/>
    <x v="1"/>
    <m/>
    <m/>
    <m/>
    <m/>
    <m/>
    <m/>
    <n v="0"/>
    <n v="1"/>
    <m/>
    <n v="1"/>
    <m/>
    <m/>
    <m/>
    <m/>
    <m/>
    <m/>
    <m/>
    <m/>
    <m/>
    <m/>
    <m/>
    <m/>
    <m/>
    <m/>
    <m/>
    <m/>
    <m/>
    <n v="0"/>
    <m/>
    <m/>
    <m/>
    <x v="7"/>
    <x v="1"/>
    <m/>
    <m/>
    <m/>
    <m/>
    <n v="2885"/>
    <m/>
    <m/>
    <m/>
    <m/>
    <m/>
    <m/>
    <m/>
    <s v="N"/>
    <m/>
    <m/>
    <m/>
    <m/>
    <s v="PEOPLE: John Manley deployed to Haiti NRC as a RIT for DREF operation."/>
  </r>
  <r>
    <s v="FL-2009-000238-SLV"/>
    <n v="239"/>
    <x v="230"/>
    <d v="2009-11-16T00:00:00"/>
    <x v="14"/>
    <n v="12"/>
    <s v="Q2"/>
    <x v="14"/>
    <n v="22"/>
    <x v="2"/>
    <s v="El Salvador"/>
    <s v="Hydrometerological"/>
    <x v="2"/>
    <m/>
    <m/>
    <x v="66"/>
    <x v="1"/>
    <s v="IFRC"/>
    <n v="1681039"/>
    <s v="MDRSV002"/>
    <n v="0.14491335418155082"/>
    <n v="0.92"/>
    <s v="Y"/>
    <n v="180614"/>
    <n v="10000"/>
    <x v="0"/>
    <m/>
    <n v="1"/>
    <n v="243605"/>
    <m/>
    <m/>
    <m/>
    <n v="243605"/>
    <m/>
    <m/>
    <m/>
    <n v="1000"/>
    <s v="Y"/>
    <n v="500"/>
    <m/>
    <m/>
    <m/>
    <m/>
    <n v="500"/>
    <m/>
    <m/>
    <m/>
    <m/>
    <m/>
    <m/>
    <m/>
    <n v="31240"/>
    <m/>
    <n v="274845"/>
    <m/>
    <m/>
    <m/>
    <x v="172"/>
    <x v="1"/>
    <m/>
    <m/>
    <m/>
    <m/>
    <n v="2882"/>
    <m/>
    <m/>
    <m/>
    <m/>
    <m/>
    <s v="Y"/>
    <m/>
    <s v="N"/>
    <m/>
    <s v="UPS donated $50,000; ARCT Funds applied for as of 11/18/09"/>
    <s v="ARCT"/>
    <m/>
    <s v="CASH: $193,603 to Federation Appeal earmarked for transitional shelter; SUPPLIES: $24,500 in kitchen sets and hygiene kits. "/>
  </r>
  <r>
    <s v="EQ-2010-000009-HTI"/>
    <n v="240"/>
    <x v="231"/>
    <d v="2010-01-12T00:00:00"/>
    <x v="14"/>
    <n v="13"/>
    <s v="Q3"/>
    <x v="15"/>
    <n v="1"/>
    <x v="2"/>
    <s v="Haiti"/>
    <s v="Geophysical"/>
    <x v="3"/>
    <m/>
    <m/>
    <x v="8"/>
    <x v="1"/>
    <s v="IFRC"/>
    <n v="200000000"/>
    <s v="MDRHT008"/>
    <m/>
    <n v="0.94"/>
    <s v="Y"/>
    <n v="491265"/>
    <n v="400000"/>
    <x v="0"/>
    <m/>
    <n v="1"/>
    <n v="30000000"/>
    <n v="4377346.43"/>
    <m/>
    <m/>
    <m/>
    <n v="82"/>
    <s v=" IT/Telecoms; Relief ERU"/>
    <n v="85"/>
    <n v="5143307"/>
    <s v="Y"/>
    <m/>
    <m/>
    <m/>
    <m/>
    <m/>
    <m/>
    <m/>
    <m/>
    <m/>
    <m/>
    <m/>
    <m/>
    <m/>
    <n v="15266353"/>
    <m/>
    <n v="139611532"/>
    <n v="337000000"/>
    <m/>
    <m/>
    <x v="173"/>
    <x v="1"/>
    <m/>
    <m/>
    <m/>
    <m/>
    <n v="2888"/>
    <m/>
    <m/>
    <m/>
    <m/>
    <m/>
    <m/>
    <m/>
    <s v="N"/>
    <m/>
    <s v="various - notably online and text donations from individuals; telethons. "/>
    <s v="definitely!"/>
    <n v="476611532"/>
    <s v="As of June 30 2010: CASH &amp; SUPPLIES: See detailed donor report, mob table, etc. for specific amounts to Federation, amount spent, etc. Raised: $468 million. PEOPLE: 65+ deployed to Haiti, DR and PADRU: Relief and IT/Telecoms ERU deployed, and various delegates to Fed and ARC delegation in Haiti, to Fed at PADRU, to Fed logistics in Santo Domingo, DR, plus NHQ to backfill. See the Deployments History tab in this spreadsheet or the RAPs for list of all personnel deploying and roles. "/>
  </r>
  <r>
    <s v="FL-2009-000264-TZA"/>
    <n v="241"/>
    <x v="232"/>
    <d v="2010-01-25T00:00:00"/>
    <x v="14"/>
    <n v="14"/>
    <s v="Q3"/>
    <x v="15"/>
    <n v="2"/>
    <x v="1"/>
    <s v="Tanzania"/>
    <m/>
    <x v="2"/>
    <m/>
    <m/>
    <x v="31"/>
    <x v="1"/>
    <s v="IFRC"/>
    <n v="1625152"/>
    <s v="MDRTZ010"/>
    <n v="0.44"/>
    <n v="0.89"/>
    <s v="Y"/>
    <n v="313536"/>
    <n v="23000"/>
    <x v="0"/>
    <m/>
    <n v="1"/>
    <n v="200000"/>
    <m/>
    <m/>
    <m/>
    <n v="200000"/>
    <m/>
    <m/>
    <m/>
    <m/>
    <m/>
    <m/>
    <m/>
    <m/>
    <m/>
    <m/>
    <m/>
    <m/>
    <m/>
    <m/>
    <m/>
    <m/>
    <m/>
    <m/>
    <m/>
    <m/>
    <n v="200000"/>
    <m/>
    <m/>
    <m/>
    <x v="121"/>
    <x v="1"/>
    <m/>
    <m/>
    <m/>
    <m/>
    <n v="2869"/>
    <m/>
    <m/>
    <m/>
    <m/>
    <m/>
    <s v="Y"/>
    <m/>
    <s v="N"/>
    <m/>
    <s v="ARCT funds - $200,000"/>
    <s v="ARCT"/>
    <m/>
    <s v="CASH: Anne Ray Charitable Trust funds applied $200,000 towards water and sanitation equipment."/>
  </r>
  <r>
    <s v="EQ-2010-000034-CHL "/>
    <n v="242"/>
    <x v="233"/>
    <d v="2010-02-27T00:00:00"/>
    <x v="14"/>
    <n v="15"/>
    <s v="Q3"/>
    <x v="15"/>
    <n v="3"/>
    <x v="2"/>
    <s v="Chile"/>
    <m/>
    <x v="3"/>
    <m/>
    <m/>
    <x v="8"/>
    <x v="1"/>
    <s v="IFRC"/>
    <n v="6400000"/>
    <s v="MDRCL006"/>
    <n v="8.5000000000000006E-2"/>
    <n v="0.79"/>
    <s v="Y"/>
    <n v="279350"/>
    <n v="100000"/>
    <x v="0"/>
    <m/>
    <n v="1"/>
    <n v="500000"/>
    <m/>
    <n v="500000"/>
    <m/>
    <n v="1000000"/>
    <n v="2"/>
    <m/>
    <n v="2"/>
    <n v="6160"/>
    <s v="Y"/>
    <n v="1160"/>
    <m/>
    <n v="5000"/>
    <m/>
    <m/>
    <m/>
    <m/>
    <m/>
    <m/>
    <m/>
    <m/>
    <m/>
    <m/>
    <n v="96000"/>
    <m/>
    <n v="1096000"/>
    <n v="5304000"/>
    <m/>
    <m/>
    <x v="174"/>
    <x v="1"/>
    <m/>
    <m/>
    <m/>
    <m/>
    <n v="2896"/>
    <m/>
    <m/>
    <m/>
    <m/>
    <m/>
    <m/>
    <m/>
    <s v="N"/>
    <m/>
    <m/>
    <m/>
    <m/>
    <s v="CASH: $50,000 made available from IRF as initial response. $450,000 made available in subsequent week. SUPPLIES: 5,000 jerry cans; 1,160 hygiene kits. PEOPLE: Alvaro Garita  - Relief delegate, Gonzalo Aquino - Water and Sanitation  delegate."/>
  </r>
  <r>
    <s v="EQ-2010-000073-CHN"/>
    <n v="243"/>
    <x v="104"/>
    <d v="2010-04-10T00:00:00"/>
    <x v="14"/>
    <n v="16"/>
    <s v="Q4"/>
    <x v="15"/>
    <n v="4"/>
    <x v="3"/>
    <s v="China"/>
    <m/>
    <x v="3"/>
    <m/>
    <m/>
    <x v="60"/>
    <x v="1"/>
    <s v="NS"/>
    <m/>
    <m/>
    <m/>
    <m/>
    <m/>
    <m/>
    <s v="tbd"/>
    <x v="0"/>
    <m/>
    <m/>
    <n v="0"/>
    <m/>
    <n v="500000"/>
    <m/>
    <n v="500000"/>
    <m/>
    <m/>
    <m/>
    <m/>
    <m/>
    <m/>
    <n v="198970"/>
    <m/>
    <m/>
    <m/>
    <m/>
    <m/>
    <m/>
    <m/>
    <m/>
    <m/>
    <m/>
    <m/>
    <m/>
    <m/>
    <n v="500000"/>
    <m/>
    <n v="500000"/>
    <m/>
    <x v="175"/>
    <x v="1"/>
    <m/>
    <m/>
    <m/>
    <m/>
    <n v="2571"/>
    <m/>
    <m/>
    <m/>
    <m/>
    <m/>
    <m/>
    <m/>
    <s v="N"/>
    <m/>
    <m/>
    <m/>
    <m/>
    <s v="National Society has issued it own appeal. ARC decided to contribute $500,000 after June 30 2010.  An additional $500,000 will go to future community disaster preparedness."/>
  </r>
  <r>
    <s v="CW-2010-000010-MNG"/>
    <n v="244"/>
    <x v="234"/>
    <d v="2010-05-10T00:00:00"/>
    <x v="14"/>
    <n v="17"/>
    <s v="Q4"/>
    <x v="15"/>
    <n v="5"/>
    <x v="3"/>
    <s v="Mongolia"/>
    <m/>
    <x v="21"/>
    <m/>
    <m/>
    <x v="67"/>
    <x v="1"/>
    <s v="IFRC"/>
    <n v="991697"/>
    <s v="    MDRMN004"/>
    <n v="0.32"/>
    <n v="0.35"/>
    <s v="Y"/>
    <n v="93924"/>
    <n v="13600"/>
    <x v="0"/>
    <m/>
    <n v="1"/>
    <n v="145000"/>
    <m/>
    <m/>
    <m/>
    <n v="145000"/>
    <m/>
    <m/>
    <m/>
    <m/>
    <m/>
    <m/>
    <m/>
    <m/>
    <m/>
    <m/>
    <m/>
    <m/>
    <m/>
    <m/>
    <m/>
    <m/>
    <m/>
    <m/>
    <m/>
    <m/>
    <n v="145000"/>
    <m/>
    <m/>
    <m/>
    <x v="176"/>
    <x v="1"/>
    <m/>
    <m/>
    <m/>
    <m/>
    <n v="2869"/>
    <m/>
    <m/>
    <m/>
    <m/>
    <m/>
    <s v="Y"/>
    <m/>
    <s v="N"/>
    <m/>
    <s v="ARCT"/>
    <s v="ARCT"/>
    <m/>
    <s v="CASH: $145,000 contribution made to Federation appeal from Anne Ray Charitable Trust (ARCT) funds"/>
  </r>
  <r>
    <m/>
    <n v="245"/>
    <x v="235"/>
    <d v="2010-05-20T00:00:00"/>
    <x v="14"/>
    <n v="18"/>
    <s v="Q4"/>
    <x v="15"/>
    <n v="6"/>
    <x v="3"/>
    <s v="Nepal"/>
    <m/>
    <x v="11"/>
    <m/>
    <m/>
    <x v="68"/>
    <x v="1"/>
    <s v="IFRC"/>
    <n v="664175"/>
    <m/>
    <m/>
    <m/>
    <s v="Y"/>
    <n v="179855"/>
    <n v="189000"/>
    <x v="0"/>
    <m/>
    <n v="1"/>
    <n v="50000"/>
    <m/>
    <m/>
    <m/>
    <n v="50000"/>
    <m/>
    <m/>
    <m/>
    <m/>
    <m/>
    <m/>
    <m/>
    <m/>
    <m/>
    <m/>
    <m/>
    <m/>
    <m/>
    <m/>
    <m/>
    <m/>
    <m/>
    <m/>
    <m/>
    <m/>
    <n v="50000"/>
    <m/>
    <m/>
    <m/>
    <x v="16"/>
    <x v="2"/>
    <m/>
    <m/>
    <m/>
    <m/>
    <n v="2799"/>
    <m/>
    <m/>
    <m/>
    <m/>
    <m/>
    <m/>
    <m/>
    <s v="Y"/>
    <m/>
    <m/>
    <m/>
    <m/>
    <s v="CASH: $50,000 towards Federation appeal."/>
  </r>
  <r>
    <s v="TC-2010-000105-GTM"/>
    <n v="246"/>
    <x v="236"/>
    <d v="2010-06-01T00:00:00"/>
    <x v="14"/>
    <n v="19"/>
    <s v="Q4"/>
    <x v="15"/>
    <n v="7"/>
    <x v="2"/>
    <s v="Guatemala"/>
    <m/>
    <x v="17"/>
    <m/>
    <m/>
    <x v="69"/>
    <x v="1"/>
    <s v="IFRC"/>
    <n v="1112170"/>
    <s v="MDRGT002"/>
    <n v="8.9914311660987081E-2"/>
    <m/>
    <s v="Y"/>
    <n v="307254"/>
    <n v="7500"/>
    <x v="0"/>
    <n v="1250"/>
    <n v="1"/>
    <n v="100000"/>
    <m/>
    <m/>
    <m/>
    <n v="100000"/>
    <m/>
    <m/>
    <m/>
    <n v="9900"/>
    <s v="Y"/>
    <n v="1000"/>
    <n v="7500"/>
    <n v="900"/>
    <m/>
    <m/>
    <n v="500"/>
    <m/>
    <m/>
    <m/>
    <m/>
    <m/>
    <m/>
    <m/>
    <n v="80000"/>
    <m/>
    <n v="180000"/>
    <m/>
    <m/>
    <m/>
    <x v="177"/>
    <x v="2"/>
    <m/>
    <m/>
    <m/>
    <m/>
    <n v="2799"/>
    <m/>
    <m/>
    <m/>
    <m/>
    <m/>
    <m/>
    <m/>
    <s v="Y"/>
    <m/>
    <m/>
    <m/>
    <m/>
    <s v="CASH: $100,000 to Federation appeal. SUPPLIES: $80,000 in relief supplies from PADRU."/>
  </r>
  <r>
    <s v="OT-2010-000113-KGZ"/>
    <n v="247"/>
    <x v="237"/>
    <d v="2010-06-01T00:00:00"/>
    <x v="14"/>
    <n v="20"/>
    <s v="Q4"/>
    <x v="15"/>
    <n v="8"/>
    <x v="3"/>
    <s v="Kyrgyzstan"/>
    <m/>
    <x v="8"/>
    <m/>
    <m/>
    <x v="70"/>
    <x v="1"/>
    <s v="ICRC /IFRC"/>
    <s v="8800000 +1166159"/>
    <s v="MDRUZ002"/>
    <m/>
    <m/>
    <s v="Y"/>
    <n v="269348"/>
    <n v="124000"/>
    <x v="0"/>
    <m/>
    <n v="1"/>
    <n v="50000"/>
    <n v="50000"/>
    <m/>
    <m/>
    <n v="100000"/>
    <m/>
    <m/>
    <m/>
    <m/>
    <m/>
    <m/>
    <m/>
    <m/>
    <m/>
    <m/>
    <m/>
    <m/>
    <m/>
    <m/>
    <m/>
    <m/>
    <m/>
    <m/>
    <m/>
    <m/>
    <n v="100000"/>
    <m/>
    <m/>
    <m/>
    <x v="5"/>
    <x v="1"/>
    <m/>
    <m/>
    <m/>
    <m/>
    <s v="2955/2799"/>
    <m/>
    <m/>
    <m/>
    <m/>
    <m/>
    <m/>
    <m/>
    <s v="Y"/>
    <m/>
    <m/>
    <m/>
    <m/>
    <s v="CASH: $50,000 to ICRC Kyrgyzstan appeal; $50,000 to IFRC Kyrgyzstan appeal; $100,000 to IFRC Uzbekistan appeal (this amount from GM donation). "/>
  </r>
  <r>
    <s v="OT-2010-000113-KGZ"/>
    <n v="247"/>
    <x v="237"/>
    <d v="2010-06-01T00:00:00"/>
    <x v="14"/>
    <n v="20"/>
    <s v="Q4"/>
    <x v="15"/>
    <n v="8"/>
    <x v="3"/>
    <s v="Uzbekistan"/>
    <m/>
    <x v="8"/>
    <m/>
    <m/>
    <x v="0"/>
    <x v="1"/>
    <s v="IFRC"/>
    <n v="911836"/>
    <s v="MDRKG007"/>
    <n v="0.10966884395878206"/>
    <m/>
    <m/>
    <m/>
    <n v="5265"/>
    <x v="0"/>
    <m/>
    <n v="1"/>
    <n v="100000"/>
    <m/>
    <m/>
    <m/>
    <n v="100000"/>
    <m/>
    <m/>
    <m/>
    <m/>
    <m/>
    <m/>
    <m/>
    <m/>
    <m/>
    <m/>
    <m/>
    <m/>
    <m/>
    <m/>
    <m/>
    <m/>
    <m/>
    <m/>
    <m/>
    <m/>
    <n v="100000"/>
    <m/>
    <m/>
    <m/>
    <x v="5"/>
    <x v="1"/>
    <m/>
    <m/>
    <m/>
    <m/>
    <s v="2955/2799"/>
    <m/>
    <m/>
    <m/>
    <m/>
    <m/>
    <m/>
    <m/>
    <s v="Y"/>
    <m/>
    <m/>
    <m/>
    <m/>
    <s v="see above"/>
  </r>
  <r>
    <s v="FL-2010-00141-PAK"/>
    <n v="248"/>
    <x v="238"/>
    <d v="2010-08-02T00:00:00"/>
    <x v="15"/>
    <n v="1"/>
    <s v="Q1"/>
    <x v="15"/>
    <n v="9"/>
    <x v="3"/>
    <s v="Pakistan"/>
    <m/>
    <x v="2"/>
    <m/>
    <m/>
    <x v="71"/>
    <x v="1"/>
    <s v="IFRC &amp; ICRC"/>
    <n v="148500000"/>
    <s v="MDRPK006"/>
    <n v="2.7609427609427608E-2"/>
    <m/>
    <s v="Y"/>
    <n v="239406"/>
    <n v="2600000"/>
    <x v="0"/>
    <m/>
    <n v="1"/>
    <n v="4100000"/>
    <m/>
    <m/>
    <m/>
    <n v="4850000"/>
    <n v="2"/>
    <m/>
    <n v="2"/>
    <n v="99900"/>
    <s v="Y"/>
    <m/>
    <n v="35000"/>
    <n v="15000"/>
    <n v="3650"/>
    <m/>
    <n v="10000"/>
    <m/>
    <n v="20000"/>
    <m/>
    <n v="10000"/>
    <m/>
    <n v="6250"/>
    <m/>
    <n v="824977"/>
    <m/>
    <n v="5674977"/>
    <n v="2525023"/>
    <m/>
    <m/>
    <x v="178"/>
    <x v="1"/>
    <m/>
    <m/>
    <m/>
    <m/>
    <n v="2799"/>
    <m/>
    <n v="2699"/>
    <m/>
    <m/>
    <m/>
    <m/>
    <m/>
    <s v="Y"/>
    <m/>
    <m/>
    <m/>
    <m/>
    <s v="CASH: $100,000 PMN to Federation Appeal from AP2799/RRF - not to be replenished; $3,000,000 ($3M) PMN to Federation Appeal from AP2699 earmarked for relief &amp; emergency shelter;  $300,000 PMN to Federation Appeal from AP 2699 earmarked for relief &amp; emergency shelter; $700,000 PMN to Federation Appeal from AP2699 earmarked for relief; $1,000,000 allocated to contribution to the Measles Initiative, recipient organization TBD._x000a_SUPPLIES: Relief supplies from both KL and Dubai warehouses - emptied both - approx $1M total including transport; PEOPLE: Robin Younger and Christophe Lobry-Boulanger deployed fro Relief coordination cell to PRCS support. Raj Zafar was used from Federation Delegation for surge support for  Federation in Islamabad._x000a_$8.2M raised - remainder put into 'early recovery' column"/>
  </r>
  <r>
    <m/>
    <n v="249"/>
    <x v="6"/>
    <d v="2010-10-01T00:00:00"/>
    <x v="15"/>
    <n v="2"/>
    <s v="Q2"/>
    <x v="15"/>
    <n v="10"/>
    <x v="2"/>
    <s v="Mexico"/>
    <m/>
    <x v="2"/>
    <m/>
    <m/>
    <x v="21"/>
    <x v="2"/>
    <m/>
    <m/>
    <m/>
    <m/>
    <m/>
    <s v="N"/>
    <m/>
    <m/>
    <x v="1"/>
    <n v="50000"/>
    <m/>
    <m/>
    <m/>
    <n v="200000"/>
    <m/>
    <n v="200000"/>
    <m/>
    <m/>
    <m/>
    <m/>
    <m/>
    <m/>
    <m/>
    <m/>
    <m/>
    <m/>
    <m/>
    <m/>
    <m/>
    <m/>
    <m/>
    <m/>
    <m/>
    <m/>
    <m/>
    <m/>
    <n v="200000"/>
    <m/>
    <m/>
    <m/>
    <x v="121"/>
    <x v="2"/>
    <m/>
    <m/>
    <m/>
    <m/>
    <s v="2869/ARCT"/>
    <m/>
    <m/>
    <m/>
    <m/>
    <m/>
    <s v="Y"/>
    <m/>
    <s v="N"/>
    <m/>
    <s v="ARCT funds - $200,000"/>
    <s v="ARCT"/>
    <m/>
    <s v="CASH: $200,000 bilateral contribution/grant letter to Mexican Red Cross for relief - paid by ARCT funds."/>
  </r>
  <r>
    <s v="FL-2010-00194-VNM"/>
    <n v="250"/>
    <x v="21"/>
    <d v="2010-10-18T00:00:00"/>
    <x v="15"/>
    <n v="3"/>
    <s v="Q2"/>
    <x v="15"/>
    <n v="11"/>
    <x v="3"/>
    <s v="Vietnam"/>
    <m/>
    <x v="2"/>
    <m/>
    <m/>
    <x v="72"/>
    <x v="1"/>
    <s v="IFRC"/>
    <n v="1080000"/>
    <s v="MDRVN007"/>
    <n v="2.7777777777777776E-2"/>
    <m/>
    <s v="Y"/>
    <n v="160853"/>
    <n v="120000"/>
    <x v="0"/>
    <m/>
    <m/>
    <n v="30000"/>
    <m/>
    <m/>
    <m/>
    <n v="30000"/>
    <m/>
    <m/>
    <m/>
    <m/>
    <m/>
    <m/>
    <m/>
    <m/>
    <m/>
    <m/>
    <m/>
    <m/>
    <m/>
    <m/>
    <m/>
    <m/>
    <m/>
    <m/>
    <m/>
    <m/>
    <n v="30000"/>
    <m/>
    <m/>
    <m/>
    <x v="163"/>
    <x v="2"/>
    <m/>
    <m/>
    <m/>
    <m/>
    <n v="2799"/>
    <m/>
    <m/>
    <m/>
    <m/>
    <m/>
    <m/>
    <m/>
    <s v="Y"/>
    <m/>
    <m/>
    <m/>
    <m/>
    <s v="CASH: $30,000 PMN to Federation Appeal from 2799 (RRF) earmarked for relief."/>
  </r>
  <r>
    <s v="EP-2010-000210-HTI"/>
    <n v="251"/>
    <x v="239"/>
    <d v="2010-10-24T00:00:00"/>
    <x v="15"/>
    <n v="4"/>
    <s v="Q2"/>
    <x v="15"/>
    <n v="12"/>
    <x v="2"/>
    <s v="Haiti"/>
    <m/>
    <x v="11"/>
    <m/>
    <m/>
    <x v="0"/>
    <x v="1"/>
    <s v="IFRC"/>
    <n v="6000000"/>
    <s v="MDR49007"/>
    <n v="0.36102216666666664"/>
    <m/>
    <s v="Y"/>
    <n v="80618"/>
    <n v="1500000"/>
    <x v="0"/>
    <m/>
    <n v="1"/>
    <n v="2166133"/>
    <m/>
    <m/>
    <m/>
    <n v="2320081"/>
    <m/>
    <m/>
    <m/>
    <m/>
    <m/>
    <m/>
    <m/>
    <m/>
    <m/>
    <m/>
    <m/>
    <m/>
    <m/>
    <m/>
    <m/>
    <m/>
    <m/>
    <m/>
    <n v="694910"/>
    <m/>
    <n v="16068357"/>
    <m/>
    <m/>
    <m/>
    <x v="179"/>
    <x v="1"/>
    <s v="P"/>
    <m/>
    <m/>
    <m/>
    <n v="2888"/>
    <m/>
    <m/>
    <m/>
    <m/>
    <m/>
    <m/>
    <m/>
    <s v="N"/>
    <m/>
    <m/>
    <m/>
    <m/>
    <s v="Spent figure directly from HAP as of May 2011. ARC committed to spend $14 million on Cholera. See HAP for additional details._x000a_CASH: $566,133 PMN to Federation Appeal: $537,500 earmarked for Haiti AP2888; $28,634 earmarked for Dominican Republic from AP2884; $1.6 million PMN for relief supplies; Funding transportation/flights of supplies for Partners in Health etc. Funding supplies, etc._x000a_SUPPLIES:Hygiene promotion, soap, oral rehydration salts, water tablets and chlorine for water purification, 5,000 Cots for medical facilities, Transport of medical supplies, vehicle for Haitian Red Cross. _x000a_PEOPLE: 6 ARC Haiti staff deployed for Red Cross Emergency Response Teams for Cholera outbreak in northern Haiti. _x000a_See latest response report and RAP for full details of items provided. "/>
  </r>
  <r>
    <s v="EP-2010-000210-HTI"/>
    <n v="251"/>
    <x v="239"/>
    <d v="2010-10-24T00:00:00"/>
    <x v="15"/>
    <n v="4"/>
    <s v="Q2"/>
    <x v="15"/>
    <n v="12"/>
    <x v="2"/>
    <s v="Dominican Republic"/>
    <m/>
    <x v="0"/>
    <m/>
    <m/>
    <x v="0"/>
    <x v="0"/>
    <m/>
    <m/>
    <m/>
    <m/>
    <m/>
    <m/>
    <m/>
    <m/>
    <x v="0"/>
    <m/>
    <m/>
    <m/>
    <m/>
    <m/>
    <m/>
    <m/>
    <m/>
    <m/>
    <m/>
    <m/>
    <m/>
    <m/>
    <m/>
    <m/>
    <m/>
    <m/>
    <m/>
    <m/>
    <m/>
    <m/>
    <m/>
    <m/>
    <m/>
    <m/>
    <m/>
    <m/>
    <m/>
    <m/>
    <m/>
    <m/>
    <x v="152"/>
    <x v="0"/>
    <m/>
    <m/>
    <m/>
    <m/>
    <m/>
    <m/>
    <m/>
    <m/>
    <m/>
    <m/>
    <m/>
    <m/>
    <m/>
    <m/>
    <m/>
    <m/>
    <m/>
    <m/>
  </r>
  <r>
    <s v="TC-2010-000205-PHL"/>
    <n v="252"/>
    <x v="240"/>
    <d v="2010-10-26T00:00:00"/>
    <x v="15"/>
    <n v="5"/>
    <s v="Q2"/>
    <x v="15"/>
    <n v="13"/>
    <x v="3"/>
    <s v="Philippines"/>
    <m/>
    <x v="17"/>
    <m/>
    <m/>
    <x v="8"/>
    <x v="1"/>
    <s v="IFRC"/>
    <n v="4310000"/>
    <s v="MDRPH006"/>
    <n v="6.9605568445475635E-3"/>
    <m/>
    <s v="Y"/>
    <n v="214855"/>
    <n v="60000"/>
    <x v="0"/>
    <m/>
    <m/>
    <n v="30000"/>
    <m/>
    <m/>
    <m/>
    <n v="30000"/>
    <m/>
    <m/>
    <m/>
    <m/>
    <m/>
    <m/>
    <m/>
    <m/>
    <m/>
    <m/>
    <m/>
    <m/>
    <m/>
    <m/>
    <m/>
    <m/>
    <m/>
    <m/>
    <m/>
    <m/>
    <n v="30000"/>
    <m/>
    <m/>
    <m/>
    <x v="163"/>
    <x v="2"/>
    <m/>
    <m/>
    <m/>
    <m/>
    <n v="2032"/>
    <n v="30000"/>
    <m/>
    <m/>
    <m/>
    <m/>
    <m/>
    <m/>
    <s v="N"/>
    <m/>
    <m/>
    <m/>
    <m/>
    <s v="CASH: $30,000 PMN to Federation Appeal from 2032 earmarked for relief distribution."/>
  </r>
  <r>
    <s v="EQ-2010-000213-IDN &amp; VO-2010-000214-IDN"/>
    <n v="253"/>
    <x v="241"/>
    <d v="2010-11-08T00:00:00"/>
    <x v="15"/>
    <n v="6"/>
    <s v="Q2"/>
    <x v="15"/>
    <n v="14"/>
    <x v="3"/>
    <s v="Indonesia"/>
    <m/>
    <x v="22"/>
    <m/>
    <m/>
    <x v="73"/>
    <x v="1"/>
    <s v="IFRC"/>
    <n v="2865860"/>
    <s v="MDRID006"/>
    <n v="1.7446769905019786E-2"/>
    <m/>
    <s v="Y"/>
    <m/>
    <n v="25000"/>
    <x v="0"/>
    <m/>
    <n v="1"/>
    <n v="50000"/>
    <m/>
    <m/>
    <m/>
    <n v="50000"/>
    <m/>
    <m/>
    <m/>
    <m/>
    <m/>
    <m/>
    <m/>
    <m/>
    <m/>
    <m/>
    <m/>
    <m/>
    <m/>
    <m/>
    <m/>
    <m/>
    <m/>
    <m/>
    <m/>
    <m/>
    <n v="50000"/>
    <m/>
    <m/>
    <m/>
    <x v="16"/>
    <x v="2"/>
    <m/>
    <m/>
    <m/>
    <m/>
    <n v="2799"/>
    <m/>
    <m/>
    <m/>
    <m/>
    <m/>
    <m/>
    <m/>
    <s v="Y"/>
    <m/>
    <m/>
    <m/>
    <m/>
    <s v="CASH: $50,000 PMN to Federation Appeal from 2799 earmarked for relief."/>
  </r>
  <r>
    <s v="TC-2010-000216-BRB/LCA/VCT"/>
    <n v="254"/>
    <x v="242"/>
    <d v="2010-11-03T00:00:00"/>
    <x v="15"/>
    <n v="7"/>
    <s v="Q2"/>
    <x v="15"/>
    <n v="15"/>
    <x v="2"/>
    <s v="Saint Lucia/ Saint Vincent and the Grenadines/ Barbados "/>
    <m/>
    <x v="17"/>
    <m/>
    <m/>
    <x v="74"/>
    <x v="1"/>
    <s v="IFRC"/>
    <n v="622109"/>
    <s v="MDR49006"/>
    <n v="0.23307812618046034"/>
    <m/>
    <m/>
    <m/>
    <n v="7500"/>
    <x v="0"/>
    <m/>
    <n v="1"/>
    <n v="145000"/>
    <m/>
    <m/>
    <m/>
    <n v="145000"/>
    <n v="6"/>
    <m/>
    <n v="6"/>
    <m/>
    <m/>
    <m/>
    <m/>
    <m/>
    <m/>
    <m/>
    <m/>
    <m/>
    <m/>
    <m/>
    <m/>
    <m/>
    <m/>
    <m/>
    <m/>
    <m/>
    <n v="145000"/>
    <m/>
    <m/>
    <m/>
    <x v="176"/>
    <x v="2"/>
    <m/>
    <m/>
    <m/>
    <m/>
    <n v="2799"/>
    <m/>
    <m/>
    <m/>
    <m/>
    <m/>
    <m/>
    <m/>
    <s v="Y"/>
    <m/>
    <m/>
    <m/>
    <m/>
    <s v="CASH: $75,000 PMN to Federation Appeal from 2799 earmarked for relief. $70,000 PMN to Federation appeal earmarked for relief supplies for St. Lucia (see RAP). PEOPLE: Six bilateral staff from ARC Haiti office deployed on Federation Emergency Response Teams."/>
  </r>
  <r>
    <m/>
    <n v="255"/>
    <x v="243"/>
    <d v="2010-11-09T00:00:00"/>
    <x v="15"/>
    <n v="8"/>
    <s v="Q2"/>
    <x v="15"/>
    <n v="16"/>
    <x v="2"/>
    <s v="Belize"/>
    <m/>
    <x v="17"/>
    <m/>
    <m/>
    <x v="0"/>
    <x v="2"/>
    <m/>
    <m/>
    <s v="MDRBZ002"/>
    <m/>
    <m/>
    <s v="Y"/>
    <n v="56303"/>
    <m/>
    <x v="0"/>
    <n v="4639"/>
    <m/>
    <m/>
    <m/>
    <n v="80000"/>
    <m/>
    <n v="80000"/>
    <n v="1"/>
    <m/>
    <n v="1"/>
    <m/>
    <m/>
    <m/>
    <m/>
    <m/>
    <m/>
    <m/>
    <m/>
    <m/>
    <m/>
    <m/>
    <m/>
    <m/>
    <m/>
    <m/>
    <m/>
    <m/>
    <n v="80000"/>
    <m/>
    <m/>
    <m/>
    <x v="9"/>
    <x v="2"/>
    <m/>
    <m/>
    <m/>
    <m/>
    <n v="2799"/>
    <m/>
    <m/>
    <m/>
    <m/>
    <m/>
    <m/>
    <m/>
    <s v="Y"/>
    <m/>
    <m/>
    <m/>
    <m/>
    <s v="CASH: $80,000 bilateral contribution by grant letter to Belize Red Cross earmarked for emergency shelter. _x000a_PEOPLE: Laura Havesi deployed for emergency shelter support and cash voucher program."/>
  </r>
  <r>
    <s v="EQ-2010-000251-CRI"/>
    <n v="256"/>
    <x v="7"/>
    <d v="2010-11-10T00:00:00"/>
    <x v="15"/>
    <n v="9"/>
    <s v="Q2"/>
    <x v="15"/>
    <n v="17"/>
    <x v="2"/>
    <s v="Costa Rica"/>
    <m/>
    <x v="2"/>
    <m/>
    <m/>
    <x v="75"/>
    <x v="2"/>
    <m/>
    <m/>
    <m/>
    <m/>
    <m/>
    <s v="Y"/>
    <n v="123611"/>
    <n v="1000"/>
    <x v="1"/>
    <m/>
    <m/>
    <m/>
    <m/>
    <n v="322330"/>
    <m/>
    <n v="322330"/>
    <m/>
    <m/>
    <m/>
    <m/>
    <m/>
    <m/>
    <m/>
    <m/>
    <m/>
    <m/>
    <m/>
    <m/>
    <m/>
    <m/>
    <m/>
    <m/>
    <m/>
    <m/>
    <m/>
    <m/>
    <n v="322330"/>
    <m/>
    <m/>
    <m/>
    <x v="180"/>
    <x v="1"/>
    <m/>
    <m/>
    <m/>
    <m/>
    <s v="2760 OFDA "/>
    <m/>
    <m/>
    <m/>
    <m/>
    <m/>
    <m/>
    <s v="Y"/>
    <s v="N"/>
    <m/>
    <s v="OFDA"/>
    <m/>
    <m/>
    <s v="CASH: OFDA grant for $322,330 for distribution of relief supplies; small cash transfer program; disaster risk reduction workshops  "/>
  </r>
  <r>
    <s v="FL-2010-000076-COL"/>
    <n v="257"/>
    <x v="244"/>
    <d v="2010-12-16T00:00:00"/>
    <x v="15"/>
    <n v="10"/>
    <s v="Q2"/>
    <x v="15"/>
    <n v="18"/>
    <x v="2"/>
    <s v="Colombia"/>
    <m/>
    <x v="2"/>
    <m/>
    <m/>
    <x v="6"/>
    <x v="1"/>
    <s v="IFRC"/>
    <n v="1109939"/>
    <s v="MDRCO008"/>
    <n v="7.207603300721932E-2"/>
    <m/>
    <s v="Y"/>
    <n v="64807"/>
    <n v="71500"/>
    <x v="0"/>
    <n v="1500"/>
    <n v="1"/>
    <n v="80000"/>
    <m/>
    <n v="120000"/>
    <m/>
    <n v="200000"/>
    <m/>
    <m/>
    <m/>
    <n v="6000"/>
    <s v="Y"/>
    <m/>
    <m/>
    <m/>
    <m/>
    <m/>
    <m/>
    <m/>
    <n v="6000"/>
    <m/>
    <m/>
    <m/>
    <m/>
    <m/>
    <n v="40000"/>
    <m/>
    <n v="240000"/>
    <m/>
    <m/>
    <m/>
    <x v="181"/>
    <x v="1"/>
    <s v="C"/>
    <m/>
    <m/>
    <m/>
    <n v="2799"/>
    <m/>
    <n v="2025"/>
    <n v="155000"/>
    <m/>
    <m/>
    <m/>
    <m/>
    <s v="Y"/>
    <m/>
    <s v="Dow - $120,000; Merck - $10,000; Citigroup - $25,000. "/>
    <m/>
    <m/>
    <s v="SUPPLIES: IFRC mob table contribution: 6,000 mosquito nets @ $40,000; CASH: $80,000 cash pledge to Federation appeal - MDRCO008 earmarked for NFIs for relief distribution; Bilateral $120,000 bilateral contribution for health and DRR programming. "/>
  </r>
  <r>
    <s v="FL-2010-000225-PAN"/>
    <n v="258"/>
    <x v="80"/>
    <d v="2010-11-30T00:00:00"/>
    <x v="15"/>
    <n v="11"/>
    <s v="Q2"/>
    <x v="15"/>
    <n v="19"/>
    <x v="2"/>
    <s v="Panama"/>
    <m/>
    <x v="2"/>
    <m/>
    <m/>
    <x v="76"/>
    <x v="1"/>
    <s v="IFRC"/>
    <n v="364732"/>
    <s v="MDRPA007"/>
    <m/>
    <m/>
    <s v="Y"/>
    <n v="82608"/>
    <n v="10225"/>
    <x v="0"/>
    <n v="300"/>
    <m/>
    <m/>
    <m/>
    <m/>
    <m/>
    <m/>
    <m/>
    <m/>
    <m/>
    <n v="1714"/>
    <s v="Y"/>
    <n v="214"/>
    <n v="1500"/>
    <m/>
    <m/>
    <m/>
    <m/>
    <m/>
    <m/>
    <m/>
    <m/>
    <m/>
    <m/>
    <m/>
    <n v="9812"/>
    <m/>
    <n v="9812"/>
    <m/>
    <m/>
    <m/>
    <x v="182"/>
    <x v="2"/>
    <m/>
    <m/>
    <m/>
    <m/>
    <n v="2799"/>
    <m/>
    <m/>
    <m/>
    <m/>
    <m/>
    <m/>
    <m/>
    <s v="Y"/>
    <m/>
    <m/>
    <m/>
    <m/>
    <s v="SUPPPLIES: 1,500 blankets and 214 hygiene kits at $9,812 from PADRU."/>
  </r>
  <r>
    <s v="OT-2011-000025-TUN/LBY/EGY"/>
    <n v="259"/>
    <x v="245"/>
    <d v="2011-02-28T00:00:00"/>
    <x v="15"/>
    <n v="12"/>
    <s v="Q3"/>
    <x v="16"/>
    <n v="1"/>
    <x v="3"/>
    <s v="Tunisia"/>
    <m/>
    <x v="19"/>
    <m/>
    <m/>
    <x v="0"/>
    <x v="1"/>
    <s v="IFRC &amp; ICRC"/>
    <n v="45216000"/>
    <s v="MDR82001 &amp; REX2011/114"/>
    <m/>
    <m/>
    <s v="Y"/>
    <n v="431000"/>
    <n v="306000"/>
    <x v="0"/>
    <m/>
    <n v="1"/>
    <n v="297270"/>
    <n v="100000"/>
    <m/>
    <m/>
    <n v="397270"/>
    <n v="5"/>
    <m/>
    <m/>
    <n v="1500"/>
    <s v="Y"/>
    <m/>
    <m/>
    <m/>
    <m/>
    <m/>
    <m/>
    <m/>
    <m/>
    <m/>
    <n v="1500"/>
    <m/>
    <m/>
    <m/>
    <n v="43000"/>
    <m/>
    <n v="440270"/>
    <m/>
    <m/>
    <m/>
    <x v="183"/>
    <x v="1"/>
    <s v="P"/>
    <n v="154218"/>
    <m/>
    <m/>
    <s v="2869/ARCT"/>
    <m/>
    <n v="2010"/>
    <m/>
    <n v="2799"/>
    <s v="FACT deployment expenses"/>
    <s v="Y"/>
    <m/>
    <s v="N"/>
    <m/>
    <s v="Online designation on redcross.org.  An overwhelming majority of the $150k funds raised were through the online designation. ARCT/ 2869; AP 2010, Middle East R&amp;D – revenue;  2099, IRF – 100k to ICRC (replenished by 2010); 2799, RRF – FACT deployment expenses + PMN for Syria"/>
    <m/>
    <m/>
    <s v="CASH: 1) $100,000 to ICRC earmarked for Tunisia from AP2010; PMN for $162,270 earmarked for locally procured supplies by AP2869/ARCT; 2) $135,000 PMN from AP 2799 for $44,000 and AP 2831/ ARCT for $91,000 earmarked for Syria for local procurement of food parcels. SUPPLIES:1500 tarps from Dubai warehouse as of March 2011; PEOPLE: Deployed for FACT team members: Langdon Greenhalgh, FACT team leader; Marian Spivey-Estrada, FACT Info &amp; Reporting; Colin Chaperon, FACT relief coordinator; Gina Guinta, FACT Info &amp; Reporting - 2nd round; Laura Hevesi FACT relief coordinator."/>
  </r>
  <r>
    <s v="EQ-2011-000024-NZL"/>
    <n v="260"/>
    <x v="246"/>
    <d v="2011-02-23T00:00:00"/>
    <x v="15"/>
    <n v="13"/>
    <s v="Q3"/>
    <x v="16"/>
    <n v="2"/>
    <x v="3"/>
    <s v="New Zealand"/>
    <m/>
    <x v="3"/>
    <m/>
    <m/>
    <x v="0"/>
    <x v="2"/>
    <m/>
    <m/>
    <m/>
    <m/>
    <m/>
    <m/>
    <m/>
    <n v="47800"/>
    <x v="1"/>
    <m/>
    <m/>
    <m/>
    <m/>
    <n v="826450"/>
    <m/>
    <n v="826450"/>
    <m/>
    <m/>
    <m/>
    <m/>
    <m/>
    <m/>
    <m/>
    <m/>
    <m/>
    <m/>
    <m/>
    <m/>
    <m/>
    <m/>
    <m/>
    <m/>
    <m/>
    <m/>
    <m/>
    <m/>
    <n v="826450"/>
    <m/>
    <m/>
    <m/>
    <x v="184"/>
    <x v="1"/>
    <s v="P"/>
    <n v="898367"/>
    <d v="2011-04-19T00:00:00"/>
    <d v="2011-04-19T00:00:00"/>
    <n v="2881"/>
    <m/>
    <m/>
    <m/>
    <m/>
    <m/>
    <m/>
    <m/>
    <s v="N"/>
    <m/>
    <m/>
    <m/>
    <m/>
    <s v="CASH: Two grant letters to be made - $772,000 on April 12, 2011; second one for $54,450 June 23, 2011"/>
  </r>
  <r>
    <m/>
    <n v="261"/>
    <x v="247"/>
    <d v="2011-03-01T00:00:00"/>
    <x v="15"/>
    <n v="14"/>
    <s v="Q3"/>
    <x v="16"/>
    <n v="3"/>
    <x v="2"/>
    <s v="Paraguay"/>
    <m/>
    <x v="11"/>
    <m/>
    <m/>
    <x v="0"/>
    <x v="2"/>
    <m/>
    <m/>
    <m/>
    <m/>
    <m/>
    <s v="N"/>
    <m/>
    <m/>
    <x v="1"/>
    <n v="2000"/>
    <m/>
    <m/>
    <m/>
    <n v="56000"/>
    <m/>
    <n v="56000"/>
    <m/>
    <m/>
    <m/>
    <m/>
    <m/>
    <m/>
    <m/>
    <m/>
    <m/>
    <m/>
    <m/>
    <m/>
    <m/>
    <m/>
    <m/>
    <m/>
    <m/>
    <m/>
    <m/>
    <m/>
    <n v="56000"/>
    <m/>
    <m/>
    <m/>
    <x v="185"/>
    <x v="1"/>
    <s v="C"/>
    <n v="56000"/>
    <d v="2011-02-28T00:00:00"/>
    <d v="2011-02-28T00:00:00"/>
    <n v="2025"/>
    <m/>
    <m/>
    <m/>
    <m/>
    <m/>
    <m/>
    <m/>
    <s v="N"/>
    <m/>
    <s v="Part of GE $250,000 contribution for Brazil Floods and went to various South American disasters."/>
    <m/>
    <m/>
    <s v="CASH: $50,000 Bilateral contribution via grant letter to Paraguay Red Cross for Dengue outbreak activities."/>
  </r>
  <r>
    <s v="EQ-2011-000028-JPN"/>
    <n v="262"/>
    <x v="248"/>
    <d v="2011-03-11T00:00:00"/>
    <x v="15"/>
    <n v="15"/>
    <s v="Q3"/>
    <x v="16"/>
    <n v="4"/>
    <x v="3"/>
    <s v="Japan"/>
    <m/>
    <x v="23"/>
    <m/>
    <m/>
    <x v="5"/>
    <x v="2"/>
    <m/>
    <m/>
    <m/>
    <m/>
    <m/>
    <m/>
    <m/>
    <n v="225000"/>
    <x v="1"/>
    <m/>
    <m/>
    <m/>
    <m/>
    <n v="256000000"/>
    <n v="1500000"/>
    <n v="259800000"/>
    <n v="3"/>
    <m/>
    <m/>
    <m/>
    <m/>
    <m/>
    <m/>
    <m/>
    <m/>
    <m/>
    <m/>
    <m/>
    <m/>
    <m/>
    <m/>
    <m/>
    <m/>
    <m/>
    <m/>
    <m/>
    <n v="259800000"/>
    <m/>
    <m/>
    <m/>
    <x v="186"/>
    <x v="1"/>
    <s v="P"/>
    <n v="307256521"/>
    <d v="2011-12-01T00:00:00"/>
    <s v="ongoing"/>
    <n v="2687"/>
    <m/>
    <n v="2841"/>
    <m/>
    <m/>
    <m/>
    <m/>
    <m/>
    <s v="N"/>
    <m/>
    <m/>
    <m/>
    <m/>
    <s v="CASH: Bilateral contribution via grant letter to Japanese Red Cross  for response activities: 1) $10M March 14, 2) $50M - April 1; 3) $40M - April 11; 4) $30M - April 29; 5) $30M - May 12; 6) $46 M - June 10; 7) $35M - July 11;  8) $15M - Aug. 28_x000a_Additional cash grants to JRCS will occur. _x000a_To other agencies: 1) $500,000 - March 21 -World Food Programme; 2) $1M total -  $3M - April 11 - IOM; Note refund from IOM due to programming - $2M October 2011. _x000a_ARC internal: $300,000 - March 21 - Service to Armed Forces; _x000a_PEOPLE: Nan Buzard on high level Fed Liaison trip; Tom Alcedo to Fed Liaison team; John Manley to Fed Liaison team."/>
  </r>
  <r>
    <s v="FL-2011-000020-BOL"/>
    <n v="263"/>
    <x v="48"/>
    <d v="2011-03-23T00:00:00"/>
    <x v="15"/>
    <n v="16"/>
    <s v="Q3"/>
    <x v="16"/>
    <n v="5"/>
    <x v="2"/>
    <s v="Bolivia"/>
    <m/>
    <x v="2"/>
    <m/>
    <m/>
    <x v="37"/>
    <x v="1"/>
    <s v="IFRC"/>
    <n v="571602"/>
    <s v="MDRBO006"/>
    <n v="0.31840336457885032"/>
    <m/>
    <m/>
    <m/>
    <n v="2500"/>
    <x v="0"/>
    <m/>
    <n v="1"/>
    <n v="182000"/>
    <m/>
    <m/>
    <m/>
    <n v="182000"/>
    <m/>
    <m/>
    <m/>
    <m/>
    <m/>
    <m/>
    <m/>
    <m/>
    <m/>
    <m/>
    <m/>
    <m/>
    <m/>
    <m/>
    <m/>
    <m/>
    <m/>
    <m/>
    <m/>
    <m/>
    <n v="182000"/>
    <m/>
    <m/>
    <m/>
    <x v="187"/>
    <x v="1"/>
    <s v="C"/>
    <n v="200000"/>
    <d v="2011-05-10T00:00:00"/>
    <d v="2011-05-10T00:00:00"/>
    <s v="2869/ARCT"/>
    <n v="100000"/>
    <n v="2025"/>
    <n v="100000"/>
    <m/>
    <m/>
    <s v="Y"/>
    <m/>
    <s v="N"/>
    <m/>
    <s v="ARCT funding - $100,000. GE corporate contribution - $100,000."/>
    <m/>
    <m/>
    <s v="CASH: 1) PMN for $91,000 from ARCT IERRF funds for appeal. 2) Second PMN for $91,000 from 2025 - South America R &amp; D"/>
  </r>
  <r>
    <s v="OT-2010-000255-CIV"/>
    <n v="264"/>
    <x v="249"/>
    <d v="2011-04-01T00:00:00"/>
    <x v="15"/>
    <n v="17"/>
    <s v="Q4"/>
    <x v="16"/>
    <n v="6"/>
    <x v="1"/>
    <s v="Liberia"/>
    <m/>
    <x v="24"/>
    <m/>
    <m/>
    <x v="0"/>
    <x v="1"/>
    <s v="IFRC"/>
    <n v="4340568"/>
    <s v="MDR61007"/>
    <n v="3.4557689224083116E-2"/>
    <m/>
    <m/>
    <m/>
    <n v="67500"/>
    <x v="0"/>
    <m/>
    <n v="1"/>
    <n v="150000"/>
    <m/>
    <m/>
    <m/>
    <n v="150000"/>
    <m/>
    <m/>
    <m/>
    <m/>
    <m/>
    <m/>
    <m/>
    <m/>
    <m/>
    <m/>
    <m/>
    <m/>
    <m/>
    <m/>
    <m/>
    <m/>
    <m/>
    <m/>
    <m/>
    <m/>
    <n v="150000"/>
    <m/>
    <m/>
    <m/>
    <x v="13"/>
    <x v="2"/>
    <m/>
    <m/>
    <m/>
    <m/>
    <n v="2799"/>
    <m/>
    <m/>
    <m/>
    <m/>
    <m/>
    <m/>
    <m/>
    <s v="Y"/>
    <m/>
    <m/>
    <m/>
    <m/>
    <s v="CASH: Contribution to Federation appeal MDR61007 for $150,000 for Liberia earmarked for relief and operations. "/>
  </r>
  <r>
    <s v="FL-2011-000007-NAM"/>
    <n v="265"/>
    <x v="215"/>
    <d v="2011-03-25T00:00:00"/>
    <x v="15"/>
    <n v="18"/>
    <s v="Q4"/>
    <x v="16"/>
    <n v="7"/>
    <x v="1"/>
    <s v="Namibia"/>
    <m/>
    <x v="2"/>
    <m/>
    <m/>
    <x v="77"/>
    <x v="1"/>
    <s v="IFRC"/>
    <n v="2032221"/>
    <s v="MDRNA006"/>
    <n v="2.4603623326400034E-2"/>
    <m/>
    <m/>
    <m/>
    <n v="37457"/>
    <x v="0"/>
    <m/>
    <n v="1"/>
    <n v="50000"/>
    <m/>
    <m/>
    <m/>
    <n v="50000"/>
    <m/>
    <m/>
    <m/>
    <m/>
    <m/>
    <m/>
    <m/>
    <m/>
    <m/>
    <m/>
    <m/>
    <m/>
    <m/>
    <m/>
    <m/>
    <m/>
    <m/>
    <m/>
    <m/>
    <m/>
    <n v="50000"/>
    <m/>
    <m/>
    <m/>
    <x v="16"/>
    <x v="2"/>
    <m/>
    <m/>
    <m/>
    <m/>
    <n v="2799"/>
    <m/>
    <m/>
    <m/>
    <m/>
    <m/>
    <m/>
    <m/>
    <s v="Y"/>
    <m/>
    <m/>
    <m/>
    <m/>
    <s v="CASH: Contribution to Namibia floods Federation appeal MDRNA006 for $50,000 earmarked for emergency shelter and watsan. "/>
  </r>
  <r>
    <s v="DR-2011-000029-KEN"/>
    <n v="266"/>
    <x v="250"/>
    <d v="2011-07-28T00:00:00"/>
    <x v="16"/>
    <n v="1"/>
    <s v="Q1"/>
    <x v="16"/>
    <n v="8"/>
    <x v="1"/>
    <s v="[rollup]"/>
    <m/>
    <x v="1"/>
    <m/>
    <m/>
    <x v="78"/>
    <x v="1"/>
    <s v="IFRC &amp; ICRC"/>
    <n v="254000000"/>
    <s v="Various - see RAP"/>
    <m/>
    <m/>
    <m/>
    <m/>
    <n v="2840000"/>
    <x v="0"/>
    <m/>
    <n v="4"/>
    <n v="2000000"/>
    <n v="1113000"/>
    <m/>
    <m/>
    <n v="3113000"/>
    <m/>
    <m/>
    <m/>
    <m/>
    <s v="Y"/>
    <m/>
    <m/>
    <m/>
    <n v="4900"/>
    <m/>
    <m/>
    <m/>
    <n v="20000"/>
    <m/>
    <m/>
    <m/>
    <m/>
    <m/>
    <n v="122000"/>
    <m/>
    <n v="3235000"/>
    <m/>
    <m/>
    <m/>
    <x v="188"/>
    <x v="1"/>
    <s v="P"/>
    <n v="4185949"/>
    <d v="2011-12-01T00:00:00"/>
    <s v="ongoing"/>
    <s v="2831/ARCT"/>
    <n v="200000"/>
    <n v="2836"/>
    <n v="2553000"/>
    <n v="2099"/>
    <n v="200000"/>
    <s v="Y"/>
    <m/>
    <s v="N"/>
    <s v="Y"/>
    <s v="ARCT -2831 FY12 fund - $200,000"/>
    <m/>
    <m/>
    <s v="CASH: 1) $582,000 +$531,000 contribution to ICRC emergency appeal EA2011 for Somalia - sources:  $182,000 from ARCT/2831, $200,000 + $531,000 from 2836, and $200,000 from IRF/2099 per Sr VP; 2). PMN $1,000,000 contribution to Kenya Drought appeal MDRKE016 from 2836; 3) PMN for$600,000 contribution to Ethiopia appeal MDRE010 from 2836; 4) PMN for $100,000 for Tanzania Drought appeal MDRTZ012 from 2836. 5) Pledge letter to ICRC 2012 Somalia Emergency Appeal for $500,000; 6) PMN to IFRC Regional Framework"/>
  </r>
  <r>
    <s v="DR-2011-000029-KEN"/>
    <n v="266"/>
    <x v="250"/>
    <d v="2011-07-28T00:00:00"/>
    <x v="16"/>
    <n v="1"/>
    <s v="Q1"/>
    <x v="16"/>
    <n v="8"/>
    <x v="1"/>
    <s v="Kenya"/>
    <m/>
    <x v="0"/>
    <m/>
    <m/>
    <x v="0"/>
    <x v="0"/>
    <m/>
    <m/>
    <m/>
    <m/>
    <m/>
    <m/>
    <m/>
    <n v="1000000"/>
    <x v="0"/>
    <m/>
    <m/>
    <n v="1200000"/>
    <m/>
    <m/>
    <m/>
    <m/>
    <m/>
    <m/>
    <m/>
    <m/>
    <m/>
    <m/>
    <m/>
    <m/>
    <m/>
    <m/>
    <m/>
    <m/>
    <m/>
    <m/>
    <m/>
    <m/>
    <m/>
    <m/>
    <m/>
    <m/>
    <m/>
    <m/>
    <m/>
    <m/>
    <x v="152"/>
    <x v="0"/>
    <m/>
    <m/>
    <m/>
    <m/>
    <m/>
    <m/>
    <m/>
    <m/>
    <m/>
    <m/>
    <m/>
    <m/>
    <m/>
    <m/>
    <m/>
    <m/>
    <m/>
    <m/>
  </r>
  <r>
    <s v="DR-2011-000029-KEN"/>
    <n v="266"/>
    <x v="250"/>
    <d v="2011-07-28T00:00:00"/>
    <x v="16"/>
    <n v="1"/>
    <s v="Q1"/>
    <x v="16"/>
    <n v="8"/>
    <x v="1"/>
    <s v="Ethiopia"/>
    <m/>
    <x v="0"/>
    <m/>
    <m/>
    <x v="0"/>
    <x v="0"/>
    <m/>
    <m/>
    <m/>
    <m/>
    <m/>
    <m/>
    <m/>
    <n v="570000"/>
    <x v="0"/>
    <m/>
    <m/>
    <n v="800000"/>
    <m/>
    <m/>
    <m/>
    <m/>
    <m/>
    <m/>
    <m/>
    <m/>
    <m/>
    <m/>
    <m/>
    <m/>
    <m/>
    <m/>
    <m/>
    <m/>
    <m/>
    <m/>
    <m/>
    <m/>
    <m/>
    <m/>
    <m/>
    <m/>
    <m/>
    <m/>
    <m/>
    <m/>
    <x v="152"/>
    <x v="0"/>
    <m/>
    <m/>
    <m/>
    <m/>
    <m/>
    <m/>
    <m/>
    <m/>
    <m/>
    <m/>
    <m/>
    <m/>
    <m/>
    <m/>
    <m/>
    <m/>
    <m/>
    <m/>
  </r>
  <r>
    <s v="DR-2011-000029-KEN"/>
    <n v="266"/>
    <x v="250"/>
    <d v="2011-07-28T00:00:00"/>
    <x v="16"/>
    <n v="1"/>
    <s v="Q1"/>
    <x v="16"/>
    <n v="8"/>
    <x v="1"/>
    <s v="Somalia"/>
    <m/>
    <x v="0"/>
    <m/>
    <m/>
    <x v="0"/>
    <x v="0"/>
    <m/>
    <m/>
    <m/>
    <m/>
    <m/>
    <m/>
    <m/>
    <n v="1250000"/>
    <x v="0"/>
    <m/>
    <m/>
    <m/>
    <m/>
    <m/>
    <m/>
    <m/>
    <m/>
    <m/>
    <m/>
    <m/>
    <m/>
    <m/>
    <m/>
    <m/>
    <m/>
    <m/>
    <m/>
    <m/>
    <m/>
    <m/>
    <m/>
    <m/>
    <m/>
    <m/>
    <m/>
    <m/>
    <m/>
    <m/>
    <m/>
    <m/>
    <x v="152"/>
    <x v="0"/>
    <m/>
    <m/>
    <m/>
    <m/>
    <m/>
    <m/>
    <m/>
    <m/>
    <m/>
    <m/>
    <m/>
    <m/>
    <m/>
    <m/>
    <m/>
    <m/>
    <m/>
    <m/>
  </r>
  <r>
    <s v="DR-2011-000029-KEN"/>
    <n v="266"/>
    <x v="250"/>
    <d v="2011-07-28T00:00:00"/>
    <x v="16"/>
    <n v="1"/>
    <s v="Q1"/>
    <x v="16"/>
    <n v="8"/>
    <x v="1"/>
    <s v="Tanzania"/>
    <m/>
    <x v="0"/>
    <m/>
    <m/>
    <x v="0"/>
    <x v="0"/>
    <m/>
    <m/>
    <m/>
    <m/>
    <m/>
    <m/>
    <m/>
    <n v="20000"/>
    <x v="0"/>
    <m/>
    <m/>
    <m/>
    <m/>
    <m/>
    <m/>
    <m/>
    <m/>
    <m/>
    <m/>
    <m/>
    <m/>
    <m/>
    <m/>
    <m/>
    <m/>
    <m/>
    <m/>
    <m/>
    <m/>
    <m/>
    <m/>
    <m/>
    <m/>
    <m/>
    <m/>
    <m/>
    <m/>
    <m/>
    <m/>
    <m/>
    <x v="152"/>
    <x v="0"/>
    <m/>
    <m/>
    <m/>
    <m/>
    <m/>
    <m/>
    <m/>
    <m/>
    <m/>
    <m/>
    <m/>
    <m/>
    <m/>
    <m/>
    <m/>
    <m/>
    <m/>
    <m/>
  </r>
  <r>
    <s v="FL-2011-000096-PRK"/>
    <n v="267"/>
    <x v="251"/>
    <d v="2011-08-24T00:00:00"/>
    <x v="16"/>
    <n v="2"/>
    <s v="Q1"/>
    <x v="16"/>
    <n v="9"/>
    <x v="3"/>
    <s v="DPRK/North Korea"/>
    <m/>
    <x v="2"/>
    <m/>
    <m/>
    <x v="79"/>
    <x v="1"/>
    <s v="IFRC"/>
    <n v="4400000"/>
    <s v="MDRKP003"/>
    <n v="0.01"/>
    <m/>
    <s v="Y"/>
    <n v="575551"/>
    <n v="30000"/>
    <x v="0"/>
    <m/>
    <n v="1"/>
    <n v="50000"/>
    <m/>
    <m/>
    <m/>
    <n v="50000"/>
    <m/>
    <m/>
    <m/>
    <m/>
    <m/>
    <m/>
    <m/>
    <m/>
    <m/>
    <m/>
    <m/>
    <m/>
    <m/>
    <m/>
    <m/>
    <m/>
    <m/>
    <m/>
    <m/>
    <m/>
    <n v="50000"/>
    <m/>
    <m/>
    <m/>
    <x v="16"/>
    <x v="2"/>
    <m/>
    <m/>
    <m/>
    <m/>
    <n v="2799"/>
    <m/>
    <m/>
    <m/>
    <m/>
    <m/>
    <m/>
    <m/>
    <s v="Y"/>
    <m/>
    <m/>
    <m/>
    <m/>
    <s v="CASH: $50,000 contribution to appeal earmarked for food procurement, from 2799/RRF."/>
  </r>
  <r>
    <s v="FL-2011-000093-BGD"/>
    <n v="268"/>
    <x v="19"/>
    <d v="2011-08-31T00:00:00"/>
    <x v="16"/>
    <n v="3"/>
    <s v="Q1"/>
    <x v="16"/>
    <n v="10"/>
    <x v="3"/>
    <s v="Bangladesh"/>
    <m/>
    <x v="2"/>
    <m/>
    <m/>
    <x v="54"/>
    <x v="1"/>
    <s v="IFRC"/>
    <n v="1500000"/>
    <s v="MDRBD009"/>
    <n v="0.03"/>
    <m/>
    <s v="Y"/>
    <m/>
    <n v="50000"/>
    <x v="0"/>
    <m/>
    <n v="1"/>
    <n v="50000"/>
    <m/>
    <m/>
    <m/>
    <n v="50000"/>
    <m/>
    <m/>
    <m/>
    <m/>
    <m/>
    <m/>
    <m/>
    <m/>
    <m/>
    <m/>
    <m/>
    <m/>
    <m/>
    <m/>
    <m/>
    <m/>
    <m/>
    <m/>
    <m/>
    <m/>
    <n v="50000"/>
    <m/>
    <m/>
    <m/>
    <x v="16"/>
    <x v="2"/>
    <m/>
    <m/>
    <m/>
    <m/>
    <n v="2799"/>
    <m/>
    <m/>
    <m/>
    <m/>
    <m/>
    <m/>
    <m/>
    <s v="Y"/>
    <m/>
    <m/>
    <m/>
    <m/>
    <s v="CASH: $50,000 contribution to appeal earmarked for relilef distribution from 2799/RRF."/>
  </r>
  <r>
    <s v="FL-2011-000130-PAK"/>
    <n v="269"/>
    <x v="252"/>
    <d v="2011-09-12T00:00:00"/>
    <x v="16"/>
    <n v="4"/>
    <s v="Q1"/>
    <x v="16"/>
    <n v="11"/>
    <x v="3"/>
    <s v="Pakistan"/>
    <m/>
    <x v="2"/>
    <m/>
    <m/>
    <x v="80"/>
    <x v="1"/>
    <s v="IFRC"/>
    <n v="11900000"/>
    <s v="MDRPK007"/>
    <n v="4.0000000000000001E-3"/>
    <m/>
    <s v="Y"/>
    <m/>
    <n v="105000"/>
    <x v="0"/>
    <m/>
    <n v="1"/>
    <n v="50000"/>
    <m/>
    <m/>
    <m/>
    <n v="50000"/>
    <m/>
    <m/>
    <m/>
    <m/>
    <m/>
    <m/>
    <m/>
    <m/>
    <m/>
    <m/>
    <m/>
    <m/>
    <m/>
    <m/>
    <m/>
    <m/>
    <m/>
    <m/>
    <m/>
    <m/>
    <n v="50000"/>
    <m/>
    <m/>
    <m/>
    <x v="16"/>
    <x v="2"/>
    <m/>
    <m/>
    <m/>
    <m/>
    <n v="2799"/>
    <m/>
    <m/>
    <m/>
    <m/>
    <m/>
    <m/>
    <m/>
    <s v="Y"/>
    <m/>
    <m/>
    <m/>
    <m/>
    <s v="CASH: $50,000 contribution to appeal earmarked for relilef distribution from 2799/RRF."/>
  </r>
  <r>
    <s v="TC-2011-000147-PhL"/>
    <n v="270"/>
    <x v="163"/>
    <d v="2011-10-06T00:00:00"/>
    <x v="16"/>
    <n v="5"/>
    <s v="Q2"/>
    <x v="16"/>
    <n v="12"/>
    <x v="3"/>
    <s v="Philippines"/>
    <m/>
    <x v="17"/>
    <m/>
    <m/>
    <x v="81"/>
    <x v="1"/>
    <s v="IFRC"/>
    <n v="3800000"/>
    <s v="MDRPH007"/>
    <n v="0.01"/>
    <m/>
    <s v="Y"/>
    <m/>
    <n v="250000"/>
    <x v="0"/>
    <m/>
    <n v="1"/>
    <n v="50000"/>
    <m/>
    <m/>
    <m/>
    <n v="50000"/>
    <m/>
    <m/>
    <m/>
    <m/>
    <m/>
    <m/>
    <m/>
    <m/>
    <m/>
    <m/>
    <m/>
    <m/>
    <m/>
    <m/>
    <m/>
    <m/>
    <m/>
    <m/>
    <m/>
    <m/>
    <n v="50000"/>
    <m/>
    <m/>
    <m/>
    <x v="16"/>
    <x v="2"/>
    <m/>
    <m/>
    <m/>
    <m/>
    <n v="2799"/>
    <m/>
    <m/>
    <m/>
    <m/>
    <m/>
    <m/>
    <m/>
    <s v="Y"/>
    <m/>
    <m/>
    <m/>
    <m/>
    <s v="CASH: $50,000 contribution to appeal earmarked for relilef distribution from 2799/RRF."/>
  </r>
  <r>
    <s v="TC-2011-000157-GTM"/>
    <n v="271"/>
    <x v="205"/>
    <d v="2011-10-20T00:00:00"/>
    <x v="16"/>
    <n v="6"/>
    <s v="Q2"/>
    <x v="16"/>
    <n v="13"/>
    <x v="2"/>
    <s v="[rollup]"/>
    <m/>
    <x v="2"/>
    <m/>
    <m/>
    <x v="82"/>
    <x v="1"/>
    <s v="IFRC"/>
    <s v="Guatemala -$898,600; _x000a_El Salvador-$1,300,000"/>
    <s v="MDRGT003 / MDRSV004"/>
    <m/>
    <m/>
    <s v="Y"/>
    <m/>
    <n v="2500"/>
    <x v="1"/>
    <n v="9000"/>
    <n v="1"/>
    <m/>
    <m/>
    <n v="48940"/>
    <m/>
    <n v="48940"/>
    <n v="3"/>
    <m/>
    <n v="3"/>
    <n v="26000"/>
    <s v="Y"/>
    <n v="2300"/>
    <n v="11500"/>
    <n v="4600"/>
    <m/>
    <m/>
    <m/>
    <m/>
    <n v="4600"/>
    <m/>
    <n v="3000"/>
    <m/>
    <m/>
    <m/>
    <n v="255000"/>
    <m/>
    <n v="303940"/>
    <m/>
    <m/>
    <m/>
    <x v="189"/>
    <x v="1"/>
    <s v="C"/>
    <m/>
    <m/>
    <d v="2011-11-03T00:00:00"/>
    <s v="2831/ARCT"/>
    <n v="200000"/>
    <n v="2882"/>
    <n v="103940"/>
    <m/>
    <m/>
    <s v="Y"/>
    <m/>
    <s v="N"/>
    <m/>
    <s v="ARCT - 2831 FY12 fund - $200,000"/>
    <m/>
    <m/>
    <s v="CASH: $17,190 bilateral grant letter to El Salvador Red Cross for distribution costs; $18,125 bilateral grant letter to Honduras Red Cross for distribution costs; $13,625 bilateral grant letter to Nicaragua Red Cross for distribution costs._x000a_SUPPLIES: Bilateral contributions - see RAPs for detail: Supplies for 500 families  to Nicaraguan Red Cross valued at$61,000; supplies for 800 families for El Salvador Red Cross valued at$73,000; supplies for 500 families to Honduras Red Cross valued at $60,000. Multilateral contribution - supplies from Guatemala appeal mob table  for 500 families to Guatemalan Red Cross valued at $61,000. _x000a_PEOPLE:  Three Panama delegation-based ARC staff deployed as disaster management liasons: Raymundo Ortega to assist Nicaragua Red Cross; Luis Guzman to assist El Salvador Red Cross; Alvaro Garita to assist Honduras Red Cross."/>
  </r>
  <r>
    <s v="TC-2011-000157-GTM"/>
    <n v="271"/>
    <x v="205"/>
    <d v="2011-10-20T00:00:00"/>
    <x v="16"/>
    <n v="6"/>
    <s v="Q2"/>
    <x v="16"/>
    <n v="13"/>
    <x v="2"/>
    <s v="El Salvador"/>
    <m/>
    <x v="0"/>
    <m/>
    <m/>
    <x v="0"/>
    <x v="0"/>
    <m/>
    <n v="1300000"/>
    <s v="MDRSV004"/>
    <m/>
    <m/>
    <m/>
    <m/>
    <m/>
    <x v="0"/>
    <m/>
    <m/>
    <m/>
    <m/>
    <n v="17190"/>
    <m/>
    <m/>
    <m/>
    <m/>
    <m/>
    <m/>
    <m/>
    <n v="800"/>
    <n v="4000"/>
    <n v="1600"/>
    <m/>
    <m/>
    <m/>
    <m/>
    <n v="1600"/>
    <m/>
    <m/>
    <m/>
    <m/>
    <m/>
    <m/>
    <m/>
    <m/>
    <m/>
    <m/>
    <m/>
    <x v="152"/>
    <x v="0"/>
    <m/>
    <m/>
    <m/>
    <m/>
    <m/>
    <m/>
    <m/>
    <m/>
    <m/>
    <m/>
    <m/>
    <m/>
    <m/>
    <m/>
    <m/>
    <m/>
    <m/>
    <m/>
  </r>
  <r>
    <s v="TC-2011-000157-GTM"/>
    <n v="271"/>
    <x v="205"/>
    <d v="2011-10-20T00:00:00"/>
    <x v="16"/>
    <n v="6"/>
    <s v="Q2"/>
    <x v="16"/>
    <n v="13"/>
    <x v="2"/>
    <s v="Honduras"/>
    <m/>
    <x v="0"/>
    <m/>
    <m/>
    <x v="0"/>
    <x v="0"/>
    <m/>
    <m/>
    <m/>
    <m/>
    <m/>
    <m/>
    <m/>
    <m/>
    <x v="0"/>
    <m/>
    <m/>
    <m/>
    <m/>
    <n v="18125"/>
    <m/>
    <m/>
    <m/>
    <m/>
    <m/>
    <m/>
    <m/>
    <n v="500"/>
    <n v="2500"/>
    <n v="1000"/>
    <m/>
    <m/>
    <m/>
    <m/>
    <n v="1000"/>
    <m/>
    <n v="1000"/>
    <m/>
    <m/>
    <m/>
    <m/>
    <m/>
    <m/>
    <m/>
    <m/>
    <m/>
    <x v="152"/>
    <x v="0"/>
    <m/>
    <m/>
    <m/>
    <m/>
    <m/>
    <m/>
    <m/>
    <m/>
    <m/>
    <m/>
    <m/>
    <m/>
    <m/>
    <m/>
    <m/>
    <m/>
    <m/>
    <m/>
  </r>
  <r>
    <s v="TC-2011-000157-GTM"/>
    <n v="271"/>
    <x v="205"/>
    <d v="2011-10-20T00:00:00"/>
    <x v="16"/>
    <n v="6"/>
    <s v="Q2"/>
    <x v="16"/>
    <n v="13"/>
    <x v="2"/>
    <s v="Guatemala"/>
    <m/>
    <x v="0"/>
    <m/>
    <m/>
    <x v="0"/>
    <x v="0"/>
    <m/>
    <n v="898600"/>
    <s v="MDRGT003"/>
    <m/>
    <m/>
    <m/>
    <m/>
    <m/>
    <x v="0"/>
    <m/>
    <m/>
    <m/>
    <m/>
    <m/>
    <m/>
    <m/>
    <m/>
    <m/>
    <m/>
    <m/>
    <m/>
    <n v="500"/>
    <n v="2500"/>
    <n v="1000"/>
    <m/>
    <m/>
    <m/>
    <m/>
    <n v="1000"/>
    <m/>
    <n v="1000"/>
    <m/>
    <m/>
    <m/>
    <m/>
    <m/>
    <m/>
    <m/>
    <m/>
    <m/>
    <x v="152"/>
    <x v="0"/>
    <m/>
    <m/>
    <m/>
    <m/>
    <m/>
    <m/>
    <m/>
    <m/>
    <m/>
    <m/>
    <m/>
    <m/>
    <m/>
    <m/>
    <m/>
    <m/>
    <m/>
    <m/>
  </r>
  <r>
    <s v="TC-2011-000157-GTM"/>
    <n v="271"/>
    <x v="205"/>
    <d v="2011-10-20T00:00:00"/>
    <x v="16"/>
    <n v="6"/>
    <s v="Q2"/>
    <x v="16"/>
    <n v="13"/>
    <x v="2"/>
    <s v="Nicaragua"/>
    <m/>
    <x v="0"/>
    <m/>
    <m/>
    <x v="0"/>
    <x v="0"/>
    <m/>
    <m/>
    <m/>
    <m/>
    <m/>
    <m/>
    <m/>
    <m/>
    <x v="0"/>
    <m/>
    <m/>
    <m/>
    <m/>
    <n v="13625"/>
    <m/>
    <m/>
    <m/>
    <m/>
    <m/>
    <m/>
    <m/>
    <n v="500"/>
    <n v="2500"/>
    <n v="1000"/>
    <m/>
    <m/>
    <m/>
    <m/>
    <n v="1000"/>
    <m/>
    <n v="1000"/>
    <m/>
    <m/>
    <m/>
    <m/>
    <m/>
    <m/>
    <m/>
    <m/>
    <m/>
    <x v="152"/>
    <x v="0"/>
    <m/>
    <m/>
    <m/>
    <m/>
    <m/>
    <m/>
    <m/>
    <m/>
    <m/>
    <m/>
    <m/>
    <m/>
    <m/>
    <m/>
    <m/>
    <m/>
    <m/>
    <m/>
  </r>
  <r>
    <s v="EQ-2011-000162-TUR"/>
    <n v="272"/>
    <x v="253"/>
    <d v="2011-10-26T00:00:00"/>
    <x v="16"/>
    <n v="7"/>
    <s v="Q2"/>
    <x v="16"/>
    <n v="14"/>
    <x v="3"/>
    <s v="Turkey"/>
    <m/>
    <x v="3"/>
    <m/>
    <m/>
    <x v="51"/>
    <x v="1"/>
    <s v="IFRC"/>
    <n v="11800000"/>
    <s v="MDRTR002"/>
    <n v="6.8559322033898307E-2"/>
    <m/>
    <m/>
    <m/>
    <n v="60000"/>
    <x v="0"/>
    <m/>
    <n v="1"/>
    <n v="809000"/>
    <m/>
    <m/>
    <m/>
    <n v="809000"/>
    <m/>
    <m/>
    <m/>
    <m/>
    <m/>
    <m/>
    <m/>
    <m/>
    <m/>
    <m/>
    <m/>
    <m/>
    <m/>
    <m/>
    <m/>
    <m/>
    <m/>
    <m/>
    <m/>
    <m/>
    <n v="809000"/>
    <m/>
    <m/>
    <m/>
    <x v="190"/>
    <x v="1"/>
    <s v="C"/>
    <n v="915000"/>
    <d v="2011-11-22T00:00:00"/>
    <s v="ongoing"/>
    <n v="2814"/>
    <m/>
    <m/>
    <m/>
    <m/>
    <m/>
    <m/>
    <m/>
    <s v="N"/>
    <m/>
    <s v="2814 - Turkey Relief &amp;  Development. Designated fundraising from corporations only. 2799/RRF funds were used for first $100,000, but later reimbursed by 2814 funds."/>
    <m/>
    <m/>
    <s v="CASH: 1) Oct 26 - $100,000 PMN contribution to Federation appeal earmarked for relief - originally paid by RRF/2799, but later reimbursed by AP 2814. 2) Nov 22 - $709,000 PMN earmarked for shelter.  (Previous Nov 3 PMN contribution to Federation appeal for $500,000 earmarked for relief was nulled as relief objective filled)."/>
  </r>
  <r>
    <m/>
    <n v="273"/>
    <x v="6"/>
    <d v="2011-11-01T00:00:00"/>
    <x v="16"/>
    <n v="8"/>
    <s v="Q2"/>
    <x v="16"/>
    <n v="15"/>
    <x v="2"/>
    <s v="Mexico"/>
    <m/>
    <x v="2"/>
    <m/>
    <m/>
    <x v="83"/>
    <x v="2"/>
    <m/>
    <m/>
    <s v="bilateral request"/>
    <m/>
    <m/>
    <m/>
    <m/>
    <m/>
    <x v="1"/>
    <n v="45000"/>
    <m/>
    <m/>
    <m/>
    <n v="270000"/>
    <m/>
    <n v="270000"/>
    <m/>
    <m/>
    <m/>
    <m/>
    <m/>
    <m/>
    <m/>
    <m/>
    <m/>
    <m/>
    <m/>
    <m/>
    <m/>
    <m/>
    <m/>
    <m/>
    <m/>
    <m/>
    <m/>
    <m/>
    <n v="270000"/>
    <m/>
    <m/>
    <m/>
    <x v="191"/>
    <x v="1"/>
    <s v="C"/>
    <n v="287000"/>
    <d v="2011-11-01T00:00:00"/>
    <d v="2011-11-01T00:00:00"/>
    <n v="2020"/>
    <m/>
    <m/>
    <m/>
    <m/>
    <m/>
    <m/>
    <m/>
    <s v="N"/>
    <m/>
    <m/>
    <m/>
    <m/>
    <s v="CASH: A bilateral grant to the Mexican Red Cross for prcurement of food parcels and clean up kits for 9,000 families /45,000 people."/>
  </r>
  <r>
    <s v="FL-2011-000137-VNM"/>
    <n v="274"/>
    <x v="21"/>
    <d v="2011-11-10T00:00:00"/>
    <x v="16"/>
    <n v="9"/>
    <s v="Q2"/>
    <x v="16"/>
    <n v="16"/>
    <x v="3"/>
    <s v="Vietnam"/>
    <m/>
    <x v="2"/>
    <m/>
    <m/>
    <x v="84"/>
    <x v="1"/>
    <s v="IFRC"/>
    <n v="1229430"/>
    <s v="MDRVN009"/>
    <n v="0.04"/>
    <m/>
    <m/>
    <m/>
    <n v="42000"/>
    <x v="0"/>
    <m/>
    <n v="1"/>
    <n v="50000"/>
    <m/>
    <m/>
    <m/>
    <n v="50000"/>
    <m/>
    <m/>
    <m/>
    <m/>
    <m/>
    <m/>
    <m/>
    <m/>
    <m/>
    <m/>
    <m/>
    <m/>
    <m/>
    <m/>
    <m/>
    <m/>
    <m/>
    <m/>
    <m/>
    <m/>
    <n v="50000"/>
    <m/>
    <m/>
    <m/>
    <x v="16"/>
    <x v="2"/>
    <m/>
    <m/>
    <m/>
    <m/>
    <n v="2799"/>
    <m/>
    <m/>
    <m/>
    <m/>
    <m/>
    <m/>
    <m/>
    <s v="Y"/>
    <m/>
    <m/>
    <m/>
    <m/>
    <s v="CASH: PMN contribution of $50,000 towards appeal, earmarked for relief objective."/>
  </r>
  <r>
    <s v="FL-2011-000135-THA"/>
    <n v="275"/>
    <x v="254"/>
    <d v="2011-11-10T00:00:00"/>
    <x v="16"/>
    <n v="10"/>
    <s v="Q2"/>
    <x v="16"/>
    <n v="17"/>
    <x v="3"/>
    <s v="Thailand"/>
    <m/>
    <x v="2"/>
    <m/>
    <m/>
    <x v="85"/>
    <x v="2"/>
    <m/>
    <m/>
    <s v="regional plan"/>
    <m/>
    <m/>
    <m/>
    <m/>
    <m/>
    <x v="0"/>
    <m/>
    <n v="1"/>
    <n v="167000"/>
    <m/>
    <m/>
    <m/>
    <n v="167000"/>
    <m/>
    <m/>
    <m/>
    <m/>
    <m/>
    <m/>
    <m/>
    <m/>
    <m/>
    <m/>
    <m/>
    <m/>
    <m/>
    <m/>
    <m/>
    <m/>
    <m/>
    <m/>
    <m/>
    <m/>
    <n v="167000"/>
    <m/>
    <m/>
    <m/>
    <x v="192"/>
    <x v="1"/>
    <s v="C"/>
    <n v="189000"/>
    <d v="2011-11-22T00:00:00"/>
    <d v="2011-11-17T00:00:00"/>
    <n v="2689"/>
    <m/>
    <m/>
    <m/>
    <m/>
    <m/>
    <m/>
    <m/>
    <s v="N"/>
    <m/>
    <s v="2689 - Southeast Asia Typhoons and Floods. Designated funding for corporate  contributions only.  $189k raised as of 11/22"/>
    <m/>
    <m/>
    <s v="CASH: $167,000 Cash grant to Intl Federation Regional Country Plan (not appeal) due to Thai RC not wanting an appeal."/>
  </r>
  <r>
    <m/>
    <n v="276"/>
    <x v="157"/>
    <d v="2011-12-02T00:00:00"/>
    <x v="16"/>
    <n v="11"/>
    <s v="Q2"/>
    <x v="16"/>
    <n v="18"/>
    <x v="2"/>
    <s v="Colombia"/>
    <m/>
    <x v="2"/>
    <m/>
    <m/>
    <x v="86"/>
    <x v="2"/>
    <m/>
    <m/>
    <m/>
    <m/>
    <m/>
    <m/>
    <m/>
    <m/>
    <x v="1"/>
    <m/>
    <m/>
    <m/>
    <m/>
    <n v="100000"/>
    <m/>
    <n v="100000"/>
    <m/>
    <m/>
    <m/>
    <m/>
    <m/>
    <m/>
    <m/>
    <m/>
    <m/>
    <m/>
    <m/>
    <m/>
    <m/>
    <m/>
    <m/>
    <m/>
    <m/>
    <m/>
    <m/>
    <m/>
    <n v="100000"/>
    <m/>
    <m/>
    <m/>
    <x v="5"/>
    <x v="2"/>
    <m/>
    <m/>
    <m/>
    <m/>
    <n v="2799"/>
    <m/>
    <m/>
    <m/>
    <m/>
    <m/>
    <m/>
    <m/>
    <s v="Y"/>
    <m/>
    <m/>
    <m/>
    <m/>
    <s v="CASH: $100,000 grant letter bilaterally to Colombian Red Cross in response to their proposal to fund part of their plan of action."/>
  </r>
</pivotCacheRecords>
</file>

<file path=xl/pivotCache/pivotCacheRecords13.xml><?xml version="1.0" encoding="utf-8"?>
<pivotCacheRecords xmlns="http://schemas.openxmlformats.org/spreadsheetml/2006/main" xmlns:r="http://schemas.openxmlformats.org/officeDocument/2006/relationships" count="360">
  <r>
    <m/>
    <s v="a"/>
    <x v="0"/>
    <d v="1985-09-01T00:00:00"/>
    <x v="0"/>
    <m/>
    <m/>
    <x v="0"/>
    <m/>
    <x v="0"/>
    <m/>
    <m/>
    <x v="0"/>
    <m/>
    <m/>
    <x v="0"/>
    <x v="0"/>
    <m/>
    <x v="0"/>
    <m/>
    <x v="0"/>
    <m/>
    <m/>
    <m/>
    <m/>
    <m/>
    <m/>
    <m/>
    <m/>
    <m/>
    <m/>
    <m/>
    <m/>
    <m/>
    <m/>
    <m/>
    <m/>
    <m/>
    <m/>
    <m/>
    <m/>
    <m/>
    <m/>
    <m/>
    <m/>
    <m/>
    <m/>
    <m/>
    <m/>
    <m/>
    <m/>
    <m/>
    <m/>
    <m/>
    <m/>
    <m/>
    <m/>
    <x v="0"/>
    <x v="0"/>
    <m/>
    <m/>
    <m/>
    <m/>
    <m/>
    <m/>
    <m/>
    <m/>
    <m/>
    <m/>
    <m/>
    <m/>
    <m/>
    <m/>
    <m/>
    <m/>
    <m/>
    <m/>
  </r>
  <r>
    <m/>
    <s v="b"/>
    <x v="1"/>
    <d v="1988-12-01T00:00:00"/>
    <x v="1"/>
    <m/>
    <m/>
    <x v="1"/>
    <m/>
    <x v="0"/>
    <m/>
    <m/>
    <x v="0"/>
    <m/>
    <m/>
    <x v="0"/>
    <x v="0"/>
    <m/>
    <x v="0"/>
    <m/>
    <x v="0"/>
    <m/>
    <m/>
    <m/>
    <m/>
    <m/>
    <m/>
    <m/>
    <m/>
    <m/>
    <m/>
    <m/>
    <m/>
    <m/>
    <m/>
    <m/>
    <m/>
    <m/>
    <m/>
    <m/>
    <m/>
    <m/>
    <m/>
    <m/>
    <m/>
    <m/>
    <m/>
    <m/>
    <m/>
    <m/>
    <m/>
    <m/>
    <m/>
    <m/>
    <m/>
    <m/>
    <m/>
    <x v="1"/>
    <x v="0"/>
    <m/>
    <m/>
    <m/>
    <m/>
    <m/>
    <m/>
    <m/>
    <m/>
    <m/>
    <m/>
    <m/>
    <m/>
    <m/>
    <m/>
    <m/>
    <m/>
    <m/>
    <m/>
  </r>
  <r>
    <m/>
    <s v="c"/>
    <x v="2"/>
    <d v="1994-06-01T00:00:00"/>
    <x v="2"/>
    <m/>
    <m/>
    <x v="2"/>
    <m/>
    <x v="0"/>
    <m/>
    <m/>
    <x v="0"/>
    <m/>
    <m/>
    <x v="0"/>
    <x v="0"/>
    <m/>
    <x v="0"/>
    <m/>
    <x v="0"/>
    <m/>
    <m/>
    <m/>
    <m/>
    <m/>
    <m/>
    <m/>
    <m/>
    <m/>
    <m/>
    <m/>
    <m/>
    <m/>
    <m/>
    <m/>
    <m/>
    <m/>
    <m/>
    <m/>
    <m/>
    <m/>
    <m/>
    <m/>
    <m/>
    <m/>
    <m/>
    <m/>
    <m/>
    <m/>
    <m/>
    <m/>
    <m/>
    <m/>
    <m/>
    <m/>
    <m/>
    <x v="2"/>
    <x v="0"/>
    <m/>
    <m/>
    <m/>
    <m/>
    <m/>
    <m/>
    <m/>
    <m/>
    <m/>
    <m/>
    <m/>
    <m/>
    <m/>
    <m/>
    <m/>
    <m/>
    <m/>
    <m/>
  </r>
  <r>
    <m/>
    <s v="d"/>
    <x v="3"/>
    <d v="1998-10-01T00:00:00"/>
    <x v="3"/>
    <m/>
    <m/>
    <x v="3"/>
    <m/>
    <x v="0"/>
    <m/>
    <m/>
    <x v="0"/>
    <m/>
    <m/>
    <x v="1"/>
    <x v="0"/>
    <m/>
    <x v="0"/>
    <m/>
    <x v="0"/>
    <m/>
    <m/>
    <m/>
    <m/>
    <m/>
    <m/>
    <m/>
    <m/>
    <m/>
    <m/>
    <m/>
    <m/>
    <m/>
    <m/>
    <m/>
    <m/>
    <m/>
    <m/>
    <m/>
    <m/>
    <m/>
    <m/>
    <m/>
    <m/>
    <m/>
    <m/>
    <m/>
    <m/>
    <m/>
    <m/>
    <m/>
    <m/>
    <m/>
    <m/>
    <m/>
    <m/>
    <x v="3"/>
    <x v="0"/>
    <m/>
    <m/>
    <m/>
    <m/>
    <m/>
    <m/>
    <m/>
    <m/>
    <m/>
    <m/>
    <m/>
    <m/>
    <m/>
    <m/>
    <m/>
    <m/>
    <m/>
    <m/>
  </r>
  <r>
    <m/>
    <s v="e"/>
    <x v="4"/>
    <d v="1999-03-01T00:00:00"/>
    <x v="3"/>
    <m/>
    <m/>
    <x v="4"/>
    <m/>
    <x v="0"/>
    <m/>
    <m/>
    <x v="0"/>
    <m/>
    <m/>
    <x v="0"/>
    <x v="0"/>
    <m/>
    <x v="0"/>
    <m/>
    <x v="0"/>
    <m/>
    <m/>
    <m/>
    <m/>
    <m/>
    <m/>
    <m/>
    <m/>
    <m/>
    <m/>
    <m/>
    <m/>
    <m/>
    <m/>
    <m/>
    <m/>
    <m/>
    <m/>
    <m/>
    <m/>
    <m/>
    <m/>
    <m/>
    <m/>
    <m/>
    <m/>
    <m/>
    <m/>
    <m/>
    <m/>
    <m/>
    <m/>
    <m/>
    <m/>
    <m/>
    <m/>
    <x v="4"/>
    <x v="0"/>
    <m/>
    <m/>
    <m/>
    <m/>
    <m/>
    <m/>
    <m/>
    <m/>
    <m/>
    <m/>
    <m/>
    <m/>
    <m/>
    <m/>
    <m/>
    <m/>
    <m/>
    <m/>
  </r>
  <r>
    <m/>
    <n v="1"/>
    <x v="5"/>
    <d v="1999-06-01T00:00:00"/>
    <x v="3"/>
    <n v="1"/>
    <m/>
    <x v="4"/>
    <n v="1"/>
    <x v="1"/>
    <s v="Ethiopia"/>
    <m/>
    <x v="1"/>
    <s v="Drought"/>
    <s v="Drought"/>
    <x v="0"/>
    <x v="0"/>
    <m/>
    <x v="0"/>
    <m/>
    <x v="0"/>
    <m/>
    <m/>
    <m/>
    <m/>
    <m/>
    <m/>
    <n v="1"/>
    <n v="100000"/>
    <m/>
    <m/>
    <m/>
    <n v="100000"/>
    <n v="0"/>
    <m/>
    <m/>
    <m/>
    <m/>
    <m/>
    <m/>
    <m/>
    <m/>
    <m/>
    <m/>
    <m/>
    <m/>
    <m/>
    <m/>
    <m/>
    <m/>
    <m/>
    <m/>
    <m/>
    <n v="100000"/>
    <m/>
    <m/>
    <n v="7159.297959242117"/>
    <x v="5"/>
    <x v="1"/>
    <m/>
    <m/>
    <m/>
    <m/>
    <n v="2898"/>
    <m/>
    <m/>
    <m/>
    <m/>
    <m/>
    <m/>
    <m/>
    <m/>
    <m/>
    <m/>
    <m/>
    <m/>
    <s v="Region response"/>
  </r>
  <r>
    <m/>
    <n v="2"/>
    <x v="6"/>
    <d v="1999-06-01T00:00:00"/>
    <x v="3"/>
    <n v="2"/>
    <m/>
    <x v="4"/>
    <n v="2"/>
    <x v="2"/>
    <s v="Mexico"/>
    <m/>
    <x v="2"/>
    <s v="General Floods"/>
    <s v="General Floods"/>
    <x v="0"/>
    <x v="0"/>
    <m/>
    <x v="0"/>
    <m/>
    <x v="0"/>
    <m/>
    <m/>
    <m/>
    <m/>
    <m/>
    <m/>
    <m/>
    <m/>
    <m/>
    <n v="100000"/>
    <m/>
    <n v="100000"/>
    <n v="1"/>
    <m/>
    <m/>
    <m/>
    <m/>
    <m/>
    <m/>
    <m/>
    <m/>
    <m/>
    <m/>
    <m/>
    <m/>
    <m/>
    <m/>
    <m/>
    <m/>
    <m/>
    <m/>
    <m/>
    <n v="100000"/>
    <m/>
    <m/>
    <n v="34050"/>
    <x v="5"/>
    <x v="1"/>
    <m/>
    <m/>
    <m/>
    <m/>
    <n v="2898"/>
    <m/>
    <m/>
    <m/>
    <m/>
    <m/>
    <m/>
    <m/>
    <m/>
    <m/>
    <m/>
    <m/>
    <m/>
    <m/>
  </r>
  <r>
    <m/>
    <n v="3"/>
    <x v="7"/>
    <d v="1999-06-01T00:00:00"/>
    <x v="3"/>
    <n v="3"/>
    <m/>
    <x v="4"/>
    <n v="3"/>
    <x v="2"/>
    <s v="Costa Rica"/>
    <m/>
    <x v="2"/>
    <s v="General Floods"/>
    <s v="General Floods"/>
    <x v="0"/>
    <x v="0"/>
    <m/>
    <x v="0"/>
    <m/>
    <x v="0"/>
    <m/>
    <m/>
    <m/>
    <m/>
    <m/>
    <m/>
    <n v="0"/>
    <n v="10000"/>
    <m/>
    <m/>
    <m/>
    <n v="10000"/>
    <n v="0"/>
    <m/>
    <m/>
    <m/>
    <m/>
    <m/>
    <m/>
    <m/>
    <m/>
    <m/>
    <m/>
    <m/>
    <m/>
    <m/>
    <m/>
    <m/>
    <m/>
    <m/>
    <m/>
    <m/>
    <n v="10000"/>
    <m/>
    <m/>
    <n v="1000"/>
    <x v="6"/>
    <x v="1"/>
    <m/>
    <m/>
    <m/>
    <m/>
    <n v="2898"/>
    <m/>
    <m/>
    <m/>
    <m/>
    <m/>
    <m/>
    <m/>
    <m/>
    <m/>
    <m/>
    <m/>
    <m/>
    <s v="Region response"/>
  </r>
  <r>
    <m/>
    <n v="4"/>
    <x v="8"/>
    <d v="1999-08-01T00:00:00"/>
    <x v="4"/>
    <n v="1"/>
    <m/>
    <x v="4"/>
    <n v="4"/>
    <x v="3"/>
    <s v="China"/>
    <m/>
    <x v="2"/>
    <s v="General Floods"/>
    <s v="General Floods"/>
    <x v="0"/>
    <x v="0"/>
    <m/>
    <x v="0"/>
    <m/>
    <x v="0"/>
    <m/>
    <m/>
    <m/>
    <m/>
    <m/>
    <m/>
    <n v="1"/>
    <n v="100000"/>
    <m/>
    <m/>
    <m/>
    <n v="100000"/>
    <n v="0"/>
    <m/>
    <m/>
    <m/>
    <m/>
    <m/>
    <m/>
    <m/>
    <m/>
    <m/>
    <m/>
    <m/>
    <m/>
    <m/>
    <m/>
    <m/>
    <m/>
    <m/>
    <m/>
    <m/>
    <n v="100000"/>
    <m/>
    <m/>
    <n v="15080.681646810435"/>
    <x v="5"/>
    <x v="1"/>
    <m/>
    <m/>
    <m/>
    <m/>
    <n v="2060"/>
    <m/>
    <m/>
    <m/>
    <m/>
    <m/>
    <m/>
    <m/>
    <m/>
    <m/>
    <m/>
    <m/>
    <m/>
    <s v="Region response"/>
  </r>
  <r>
    <m/>
    <n v="5"/>
    <x v="9"/>
    <d v="1999-08-01T00:00:00"/>
    <x v="4"/>
    <n v="2"/>
    <m/>
    <x v="4"/>
    <n v="5"/>
    <x v="3"/>
    <s v="Turkey"/>
    <m/>
    <x v="3"/>
    <s v="Earthquake"/>
    <s v="Earthquake"/>
    <x v="0"/>
    <x v="0"/>
    <m/>
    <x v="0"/>
    <m/>
    <x v="0"/>
    <m/>
    <m/>
    <m/>
    <m/>
    <m/>
    <m/>
    <m/>
    <m/>
    <m/>
    <m/>
    <m/>
    <n v="0"/>
    <n v="20"/>
    <m/>
    <m/>
    <m/>
    <m/>
    <m/>
    <m/>
    <m/>
    <m/>
    <m/>
    <m/>
    <m/>
    <m/>
    <m/>
    <m/>
    <m/>
    <m/>
    <m/>
    <n v="0"/>
    <n v="0"/>
    <n v="0"/>
    <m/>
    <m/>
    <m/>
    <x v="7"/>
    <x v="1"/>
    <m/>
    <m/>
    <m/>
    <m/>
    <n v="2814"/>
    <m/>
    <m/>
    <m/>
    <m/>
    <m/>
    <m/>
    <m/>
    <m/>
    <m/>
    <m/>
    <m/>
    <m/>
    <s v="Total expenses combined with (#19, below)"/>
  </r>
  <r>
    <m/>
    <n v="6"/>
    <x v="10"/>
    <d v="1999-08-01T00:00:00"/>
    <x v="4"/>
    <n v="3"/>
    <m/>
    <x v="4"/>
    <n v="6"/>
    <x v="2"/>
    <s v="Nicaragua"/>
    <m/>
    <x v="4"/>
    <s v="Volcanic Eruption"/>
    <s v="Volcanic Eruption"/>
    <x v="0"/>
    <x v="0"/>
    <m/>
    <x v="0"/>
    <m/>
    <x v="0"/>
    <m/>
    <m/>
    <m/>
    <m/>
    <m/>
    <m/>
    <m/>
    <m/>
    <m/>
    <n v="10000"/>
    <m/>
    <n v="10000"/>
    <n v="2"/>
    <m/>
    <m/>
    <m/>
    <m/>
    <m/>
    <m/>
    <m/>
    <m/>
    <m/>
    <m/>
    <m/>
    <m/>
    <m/>
    <m/>
    <m/>
    <m/>
    <m/>
    <m/>
    <m/>
    <n v="10000"/>
    <m/>
    <m/>
    <n v="1000"/>
    <x v="6"/>
    <x v="1"/>
    <m/>
    <m/>
    <m/>
    <m/>
    <n v="2898"/>
    <m/>
    <m/>
    <m/>
    <m/>
    <m/>
    <m/>
    <m/>
    <m/>
    <m/>
    <m/>
    <m/>
    <m/>
    <s v="Gisla Dewey and Carol Schimke sent to assist and observe"/>
  </r>
  <r>
    <m/>
    <n v="7"/>
    <x v="11"/>
    <d v="1999-08-01T00:00:00"/>
    <x v="4"/>
    <n v="4"/>
    <m/>
    <x v="4"/>
    <n v="7"/>
    <x v="3"/>
    <s v="Cambodia"/>
    <m/>
    <x v="2"/>
    <s v="General Floods"/>
    <s v="General Floods"/>
    <x v="0"/>
    <x v="0"/>
    <m/>
    <x v="0"/>
    <m/>
    <x v="0"/>
    <m/>
    <m/>
    <m/>
    <m/>
    <m/>
    <m/>
    <n v="0"/>
    <n v="25000"/>
    <m/>
    <m/>
    <m/>
    <n v="25000"/>
    <n v="0"/>
    <m/>
    <m/>
    <m/>
    <m/>
    <m/>
    <m/>
    <m/>
    <m/>
    <m/>
    <m/>
    <m/>
    <m/>
    <m/>
    <m/>
    <m/>
    <m/>
    <m/>
    <m/>
    <m/>
    <n v="25000"/>
    <m/>
    <m/>
    <n v="1321.7075933422946"/>
    <x v="8"/>
    <x v="1"/>
    <m/>
    <m/>
    <m/>
    <m/>
    <n v="2898"/>
    <m/>
    <m/>
    <m/>
    <m/>
    <m/>
    <m/>
    <m/>
    <m/>
    <m/>
    <m/>
    <m/>
    <m/>
    <s v="Region response"/>
  </r>
  <r>
    <m/>
    <n v="8"/>
    <x v="12"/>
    <d v="1999-09-01T00:00:00"/>
    <x v="4"/>
    <n v="5"/>
    <m/>
    <x v="4"/>
    <n v="8"/>
    <x v="3"/>
    <s v="Greece"/>
    <m/>
    <x v="3"/>
    <s v="Earthquake"/>
    <s v="Earthquake"/>
    <x v="0"/>
    <x v="0"/>
    <m/>
    <x v="0"/>
    <m/>
    <x v="0"/>
    <m/>
    <m/>
    <m/>
    <m/>
    <m/>
    <m/>
    <n v="1"/>
    <n v="80000"/>
    <m/>
    <m/>
    <m/>
    <n v="80000"/>
    <n v="0"/>
    <m/>
    <m/>
    <m/>
    <m/>
    <m/>
    <m/>
    <m/>
    <m/>
    <m/>
    <m/>
    <m/>
    <m/>
    <m/>
    <m/>
    <m/>
    <m/>
    <m/>
    <m/>
    <m/>
    <n v="80000"/>
    <m/>
    <m/>
    <n v="2580.0991790124413"/>
    <x v="9"/>
    <x v="1"/>
    <m/>
    <m/>
    <m/>
    <m/>
    <n v="2898"/>
    <m/>
    <m/>
    <m/>
    <m/>
    <m/>
    <m/>
    <m/>
    <m/>
    <m/>
    <m/>
    <m/>
    <m/>
    <m/>
  </r>
  <r>
    <m/>
    <n v="9"/>
    <x v="13"/>
    <d v="1999-09-01T00:00:00"/>
    <x v="4"/>
    <n v="6"/>
    <m/>
    <x v="4"/>
    <n v="9"/>
    <x v="2"/>
    <s v="Bahamas"/>
    <m/>
    <x v="5"/>
    <s v="Tropical Cyclone"/>
    <s v="Hurricane"/>
    <x v="0"/>
    <x v="0"/>
    <m/>
    <x v="0"/>
    <m/>
    <x v="0"/>
    <m/>
    <m/>
    <m/>
    <m/>
    <m/>
    <m/>
    <m/>
    <m/>
    <m/>
    <n v="25000"/>
    <m/>
    <n v="25000"/>
    <n v="3"/>
    <m/>
    <m/>
    <m/>
    <m/>
    <m/>
    <m/>
    <m/>
    <m/>
    <m/>
    <m/>
    <m/>
    <m/>
    <m/>
    <m/>
    <m/>
    <m/>
    <m/>
    <n v="97443"/>
    <n v="9750"/>
    <n v="132193"/>
    <m/>
    <m/>
    <n v="12383.247348462506"/>
    <x v="10"/>
    <x v="1"/>
    <m/>
    <m/>
    <m/>
    <m/>
    <n v="2898"/>
    <m/>
    <m/>
    <m/>
    <m/>
    <m/>
    <m/>
    <m/>
    <m/>
    <m/>
    <m/>
    <m/>
    <s v="Floyd"/>
    <s v="Hygiene kits, plastic sheeting, flashlights,batteries, bedsheets, and tents"/>
  </r>
  <r>
    <m/>
    <n v="10"/>
    <x v="14"/>
    <d v="1999-09-01T00:00:00"/>
    <x v="4"/>
    <n v="7"/>
    <m/>
    <x v="4"/>
    <n v="10"/>
    <x v="3"/>
    <s v="Taiwan"/>
    <m/>
    <x v="3"/>
    <s v="Earthquake"/>
    <s v="Earthquake"/>
    <x v="0"/>
    <x v="0"/>
    <m/>
    <x v="0"/>
    <m/>
    <x v="0"/>
    <m/>
    <m/>
    <m/>
    <m/>
    <m/>
    <m/>
    <n v="1"/>
    <n v="1200000"/>
    <m/>
    <m/>
    <m/>
    <n v="1200000"/>
    <n v="0"/>
    <m/>
    <m/>
    <m/>
    <m/>
    <m/>
    <m/>
    <m/>
    <m/>
    <m/>
    <m/>
    <m/>
    <m/>
    <m/>
    <m/>
    <m/>
    <m/>
    <m/>
    <m/>
    <m/>
    <n v="1200000"/>
    <m/>
    <m/>
    <n v="54838.842352037951"/>
    <x v="11"/>
    <x v="1"/>
    <m/>
    <m/>
    <m/>
    <m/>
    <n v="2824"/>
    <m/>
    <m/>
    <m/>
    <m/>
    <m/>
    <m/>
    <m/>
    <m/>
    <m/>
    <m/>
    <m/>
    <m/>
    <s v="Money sent to Federation"/>
  </r>
  <r>
    <m/>
    <n v="11"/>
    <x v="15"/>
    <d v="1999-09-01T00:00:00"/>
    <x v="4"/>
    <n v="8"/>
    <m/>
    <x v="4"/>
    <n v="11"/>
    <x v="3"/>
    <s v="Japan"/>
    <m/>
    <x v="6"/>
    <s v="Radiation"/>
    <s v="Radiation"/>
    <x v="0"/>
    <x v="0"/>
    <m/>
    <x v="0"/>
    <m/>
    <x v="0"/>
    <m/>
    <m/>
    <m/>
    <m/>
    <m/>
    <m/>
    <m/>
    <m/>
    <m/>
    <m/>
    <m/>
    <n v="0"/>
    <n v="0"/>
    <m/>
    <m/>
    <m/>
    <m/>
    <m/>
    <m/>
    <m/>
    <m/>
    <m/>
    <m/>
    <m/>
    <m/>
    <m/>
    <m/>
    <m/>
    <m/>
    <m/>
    <n v="200"/>
    <m/>
    <n v="200"/>
    <m/>
    <m/>
    <m/>
    <x v="12"/>
    <x v="1"/>
    <m/>
    <m/>
    <m/>
    <m/>
    <n v="2898"/>
    <m/>
    <m/>
    <m/>
    <m/>
    <m/>
    <m/>
    <m/>
    <m/>
    <m/>
    <m/>
    <m/>
    <s v="Nuclear Power Plant"/>
    <s v="Manuals related to Nuclear disasters sent to JRCS"/>
  </r>
  <r>
    <m/>
    <n v="12"/>
    <x v="0"/>
    <d v="1999-09-01T00:00:00"/>
    <x v="4"/>
    <n v="9"/>
    <m/>
    <x v="4"/>
    <n v="12"/>
    <x v="2"/>
    <s v="Mexico"/>
    <m/>
    <x v="3"/>
    <s v="Earthquake"/>
    <s v="Earthquake"/>
    <x v="0"/>
    <x v="0"/>
    <m/>
    <x v="0"/>
    <m/>
    <x v="0"/>
    <m/>
    <m/>
    <m/>
    <m/>
    <m/>
    <m/>
    <m/>
    <m/>
    <m/>
    <n v="150000"/>
    <m/>
    <n v="150000"/>
    <n v="3"/>
    <m/>
    <m/>
    <m/>
    <m/>
    <m/>
    <m/>
    <m/>
    <m/>
    <m/>
    <m/>
    <m/>
    <m/>
    <m/>
    <m/>
    <m/>
    <m/>
    <m/>
    <m/>
    <m/>
    <n v="150000"/>
    <m/>
    <m/>
    <m/>
    <x v="13"/>
    <x v="1"/>
    <m/>
    <m/>
    <m/>
    <m/>
    <n v="2020"/>
    <m/>
    <m/>
    <m/>
    <m/>
    <m/>
    <m/>
    <m/>
    <m/>
    <m/>
    <m/>
    <m/>
    <m/>
    <m/>
  </r>
  <r>
    <m/>
    <n v="13"/>
    <x v="16"/>
    <d v="1999-10-01T00:00:00"/>
    <x v="4"/>
    <n v="10"/>
    <m/>
    <x v="4"/>
    <n v="13"/>
    <x v="2"/>
    <s v="Mexico"/>
    <m/>
    <x v="7"/>
    <s v="General Floods"/>
    <s v="General Floods"/>
    <x v="0"/>
    <x v="0"/>
    <m/>
    <x v="0"/>
    <m/>
    <x v="0"/>
    <m/>
    <m/>
    <m/>
    <m/>
    <m/>
    <m/>
    <m/>
    <m/>
    <m/>
    <n v="200000"/>
    <m/>
    <n v="200000"/>
    <n v="4"/>
    <m/>
    <m/>
    <m/>
    <m/>
    <m/>
    <m/>
    <m/>
    <m/>
    <m/>
    <m/>
    <m/>
    <m/>
    <m/>
    <m/>
    <m/>
    <m/>
    <m/>
    <m/>
    <n v="5000"/>
    <n v="205000"/>
    <m/>
    <m/>
    <n v="12000"/>
    <x v="14"/>
    <x v="1"/>
    <m/>
    <m/>
    <m/>
    <m/>
    <n v="2020"/>
    <m/>
    <m/>
    <m/>
    <m/>
    <m/>
    <m/>
    <m/>
    <m/>
    <m/>
    <m/>
    <m/>
    <m/>
    <m/>
  </r>
  <r>
    <m/>
    <n v="14"/>
    <x v="17"/>
    <d v="1999-10-01T00:00:00"/>
    <x v="4"/>
    <n v="11"/>
    <m/>
    <x v="4"/>
    <n v="14"/>
    <x v="3"/>
    <s v="Russian Fed."/>
    <m/>
    <x v="8"/>
    <s v="Conflict"/>
    <s v="Conflict"/>
    <x v="0"/>
    <x v="0"/>
    <m/>
    <x v="0"/>
    <m/>
    <x v="0"/>
    <m/>
    <m/>
    <m/>
    <m/>
    <m/>
    <m/>
    <m/>
    <m/>
    <m/>
    <n v="75000"/>
    <m/>
    <n v="75000"/>
    <n v="0"/>
    <m/>
    <m/>
    <n v="76700"/>
    <m/>
    <n v="11200"/>
    <n v="55000"/>
    <n v="10500"/>
    <m/>
    <m/>
    <m/>
    <m/>
    <m/>
    <m/>
    <m/>
    <m/>
    <m/>
    <m/>
    <n v="535134"/>
    <m/>
    <n v="610134"/>
    <m/>
    <m/>
    <n v="55000"/>
    <x v="15"/>
    <x v="1"/>
    <m/>
    <m/>
    <m/>
    <m/>
    <n v="2045"/>
    <m/>
    <m/>
    <m/>
    <m/>
    <m/>
    <m/>
    <m/>
    <m/>
    <m/>
    <m/>
    <m/>
    <s v="Chechnya"/>
    <s v="Chechnya:  Response handled by Regional desk, winter clothing for 3,000 people, 55,000 blankets, 10,500 Jerry cans, 11,200 hygiene parcels."/>
  </r>
  <r>
    <m/>
    <n v="15"/>
    <x v="18"/>
    <d v="1999-10-01T00:00:00"/>
    <x v="4"/>
    <n v="12"/>
    <m/>
    <x v="4"/>
    <n v="15"/>
    <x v="3"/>
    <s v="Timor-Leste"/>
    <m/>
    <x v="8"/>
    <s v="Conflict"/>
    <s v="Conflict"/>
    <x v="0"/>
    <x v="0"/>
    <m/>
    <x v="0"/>
    <m/>
    <x v="0"/>
    <m/>
    <m/>
    <m/>
    <m/>
    <m/>
    <m/>
    <m/>
    <m/>
    <m/>
    <n v="10000"/>
    <m/>
    <n v="10000"/>
    <n v="1"/>
    <m/>
    <m/>
    <m/>
    <m/>
    <m/>
    <m/>
    <m/>
    <m/>
    <m/>
    <m/>
    <m/>
    <m/>
    <m/>
    <m/>
    <m/>
    <m/>
    <m/>
    <m/>
    <m/>
    <n v="10000"/>
    <m/>
    <m/>
    <m/>
    <x v="6"/>
    <x v="1"/>
    <m/>
    <m/>
    <m/>
    <m/>
    <n v="2898"/>
    <m/>
    <m/>
    <m/>
    <m/>
    <m/>
    <m/>
    <m/>
    <m/>
    <m/>
    <m/>
    <m/>
    <s v="Referendum"/>
    <s v="Kevin Kelley sent."/>
  </r>
  <r>
    <m/>
    <n v="16"/>
    <x v="19"/>
    <d v="1999-10-01T00:00:00"/>
    <x v="4"/>
    <n v="13"/>
    <m/>
    <x v="4"/>
    <n v="16"/>
    <x v="3"/>
    <s v="Bangladesh"/>
    <m/>
    <x v="2"/>
    <s v="General Floods"/>
    <s v="General Floods"/>
    <x v="0"/>
    <x v="0"/>
    <m/>
    <x v="0"/>
    <m/>
    <x v="0"/>
    <m/>
    <m/>
    <m/>
    <m/>
    <m/>
    <m/>
    <n v="0"/>
    <n v="25000"/>
    <m/>
    <m/>
    <m/>
    <n v="25000"/>
    <n v="0"/>
    <m/>
    <m/>
    <m/>
    <m/>
    <m/>
    <m/>
    <m/>
    <m/>
    <m/>
    <m/>
    <m/>
    <m/>
    <m/>
    <m/>
    <m/>
    <m/>
    <m/>
    <m/>
    <m/>
    <n v="25000"/>
    <m/>
    <m/>
    <n v="2500"/>
    <x v="8"/>
    <x v="1"/>
    <m/>
    <m/>
    <m/>
    <m/>
    <n v="2898"/>
    <m/>
    <m/>
    <m/>
    <m/>
    <m/>
    <m/>
    <m/>
    <m/>
    <m/>
    <m/>
    <m/>
    <m/>
    <m/>
  </r>
  <r>
    <m/>
    <n v="17"/>
    <x v="20"/>
    <d v="1999-11-01T00:00:00"/>
    <x v="4"/>
    <n v="14"/>
    <m/>
    <x v="4"/>
    <n v="17"/>
    <x v="3"/>
    <s v="India"/>
    <m/>
    <x v="5"/>
    <s v="Tropical Cyclone"/>
    <s v="Cyclone"/>
    <x v="0"/>
    <x v="0"/>
    <m/>
    <x v="0"/>
    <m/>
    <x v="0"/>
    <m/>
    <m/>
    <m/>
    <m/>
    <m/>
    <m/>
    <n v="1"/>
    <n v="50000"/>
    <m/>
    <m/>
    <m/>
    <n v="50000"/>
    <n v="0"/>
    <m/>
    <m/>
    <m/>
    <m/>
    <m/>
    <m/>
    <m/>
    <m/>
    <m/>
    <m/>
    <m/>
    <m/>
    <m/>
    <m/>
    <m/>
    <m/>
    <m/>
    <m/>
    <m/>
    <n v="50000"/>
    <m/>
    <m/>
    <n v="5000"/>
    <x v="16"/>
    <x v="1"/>
    <m/>
    <m/>
    <m/>
    <m/>
    <n v="2898"/>
    <m/>
    <m/>
    <m/>
    <m/>
    <m/>
    <m/>
    <m/>
    <m/>
    <m/>
    <m/>
    <m/>
    <m/>
    <s v="Federation handled funds"/>
  </r>
  <r>
    <m/>
    <n v="18"/>
    <x v="21"/>
    <d v="1999-11-01T00:00:00"/>
    <x v="4"/>
    <n v="15"/>
    <m/>
    <x v="4"/>
    <n v="18"/>
    <x v="3"/>
    <s v="Vietnam"/>
    <m/>
    <x v="2"/>
    <s v="General Floods"/>
    <s v="General Floods"/>
    <x v="0"/>
    <x v="0"/>
    <m/>
    <x v="0"/>
    <m/>
    <x v="0"/>
    <m/>
    <m/>
    <m/>
    <m/>
    <m/>
    <m/>
    <m/>
    <m/>
    <m/>
    <n v="50000"/>
    <m/>
    <n v="50000"/>
    <n v="0"/>
    <m/>
    <m/>
    <m/>
    <m/>
    <m/>
    <m/>
    <m/>
    <m/>
    <m/>
    <m/>
    <m/>
    <m/>
    <m/>
    <m/>
    <m/>
    <m/>
    <m/>
    <m/>
    <m/>
    <n v="50000"/>
    <m/>
    <m/>
    <m/>
    <x v="16"/>
    <x v="1"/>
    <m/>
    <m/>
    <m/>
    <m/>
    <n v="2870"/>
    <m/>
    <m/>
    <m/>
    <m/>
    <m/>
    <m/>
    <m/>
    <m/>
    <m/>
    <m/>
    <m/>
    <m/>
    <s v="Reference Regional Desk information."/>
  </r>
  <r>
    <m/>
    <n v="19"/>
    <x v="9"/>
    <d v="1999-11-01T00:00:00"/>
    <x v="4"/>
    <n v="16"/>
    <m/>
    <x v="4"/>
    <n v="19"/>
    <x v="3"/>
    <s v="Turkey"/>
    <m/>
    <x v="3"/>
    <s v="Earthquake"/>
    <s v="Earthquake"/>
    <x v="0"/>
    <x v="0"/>
    <m/>
    <x v="0"/>
    <m/>
    <x v="0"/>
    <m/>
    <m/>
    <m/>
    <m/>
    <m/>
    <m/>
    <n v="1"/>
    <n v="2504221.9900000002"/>
    <m/>
    <n v="1360000"/>
    <m/>
    <n v="3864221.99"/>
    <n v="10"/>
    <m/>
    <m/>
    <m/>
    <m/>
    <m/>
    <m/>
    <m/>
    <m/>
    <m/>
    <m/>
    <m/>
    <m/>
    <m/>
    <m/>
    <m/>
    <m/>
    <m/>
    <n v="816758.16"/>
    <n v="472203.99"/>
    <n v="5153184.1400000006"/>
    <m/>
    <m/>
    <n v="52000"/>
    <x v="17"/>
    <x v="1"/>
    <m/>
    <m/>
    <m/>
    <m/>
    <n v="2814"/>
    <m/>
    <m/>
    <m/>
    <m/>
    <m/>
    <m/>
    <m/>
    <m/>
    <m/>
    <m/>
    <m/>
    <m/>
    <s v="Total expenditures based off expenses from August-Jan for both earthquakes affecting Turkey."/>
  </r>
  <r>
    <m/>
    <n v="20"/>
    <x v="22"/>
    <d v="1999-11-01T00:00:00"/>
    <x v="4"/>
    <n v="17"/>
    <m/>
    <x v="4"/>
    <n v="20"/>
    <x v="2"/>
    <s v="Dominica"/>
    <m/>
    <x v="5"/>
    <s v="Tropical Cyclone"/>
    <s v="Hurricane"/>
    <x v="0"/>
    <x v="0"/>
    <m/>
    <x v="0"/>
    <m/>
    <x v="0"/>
    <m/>
    <m/>
    <m/>
    <m/>
    <m/>
    <m/>
    <m/>
    <m/>
    <m/>
    <n v="15000"/>
    <m/>
    <n v="15000"/>
    <n v="1"/>
    <m/>
    <m/>
    <m/>
    <m/>
    <m/>
    <m/>
    <m/>
    <m/>
    <m/>
    <m/>
    <m/>
    <m/>
    <m/>
    <m/>
    <m/>
    <m/>
    <m/>
    <m/>
    <m/>
    <n v="15000"/>
    <m/>
    <m/>
    <n v="1500"/>
    <x v="18"/>
    <x v="1"/>
    <m/>
    <m/>
    <m/>
    <m/>
    <n v="2898"/>
    <m/>
    <m/>
    <m/>
    <m/>
    <m/>
    <m/>
    <m/>
    <m/>
    <m/>
    <m/>
    <m/>
    <s v="Lenny"/>
    <s v="Transferred directly to DRCS for household items, supplementary food to 100 families, tents &amp; hygiene kits. "/>
  </r>
  <r>
    <m/>
    <n v="20"/>
    <x v="23"/>
    <d v="1999-11-01T00:00:00"/>
    <x v="4"/>
    <n v="17"/>
    <m/>
    <x v="4"/>
    <n v="20"/>
    <x v="2"/>
    <s v="St. Kitts &amp; Nevis"/>
    <m/>
    <x v="5"/>
    <s v="Tropical Cyclone"/>
    <s v="Hurricane"/>
    <x v="0"/>
    <x v="0"/>
    <m/>
    <x v="0"/>
    <m/>
    <x v="0"/>
    <m/>
    <m/>
    <m/>
    <m/>
    <m/>
    <m/>
    <m/>
    <m/>
    <m/>
    <n v="15000"/>
    <m/>
    <n v="15000"/>
    <n v="2"/>
    <m/>
    <m/>
    <m/>
    <m/>
    <m/>
    <m/>
    <m/>
    <m/>
    <m/>
    <m/>
    <m/>
    <m/>
    <m/>
    <m/>
    <m/>
    <m/>
    <m/>
    <m/>
    <m/>
    <n v="15000"/>
    <m/>
    <m/>
    <n v="1500"/>
    <x v="18"/>
    <x v="1"/>
    <m/>
    <m/>
    <m/>
    <m/>
    <n v="2898"/>
    <m/>
    <m/>
    <m/>
    <m/>
    <m/>
    <m/>
    <m/>
    <m/>
    <m/>
    <m/>
    <m/>
    <s v="Lenny"/>
    <s v="Transferred directly to SKNRC for hygiene kits, food packages and bedding "/>
  </r>
  <r>
    <m/>
    <n v="20"/>
    <x v="24"/>
    <d v="1999-11-01T00:00:00"/>
    <x v="4"/>
    <n v="17"/>
    <m/>
    <x v="4"/>
    <n v="20"/>
    <x v="2"/>
    <s v="Antigua"/>
    <m/>
    <x v="5"/>
    <s v="Tropical Cyclone"/>
    <s v="Hurricane"/>
    <x v="0"/>
    <x v="0"/>
    <m/>
    <x v="0"/>
    <m/>
    <x v="0"/>
    <m/>
    <m/>
    <m/>
    <m/>
    <m/>
    <m/>
    <m/>
    <m/>
    <m/>
    <n v="15000"/>
    <m/>
    <n v="15000"/>
    <n v="1"/>
    <m/>
    <m/>
    <m/>
    <m/>
    <m/>
    <m/>
    <m/>
    <m/>
    <m/>
    <m/>
    <m/>
    <m/>
    <m/>
    <m/>
    <m/>
    <m/>
    <m/>
    <m/>
    <m/>
    <n v="15000"/>
    <m/>
    <m/>
    <n v="1500"/>
    <x v="18"/>
    <x v="1"/>
    <m/>
    <m/>
    <m/>
    <m/>
    <n v="2898"/>
    <m/>
    <m/>
    <m/>
    <m/>
    <m/>
    <m/>
    <m/>
    <m/>
    <m/>
    <m/>
    <m/>
    <s v="Lenny"/>
    <s v="$15,000 for mattresses, first aid supplies, and roofing .     "/>
  </r>
  <r>
    <m/>
    <n v="20"/>
    <x v="25"/>
    <d v="1999-11-01T00:00:00"/>
    <x v="4"/>
    <n v="17"/>
    <m/>
    <x v="4"/>
    <n v="20"/>
    <x v="2"/>
    <s v="Grenada"/>
    <m/>
    <x v="5"/>
    <s v="Tropical Cyclone"/>
    <s v="Hurricane"/>
    <x v="0"/>
    <x v="0"/>
    <m/>
    <x v="0"/>
    <m/>
    <x v="0"/>
    <m/>
    <m/>
    <m/>
    <m/>
    <m/>
    <m/>
    <m/>
    <m/>
    <m/>
    <n v="9000"/>
    <m/>
    <n v="9000"/>
    <n v="1"/>
    <m/>
    <m/>
    <m/>
    <m/>
    <m/>
    <m/>
    <m/>
    <m/>
    <m/>
    <m/>
    <m/>
    <m/>
    <m/>
    <m/>
    <m/>
    <m/>
    <m/>
    <m/>
    <m/>
    <n v="9000"/>
    <m/>
    <m/>
    <n v="900"/>
    <x v="19"/>
    <x v="1"/>
    <m/>
    <m/>
    <m/>
    <m/>
    <n v="2898"/>
    <m/>
    <m/>
    <m/>
    <m/>
    <m/>
    <m/>
    <m/>
    <m/>
    <m/>
    <m/>
    <m/>
    <s v="Lenny"/>
    <m/>
  </r>
  <r>
    <m/>
    <n v="20"/>
    <x v="26"/>
    <d v="1999-11-01T00:00:00"/>
    <x v="4"/>
    <n v="17"/>
    <m/>
    <x v="4"/>
    <n v="20"/>
    <x v="2"/>
    <s v="St. Maartens"/>
    <m/>
    <x v="5"/>
    <s v="Tropical Cyclone"/>
    <s v="Hurricane"/>
    <x v="0"/>
    <x v="0"/>
    <m/>
    <x v="0"/>
    <m/>
    <x v="0"/>
    <m/>
    <m/>
    <m/>
    <m/>
    <m/>
    <m/>
    <m/>
    <m/>
    <m/>
    <n v="9000"/>
    <m/>
    <n v="9000"/>
    <m/>
    <m/>
    <m/>
    <m/>
    <m/>
    <m/>
    <m/>
    <m/>
    <m/>
    <m/>
    <m/>
    <m/>
    <m/>
    <m/>
    <m/>
    <m/>
    <m/>
    <m/>
    <m/>
    <m/>
    <n v="9000"/>
    <m/>
    <m/>
    <n v="900"/>
    <x v="19"/>
    <x v="1"/>
    <m/>
    <m/>
    <m/>
    <m/>
    <n v="2898"/>
    <m/>
    <m/>
    <m/>
    <m/>
    <m/>
    <m/>
    <m/>
    <m/>
    <m/>
    <m/>
    <m/>
    <s v="Lenny"/>
    <m/>
  </r>
  <r>
    <m/>
    <n v="21"/>
    <x v="27"/>
    <d v="1999-12-01T00:00:00"/>
    <x v="4"/>
    <n v="18"/>
    <m/>
    <x v="4"/>
    <n v="21"/>
    <x v="2"/>
    <s v="Venezuela"/>
    <m/>
    <x v="2"/>
    <s v="General Floods"/>
    <s v="General Floods"/>
    <x v="0"/>
    <x v="0"/>
    <m/>
    <x v="0"/>
    <m/>
    <x v="0"/>
    <m/>
    <m/>
    <m/>
    <m/>
    <m/>
    <m/>
    <m/>
    <m/>
    <m/>
    <n v="50000"/>
    <m/>
    <n v="50000"/>
    <n v="23"/>
    <m/>
    <m/>
    <n v="55532"/>
    <m/>
    <n v="2200"/>
    <n v="4625"/>
    <n v="2550"/>
    <m/>
    <n v="36"/>
    <m/>
    <n v="6120"/>
    <m/>
    <n v="40000"/>
    <m/>
    <n v="7"/>
    <m/>
    <m/>
    <n v="506000"/>
    <n v="500000"/>
    <n v="1056000"/>
    <m/>
    <m/>
    <n v="120000"/>
    <x v="20"/>
    <x v="1"/>
    <m/>
    <m/>
    <m/>
    <m/>
    <n v="2912"/>
    <m/>
    <m/>
    <m/>
    <m/>
    <m/>
    <m/>
    <m/>
    <m/>
    <m/>
    <m/>
    <m/>
    <m/>
    <s v="2,550 collapsible water containers. Purchased and shipped 7 Ford trucks, ($182,000),  13 MT calcium hypochloride ($30,000)"/>
  </r>
  <r>
    <m/>
    <n v="22"/>
    <x v="28"/>
    <d v="2000-02-01T00:00:00"/>
    <x v="4"/>
    <n v="19"/>
    <m/>
    <x v="5"/>
    <n v="1"/>
    <x v="1"/>
    <s v="South Africa"/>
    <m/>
    <x v="2"/>
    <s v="General Floods"/>
    <s v="General Floods"/>
    <x v="0"/>
    <x v="0"/>
    <m/>
    <x v="0"/>
    <m/>
    <x v="0"/>
    <m/>
    <m/>
    <m/>
    <m/>
    <m/>
    <m/>
    <n v="0"/>
    <n v="23333.333333333332"/>
    <m/>
    <m/>
    <m/>
    <n v="23333.333333333332"/>
    <n v="0"/>
    <m/>
    <m/>
    <m/>
    <m/>
    <m/>
    <m/>
    <m/>
    <m/>
    <m/>
    <m/>
    <m/>
    <m/>
    <m/>
    <m/>
    <m/>
    <m/>
    <m/>
    <m/>
    <m/>
    <n v="23333.333333333332"/>
    <m/>
    <m/>
    <n v="2300"/>
    <x v="21"/>
    <x v="1"/>
    <m/>
    <m/>
    <m/>
    <m/>
    <n v="2898"/>
    <m/>
    <m/>
    <m/>
    <m/>
    <m/>
    <m/>
    <m/>
    <m/>
    <m/>
    <m/>
    <m/>
    <m/>
    <s v="Federation handled funds ($70,000 total)"/>
  </r>
  <r>
    <m/>
    <n v="22"/>
    <x v="29"/>
    <d v="2000-02-01T00:00:00"/>
    <x v="4"/>
    <n v="19"/>
    <m/>
    <x v="5"/>
    <n v="1"/>
    <x v="1"/>
    <s v="Botswana"/>
    <m/>
    <x v="2"/>
    <s v="General Floods"/>
    <s v="General Floods"/>
    <x v="0"/>
    <x v="0"/>
    <m/>
    <x v="0"/>
    <m/>
    <x v="0"/>
    <m/>
    <m/>
    <m/>
    <m/>
    <m/>
    <m/>
    <n v="0"/>
    <n v="23333.333333333332"/>
    <m/>
    <m/>
    <m/>
    <n v="23333.333333333332"/>
    <m/>
    <m/>
    <m/>
    <m/>
    <m/>
    <m/>
    <m/>
    <m/>
    <m/>
    <m/>
    <m/>
    <m/>
    <m/>
    <m/>
    <m/>
    <m/>
    <m/>
    <m/>
    <m/>
    <m/>
    <n v="23333.333333333332"/>
    <m/>
    <m/>
    <n v="2300"/>
    <x v="21"/>
    <x v="1"/>
    <m/>
    <m/>
    <m/>
    <m/>
    <n v="2898"/>
    <m/>
    <m/>
    <m/>
    <m/>
    <m/>
    <m/>
    <m/>
    <m/>
    <m/>
    <m/>
    <m/>
    <m/>
    <s v="Federation handled funds ($70,000 total)"/>
  </r>
  <r>
    <m/>
    <n v="22"/>
    <x v="30"/>
    <d v="2000-02-01T00:00:00"/>
    <x v="4"/>
    <n v="19"/>
    <m/>
    <x v="5"/>
    <n v="1"/>
    <x v="1"/>
    <s v="Zimbabwe"/>
    <m/>
    <x v="2"/>
    <s v="General Floods"/>
    <s v="General Floods"/>
    <x v="0"/>
    <x v="0"/>
    <m/>
    <x v="0"/>
    <m/>
    <x v="0"/>
    <m/>
    <m/>
    <m/>
    <m/>
    <m/>
    <m/>
    <n v="0"/>
    <n v="23333.343333333331"/>
    <m/>
    <m/>
    <m/>
    <n v="23333.343333333331"/>
    <m/>
    <m/>
    <m/>
    <m/>
    <m/>
    <m/>
    <m/>
    <m/>
    <m/>
    <m/>
    <m/>
    <m/>
    <m/>
    <m/>
    <m/>
    <m/>
    <m/>
    <m/>
    <m/>
    <m/>
    <n v="23333.343333333331"/>
    <m/>
    <m/>
    <n v="2300"/>
    <x v="22"/>
    <x v="1"/>
    <m/>
    <m/>
    <m/>
    <m/>
    <n v="2898"/>
    <m/>
    <m/>
    <m/>
    <m/>
    <m/>
    <m/>
    <m/>
    <m/>
    <m/>
    <m/>
    <m/>
    <m/>
    <s v="Federation handled funds ($70,000 total)"/>
  </r>
  <r>
    <m/>
    <n v="23"/>
    <x v="31"/>
    <d v="2000-03-01T00:00:00"/>
    <x v="4"/>
    <n v="21"/>
    <m/>
    <x v="5"/>
    <n v="3"/>
    <x v="1"/>
    <s v="Madagascar"/>
    <m/>
    <x v="2"/>
    <s v="General Floods"/>
    <s v="General Floods"/>
    <x v="0"/>
    <x v="0"/>
    <m/>
    <x v="0"/>
    <m/>
    <x v="0"/>
    <m/>
    <m/>
    <m/>
    <m/>
    <m/>
    <m/>
    <n v="0"/>
    <n v="25000"/>
    <m/>
    <m/>
    <m/>
    <n v="25000"/>
    <n v="0"/>
    <m/>
    <m/>
    <m/>
    <m/>
    <m/>
    <m/>
    <m/>
    <m/>
    <m/>
    <m/>
    <m/>
    <m/>
    <m/>
    <m/>
    <m/>
    <m/>
    <m/>
    <m/>
    <m/>
    <n v="25000"/>
    <m/>
    <m/>
    <n v="2500"/>
    <x v="8"/>
    <x v="1"/>
    <m/>
    <m/>
    <m/>
    <m/>
    <n v="2898"/>
    <m/>
    <m/>
    <m/>
    <m/>
    <m/>
    <m/>
    <m/>
    <m/>
    <m/>
    <m/>
    <m/>
    <m/>
    <s v="Federation handled funds"/>
  </r>
  <r>
    <m/>
    <n v="24"/>
    <x v="5"/>
    <d v="2000-04-01T00:00:00"/>
    <x v="4"/>
    <n v="22"/>
    <m/>
    <x v="5"/>
    <n v="4"/>
    <x v="1"/>
    <s v="Ethiopia"/>
    <m/>
    <x v="1"/>
    <s v="Drought"/>
    <s v="Drought"/>
    <x v="0"/>
    <x v="0"/>
    <m/>
    <x v="0"/>
    <m/>
    <x v="0"/>
    <m/>
    <m/>
    <m/>
    <m/>
    <m/>
    <m/>
    <n v="1"/>
    <n v="100000"/>
    <m/>
    <m/>
    <m/>
    <n v="100000"/>
    <n v="0"/>
    <m/>
    <m/>
    <m/>
    <m/>
    <m/>
    <m/>
    <m/>
    <m/>
    <m/>
    <m/>
    <m/>
    <m/>
    <m/>
    <m/>
    <m/>
    <m/>
    <m/>
    <m/>
    <m/>
    <n v="100000"/>
    <m/>
    <m/>
    <n v="2376.7346201502733"/>
    <x v="5"/>
    <x v="1"/>
    <m/>
    <m/>
    <m/>
    <m/>
    <n v="2898"/>
    <m/>
    <m/>
    <m/>
    <m/>
    <m/>
    <m/>
    <m/>
    <m/>
    <m/>
    <m/>
    <m/>
    <m/>
    <m/>
  </r>
  <r>
    <m/>
    <n v="25"/>
    <x v="32"/>
    <d v="2000-06-01T00:00:00"/>
    <x v="4"/>
    <n v="23"/>
    <m/>
    <x v="5"/>
    <n v="5"/>
    <x v="3"/>
    <s v="Indonesia"/>
    <m/>
    <x v="3"/>
    <s v="Earthquake"/>
    <s v="Earthquake"/>
    <x v="0"/>
    <x v="0"/>
    <m/>
    <x v="0"/>
    <m/>
    <x v="0"/>
    <m/>
    <m/>
    <m/>
    <m/>
    <m/>
    <m/>
    <n v="1"/>
    <n v="50000"/>
    <m/>
    <m/>
    <m/>
    <n v="50000"/>
    <n v="2"/>
    <m/>
    <m/>
    <m/>
    <m/>
    <m/>
    <m/>
    <m/>
    <m/>
    <m/>
    <m/>
    <m/>
    <m/>
    <m/>
    <m/>
    <m/>
    <m/>
    <m/>
    <m/>
    <m/>
    <n v="50000"/>
    <m/>
    <m/>
    <n v="3300"/>
    <x v="16"/>
    <x v="1"/>
    <m/>
    <m/>
    <m/>
    <m/>
    <n v="2898"/>
    <m/>
    <m/>
    <m/>
    <m/>
    <m/>
    <m/>
    <m/>
    <m/>
    <m/>
    <m/>
    <m/>
    <m/>
    <s v="625 family kits"/>
  </r>
  <r>
    <m/>
    <n v="26"/>
    <x v="33"/>
    <d v="2000-08-01T00:00:00"/>
    <x v="5"/>
    <n v="1"/>
    <m/>
    <x v="5"/>
    <n v="6"/>
    <x v="3"/>
    <s v="India"/>
    <m/>
    <x v="2"/>
    <s v="General Floods"/>
    <s v="General Floods"/>
    <x v="0"/>
    <x v="0"/>
    <m/>
    <x v="0"/>
    <m/>
    <x v="0"/>
    <m/>
    <m/>
    <m/>
    <m/>
    <m/>
    <m/>
    <m/>
    <m/>
    <m/>
    <m/>
    <m/>
    <n v="0"/>
    <n v="9"/>
    <m/>
    <m/>
    <n v="5000"/>
    <m/>
    <m/>
    <m/>
    <m/>
    <m/>
    <m/>
    <m/>
    <m/>
    <m/>
    <n v="5000"/>
    <m/>
    <n v="5"/>
    <m/>
    <m/>
    <n v="199200"/>
    <n v="190065"/>
    <n v="389265"/>
    <m/>
    <m/>
    <n v="25000"/>
    <x v="23"/>
    <x v="1"/>
    <m/>
    <m/>
    <m/>
    <m/>
    <n v="4901"/>
    <m/>
    <m/>
    <m/>
    <m/>
    <m/>
    <m/>
    <m/>
    <m/>
    <m/>
    <m/>
    <m/>
    <m/>
    <s v="5,000 relief/food parcels and 5 trucks"/>
  </r>
  <r>
    <m/>
    <n v="27"/>
    <x v="19"/>
    <d v="2000-08-01T00:00:00"/>
    <x v="5"/>
    <n v="2"/>
    <m/>
    <x v="5"/>
    <n v="7"/>
    <x v="3"/>
    <s v="Bangladesh"/>
    <m/>
    <x v="2"/>
    <s v="General Floods"/>
    <s v="General Floods"/>
    <x v="0"/>
    <x v="0"/>
    <m/>
    <x v="0"/>
    <m/>
    <x v="0"/>
    <m/>
    <m/>
    <m/>
    <m/>
    <m/>
    <m/>
    <m/>
    <m/>
    <m/>
    <n v="25000"/>
    <m/>
    <n v="25000"/>
    <n v="0"/>
    <m/>
    <m/>
    <m/>
    <m/>
    <m/>
    <m/>
    <m/>
    <m/>
    <m/>
    <m/>
    <m/>
    <m/>
    <m/>
    <m/>
    <m/>
    <m/>
    <m/>
    <m/>
    <m/>
    <n v="25000"/>
    <m/>
    <m/>
    <n v="2500"/>
    <x v="8"/>
    <x v="1"/>
    <m/>
    <m/>
    <m/>
    <m/>
    <n v="2898"/>
    <m/>
    <m/>
    <m/>
    <m/>
    <m/>
    <m/>
    <m/>
    <m/>
    <m/>
    <m/>
    <m/>
    <m/>
    <s v="via Japanese Red Cross for relief supplies"/>
  </r>
  <r>
    <m/>
    <n v="28"/>
    <x v="11"/>
    <d v="2000-09-01T00:00:00"/>
    <x v="5"/>
    <n v="3"/>
    <m/>
    <x v="5"/>
    <n v="8"/>
    <x v="3"/>
    <s v="Cambodia"/>
    <m/>
    <x v="2"/>
    <s v="Storm Surge"/>
    <s v="Storm Surge"/>
    <x v="0"/>
    <x v="0"/>
    <m/>
    <x v="0"/>
    <m/>
    <x v="0"/>
    <m/>
    <m/>
    <m/>
    <m/>
    <m/>
    <m/>
    <m/>
    <m/>
    <m/>
    <n v="352704"/>
    <m/>
    <n v="352704"/>
    <n v="0"/>
    <m/>
    <m/>
    <m/>
    <m/>
    <m/>
    <m/>
    <m/>
    <m/>
    <m/>
    <m/>
    <m/>
    <m/>
    <m/>
    <m/>
    <m/>
    <m/>
    <m/>
    <m/>
    <m/>
    <n v="352704"/>
    <m/>
    <m/>
    <n v="32645"/>
    <x v="24"/>
    <x v="1"/>
    <m/>
    <m/>
    <m/>
    <m/>
    <s v="OFDA"/>
    <m/>
    <m/>
    <m/>
    <m/>
    <m/>
    <m/>
    <m/>
    <m/>
    <m/>
    <m/>
    <m/>
    <s v="TS Wukong"/>
    <s v="Three grants from OFDA (two @ $25,000 each and 1 @ $302,704) for emergency household kits"/>
  </r>
  <r>
    <m/>
    <n v="29"/>
    <x v="21"/>
    <d v="2000-09-01T00:00:00"/>
    <x v="5"/>
    <n v="4"/>
    <m/>
    <x v="5"/>
    <n v="9"/>
    <x v="3"/>
    <s v="Vietnam"/>
    <m/>
    <x v="2"/>
    <s v="Storm Surge"/>
    <s v="Storm Surge"/>
    <x v="0"/>
    <x v="0"/>
    <m/>
    <x v="0"/>
    <m/>
    <x v="0"/>
    <m/>
    <m/>
    <m/>
    <m/>
    <m/>
    <m/>
    <m/>
    <m/>
    <m/>
    <m/>
    <m/>
    <n v="0"/>
    <n v="0"/>
    <m/>
    <m/>
    <n v="1000"/>
    <m/>
    <m/>
    <m/>
    <m/>
    <m/>
    <m/>
    <m/>
    <m/>
    <m/>
    <m/>
    <m/>
    <m/>
    <m/>
    <m/>
    <n v="20000"/>
    <m/>
    <n v="20000"/>
    <m/>
    <m/>
    <n v="3500"/>
    <x v="25"/>
    <x v="1"/>
    <m/>
    <m/>
    <m/>
    <m/>
    <n v="2898"/>
    <m/>
    <m/>
    <m/>
    <m/>
    <m/>
    <m/>
    <m/>
    <m/>
    <m/>
    <m/>
    <m/>
    <s v="TS Wukong"/>
    <s v="1,000 Relief kits. (blankets, mosquito nets and cooking sets)"/>
  </r>
  <r>
    <m/>
    <n v="30"/>
    <x v="34"/>
    <d v="2000-10-01T00:00:00"/>
    <x v="5"/>
    <n v="5"/>
    <m/>
    <x v="5"/>
    <n v="10"/>
    <x v="2"/>
    <s v="Belize"/>
    <m/>
    <x v="5"/>
    <s v="Tropical Cyclone"/>
    <s v="Hurricane"/>
    <x v="0"/>
    <x v="0"/>
    <m/>
    <x v="0"/>
    <m/>
    <x v="0"/>
    <m/>
    <m/>
    <m/>
    <m/>
    <m/>
    <m/>
    <m/>
    <m/>
    <m/>
    <n v="28500"/>
    <m/>
    <n v="28500"/>
    <n v="5"/>
    <m/>
    <m/>
    <m/>
    <m/>
    <m/>
    <m/>
    <m/>
    <m/>
    <m/>
    <m/>
    <m/>
    <m/>
    <n v="2600"/>
    <m/>
    <m/>
    <m/>
    <m/>
    <n v="90000"/>
    <m/>
    <n v="118500"/>
    <m/>
    <m/>
    <n v="13000"/>
    <x v="26"/>
    <x v="1"/>
    <m/>
    <m/>
    <m/>
    <m/>
    <n v="4903"/>
    <m/>
    <m/>
    <m/>
    <m/>
    <m/>
    <m/>
    <m/>
    <m/>
    <m/>
    <m/>
    <m/>
    <s v="Keith"/>
    <s v="2,600 LDS food parcels + $30,000 for local procurement"/>
  </r>
  <r>
    <m/>
    <n v="32"/>
    <x v="35"/>
    <d v="2000-10-01T00:00:00"/>
    <x v="5"/>
    <n v="6"/>
    <m/>
    <x v="5"/>
    <n v="11"/>
    <x v="3"/>
    <s v="Israel"/>
    <m/>
    <x v="8"/>
    <s v="Conflict"/>
    <s v="Conflict"/>
    <x v="0"/>
    <x v="0"/>
    <m/>
    <x v="0"/>
    <m/>
    <x v="0"/>
    <m/>
    <m/>
    <m/>
    <m/>
    <m/>
    <m/>
    <m/>
    <m/>
    <m/>
    <n v="40000"/>
    <m/>
    <n v="40000"/>
    <m/>
    <m/>
    <m/>
    <m/>
    <m/>
    <m/>
    <m/>
    <m/>
    <m/>
    <m/>
    <m/>
    <m/>
    <m/>
    <m/>
    <m/>
    <m/>
    <m/>
    <m/>
    <n v="0"/>
    <m/>
    <n v="40000"/>
    <m/>
    <m/>
    <m/>
    <x v="27"/>
    <x v="1"/>
    <m/>
    <m/>
    <m/>
    <m/>
    <n v="2898"/>
    <m/>
    <m/>
    <m/>
    <m/>
    <m/>
    <m/>
    <m/>
    <m/>
    <m/>
    <m/>
    <m/>
    <m/>
    <s v="CASH"/>
  </r>
  <r>
    <m/>
    <n v="32"/>
    <x v="36"/>
    <d v="2000-10-01T00:00:00"/>
    <x v="5"/>
    <n v="6"/>
    <m/>
    <x v="5"/>
    <n v="11"/>
    <x v="3"/>
    <s v="Jordan"/>
    <m/>
    <x v="8"/>
    <s v="Conflict"/>
    <s v="Conflict"/>
    <x v="0"/>
    <x v="0"/>
    <m/>
    <x v="0"/>
    <m/>
    <x v="0"/>
    <m/>
    <m/>
    <m/>
    <m/>
    <m/>
    <m/>
    <m/>
    <m/>
    <m/>
    <m/>
    <m/>
    <n v="0"/>
    <m/>
    <m/>
    <m/>
    <m/>
    <m/>
    <m/>
    <m/>
    <m/>
    <m/>
    <m/>
    <m/>
    <m/>
    <m/>
    <m/>
    <m/>
    <n v="1"/>
    <m/>
    <m/>
    <n v="172000"/>
    <m/>
    <n v="172000"/>
    <m/>
    <m/>
    <m/>
    <x v="28"/>
    <x v="1"/>
    <m/>
    <m/>
    <m/>
    <m/>
    <n v="2898"/>
    <m/>
    <m/>
    <m/>
    <m/>
    <m/>
    <m/>
    <m/>
    <m/>
    <m/>
    <m/>
    <m/>
    <m/>
    <s v="1 ambulance, 1 generator, various med supp/equip"/>
  </r>
  <r>
    <m/>
    <n v="32"/>
    <x v="37"/>
    <d v="2000-10-01T00:00:00"/>
    <x v="5"/>
    <n v="6"/>
    <m/>
    <x v="5"/>
    <n v="11"/>
    <x v="3"/>
    <s v="Palestine"/>
    <m/>
    <x v="8"/>
    <s v="Conflict"/>
    <s v="Conflict"/>
    <x v="0"/>
    <x v="0"/>
    <m/>
    <x v="0"/>
    <m/>
    <x v="0"/>
    <m/>
    <m/>
    <m/>
    <m/>
    <m/>
    <m/>
    <m/>
    <m/>
    <m/>
    <m/>
    <m/>
    <n v="0"/>
    <n v="0"/>
    <m/>
    <m/>
    <m/>
    <m/>
    <m/>
    <m/>
    <m/>
    <m/>
    <m/>
    <m/>
    <m/>
    <m/>
    <m/>
    <m/>
    <n v="2"/>
    <m/>
    <m/>
    <n v="90000"/>
    <m/>
    <n v="90000"/>
    <m/>
    <m/>
    <n v="10000"/>
    <x v="29"/>
    <x v="1"/>
    <m/>
    <m/>
    <m/>
    <m/>
    <n v="2898"/>
    <m/>
    <m/>
    <m/>
    <m/>
    <m/>
    <m/>
    <m/>
    <m/>
    <m/>
    <m/>
    <m/>
    <m/>
    <s v="2 ambulances, 1 New Emergency Health Kit"/>
  </r>
  <r>
    <m/>
    <n v="33"/>
    <x v="38"/>
    <d v="2000-11-01T00:00:00"/>
    <x v="5"/>
    <n v="7"/>
    <m/>
    <x v="5"/>
    <n v="12"/>
    <x v="3"/>
    <s v="Taiwan"/>
    <m/>
    <x v="9"/>
    <s v="Air"/>
    <s v="Air"/>
    <x v="0"/>
    <x v="0"/>
    <m/>
    <x v="0"/>
    <m/>
    <x v="0"/>
    <m/>
    <m/>
    <m/>
    <m/>
    <m/>
    <m/>
    <m/>
    <m/>
    <m/>
    <m/>
    <m/>
    <n v="0"/>
    <n v="1"/>
    <m/>
    <m/>
    <m/>
    <m/>
    <m/>
    <m/>
    <m/>
    <m/>
    <m/>
    <m/>
    <m/>
    <m/>
    <m/>
    <m/>
    <m/>
    <m/>
    <m/>
    <m/>
    <n v="7500"/>
    <n v="7500"/>
    <m/>
    <m/>
    <n v="300"/>
    <x v="30"/>
    <x v="1"/>
    <m/>
    <m/>
    <m/>
    <m/>
    <n v="2898"/>
    <m/>
    <m/>
    <m/>
    <m/>
    <m/>
    <m/>
    <m/>
    <m/>
    <m/>
    <m/>
    <m/>
    <s v="Singapore Airlines 006"/>
    <s v="liaison on AIR Team"/>
  </r>
  <r>
    <m/>
    <n v="34"/>
    <x v="39"/>
    <d v="2000-11-01T00:00:00"/>
    <x v="5"/>
    <n v="8"/>
    <m/>
    <x v="5"/>
    <n v="13"/>
    <x v="3"/>
    <s v="Austria"/>
    <m/>
    <x v="10"/>
    <s v="Fire"/>
    <s v="Fire"/>
    <x v="0"/>
    <x v="0"/>
    <m/>
    <x v="0"/>
    <m/>
    <x v="0"/>
    <m/>
    <m/>
    <m/>
    <m/>
    <m/>
    <m/>
    <m/>
    <m/>
    <m/>
    <m/>
    <m/>
    <n v="0"/>
    <n v="0"/>
    <m/>
    <m/>
    <m/>
    <m/>
    <m/>
    <m/>
    <m/>
    <m/>
    <m/>
    <m/>
    <m/>
    <m/>
    <m/>
    <m/>
    <m/>
    <m/>
    <m/>
    <m/>
    <n v="2577.8000000000002"/>
    <n v="2577.8000000000002"/>
    <m/>
    <m/>
    <n v="3"/>
    <x v="31"/>
    <x v="1"/>
    <m/>
    <m/>
    <m/>
    <m/>
    <n v="2898"/>
    <m/>
    <m/>
    <m/>
    <m/>
    <m/>
    <m/>
    <m/>
    <m/>
    <m/>
    <m/>
    <m/>
    <s v="Cable Car Fire"/>
    <s v="plane tickets for family members via AFES"/>
  </r>
  <r>
    <m/>
    <n v="35"/>
    <x v="40"/>
    <d v="2000-11-01T00:00:00"/>
    <x v="5"/>
    <n v="9"/>
    <m/>
    <x v="5"/>
    <n v="14"/>
    <x v="3"/>
    <s v="Azerbaijan"/>
    <m/>
    <x v="3"/>
    <s v="Earthquake"/>
    <s v="Earthquake"/>
    <x v="0"/>
    <x v="0"/>
    <m/>
    <x v="0"/>
    <m/>
    <x v="0"/>
    <m/>
    <m/>
    <m/>
    <m/>
    <m/>
    <m/>
    <m/>
    <m/>
    <m/>
    <m/>
    <m/>
    <n v="0"/>
    <n v="1"/>
    <m/>
    <m/>
    <m/>
    <m/>
    <m/>
    <m/>
    <m/>
    <m/>
    <m/>
    <m/>
    <m/>
    <m/>
    <m/>
    <m/>
    <m/>
    <m/>
    <m/>
    <n v="25000"/>
    <n v="5500"/>
    <n v="30500"/>
    <m/>
    <m/>
    <n v="3050"/>
    <x v="32"/>
    <x v="1"/>
    <m/>
    <m/>
    <m/>
    <m/>
    <n v="2898"/>
    <m/>
    <m/>
    <m/>
    <m/>
    <m/>
    <m/>
    <m/>
    <m/>
    <m/>
    <m/>
    <m/>
    <m/>
    <s v="10 generators, tents &amp; cooking sets. Delegate from Armenia deployed"/>
  </r>
  <r>
    <m/>
    <n v="36"/>
    <x v="41"/>
    <d v="2000-12-01T00:00:00"/>
    <x v="5"/>
    <n v="10"/>
    <m/>
    <x v="5"/>
    <n v="15"/>
    <x v="3"/>
    <s v="Sri Lanka"/>
    <m/>
    <x v="5"/>
    <s v="Tropical Cyclone"/>
    <s v="Cyclone"/>
    <x v="0"/>
    <x v="0"/>
    <m/>
    <x v="0"/>
    <m/>
    <x v="0"/>
    <m/>
    <m/>
    <m/>
    <m/>
    <m/>
    <m/>
    <m/>
    <m/>
    <m/>
    <m/>
    <m/>
    <n v="0"/>
    <n v="0"/>
    <m/>
    <m/>
    <m/>
    <m/>
    <m/>
    <m/>
    <m/>
    <m/>
    <m/>
    <m/>
    <m/>
    <m/>
    <m/>
    <m/>
    <m/>
    <m/>
    <m/>
    <n v="20000"/>
    <m/>
    <n v="20000"/>
    <m/>
    <m/>
    <n v="3000"/>
    <x v="25"/>
    <x v="1"/>
    <m/>
    <m/>
    <m/>
    <m/>
    <n v="2898"/>
    <m/>
    <m/>
    <m/>
    <m/>
    <m/>
    <m/>
    <m/>
    <m/>
    <m/>
    <m/>
    <m/>
    <s v="Cyclone 04B"/>
    <s v="Bedsheets and kitchen sets"/>
  </r>
  <r>
    <m/>
    <n v="37"/>
    <x v="42"/>
    <d v="2001-01-01T00:00:00"/>
    <x v="5"/>
    <n v="11"/>
    <m/>
    <x v="6"/>
    <n v="1"/>
    <x v="1"/>
    <s v="South Africa"/>
    <m/>
    <x v="11"/>
    <s v="Bacterial"/>
    <s v="Bacterial"/>
    <x v="0"/>
    <x v="0"/>
    <m/>
    <x v="0"/>
    <m/>
    <x v="0"/>
    <m/>
    <m/>
    <m/>
    <m/>
    <m/>
    <m/>
    <n v="0"/>
    <n v="25000"/>
    <m/>
    <m/>
    <m/>
    <n v="25000"/>
    <n v="0"/>
    <m/>
    <m/>
    <m/>
    <m/>
    <m/>
    <m/>
    <m/>
    <m/>
    <m/>
    <m/>
    <m/>
    <m/>
    <m/>
    <m/>
    <m/>
    <m/>
    <m/>
    <m/>
    <m/>
    <n v="25000"/>
    <m/>
    <m/>
    <n v="5000"/>
    <x v="8"/>
    <x v="1"/>
    <m/>
    <m/>
    <m/>
    <m/>
    <n v="2898"/>
    <m/>
    <m/>
    <m/>
    <m/>
    <m/>
    <m/>
    <m/>
    <m/>
    <m/>
    <m/>
    <m/>
    <s v="Cholera Outbreak"/>
    <s v="Federation Appeal 32/00"/>
  </r>
  <r>
    <m/>
    <n v="38"/>
    <x v="43"/>
    <d v="2001-01-01T00:00:00"/>
    <x v="5"/>
    <n v="12"/>
    <m/>
    <x v="6"/>
    <n v="2"/>
    <x v="2"/>
    <s v="El Salvador"/>
    <m/>
    <x v="3"/>
    <s v="Earthquake"/>
    <s v="Earthquake"/>
    <x v="0"/>
    <x v="0"/>
    <m/>
    <x v="0"/>
    <m/>
    <x v="0"/>
    <m/>
    <m/>
    <m/>
    <m/>
    <m/>
    <m/>
    <m/>
    <m/>
    <m/>
    <n v="77500"/>
    <m/>
    <n v="77500"/>
    <n v="12"/>
    <m/>
    <m/>
    <m/>
    <m/>
    <m/>
    <m/>
    <m/>
    <m/>
    <m/>
    <m/>
    <m/>
    <m/>
    <m/>
    <m/>
    <m/>
    <m/>
    <m/>
    <n v="150000"/>
    <m/>
    <n v="227500"/>
    <m/>
    <m/>
    <m/>
    <x v="33"/>
    <x v="1"/>
    <m/>
    <m/>
    <m/>
    <m/>
    <n v="2953"/>
    <m/>
    <m/>
    <m/>
    <m/>
    <m/>
    <m/>
    <m/>
    <m/>
    <m/>
    <m/>
    <m/>
    <m/>
    <s v="Cash sent to ARC Delegation in region. Supplies from Regional Warehouses.   Total expenditures as of February 2001, post 2.01 expenditures were rolled into the second El Salvador earthquake."/>
  </r>
  <r>
    <m/>
    <n v="39"/>
    <x v="44"/>
    <d v="2001-01-01T00:00:00"/>
    <x v="5"/>
    <n v="13"/>
    <m/>
    <x v="6"/>
    <n v="3"/>
    <x v="3"/>
    <s v="China"/>
    <m/>
    <x v="5"/>
    <s v="Winter Storm"/>
    <s v="Snowstorm"/>
    <x v="0"/>
    <x v="0"/>
    <m/>
    <x v="0"/>
    <m/>
    <x v="0"/>
    <m/>
    <m/>
    <m/>
    <m/>
    <m/>
    <m/>
    <m/>
    <m/>
    <m/>
    <n v="50000"/>
    <m/>
    <n v="50000"/>
    <n v="0"/>
    <m/>
    <m/>
    <m/>
    <m/>
    <m/>
    <m/>
    <m/>
    <m/>
    <m/>
    <m/>
    <m/>
    <m/>
    <m/>
    <m/>
    <m/>
    <m/>
    <m/>
    <m/>
    <m/>
    <n v="50000"/>
    <m/>
    <m/>
    <n v="5000"/>
    <x v="16"/>
    <x v="1"/>
    <m/>
    <m/>
    <m/>
    <m/>
    <n v="2060"/>
    <m/>
    <m/>
    <m/>
    <m/>
    <m/>
    <m/>
    <m/>
    <m/>
    <m/>
    <m/>
    <m/>
    <s v="Inner Mongolia"/>
    <s v="fund to purchase food (wheat), winter clothes and cotton quilts"/>
  </r>
  <r>
    <m/>
    <n v="40"/>
    <x v="45"/>
    <d v="2001-01-01T00:00:00"/>
    <x v="5"/>
    <n v="14"/>
    <m/>
    <x v="6"/>
    <n v="4"/>
    <x v="3"/>
    <s v="India"/>
    <m/>
    <x v="3"/>
    <s v="Earthquake"/>
    <s v="Earthquake"/>
    <x v="2"/>
    <x v="0"/>
    <m/>
    <x v="0"/>
    <m/>
    <x v="0"/>
    <m/>
    <m/>
    <m/>
    <m/>
    <m/>
    <m/>
    <n v="1"/>
    <n v="100000"/>
    <m/>
    <n v="25000"/>
    <m/>
    <n v="125000"/>
    <n v="19"/>
    <m/>
    <m/>
    <m/>
    <m/>
    <m/>
    <m/>
    <m/>
    <m/>
    <m/>
    <m/>
    <m/>
    <m/>
    <m/>
    <m/>
    <m/>
    <m/>
    <m/>
    <n v="1371479"/>
    <n v="366481.13"/>
    <n v="1862960.13"/>
    <m/>
    <m/>
    <n v="324495"/>
    <x v="1"/>
    <x v="1"/>
    <m/>
    <m/>
    <m/>
    <m/>
    <n v="2954"/>
    <m/>
    <m/>
    <m/>
    <m/>
    <m/>
    <m/>
    <m/>
    <m/>
    <m/>
    <m/>
    <m/>
    <m/>
    <s v="ARC also served an additional 190,185 beneficiaries by  distributing inputs from other NS.  Total expenditures as of May 2001."/>
  </r>
  <r>
    <m/>
    <n v="41"/>
    <x v="43"/>
    <d v="2001-02-01T00:00:00"/>
    <x v="5"/>
    <n v="15"/>
    <m/>
    <x v="6"/>
    <n v="5"/>
    <x v="2"/>
    <s v="El Salvador"/>
    <m/>
    <x v="3"/>
    <s v="Earthquake"/>
    <s v="Earthquake"/>
    <x v="0"/>
    <x v="0"/>
    <m/>
    <x v="0"/>
    <m/>
    <x v="0"/>
    <m/>
    <m/>
    <m/>
    <m/>
    <m/>
    <m/>
    <m/>
    <m/>
    <m/>
    <n v="70000"/>
    <m/>
    <n v="70000"/>
    <n v="8"/>
    <m/>
    <m/>
    <m/>
    <m/>
    <m/>
    <m/>
    <m/>
    <m/>
    <m/>
    <m/>
    <m/>
    <m/>
    <m/>
    <m/>
    <m/>
    <m/>
    <m/>
    <n v="620000"/>
    <m/>
    <n v="690000"/>
    <m/>
    <m/>
    <n v="41628.709446663277"/>
    <x v="34"/>
    <x v="1"/>
    <m/>
    <m/>
    <m/>
    <m/>
    <n v="2953"/>
    <m/>
    <m/>
    <m/>
    <m/>
    <m/>
    <m/>
    <m/>
    <m/>
    <m/>
    <m/>
    <m/>
    <m/>
    <s v="To Purchase Warm cloths, footwear, blankets sheets and left over for food. Total expenditures for both earthquakes in El Salvador through May 2001."/>
  </r>
  <r>
    <m/>
    <n v="42"/>
    <x v="46"/>
    <d v="2001-02-01T00:00:00"/>
    <x v="5"/>
    <n v="16"/>
    <m/>
    <x v="6"/>
    <n v="6"/>
    <x v="1"/>
    <s v="Mozambique"/>
    <m/>
    <x v="2"/>
    <s v="General Floods"/>
    <s v="General Floods"/>
    <x v="0"/>
    <x v="0"/>
    <m/>
    <x v="0"/>
    <m/>
    <x v="0"/>
    <m/>
    <m/>
    <m/>
    <m/>
    <m/>
    <m/>
    <m/>
    <m/>
    <m/>
    <m/>
    <m/>
    <n v="0"/>
    <n v="1"/>
    <m/>
    <m/>
    <m/>
    <m/>
    <m/>
    <m/>
    <m/>
    <m/>
    <m/>
    <m/>
    <m/>
    <m/>
    <m/>
    <m/>
    <m/>
    <m/>
    <m/>
    <m/>
    <n v="250000"/>
    <n v="250000"/>
    <m/>
    <m/>
    <n v="75000"/>
    <x v="35"/>
    <x v="1"/>
    <m/>
    <m/>
    <m/>
    <m/>
    <n v="2675"/>
    <m/>
    <m/>
    <m/>
    <m/>
    <m/>
    <m/>
    <m/>
    <m/>
    <m/>
    <m/>
    <m/>
    <m/>
    <s v="Fed Appeal 10/2001;  Includes regional supply purchase; one delegate.  Total expenditure also includes Malawi expense."/>
  </r>
  <r>
    <m/>
    <n v="43"/>
    <x v="47"/>
    <d v="2001-02-01T00:00:00"/>
    <x v="5"/>
    <n v="17"/>
    <m/>
    <x v="6"/>
    <n v="7"/>
    <x v="1"/>
    <s v="Malawi"/>
    <m/>
    <x v="2"/>
    <s v="General Floods"/>
    <s v="General Floods"/>
    <x v="0"/>
    <x v="0"/>
    <m/>
    <x v="0"/>
    <m/>
    <x v="0"/>
    <m/>
    <m/>
    <m/>
    <m/>
    <m/>
    <m/>
    <m/>
    <m/>
    <m/>
    <n v="25000"/>
    <m/>
    <n v="25000"/>
    <n v="2"/>
    <m/>
    <m/>
    <m/>
    <m/>
    <m/>
    <m/>
    <m/>
    <m/>
    <m/>
    <m/>
    <m/>
    <m/>
    <m/>
    <m/>
    <m/>
    <m/>
    <m/>
    <n v="149000"/>
    <m/>
    <n v="174000"/>
    <m/>
    <m/>
    <n v="22452"/>
    <x v="36"/>
    <x v="1"/>
    <m/>
    <m/>
    <m/>
    <m/>
    <n v="2675"/>
    <m/>
    <m/>
    <m/>
    <m/>
    <m/>
    <m/>
    <m/>
    <m/>
    <m/>
    <m/>
    <m/>
    <m/>
    <s v="Fed Appeal 9/2001;  49,000 from CCC seeds, tools and water supply.  See Mozambique Total Expenditure (they are combined.)"/>
  </r>
  <r>
    <m/>
    <n v="44"/>
    <x v="48"/>
    <d v="2001-03-01T00:00:00"/>
    <x v="5"/>
    <n v="18"/>
    <m/>
    <x v="6"/>
    <n v="8"/>
    <x v="2"/>
    <s v="Bolivia"/>
    <m/>
    <x v="2"/>
    <s v="General Floods"/>
    <s v="General Floods"/>
    <x v="0"/>
    <x v="0"/>
    <m/>
    <x v="0"/>
    <m/>
    <x v="0"/>
    <m/>
    <m/>
    <m/>
    <m/>
    <m/>
    <m/>
    <m/>
    <m/>
    <m/>
    <n v="15000"/>
    <m/>
    <n v="15000"/>
    <n v="0"/>
    <m/>
    <m/>
    <m/>
    <m/>
    <m/>
    <m/>
    <m/>
    <m/>
    <m/>
    <m/>
    <m/>
    <m/>
    <m/>
    <m/>
    <m/>
    <m/>
    <m/>
    <m/>
    <m/>
    <n v="15000"/>
    <m/>
    <m/>
    <n v="1500"/>
    <x v="18"/>
    <x v="1"/>
    <m/>
    <m/>
    <m/>
    <m/>
    <n v="2898"/>
    <m/>
    <m/>
    <m/>
    <m/>
    <m/>
    <m/>
    <m/>
    <m/>
    <m/>
    <m/>
    <m/>
    <m/>
    <s v="Fed Appeal 5/2001"/>
  </r>
  <r>
    <m/>
    <n v="45"/>
    <x v="49"/>
    <d v="2001-03-01T00:00:00"/>
    <x v="5"/>
    <n v="19"/>
    <m/>
    <x v="6"/>
    <n v="9"/>
    <x v="2"/>
    <s v="Peru"/>
    <m/>
    <x v="2"/>
    <s v="General Floods"/>
    <s v="General Floods"/>
    <x v="0"/>
    <x v="0"/>
    <m/>
    <x v="0"/>
    <m/>
    <x v="0"/>
    <m/>
    <m/>
    <m/>
    <m/>
    <m/>
    <m/>
    <m/>
    <m/>
    <m/>
    <n v="15000"/>
    <m/>
    <n v="15000"/>
    <n v="0"/>
    <m/>
    <m/>
    <n v="6111"/>
    <m/>
    <m/>
    <n v="5100"/>
    <m/>
    <m/>
    <n v="761"/>
    <m/>
    <m/>
    <m/>
    <m/>
    <n v="250"/>
    <m/>
    <m/>
    <m/>
    <n v="0"/>
    <n v="0"/>
    <n v="15000"/>
    <m/>
    <m/>
    <n v="24805"/>
    <x v="18"/>
    <x v="1"/>
    <m/>
    <m/>
    <m/>
    <m/>
    <n v="2898"/>
    <m/>
    <m/>
    <m/>
    <m/>
    <m/>
    <m/>
    <m/>
    <m/>
    <m/>
    <m/>
    <m/>
    <m/>
    <m/>
  </r>
  <r>
    <m/>
    <n v="46"/>
    <x v="50"/>
    <d v="2001-04-01T00:00:00"/>
    <x v="5"/>
    <n v="20"/>
    <m/>
    <x v="6"/>
    <n v="10"/>
    <x v="4"/>
    <s v="Canada"/>
    <m/>
    <x v="9"/>
    <s v="Road"/>
    <s v="Road"/>
    <x v="0"/>
    <x v="0"/>
    <m/>
    <x v="0"/>
    <m/>
    <x v="0"/>
    <m/>
    <m/>
    <m/>
    <m/>
    <m/>
    <m/>
    <m/>
    <m/>
    <m/>
    <m/>
    <m/>
    <n v="0"/>
    <n v="2"/>
    <m/>
    <m/>
    <m/>
    <m/>
    <m/>
    <m/>
    <m/>
    <m/>
    <m/>
    <m/>
    <m/>
    <m/>
    <m/>
    <m/>
    <m/>
    <m/>
    <m/>
    <m/>
    <n v="1000"/>
    <n v="1000"/>
    <m/>
    <m/>
    <m/>
    <x v="37"/>
    <x v="1"/>
    <m/>
    <m/>
    <m/>
    <m/>
    <n v="2898"/>
    <m/>
    <m/>
    <m/>
    <m/>
    <m/>
    <m/>
    <m/>
    <m/>
    <m/>
    <m/>
    <m/>
    <s v="Bus Crash"/>
    <s v="American children survivors"/>
  </r>
  <r>
    <m/>
    <n v="47"/>
    <x v="51"/>
    <d v="2001-05-01T00:00:00"/>
    <x v="5"/>
    <n v="21"/>
    <m/>
    <x v="6"/>
    <n v="11"/>
    <x v="3"/>
    <s v="Russian Fed."/>
    <m/>
    <x v="2"/>
    <s v="General Floods"/>
    <s v="General Floods"/>
    <x v="0"/>
    <x v="0"/>
    <m/>
    <x v="0"/>
    <m/>
    <x v="0"/>
    <m/>
    <m/>
    <m/>
    <m/>
    <m/>
    <m/>
    <m/>
    <m/>
    <m/>
    <n v="25000"/>
    <m/>
    <n v="25000"/>
    <n v="0"/>
    <m/>
    <m/>
    <m/>
    <m/>
    <m/>
    <m/>
    <m/>
    <m/>
    <m/>
    <m/>
    <m/>
    <m/>
    <m/>
    <m/>
    <m/>
    <m/>
    <m/>
    <m/>
    <m/>
    <n v="25000"/>
    <m/>
    <m/>
    <n v="3000"/>
    <x v="8"/>
    <x v="1"/>
    <m/>
    <m/>
    <m/>
    <m/>
    <n v="2898"/>
    <m/>
    <m/>
    <m/>
    <m/>
    <m/>
    <m/>
    <m/>
    <m/>
    <m/>
    <m/>
    <m/>
    <m/>
    <s v="Siberia: Procurement of warm cloths, footwear, blankets sheets &amp; food. "/>
  </r>
  <r>
    <m/>
    <n v="48"/>
    <x v="52"/>
    <d v="2001-06-01T00:00:00"/>
    <x v="5"/>
    <n v="22"/>
    <m/>
    <x v="6"/>
    <n v="12"/>
    <x v="3"/>
    <s v="Macedonia"/>
    <m/>
    <x v="8"/>
    <s v="Conflict"/>
    <s v="Conflict"/>
    <x v="0"/>
    <x v="0"/>
    <m/>
    <x v="0"/>
    <m/>
    <x v="0"/>
    <m/>
    <m/>
    <m/>
    <m/>
    <m/>
    <m/>
    <m/>
    <m/>
    <m/>
    <m/>
    <m/>
    <n v="0"/>
    <n v="0"/>
    <m/>
    <m/>
    <n v="10000"/>
    <m/>
    <m/>
    <m/>
    <m/>
    <m/>
    <m/>
    <m/>
    <m/>
    <m/>
    <m/>
    <m/>
    <m/>
    <m/>
    <m/>
    <n v="20700"/>
    <m/>
    <n v="20700"/>
    <m/>
    <m/>
    <n v="40000"/>
    <x v="38"/>
    <x v="1"/>
    <m/>
    <m/>
    <m/>
    <m/>
    <n v="2898"/>
    <m/>
    <m/>
    <m/>
    <m/>
    <m/>
    <m/>
    <m/>
    <m/>
    <m/>
    <m/>
    <m/>
    <m/>
    <s v="10,000 family  packets (Currently only 2,300) a family is 4 persons"/>
  </r>
  <r>
    <m/>
    <n v="49"/>
    <x v="53"/>
    <d v="2001-06-01T00:00:00"/>
    <x v="5"/>
    <n v="23"/>
    <m/>
    <x v="6"/>
    <n v="13"/>
    <x v="3"/>
    <s v="Bosnia"/>
    <m/>
    <x v="2"/>
    <s v="General Floods"/>
    <s v="General Floods"/>
    <x v="0"/>
    <x v="0"/>
    <m/>
    <x v="0"/>
    <m/>
    <x v="0"/>
    <m/>
    <m/>
    <m/>
    <m/>
    <m/>
    <m/>
    <m/>
    <m/>
    <m/>
    <m/>
    <m/>
    <n v="0"/>
    <n v="0"/>
    <m/>
    <m/>
    <n v="6000"/>
    <m/>
    <m/>
    <n v="6000"/>
    <m/>
    <m/>
    <m/>
    <m/>
    <m/>
    <m/>
    <m/>
    <m/>
    <m/>
    <m/>
    <m/>
    <n v="18000"/>
    <m/>
    <n v="18000"/>
    <m/>
    <m/>
    <n v="6000"/>
    <x v="39"/>
    <x v="1"/>
    <m/>
    <m/>
    <m/>
    <m/>
    <n v="2898"/>
    <m/>
    <m/>
    <m/>
    <m/>
    <m/>
    <m/>
    <m/>
    <m/>
    <m/>
    <m/>
    <m/>
    <m/>
    <s v="Bulgaria stocks"/>
  </r>
  <r>
    <m/>
    <n v="50"/>
    <x v="54"/>
    <d v="2001-06-01T00:00:00"/>
    <x v="5"/>
    <n v="24"/>
    <m/>
    <x v="6"/>
    <n v="14"/>
    <x v="2"/>
    <s v="Peru"/>
    <m/>
    <x v="3"/>
    <s v="Earthquake"/>
    <s v="Earthquake"/>
    <x v="0"/>
    <x v="0"/>
    <m/>
    <x v="0"/>
    <m/>
    <x v="0"/>
    <m/>
    <m/>
    <m/>
    <m/>
    <m/>
    <m/>
    <m/>
    <m/>
    <m/>
    <n v="24420"/>
    <m/>
    <n v="24420"/>
    <n v="3"/>
    <m/>
    <m/>
    <n v="6107"/>
    <m/>
    <m/>
    <n v="5100"/>
    <m/>
    <m/>
    <n v="757"/>
    <m/>
    <m/>
    <m/>
    <m/>
    <n v="250"/>
    <m/>
    <m/>
    <m/>
    <n v="361260"/>
    <n v="313450"/>
    <n v="699130"/>
    <m/>
    <m/>
    <n v="15000"/>
    <x v="40"/>
    <x v="1"/>
    <m/>
    <m/>
    <m/>
    <m/>
    <n v="2676"/>
    <m/>
    <m/>
    <m/>
    <m/>
    <m/>
    <m/>
    <m/>
    <m/>
    <m/>
    <m/>
    <m/>
    <m/>
    <s v="plastic sheeting ($81,250), blankets ($12,240), tents ($78,637). Total $271,627 (incl. transport).    tents ($147,706): Total $150,706 (incl. transport).  Replenishment of supplies $50,000"/>
  </r>
  <r>
    <m/>
    <n v="51"/>
    <x v="33"/>
    <d v="2001-07-01T00:00:00"/>
    <x v="6"/>
    <n v="1"/>
    <m/>
    <x v="6"/>
    <n v="15"/>
    <x v="3"/>
    <s v="India"/>
    <m/>
    <x v="2"/>
    <s v="General Floods"/>
    <s v="General Floods"/>
    <x v="3"/>
    <x v="0"/>
    <m/>
    <x v="0"/>
    <m/>
    <x v="0"/>
    <m/>
    <m/>
    <m/>
    <m/>
    <m/>
    <m/>
    <m/>
    <m/>
    <m/>
    <m/>
    <m/>
    <n v="0"/>
    <n v="0"/>
    <m/>
    <m/>
    <m/>
    <m/>
    <m/>
    <m/>
    <m/>
    <m/>
    <m/>
    <m/>
    <m/>
    <m/>
    <m/>
    <m/>
    <m/>
    <m/>
    <m/>
    <n v="100000"/>
    <m/>
    <n v="100000"/>
    <m/>
    <m/>
    <n v="10000"/>
    <x v="5"/>
    <x v="1"/>
    <m/>
    <m/>
    <m/>
    <m/>
    <n v="2954"/>
    <m/>
    <m/>
    <m/>
    <m/>
    <m/>
    <m/>
    <m/>
    <m/>
    <m/>
    <m/>
    <m/>
    <m/>
    <m/>
  </r>
  <r>
    <m/>
    <n v="52"/>
    <x v="55"/>
    <d v="2001-08-01T00:00:00"/>
    <x v="6"/>
    <n v="2"/>
    <m/>
    <x v="6"/>
    <n v="16"/>
    <x v="2"/>
    <s v="El Salvador"/>
    <m/>
    <x v="1"/>
    <s v="Drought"/>
    <s v="Drought"/>
    <x v="0"/>
    <x v="0"/>
    <m/>
    <x v="0"/>
    <m/>
    <x v="0"/>
    <m/>
    <m/>
    <m/>
    <m/>
    <m/>
    <m/>
    <m/>
    <m/>
    <m/>
    <n v="25000"/>
    <m/>
    <n v="25000"/>
    <n v="5"/>
    <m/>
    <m/>
    <m/>
    <m/>
    <m/>
    <m/>
    <m/>
    <m/>
    <m/>
    <m/>
    <m/>
    <m/>
    <m/>
    <m/>
    <m/>
    <m/>
    <m/>
    <m/>
    <m/>
    <n v="25000"/>
    <m/>
    <m/>
    <n v="5000"/>
    <x v="8"/>
    <x v="1"/>
    <m/>
    <m/>
    <m/>
    <m/>
    <n v="2837"/>
    <m/>
    <m/>
    <m/>
    <m/>
    <m/>
    <m/>
    <m/>
    <m/>
    <m/>
    <m/>
    <m/>
    <m/>
    <s v="$25,000 allocated to each national society to be implemented thr ARC delegations through $12,500 donation to the field delegation and $12,500 matched by the field.  Total expenditures through December 2001."/>
  </r>
  <r>
    <m/>
    <n v="52"/>
    <x v="56"/>
    <d v="2001-08-01T00:00:00"/>
    <x v="6"/>
    <n v="2"/>
    <m/>
    <x v="6"/>
    <n v="16"/>
    <x v="2"/>
    <s v="Honduras"/>
    <m/>
    <x v="1"/>
    <s v="Drought"/>
    <s v="Drought"/>
    <x v="0"/>
    <x v="0"/>
    <m/>
    <x v="0"/>
    <m/>
    <x v="0"/>
    <m/>
    <m/>
    <m/>
    <m/>
    <m/>
    <m/>
    <m/>
    <m/>
    <m/>
    <m/>
    <m/>
    <n v="0"/>
    <m/>
    <m/>
    <m/>
    <m/>
    <m/>
    <m/>
    <m/>
    <m/>
    <m/>
    <m/>
    <m/>
    <m/>
    <m/>
    <m/>
    <m/>
    <m/>
    <m/>
    <m/>
    <m/>
    <m/>
    <n v="0"/>
    <m/>
    <m/>
    <m/>
    <x v="7"/>
    <x v="1"/>
    <m/>
    <m/>
    <m/>
    <m/>
    <n v="2837"/>
    <m/>
    <m/>
    <m/>
    <m/>
    <m/>
    <m/>
    <m/>
    <m/>
    <m/>
    <m/>
    <m/>
    <m/>
    <m/>
  </r>
  <r>
    <m/>
    <n v="52"/>
    <x v="57"/>
    <d v="2001-08-01T00:00:00"/>
    <x v="6"/>
    <n v="2"/>
    <m/>
    <x v="6"/>
    <n v="16"/>
    <x v="2"/>
    <s v="Nicaragua"/>
    <m/>
    <x v="1"/>
    <s v="Drought"/>
    <s v="Drought"/>
    <x v="0"/>
    <x v="0"/>
    <m/>
    <x v="0"/>
    <m/>
    <x v="0"/>
    <m/>
    <m/>
    <m/>
    <m/>
    <m/>
    <m/>
    <m/>
    <m/>
    <m/>
    <m/>
    <m/>
    <n v="0"/>
    <m/>
    <m/>
    <m/>
    <m/>
    <m/>
    <m/>
    <m/>
    <m/>
    <m/>
    <m/>
    <m/>
    <m/>
    <m/>
    <m/>
    <m/>
    <m/>
    <m/>
    <m/>
    <m/>
    <m/>
    <n v="0"/>
    <m/>
    <m/>
    <m/>
    <x v="7"/>
    <x v="1"/>
    <m/>
    <m/>
    <m/>
    <m/>
    <n v="2837"/>
    <m/>
    <m/>
    <m/>
    <m/>
    <m/>
    <m/>
    <m/>
    <m/>
    <m/>
    <m/>
    <m/>
    <m/>
    <m/>
  </r>
  <r>
    <m/>
    <n v="52"/>
    <x v="58"/>
    <d v="2001-08-01T00:00:00"/>
    <x v="6"/>
    <n v="2"/>
    <m/>
    <x v="6"/>
    <n v="16"/>
    <x v="2"/>
    <s v="Guatemala"/>
    <m/>
    <x v="1"/>
    <s v="Drought"/>
    <s v="Drought"/>
    <x v="0"/>
    <x v="0"/>
    <m/>
    <x v="0"/>
    <m/>
    <x v="0"/>
    <m/>
    <m/>
    <m/>
    <m/>
    <m/>
    <m/>
    <m/>
    <m/>
    <m/>
    <m/>
    <m/>
    <n v="0"/>
    <m/>
    <m/>
    <m/>
    <m/>
    <m/>
    <m/>
    <m/>
    <m/>
    <m/>
    <m/>
    <m/>
    <m/>
    <m/>
    <m/>
    <m/>
    <m/>
    <m/>
    <m/>
    <m/>
    <m/>
    <n v="0"/>
    <m/>
    <m/>
    <m/>
    <x v="7"/>
    <x v="1"/>
    <m/>
    <m/>
    <m/>
    <m/>
    <n v="2837"/>
    <m/>
    <m/>
    <m/>
    <m/>
    <m/>
    <m/>
    <m/>
    <m/>
    <m/>
    <m/>
    <m/>
    <m/>
    <m/>
  </r>
  <r>
    <m/>
    <n v="53"/>
    <x v="59"/>
    <d v="2001-09-01T00:00:00"/>
    <x v="6"/>
    <n v="3"/>
    <m/>
    <x v="6"/>
    <n v="17"/>
    <x v="2"/>
    <s v="Ecuador"/>
    <m/>
    <x v="4"/>
    <s v="Volcanic Eruption"/>
    <s v="Volcanic Eruption"/>
    <x v="0"/>
    <x v="0"/>
    <m/>
    <x v="0"/>
    <m/>
    <x v="0"/>
    <m/>
    <m/>
    <m/>
    <m/>
    <m/>
    <m/>
    <m/>
    <m/>
    <m/>
    <n v="10000"/>
    <m/>
    <n v="10000"/>
    <m/>
    <m/>
    <m/>
    <m/>
    <m/>
    <m/>
    <m/>
    <m/>
    <m/>
    <m/>
    <m/>
    <m/>
    <m/>
    <m/>
    <m/>
    <m/>
    <m/>
    <m/>
    <m/>
    <m/>
    <n v="10000"/>
    <m/>
    <m/>
    <n v="1000"/>
    <x v="6"/>
    <x v="1"/>
    <m/>
    <m/>
    <m/>
    <m/>
    <n v="2898"/>
    <m/>
    <m/>
    <m/>
    <m/>
    <m/>
    <m/>
    <m/>
    <m/>
    <m/>
    <m/>
    <m/>
    <m/>
    <s v="$10,000 from IDRU in addition to $10,000 from the Americas Region to the Ecuador Red Cross for the Tungurahua Volcano Ash Fall "/>
  </r>
  <r>
    <m/>
    <n v="54"/>
    <x v="60"/>
    <d v="2001-09-01T00:00:00"/>
    <x v="6"/>
    <n v="4"/>
    <m/>
    <x v="6"/>
    <n v="18"/>
    <x v="3"/>
    <s v="Afghanistan"/>
    <m/>
    <x v="8"/>
    <s v="Conflict"/>
    <s v="Conflict"/>
    <x v="0"/>
    <x v="0"/>
    <m/>
    <x v="0"/>
    <m/>
    <x v="0"/>
    <m/>
    <m/>
    <m/>
    <m/>
    <m/>
    <m/>
    <m/>
    <m/>
    <m/>
    <m/>
    <m/>
    <n v="0"/>
    <n v="12"/>
    <m/>
    <m/>
    <m/>
    <m/>
    <m/>
    <m/>
    <m/>
    <m/>
    <m/>
    <m/>
    <m/>
    <m/>
    <m/>
    <m/>
    <m/>
    <m/>
    <m/>
    <n v="2032231"/>
    <n v="200000"/>
    <n v="2232231"/>
    <n v="9767769"/>
    <m/>
    <n v="380000"/>
    <x v="41"/>
    <x v="1"/>
    <m/>
    <m/>
    <m/>
    <m/>
    <n v="2677"/>
    <m/>
    <m/>
    <m/>
    <m/>
    <m/>
    <m/>
    <m/>
    <m/>
    <m/>
    <m/>
    <m/>
    <m/>
    <s v="AFAC is a partnership with the White House.  Final report issued in August 2006."/>
  </r>
  <r>
    <m/>
    <n v="54"/>
    <x v="61"/>
    <d v="2001-09-01T00:00:00"/>
    <x v="6"/>
    <n v="4"/>
    <m/>
    <x v="6"/>
    <n v="18"/>
    <x v="3"/>
    <s v="Pakistan"/>
    <m/>
    <x v="8"/>
    <s v="Conflict"/>
    <s v="Conflict"/>
    <x v="0"/>
    <x v="0"/>
    <m/>
    <x v="0"/>
    <m/>
    <x v="0"/>
    <m/>
    <m/>
    <m/>
    <m/>
    <m/>
    <m/>
    <m/>
    <m/>
    <m/>
    <m/>
    <m/>
    <n v="0"/>
    <m/>
    <m/>
    <m/>
    <m/>
    <m/>
    <m/>
    <m/>
    <m/>
    <m/>
    <m/>
    <m/>
    <m/>
    <m/>
    <m/>
    <m/>
    <m/>
    <m/>
    <m/>
    <m/>
    <m/>
    <n v="0"/>
    <m/>
    <m/>
    <m/>
    <x v="7"/>
    <x v="1"/>
    <m/>
    <m/>
    <m/>
    <m/>
    <n v="2677"/>
    <m/>
    <m/>
    <m/>
    <m/>
    <m/>
    <m/>
    <m/>
    <m/>
    <m/>
    <m/>
    <m/>
    <m/>
    <m/>
  </r>
  <r>
    <m/>
    <n v="54"/>
    <x v="62"/>
    <d v="2001-09-01T00:00:00"/>
    <x v="6"/>
    <n v="4"/>
    <m/>
    <x v="6"/>
    <n v="18"/>
    <x v="3"/>
    <s v="Uzbekistan"/>
    <m/>
    <x v="8"/>
    <s v="Conflict"/>
    <s v="Conflict"/>
    <x v="0"/>
    <x v="0"/>
    <m/>
    <x v="0"/>
    <m/>
    <x v="0"/>
    <m/>
    <m/>
    <m/>
    <m/>
    <m/>
    <m/>
    <m/>
    <m/>
    <m/>
    <m/>
    <m/>
    <n v="0"/>
    <m/>
    <m/>
    <m/>
    <m/>
    <m/>
    <m/>
    <m/>
    <m/>
    <m/>
    <m/>
    <m/>
    <m/>
    <m/>
    <m/>
    <m/>
    <m/>
    <m/>
    <m/>
    <m/>
    <m/>
    <n v="0"/>
    <m/>
    <m/>
    <m/>
    <x v="7"/>
    <x v="1"/>
    <m/>
    <m/>
    <m/>
    <m/>
    <n v="2677"/>
    <m/>
    <m/>
    <m/>
    <m/>
    <m/>
    <m/>
    <m/>
    <m/>
    <m/>
    <m/>
    <m/>
    <m/>
    <m/>
  </r>
  <r>
    <m/>
    <n v="54"/>
    <x v="63"/>
    <d v="2001-09-01T00:00:00"/>
    <x v="6"/>
    <n v="4"/>
    <m/>
    <x v="6"/>
    <n v="18"/>
    <x v="3"/>
    <s v="Iran"/>
    <m/>
    <x v="8"/>
    <s v="Conflict"/>
    <s v="Conflict"/>
    <x v="0"/>
    <x v="0"/>
    <m/>
    <x v="0"/>
    <m/>
    <x v="0"/>
    <m/>
    <m/>
    <m/>
    <m/>
    <m/>
    <m/>
    <m/>
    <m/>
    <m/>
    <m/>
    <m/>
    <n v="0"/>
    <m/>
    <m/>
    <m/>
    <m/>
    <m/>
    <m/>
    <m/>
    <m/>
    <m/>
    <m/>
    <m/>
    <m/>
    <m/>
    <m/>
    <m/>
    <m/>
    <m/>
    <m/>
    <m/>
    <m/>
    <n v="0"/>
    <m/>
    <m/>
    <m/>
    <x v="7"/>
    <x v="1"/>
    <m/>
    <m/>
    <m/>
    <m/>
    <n v="2677"/>
    <m/>
    <m/>
    <m/>
    <m/>
    <m/>
    <m/>
    <m/>
    <m/>
    <m/>
    <m/>
    <m/>
    <m/>
    <m/>
  </r>
  <r>
    <m/>
    <n v="54"/>
    <x v="64"/>
    <d v="2001-09-01T00:00:00"/>
    <x v="6"/>
    <n v="4"/>
    <m/>
    <x v="6"/>
    <n v="18"/>
    <x v="3"/>
    <s v="Turkmenistan"/>
    <m/>
    <x v="8"/>
    <s v="Conflict"/>
    <s v="Conflict"/>
    <x v="0"/>
    <x v="0"/>
    <m/>
    <x v="0"/>
    <m/>
    <x v="0"/>
    <m/>
    <m/>
    <m/>
    <m/>
    <m/>
    <m/>
    <m/>
    <m/>
    <m/>
    <m/>
    <m/>
    <n v="0"/>
    <m/>
    <m/>
    <m/>
    <m/>
    <m/>
    <m/>
    <m/>
    <m/>
    <m/>
    <m/>
    <m/>
    <m/>
    <m/>
    <m/>
    <m/>
    <m/>
    <m/>
    <m/>
    <m/>
    <m/>
    <n v="0"/>
    <m/>
    <m/>
    <m/>
    <x v="7"/>
    <x v="1"/>
    <m/>
    <m/>
    <m/>
    <m/>
    <n v="2677"/>
    <m/>
    <m/>
    <m/>
    <m/>
    <m/>
    <m/>
    <m/>
    <m/>
    <m/>
    <m/>
    <m/>
    <m/>
    <m/>
  </r>
  <r>
    <m/>
    <n v="55"/>
    <x v="65"/>
    <d v="2001-09-01T00:00:00"/>
    <x v="6"/>
    <n v="5"/>
    <m/>
    <x v="6"/>
    <n v="19"/>
    <x v="4"/>
    <s v="US"/>
    <m/>
    <x v="12"/>
    <s v="Terrorism"/>
    <s v="Terrorism"/>
    <x v="0"/>
    <x v="0"/>
    <m/>
    <x v="0"/>
    <m/>
    <x v="0"/>
    <m/>
    <m/>
    <m/>
    <m/>
    <m/>
    <m/>
    <m/>
    <m/>
    <m/>
    <n v="3257775.37"/>
    <m/>
    <n v="3257775.37"/>
    <n v="30"/>
    <m/>
    <m/>
    <m/>
    <m/>
    <m/>
    <m/>
    <m/>
    <m/>
    <m/>
    <m/>
    <m/>
    <m/>
    <m/>
    <m/>
    <m/>
    <m/>
    <m/>
    <n v="0"/>
    <n v="257704"/>
    <n v="3515479.37"/>
    <m/>
    <m/>
    <n v="2622"/>
    <x v="42"/>
    <x v="1"/>
    <m/>
    <m/>
    <m/>
    <m/>
    <n v="4949"/>
    <m/>
    <m/>
    <m/>
    <m/>
    <m/>
    <m/>
    <m/>
    <m/>
    <m/>
    <m/>
    <m/>
    <d v="2008-09-11T00:00:00"/>
    <s v="The $3,084,914.31 distributed was to international families of victims of the terrorist attacks.   Beneficiaries: 6 members per each family assisted."/>
  </r>
  <r>
    <m/>
    <n v="56"/>
    <x v="66"/>
    <d v="2001-09-01T00:00:00"/>
    <x v="6"/>
    <n v="6"/>
    <m/>
    <x v="6"/>
    <n v="20"/>
    <x v="2"/>
    <s v="Mexico"/>
    <m/>
    <x v="9"/>
    <s v="Air"/>
    <s v="Air"/>
    <x v="0"/>
    <x v="0"/>
    <m/>
    <x v="0"/>
    <m/>
    <x v="0"/>
    <m/>
    <m/>
    <m/>
    <m/>
    <m/>
    <m/>
    <m/>
    <m/>
    <m/>
    <m/>
    <m/>
    <n v="0"/>
    <n v="4"/>
    <m/>
    <m/>
    <m/>
    <m/>
    <m/>
    <m/>
    <m/>
    <m/>
    <m/>
    <m/>
    <m/>
    <m/>
    <m/>
    <m/>
    <m/>
    <m/>
    <m/>
    <n v="0"/>
    <n v="15000"/>
    <n v="15000"/>
    <m/>
    <m/>
    <n v="95"/>
    <x v="18"/>
    <x v="1"/>
    <m/>
    <m/>
    <m/>
    <m/>
    <n v="2679"/>
    <m/>
    <m/>
    <m/>
    <m/>
    <m/>
    <m/>
    <m/>
    <m/>
    <m/>
    <m/>
    <m/>
    <s v="Plane Crash"/>
    <s v="Financial contribution made to memorial; beneficiaries: 5 members per each family assisted."/>
  </r>
  <r>
    <m/>
    <n v="57"/>
    <x v="67"/>
    <d v="2001-10-01T00:00:00"/>
    <x v="6"/>
    <n v="7"/>
    <m/>
    <x v="6"/>
    <n v="21"/>
    <x v="2"/>
    <s v="Mexico"/>
    <m/>
    <x v="5"/>
    <s v="Tropical Cyclone"/>
    <s v="Hurricane"/>
    <x v="0"/>
    <x v="0"/>
    <m/>
    <x v="0"/>
    <m/>
    <x v="0"/>
    <m/>
    <m/>
    <m/>
    <m/>
    <m/>
    <m/>
    <m/>
    <m/>
    <m/>
    <n v="25000"/>
    <m/>
    <n v="25000"/>
    <n v="1"/>
    <m/>
    <m/>
    <m/>
    <m/>
    <m/>
    <m/>
    <m/>
    <m/>
    <m/>
    <m/>
    <m/>
    <m/>
    <m/>
    <m/>
    <m/>
    <m/>
    <m/>
    <m/>
    <m/>
    <n v="25000"/>
    <m/>
    <m/>
    <n v="5000"/>
    <x v="8"/>
    <x v="1"/>
    <m/>
    <m/>
    <m/>
    <m/>
    <n v="2898"/>
    <m/>
    <m/>
    <m/>
    <m/>
    <m/>
    <m/>
    <m/>
    <m/>
    <m/>
    <m/>
    <m/>
    <s v="Juliette"/>
    <s v="Financial contribution designated for relief supplies.  Beneficiaries: 5 members per each family assisted."/>
  </r>
  <r>
    <m/>
    <n v="58"/>
    <x v="68"/>
    <d v="2001-10-01T00:00:00"/>
    <x v="6"/>
    <n v="8"/>
    <m/>
    <x v="6"/>
    <n v="22"/>
    <x v="2"/>
    <s v="Belize"/>
    <m/>
    <x v="13"/>
    <s v="Tropical Cyclone"/>
    <s v="Hurricane"/>
    <x v="0"/>
    <x v="0"/>
    <m/>
    <x v="0"/>
    <m/>
    <x v="0"/>
    <m/>
    <m/>
    <m/>
    <m/>
    <m/>
    <m/>
    <m/>
    <m/>
    <m/>
    <n v="25000"/>
    <m/>
    <n v="25000"/>
    <n v="3"/>
    <m/>
    <m/>
    <m/>
    <m/>
    <m/>
    <m/>
    <m/>
    <m/>
    <m/>
    <m/>
    <m/>
    <m/>
    <m/>
    <m/>
    <m/>
    <m/>
    <m/>
    <n v="69000"/>
    <n v="3982"/>
    <n v="97982"/>
    <m/>
    <m/>
    <n v="5000"/>
    <x v="43"/>
    <x v="1"/>
    <m/>
    <m/>
    <m/>
    <m/>
    <n v="2678"/>
    <m/>
    <m/>
    <m/>
    <m/>
    <m/>
    <m/>
    <m/>
    <m/>
    <m/>
    <m/>
    <m/>
    <s v="Iris"/>
    <s v="$20,000 for hygiene kits; $19,000 given to Guatemala ARC delegation for hygiene kits and $50,000 in relief supplies to BRC."/>
  </r>
  <r>
    <m/>
    <n v="59"/>
    <x v="69"/>
    <d v="2001-10-01T00:00:00"/>
    <x v="6"/>
    <n v="9"/>
    <m/>
    <x v="6"/>
    <n v="23"/>
    <x v="2"/>
    <s v="Belize"/>
    <m/>
    <x v="9"/>
    <s v="Water"/>
    <s v="Water"/>
    <x v="0"/>
    <x v="0"/>
    <m/>
    <x v="0"/>
    <m/>
    <x v="0"/>
    <m/>
    <m/>
    <m/>
    <m/>
    <m/>
    <m/>
    <m/>
    <m/>
    <m/>
    <m/>
    <m/>
    <n v="0"/>
    <n v="2"/>
    <m/>
    <m/>
    <m/>
    <m/>
    <m/>
    <m/>
    <m/>
    <m/>
    <m/>
    <m/>
    <m/>
    <m/>
    <m/>
    <m/>
    <m/>
    <m/>
    <m/>
    <n v="0"/>
    <n v="4400"/>
    <n v="4400"/>
    <m/>
    <m/>
    <n v="135"/>
    <x v="44"/>
    <x v="1"/>
    <m/>
    <m/>
    <m/>
    <m/>
    <n v="2898"/>
    <m/>
    <m/>
    <m/>
    <m/>
    <m/>
    <m/>
    <m/>
    <m/>
    <m/>
    <m/>
    <m/>
    <s v="Boat Crash"/>
    <s v="Beneficiaries calculated at 5 family members per each 27 families assisted."/>
  </r>
  <r>
    <m/>
    <n v="60"/>
    <x v="70"/>
    <d v="2001-10-01T00:00:00"/>
    <x v="6"/>
    <n v="10"/>
    <m/>
    <x v="6"/>
    <n v="24"/>
    <x v="2"/>
    <s v="Honduras"/>
    <m/>
    <x v="5"/>
    <s v="Tropical Cyclone"/>
    <s v="Tropical Storm"/>
    <x v="0"/>
    <x v="0"/>
    <m/>
    <x v="0"/>
    <m/>
    <x v="0"/>
    <m/>
    <m/>
    <m/>
    <m/>
    <m/>
    <m/>
    <m/>
    <m/>
    <m/>
    <m/>
    <m/>
    <n v="0"/>
    <m/>
    <m/>
    <m/>
    <m/>
    <m/>
    <m/>
    <m/>
    <m/>
    <m/>
    <m/>
    <m/>
    <m/>
    <m/>
    <m/>
    <m/>
    <m/>
    <m/>
    <m/>
    <m/>
    <m/>
    <n v="0"/>
    <m/>
    <m/>
    <m/>
    <x v="7"/>
    <x v="1"/>
    <m/>
    <m/>
    <m/>
    <m/>
    <n v="2898"/>
    <m/>
    <m/>
    <m/>
    <m/>
    <m/>
    <m/>
    <m/>
    <m/>
    <m/>
    <m/>
    <m/>
    <s v="Michelle"/>
    <m/>
  </r>
  <r>
    <m/>
    <n v="60"/>
    <x v="71"/>
    <d v="2001-11-01T00:00:00"/>
    <x v="6"/>
    <n v="10"/>
    <m/>
    <x v="6"/>
    <n v="24"/>
    <x v="2"/>
    <s v="Nicaragua"/>
    <m/>
    <x v="5"/>
    <s v="Tropical Cyclone"/>
    <s v="Tropical Storm"/>
    <x v="0"/>
    <x v="0"/>
    <m/>
    <x v="0"/>
    <m/>
    <x v="0"/>
    <m/>
    <m/>
    <m/>
    <m/>
    <m/>
    <m/>
    <m/>
    <m/>
    <m/>
    <m/>
    <m/>
    <n v="0"/>
    <m/>
    <m/>
    <m/>
    <m/>
    <m/>
    <m/>
    <m/>
    <m/>
    <m/>
    <m/>
    <m/>
    <m/>
    <m/>
    <m/>
    <m/>
    <m/>
    <m/>
    <m/>
    <m/>
    <n v="60000"/>
    <n v="60000"/>
    <m/>
    <m/>
    <n v="5000"/>
    <x v="45"/>
    <x v="1"/>
    <m/>
    <m/>
    <m/>
    <m/>
    <n v="2898"/>
    <m/>
    <m/>
    <m/>
    <m/>
    <m/>
    <m/>
    <m/>
    <m/>
    <m/>
    <m/>
    <m/>
    <s v="Michelle"/>
    <s v="$10,000 from Nicaragua delegation for procurement of relief supplies.  $50,000 from OFDA for Honduras. (The 1,000 families assisted were in Honduras through the Emergency Food Rations) "/>
  </r>
  <r>
    <m/>
    <n v="60"/>
    <x v="72"/>
    <d v="2001-11-01T00:00:00"/>
    <x v="6"/>
    <n v="10"/>
    <m/>
    <x v="6"/>
    <n v="24"/>
    <x v="2"/>
    <s v="Cuba"/>
    <m/>
    <x v="5"/>
    <s v="Tropical Cyclone"/>
    <s v="Tropical Storm"/>
    <x v="0"/>
    <x v="0"/>
    <m/>
    <x v="0"/>
    <m/>
    <x v="0"/>
    <m/>
    <m/>
    <m/>
    <m/>
    <m/>
    <m/>
    <m/>
    <m/>
    <m/>
    <m/>
    <m/>
    <n v="0"/>
    <m/>
    <m/>
    <m/>
    <m/>
    <m/>
    <m/>
    <m/>
    <m/>
    <m/>
    <m/>
    <m/>
    <m/>
    <m/>
    <m/>
    <m/>
    <m/>
    <m/>
    <m/>
    <m/>
    <m/>
    <n v="0"/>
    <m/>
    <m/>
    <m/>
    <x v="7"/>
    <x v="1"/>
    <m/>
    <m/>
    <m/>
    <m/>
    <n v="2898"/>
    <m/>
    <m/>
    <m/>
    <m/>
    <m/>
    <m/>
    <m/>
    <m/>
    <m/>
    <m/>
    <m/>
    <s v="Michelle"/>
    <m/>
  </r>
  <r>
    <m/>
    <n v="60"/>
    <x v="73"/>
    <d v="2001-11-01T00:00:00"/>
    <x v="6"/>
    <n v="10"/>
    <m/>
    <x v="6"/>
    <n v="24"/>
    <x v="2"/>
    <s v="Jamaica"/>
    <m/>
    <x v="5"/>
    <s v="Tropical Cyclone"/>
    <s v="Tropical Storm"/>
    <x v="0"/>
    <x v="0"/>
    <m/>
    <x v="0"/>
    <m/>
    <x v="0"/>
    <m/>
    <m/>
    <m/>
    <m/>
    <m/>
    <m/>
    <m/>
    <m/>
    <m/>
    <n v="5000"/>
    <m/>
    <n v="5000"/>
    <m/>
    <m/>
    <m/>
    <m/>
    <m/>
    <m/>
    <m/>
    <m/>
    <m/>
    <m/>
    <m/>
    <m/>
    <m/>
    <m/>
    <m/>
    <m/>
    <m/>
    <m/>
    <m/>
    <m/>
    <n v="5000"/>
    <m/>
    <m/>
    <m/>
    <x v="46"/>
    <x v="1"/>
    <m/>
    <m/>
    <m/>
    <m/>
    <n v="2898"/>
    <m/>
    <m/>
    <m/>
    <m/>
    <m/>
    <m/>
    <m/>
    <m/>
    <m/>
    <m/>
    <m/>
    <s v="Michelle"/>
    <m/>
  </r>
  <r>
    <m/>
    <n v="61"/>
    <x v="13"/>
    <d v="2001-11-01T00:00:00"/>
    <x v="6"/>
    <n v="11"/>
    <m/>
    <x v="6"/>
    <n v="25"/>
    <x v="2"/>
    <s v="Bahamas"/>
    <m/>
    <x v="5"/>
    <s v="Tropical Cyclone"/>
    <s v="Tropical Storm"/>
    <x v="0"/>
    <x v="0"/>
    <m/>
    <x v="0"/>
    <m/>
    <x v="0"/>
    <m/>
    <m/>
    <m/>
    <m/>
    <m/>
    <m/>
    <m/>
    <m/>
    <m/>
    <n v="5000"/>
    <m/>
    <n v="5000"/>
    <n v="0"/>
    <m/>
    <m/>
    <m/>
    <m/>
    <m/>
    <m/>
    <m/>
    <m/>
    <m/>
    <m/>
    <m/>
    <m/>
    <m/>
    <m/>
    <m/>
    <m/>
    <m/>
    <m/>
    <m/>
    <n v="5000"/>
    <m/>
    <m/>
    <m/>
    <x v="46"/>
    <x v="1"/>
    <m/>
    <m/>
    <m/>
    <m/>
    <n v="2898"/>
    <m/>
    <m/>
    <m/>
    <m/>
    <m/>
    <m/>
    <m/>
    <m/>
    <m/>
    <m/>
    <m/>
    <s v="Michelle"/>
    <m/>
  </r>
  <r>
    <m/>
    <n v="62"/>
    <x v="74"/>
    <d v="2001-11-01T00:00:00"/>
    <x v="6"/>
    <n v="12"/>
    <m/>
    <x v="6"/>
    <n v="26"/>
    <x v="4"/>
    <s v="US"/>
    <m/>
    <x v="9"/>
    <s v="Air"/>
    <s v="Air"/>
    <x v="0"/>
    <x v="0"/>
    <m/>
    <x v="0"/>
    <m/>
    <x v="0"/>
    <m/>
    <m/>
    <m/>
    <m/>
    <m/>
    <m/>
    <m/>
    <m/>
    <m/>
    <m/>
    <m/>
    <n v="0"/>
    <n v="5"/>
    <m/>
    <m/>
    <m/>
    <m/>
    <m/>
    <m/>
    <m/>
    <m/>
    <m/>
    <m/>
    <m/>
    <m/>
    <m/>
    <m/>
    <m/>
    <m/>
    <m/>
    <n v="0"/>
    <n v="500"/>
    <n v="500"/>
    <m/>
    <m/>
    <m/>
    <x v="47"/>
    <x v="1"/>
    <m/>
    <m/>
    <m/>
    <m/>
    <n v="2680"/>
    <m/>
    <m/>
    <m/>
    <m/>
    <m/>
    <m/>
    <m/>
    <m/>
    <m/>
    <m/>
    <m/>
    <s v="AA #587"/>
    <s v="Crash of AA 587 to D.R.  Beneficiaries calculated at 5 family members per each 260 families assisted."/>
  </r>
  <r>
    <m/>
    <n v="63"/>
    <x v="75"/>
    <d v="2002-01-01T00:00:00"/>
    <x v="6"/>
    <n v="13"/>
    <m/>
    <x v="7"/>
    <n v="1"/>
    <x v="3"/>
    <s v="Cambodia"/>
    <m/>
    <x v="10"/>
    <s v="Fire"/>
    <s v="Urban Fire"/>
    <x v="0"/>
    <x v="0"/>
    <m/>
    <x v="0"/>
    <m/>
    <x v="0"/>
    <m/>
    <m/>
    <m/>
    <m/>
    <m/>
    <m/>
    <m/>
    <m/>
    <m/>
    <m/>
    <m/>
    <n v="0"/>
    <m/>
    <m/>
    <m/>
    <m/>
    <m/>
    <m/>
    <m/>
    <m/>
    <m/>
    <m/>
    <m/>
    <m/>
    <m/>
    <m/>
    <m/>
    <m/>
    <m/>
    <m/>
    <n v="10000"/>
    <m/>
    <n v="10000"/>
    <m/>
    <m/>
    <n v="2079"/>
    <x v="6"/>
    <x v="1"/>
    <m/>
    <m/>
    <m/>
    <m/>
    <n v="2898"/>
    <m/>
    <m/>
    <m/>
    <m/>
    <m/>
    <m/>
    <m/>
    <m/>
    <m/>
    <m/>
    <m/>
    <s v="Phnom Penh"/>
    <m/>
  </r>
  <r>
    <m/>
    <n v="64"/>
    <x v="76"/>
    <d v="2002-01-01T00:00:00"/>
    <x v="6"/>
    <n v="14"/>
    <m/>
    <x v="7"/>
    <n v="2"/>
    <x v="3"/>
    <s v="Albania"/>
    <m/>
    <x v="5"/>
    <s v="Winter Emergency"/>
    <m/>
    <x v="0"/>
    <x v="0"/>
    <m/>
    <x v="0"/>
    <m/>
    <x v="0"/>
    <m/>
    <m/>
    <m/>
    <m/>
    <m/>
    <m/>
    <m/>
    <m/>
    <m/>
    <m/>
    <m/>
    <n v="0"/>
    <n v="1"/>
    <m/>
    <m/>
    <m/>
    <m/>
    <m/>
    <m/>
    <m/>
    <m/>
    <m/>
    <m/>
    <m/>
    <m/>
    <m/>
    <m/>
    <m/>
    <m/>
    <m/>
    <n v="71832"/>
    <m/>
    <n v="71832"/>
    <m/>
    <m/>
    <n v="20000"/>
    <x v="48"/>
    <x v="1"/>
    <m/>
    <m/>
    <m/>
    <m/>
    <n v="2898"/>
    <m/>
    <m/>
    <m/>
    <m/>
    <m/>
    <m/>
    <m/>
    <m/>
    <m/>
    <m/>
    <m/>
    <m/>
    <s v="Beneficiaries calculated at 5 family members per the 4,000 families assisted."/>
  </r>
  <r>
    <m/>
    <n v="65"/>
    <x v="77"/>
    <d v="2002-01-01T00:00:00"/>
    <x v="6"/>
    <n v="15"/>
    <m/>
    <x v="7"/>
    <n v="3"/>
    <x v="1"/>
    <s v="DR Congo"/>
    <m/>
    <x v="4"/>
    <s v="Volcanic Eruption"/>
    <s v="Volcanic Eruption"/>
    <x v="0"/>
    <x v="0"/>
    <m/>
    <x v="0"/>
    <m/>
    <x v="0"/>
    <m/>
    <m/>
    <m/>
    <m/>
    <m/>
    <m/>
    <n v="0"/>
    <n v="25000"/>
    <m/>
    <m/>
    <m/>
    <n v="25000"/>
    <m/>
    <m/>
    <m/>
    <m/>
    <m/>
    <m/>
    <m/>
    <m/>
    <m/>
    <m/>
    <m/>
    <m/>
    <m/>
    <m/>
    <m/>
    <m/>
    <m/>
    <m/>
    <n v="20000"/>
    <m/>
    <n v="45000"/>
    <m/>
    <m/>
    <n v="30000"/>
    <x v="49"/>
    <x v="1"/>
    <m/>
    <m/>
    <m/>
    <m/>
    <n v="2681"/>
    <m/>
    <m/>
    <m/>
    <m/>
    <m/>
    <m/>
    <m/>
    <m/>
    <m/>
    <m/>
    <m/>
    <s v="North Kivu"/>
    <s v="3 NEHK (approx. value $20,000 incl. transport) = 30,000 people for 3 months."/>
  </r>
  <r>
    <m/>
    <n v="66"/>
    <x v="78"/>
    <d v="2002-01-01T00:00:00"/>
    <x v="6"/>
    <n v="17"/>
    <m/>
    <x v="7"/>
    <n v="5"/>
    <x v="1"/>
    <s v="Nigeria"/>
    <m/>
    <x v="6"/>
    <s v="Explosion"/>
    <s v="Explosion"/>
    <x v="0"/>
    <x v="0"/>
    <m/>
    <x v="0"/>
    <m/>
    <x v="0"/>
    <m/>
    <m/>
    <m/>
    <m/>
    <m/>
    <m/>
    <n v="0"/>
    <n v="21612.23"/>
    <m/>
    <m/>
    <m/>
    <n v="21612.23"/>
    <m/>
    <m/>
    <m/>
    <m/>
    <m/>
    <m/>
    <m/>
    <m/>
    <m/>
    <m/>
    <m/>
    <m/>
    <m/>
    <m/>
    <m/>
    <m/>
    <m/>
    <m/>
    <m/>
    <m/>
    <n v="21612.23"/>
    <m/>
    <m/>
    <n v="677.77942515832501"/>
    <x v="50"/>
    <x v="1"/>
    <m/>
    <m/>
    <m/>
    <m/>
    <n v="2682"/>
    <m/>
    <m/>
    <m/>
    <m/>
    <m/>
    <m/>
    <m/>
    <m/>
    <m/>
    <m/>
    <m/>
    <s v="Munitions Explosion"/>
    <s v="$20,000 Citicorp donation; $1,612.23 PMN sent to Federation 22 August 03"/>
  </r>
  <r>
    <m/>
    <n v="67"/>
    <x v="9"/>
    <d v="2002-02-01T00:00:00"/>
    <x v="6"/>
    <n v="16"/>
    <m/>
    <x v="7"/>
    <n v="4"/>
    <x v="3"/>
    <s v="Turkey"/>
    <m/>
    <x v="3"/>
    <s v="Earthquake"/>
    <s v="Earthquake"/>
    <x v="0"/>
    <x v="0"/>
    <m/>
    <x v="0"/>
    <m/>
    <x v="0"/>
    <m/>
    <m/>
    <m/>
    <m/>
    <m/>
    <m/>
    <m/>
    <m/>
    <m/>
    <m/>
    <m/>
    <n v="0"/>
    <n v="1"/>
    <m/>
    <m/>
    <m/>
    <m/>
    <m/>
    <m/>
    <m/>
    <m/>
    <m/>
    <m/>
    <m/>
    <m/>
    <m/>
    <m/>
    <m/>
    <m/>
    <m/>
    <n v="350424.24"/>
    <m/>
    <n v="350424.24"/>
    <m/>
    <m/>
    <n v="49315"/>
    <x v="51"/>
    <x v="1"/>
    <m/>
    <m/>
    <m/>
    <m/>
    <n v="2814"/>
    <m/>
    <m/>
    <m/>
    <m/>
    <m/>
    <m/>
    <m/>
    <m/>
    <m/>
    <m/>
    <m/>
    <m/>
    <m/>
  </r>
  <r>
    <m/>
    <n v="68"/>
    <x v="48"/>
    <d v="2002-03-01T00:00:00"/>
    <x v="6"/>
    <n v="18"/>
    <m/>
    <x v="7"/>
    <n v="6"/>
    <x v="2"/>
    <s v="Bolivia"/>
    <m/>
    <x v="2"/>
    <s v="General Floods"/>
    <s v="General Floods"/>
    <x v="0"/>
    <x v="0"/>
    <m/>
    <x v="0"/>
    <m/>
    <x v="0"/>
    <m/>
    <m/>
    <m/>
    <m/>
    <m/>
    <m/>
    <m/>
    <m/>
    <m/>
    <n v="11700"/>
    <m/>
    <n v="11700"/>
    <m/>
    <m/>
    <m/>
    <m/>
    <m/>
    <m/>
    <m/>
    <m/>
    <m/>
    <m/>
    <m/>
    <m/>
    <m/>
    <m/>
    <m/>
    <m/>
    <m/>
    <m/>
    <m/>
    <m/>
    <n v="11700"/>
    <m/>
    <m/>
    <n v="300"/>
    <x v="52"/>
    <x v="1"/>
    <m/>
    <m/>
    <m/>
    <m/>
    <n v="2898"/>
    <m/>
    <m/>
    <m/>
    <m/>
    <m/>
    <m/>
    <m/>
    <m/>
    <m/>
    <m/>
    <m/>
    <m/>
    <m/>
  </r>
  <r>
    <m/>
    <n v="69"/>
    <x v="79"/>
    <d v="2002-03-01T00:00:00"/>
    <x v="6"/>
    <n v="19"/>
    <m/>
    <x v="7"/>
    <n v="7"/>
    <x v="3"/>
    <s v="Afghanistan"/>
    <m/>
    <x v="3"/>
    <s v="Earthquake"/>
    <s v="Earthquake"/>
    <x v="0"/>
    <x v="0"/>
    <m/>
    <x v="0"/>
    <m/>
    <x v="0"/>
    <m/>
    <m/>
    <m/>
    <m/>
    <m/>
    <m/>
    <m/>
    <m/>
    <n v="104805"/>
    <m/>
    <m/>
    <n v="104805"/>
    <n v="2"/>
    <m/>
    <m/>
    <m/>
    <m/>
    <m/>
    <m/>
    <m/>
    <m/>
    <m/>
    <m/>
    <m/>
    <m/>
    <m/>
    <m/>
    <m/>
    <m/>
    <m/>
    <m/>
    <m/>
    <n v="104805"/>
    <m/>
    <m/>
    <n v="19678.7"/>
    <x v="53"/>
    <x v="1"/>
    <m/>
    <m/>
    <m/>
    <m/>
    <n v="2876"/>
    <m/>
    <m/>
    <m/>
    <m/>
    <m/>
    <m/>
    <m/>
    <m/>
    <m/>
    <m/>
    <m/>
    <m/>
    <s v="NEHK for Mazar e Sharif "/>
  </r>
  <r>
    <m/>
    <n v="70"/>
    <x v="36"/>
    <d v="2002-04-01T00:00:00"/>
    <x v="6"/>
    <n v="20"/>
    <m/>
    <x v="7"/>
    <n v="8"/>
    <x v="3"/>
    <s v="Jordan"/>
    <m/>
    <x v="8"/>
    <s v="Conflict"/>
    <s v="Conflict"/>
    <x v="0"/>
    <x v="0"/>
    <m/>
    <x v="0"/>
    <m/>
    <x v="0"/>
    <m/>
    <m/>
    <m/>
    <m/>
    <m/>
    <m/>
    <n v="0"/>
    <n v="25000"/>
    <m/>
    <n v="200000"/>
    <m/>
    <n v="225000"/>
    <n v="1"/>
    <m/>
    <m/>
    <m/>
    <m/>
    <m/>
    <m/>
    <m/>
    <m/>
    <m/>
    <m/>
    <m/>
    <m/>
    <m/>
    <m/>
    <m/>
    <m/>
    <m/>
    <m/>
    <m/>
    <n v="225000"/>
    <m/>
    <m/>
    <m/>
    <x v="54"/>
    <x v="1"/>
    <m/>
    <m/>
    <m/>
    <m/>
    <n v="2898"/>
    <m/>
    <m/>
    <m/>
    <m/>
    <m/>
    <m/>
    <m/>
    <m/>
    <m/>
    <m/>
    <m/>
    <m/>
    <s v="Second Installment for ICU sent in Nov 2002"/>
  </r>
  <r>
    <m/>
    <n v="71"/>
    <x v="80"/>
    <d v="2002-05-01T00:00:00"/>
    <x v="6"/>
    <n v="21"/>
    <m/>
    <x v="7"/>
    <n v="9"/>
    <x v="2"/>
    <s v="Panama"/>
    <m/>
    <x v="2"/>
    <s v="General Floods"/>
    <s v="General Floods"/>
    <x v="0"/>
    <x v="0"/>
    <m/>
    <x v="0"/>
    <m/>
    <x v="0"/>
    <m/>
    <m/>
    <m/>
    <m/>
    <m/>
    <m/>
    <m/>
    <m/>
    <m/>
    <n v="2000"/>
    <m/>
    <n v="2000"/>
    <m/>
    <m/>
    <m/>
    <m/>
    <m/>
    <m/>
    <m/>
    <m/>
    <m/>
    <m/>
    <m/>
    <m/>
    <m/>
    <m/>
    <m/>
    <m/>
    <m/>
    <m/>
    <m/>
    <m/>
    <n v="2000"/>
    <m/>
    <m/>
    <m/>
    <x v="55"/>
    <x v="1"/>
    <m/>
    <m/>
    <m/>
    <m/>
    <n v="2898"/>
    <m/>
    <m/>
    <m/>
    <m/>
    <m/>
    <m/>
    <m/>
    <m/>
    <m/>
    <m/>
    <m/>
    <m/>
    <m/>
  </r>
  <r>
    <m/>
    <n v="71"/>
    <x v="7"/>
    <d v="2002-05-01T00:00:00"/>
    <x v="6"/>
    <n v="21"/>
    <m/>
    <x v="7"/>
    <n v="9"/>
    <x v="2"/>
    <s v="Costa Rica"/>
    <m/>
    <x v="2"/>
    <s v="General Floods"/>
    <s v="General Floods"/>
    <x v="0"/>
    <x v="0"/>
    <m/>
    <x v="0"/>
    <m/>
    <x v="0"/>
    <m/>
    <m/>
    <m/>
    <m/>
    <m/>
    <m/>
    <m/>
    <m/>
    <m/>
    <n v="2000"/>
    <m/>
    <n v="2000"/>
    <m/>
    <m/>
    <m/>
    <m/>
    <m/>
    <m/>
    <m/>
    <m/>
    <m/>
    <m/>
    <m/>
    <m/>
    <m/>
    <m/>
    <m/>
    <m/>
    <m/>
    <m/>
    <m/>
    <m/>
    <n v="2000"/>
    <m/>
    <m/>
    <n v="0"/>
    <x v="55"/>
    <x v="1"/>
    <m/>
    <m/>
    <m/>
    <m/>
    <n v="2898"/>
    <m/>
    <m/>
    <m/>
    <m/>
    <m/>
    <m/>
    <m/>
    <m/>
    <m/>
    <m/>
    <m/>
    <m/>
    <m/>
  </r>
  <r>
    <m/>
    <n v="72"/>
    <x v="81"/>
    <d v="2002-05-01T00:00:00"/>
    <x v="6"/>
    <n v="22"/>
    <m/>
    <x v="7"/>
    <n v="10"/>
    <x v="1"/>
    <s v="Kenya"/>
    <m/>
    <x v="2"/>
    <s v="General Floods"/>
    <s v="General Floods"/>
    <x v="0"/>
    <x v="0"/>
    <m/>
    <x v="0"/>
    <m/>
    <x v="0"/>
    <m/>
    <m/>
    <m/>
    <m/>
    <m/>
    <m/>
    <n v="0"/>
    <n v="10000"/>
    <m/>
    <m/>
    <m/>
    <n v="10000"/>
    <m/>
    <m/>
    <m/>
    <m/>
    <m/>
    <m/>
    <m/>
    <m/>
    <m/>
    <m/>
    <m/>
    <m/>
    <m/>
    <m/>
    <m/>
    <m/>
    <m/>
    <m/>
    <m/>
    <m/>
    <n v="10000"/>
    <m/>
    <m/>
    <n v="1160.6960462049883"/>
    <x v="6"/>
    <x v="1"/>
    <m/>
    <m/>
    <m/>
    <m/>
    <n v="2898"/>
    <m/>
    <m/>
    <m/>
    <m/>
    <m/>
    <m/>
    <m/>
    <m/>
    <m/>
    <m/>
    <m/>
    <m/>
    <m/>
  </r>
  <r>
    <m/>
    <n v="73"/>
    <x v="82"/>
    <d v="2002-05-01T00:00:00"/>
    <x v="6"/>
    <n v="23"/>
    <m/>
    <x v="7"/>
    <n v="11"/>
    <x v="1"/>
    <s v="Malawi"/>
    <m/>
    <x v="14"/>
    <s v="Food Insecurity"/>
    <s v="Food Insecurity"/>
    <x v="0"/>
    <x v="0"/>
    <m/>
    <x v="0"/>
    <m/>
    <x v="0"/>
    <m/>
    <m/>
    <m/>
    <m/>
    <m/>
    <m/>
    <m/>
    <m/>
    <m/>
    <m/>
    <m/>
    <n v="0"/>
    <n v="3"/>
    <m/>
    <m/>
    <m/>
    <m/>
    <m/>
    <m/>
    <m/>
    <m/>
    <m/>
    <m/>
    <m/>
    <m/>
    <m/>
    <m/>
    <m/>
    <m/>
    <m/>
    <m/>
    <n v="100000"/>
    <n v="100000"/>
    <m/>
    <m/>
    <n v="96000"/>
    <x v="5"/>
    <x v="1"/>
    <m/>
    <m/>
    <m/>
    <m/>
    <n v="2683"/>
    <m/>
    <m/>
    <m/>
    <m/>
    <m/>
    <m/>
    <m/>
    <m/>
    <m/>
    <m/>
    <m/>
    <m/>
    <m/>
  </r>
  <r>
    <m/>
    <n v="74"/>
    <x v="83"/>
    <d v="2002-06-01T00:00:00"/>
    <x v="6"/>
    <n v="24"/>
    <m/>
    <x v="7"/>
    <n v="12"/>
    <x v="2"/>
    <s v="Nicaragua"/>
    <m/>
    <x v="2"/>
    <s v="General Floods"/>
    <s v="General Floods"/>
    <x v="0"/>
    <x v="0"/>
    <m/>
    <x v="0"/>
    <m/>
    <x v="0"/>
    <m/>
    <m/>
    <m/>
    <m/>
    <m/>
    <m/>
    <m/>
    <m/>
    <m/>
    <m/>
    <m/>
    <n v="0"/>
    <n v="1"/>
    <m/>
    <m/>
    <m/>
    <m/>
    <m/>
    <m/>
    <m/>
    <m/>
    <m/>
    <m/>
    <m/>
    <m/>
    <m/>
    <m/>
    <m/>
    <m/>
    <m/>
    <m/>
    <m/>
    <n v="0"/>
    <m/>
    <m/>
    <n v="0"/>
    <x v="7"/>
    <x v="1"/>
    <m/>
    <m/>
    <m/>
    <m/>
    <n v="2821"/>
    <m/>
    <m/>
    <m/>
    <m/>
    <m/>
    <m/>
    <m/>
    <m/>
    <m/>
    <m/>
    <m/>
    <m/>
    <s v="supervised dist. of $50,000 of supplies given to NRC by USAID"/>
  </r>
  <r>
    <m/>
    <n v="75"/>
    <x v="84"/>
    <d v="2002-06-01T00:00:00"/>
    <x v="6"/>
    <n v="25"/>
    <m/>
    <x v="7"/>
    <n v="13"/>
    <x v="3"/>
    <s v="Syria"/>
    <m/>
    <x v="10"/>
    <s v="Collapse"/>
    <s v="Collapse"/>
    <x v="0"/>
    <x v="0"/>
    <m/>
    <x v="0"/>
    <m/>
    <x v="0"/>
    <m/>
    <m/>
    <m/>
    <m/>
    <m/>
    <m/>
    <n v="0"/>
    <n v="10000"/>
    <m/>
    <m/>
    <m/>
    <n v="10000"/>
    <m/>
    <m/>
    <m/>
    <m/>
    <m/>
    <m/>
    <m/>
    <m/>
    <m/>
    <m/>
    <m/>
    <m/>
    <m/>
    <m/>
    <m/>
    <m/>
    <m/>
    <m/>
    <m/>
    <m/>
    <n v="10000"/>
    <m/>
    <m/>
    <n v="216.21621621621622"/>
    <x v="6"/>
    <x v="1"/>
    <m/>
    <m/>
    <m/>
    <m/>
    <n v="2898"/>
    <m/>
    <m/>
    <m/>
    <m/>
    <m/>
    <m/>
    <m/>
    <m/>
    <m/>
    <m/>
    <m/>
    <s v="Dam Burst"/>
    <s v="Federation appeal15/2002 - Zeyzoun Dam Collapse"/>
  </r>
  <r>
    <m/>
    <n v="76"/>
    <x v="8"/>
    <d v="2002-06-01T00:00:00"/>
    <x v="6"/>
    <n v="26"/>
    <m/>
    <x v="7"/>
    <n v="14"/>
    <x v="3"/>
    <s v="China"/>
    <m/>
    <x v="2"/>
    <s v="General Floods"/>
    <s v="General Floods"/>
    <x v="0"/>
    <x v="0"/>
    <m/>
    <x v="0"/>
    <m/>
    <x v="0"/>
    <m/>
    <m/>
    <m/>
    <m/>
    <m/>
    <m/>
    <m/>
    <m/>
    <m/>
    <n v="75000"/>
    <m/>
    <n v="75000"/>
    <m/>
    <m/>
    <m/>
    <m/>
    <m/>
    <m/>
    <m/>
    <m/>
    <m/>
    <m/>
    <m/>
    <m/>
    <m/>
    <m/>
    <m/>
    <m/>
    <m/>
    <m/>
    <m/>
    <m/>
    <n v="75000"/>
    <m/>
    <m/>
    <n v="2243.493867783428"/>
    <x v="56"/>
    <x v="1"/>
    <m/>
    <m/>
    <m/>
    <m/>
    <n v="2060"/>
    <m/>
    <m/>
    <m/>
    <m/>
    <m/>
    <m/>
    <m/>
    <m/>
    <m/>
    <m/>
    <m/>
    <m/>
    <s v="Federation appeal 16/2002; $75,000 from Region"/>
  </r>
  <r>
    <m/>
    <n v="76"/>
    <x v="8"/>
    <d v="2002-06-01T00:00:00"/>
    <x v="6"/>
    <n v="26"/>
    <m/>
    <x v="7"/>
    <n v="14"/>
    <x v="3"/>
    <s v="China"/>
    <m/>
    <x v="2"/>
    <s v="General Floods"/>
    <s v="General Floods"/>
    <x v="0"/>
    <x v="0"/>
    <m/>
    <x v="0"/>
    <m/>
    <x v="0"/>
    <m/>
    <m/>
    <m/>
    <m/>
    <m/>
    <m/>
    <m/>
    <m/>
    <m/>
    <n v="25000"/>
    <m/>
    <n v="25000"/>
    <m/>
    <m/>
    <m/>
    <m/>
    <m/>
    <m/>
    <m/>
    <m/>
    <m/>
    <m/>
    <m/>
    <m/>
    <m/>
    <m/>
    <m/>
    <m/>
    <m/>
    <m/>
    <m/>
    <m/>
    <n v="25000"/>
    <m/>
    <m/>
    <m/>
    <x v="8"/>
    <x v="1"/>
    <m/>
    <m/>
    <m/>
    <m/>
    <n v="2898"/>
    <m/>
    <m/>
    <m/>
    <m/>
    <m/>
    <m/>
    <m/>
    <m/>
    <m/>
    <m/>
    <m/>
    <m/>
    <m/>
  </r>
  <r>
    <m/>
    <n v="76"/>
    <x v="8"/>
    <d v="2002-06-01T00:00:00"/>
    <x v="6"/>
    <n v="26"/>
    <m/>
    <x v="7"/>
    <n v="14"/>
    <x v="3"/>
    <s v="China"/>
    <m/>
    <x v="2"/>
    <s v="General Floods"/>
    <s v="General Floods"/>
    <x v="0"/>
    <x v="0"/>
    <m/>
    <x v="0"/>
    <m/>
    <x v="0"/>
    <m/>
    <m/>
    <m/>
    <m/>
    <m/>
    <m/>
    <m/>
    <m/>
    <m/>
    <n v="100000"/>
    <m/>
    <n v="100000"/>
    <m/>
    <m/>
    <m/>
    <m/>
    <m/>
    <m/>
    <m/>
    <m/>
    <m/>
    <m/>
    <m/>
    <m/>
    <m/>
    <m/>
    <m/>
    <m/>
    <m/>
    <m/>
    <m/>
    <m/>
    <n v="100000"/>
    <m/>
    <m/>
    <m/>
    <x v="5"/>
    <x v="2"/>
    <m/>
    <m/>
    <m/>
    <m/>
    <n v="2099"/>
    <m/>
    <m/>
    <m/>
    <m/>
    <m/>
    <m/>
    <m/>
    <m/>
    <m/>
    <m/>
    <m/>
    <m/>
    <s v="$100,000 from Phillip Morris (AP 2099) in October 2002"/>
  </r>
  <r>
    <m/>
    <n v="77"/>
    <x v="51"/>
    <d v="2002-07-01T00:00:00"/>
    <x v="7"/>
    <n v="1"/>
    <m/>
    <x v="7"/>
    <n v="15"/>
    <x v="3"/>
    <s v="Russian Fed."/>
    <m/>
    <x v="2"/>
    <s v="General Floods"/>
    <s v="General Floods"/>
    <x v="0"/>
    <x v="0"/>
    <m/>
    <x v="0"/>
    <m/>
    <x v="0"/>
    <m/>
    <m/>
    <m/>
    <m/>
    <m/>
    <m/>
    <m/>
    <m/>
    <m/>
    <n v="50000"/>
    <m/>
    <n v="50000"/>
    <n v="1"/>
    <m/>
    <m/>
    <m/>
    <m/>
    <m/>
    <m/>
    <m/>
    <m/>
    <m/>
    <m/>
    <m/>
    <m/>
    <m/>
    <m/>
    <m/>
    <m/>
    <m/>
    <m/>
    <m/>
    <n v="50000"/>
    <m/>
    <m/>
    <n v="5000"/>
    <x v="16"/>
    <x v="1"/>
    <m/>
    <m/>
    <m/>
    <m/>
    <n v="2664"/>
    <m/>
    <m/>
    <m/>
    <m/>
    <m/>
    <m/>
    <m/>
    <m/>
    <m/>
    <m/>
    <m/>
    <m/>
    <s v="Dagestan:  IRT Ramsey Rayyis; Federation Appeal 20/2002; grant from US Embassy in Moscow"/>
  </r>
  <r>
    <m/>
    <n v="78"/>
    <x v="85"/>
    <d v="2002-07-01T00:00:00"/>
    <x v="7"/>
    <n v="2"/>
    <m/>
    <x v="7"/>
    <n v="16"/>
    <x v="3"/>
    <s v="FS Micronesia"/>
    <m/>
    <x v="5"/>
    <s v="Tropical Cyclone"/>
    <s v="Typhoon"/>
    <x v="0"/>
    <x v="0"/>
    <m/>
    <x v="0"/>
    <m/>
    <x v="0"/>
    <m/>
    <m/>
    <m/>
    <m/>
    <m/>
    <m/>
    <m/>
    <m/>
    <m/>
    <m/>
    <m/>
    <n v="0"/>
    <m/>
    <m/>
    <m/>
    <m/>
    <m/>
    <m/>
    <m/>
    <m/>
    <m/>
    <m/>
    <m/>
    <m/>
    <m/>
    <m/>
    <m/>
    <m/>
    <m/>
    <m/>
    <n v="10000"/>
    <m/>
    <n v="10000"/>
    <m/>
    <m/>
    <n v="1000"/>
    <x v="6"/>
    <x v="1"/>
    <m/>
    <m/>
    <m/>
    <m/>
    <n v="2898"/>
    <m/>
    <m/>
    <m/>
    <m/>
    <m/>
    <m/>
    <m/>
    <m/>
    <m/>
    <m/>
    <m/>
    <s v="Chata'an"/>
    <s v="Replenished Supplies sent from ARC/Saipan"/>
  </r>
  <r>
    <m/>
    <n v="79"/>
    <x v="86"/>
    <d v="2002-07-01T00:00:00"/>
    <x v="7"/>
    <n v="3"/>
    <m/>
    <x v="7"/>
    <n v="17"/>
    <x v="2"/>
    <s v="Peru"/>
    <m/>
    <x v="5"/>
    <s v="Winter Storm"/>
    <s v="Snowstorm"/>
    <x v="0"/>
    <x v="0"/>
    <m/>
    <x v="0"/>
    <m/>
    <x v="0"/>
    <m/>
    <m/>
    <m/>
    <m/>
    <m/>
    <m/>
    <n v="0"/>
    <n v="5000"/>
    <m/>
    <m/>
    <m/>
    <n v="5000"/>
    <m/>
    <m/>
    <m/>
    <m/>
    <m/>
    <m/>
    <m/>
    <m/>
    <m/>
    <m/>
    <m/>
    <m/>
    <m/>
    <m/>
    <m/>
    <m/>
    <m/>
    <m/>
    <m/>
    <m/>
    <n v="5000"/>
    <m/>
    <m/>
    <m/>
    <x v="46"/>
    <x v="1"/>
    <m/>
    <m/>
    <m/>
    <m/>
    <n v="2898"/>
    <m/>
    <m/>
    <m/>
    <m/>
    <m/>
    <m/>
    <m/>
    <m/>
    <m/>
    <m/>
    <m/>
    <m/>
    <s v="DREF Replenishment"/>
  </r>
  <r>
    <m/>
    <n v="80"/>
    <x v="87"/>
    <d v="2002-07-01T00:00:00"/>
    <x v="7"/>
    <n v="4"/>
    <m/>
    <x v="7"/>
    <n v="18"/>
    <x v="2"/>
    <s v="Bolivia"/>
    <m/>
    <x v="5"/>
    <s v="Winter Storm"/>
    <s v="Snowstorm"/>
    <x v="0"/>
    <x v="0"/>
    <m/>
    <x v="0"/>
    <m/>
    <x v="0"/>
    <m/>
    <m/>
    <m/>
    <m/>
    <m/>
    <m/>
    <n v="0"/>
    <n v="5000"/>
    <m/>
    <m/>
    <m/>
    <n v="5000"/>
    <m/>
    <m/>
    <m/>
    <m/>
    <m/>
    <m/>
    <m/>
    <m/>
    <m/>
    <m/>
    <m/>
    <m/>
    <m/>
    <m/>
    <m/>
    <m/>
    <m/>
    <m/>
    <m/>
    <m/>
    <n v="5000"/>
    <m/>
    <m/>
    <m/>
    <x v="46"/>
    <x v="1"/>
    <m/>
    <m/>
    <m/>
    <m/>
    <n v="2898"/>
    <m/>
    <m/>
    <m/>
    <m/>
    <m/>
    <m/>
    <m/>
    <m/>
    <m/>
    <m/>
    <m/>
    <m/>
    <s v="DREF Replenishment"/>
  </r>
  <r>
    <m/>
    <n v="81"/>
    <x v="27"/>
    <d v="2002-07-01T00:00:00"/>
    <x v="7"/>
    <n v="5"/>
    <m/>
    <x v="7"/>
    <n v="19"/>
    <x v="2"/>
    <s v="Venezuela"/>
    <m/>
    <x v="2"/>
    <s v="General Floods"/>
    <s v="General Floods"/>
    <x v="0"/>
    <x v="0"/>
    <m/>
    <x v="0"/>
    <m/>
    <x v="0"/>
    <m/>
    <m/>
    <m/>
    <m/>
    <m/>
    <m/>
    <m/>
    <m/>
    <m/>
    <n v="50000"/>
    <m/>
    <n v="50000"/>
    <n v="1"/>
    <m/>
    <m/>
    <m/>
    <m/>
    <m/>
    <m/>
    <m/>
    <m/>
    <m/>
    <m/>
    <m/>
    <m/>
    <m/>
    <m/>
    <m/>
    <m/>
    <m/>
    <m/>
    <m/>
    <n v="50000"/>
    <m/>
    <m/>
    <n v="3840"/>
    <x v="16"/>
    <x v="1"/>
    <m/>
    <m/>
    <m/>
    <m/>
    <n v="2912"/>
    <m/>
    <m/>
    <m/>
    <m/>
    <m/>
    <m/>
    <m/>
    <m/>
    <m/>
    <m/>
    <m/>
    <m/>
    <s v="Funds provided by US Embassy; program implemented by Delegates/IRT members based in Caracas"/>
  </r>
  <r>
    <m/>
    <n v="82"/>
    <x v="33"/>
    <d v="2002-08-01T00:00:00"/>
    <x v="7"/>
    <n v="6"/>
    <m/>
    <x v="7"/>
    <n v="20"/>
    <x v="3"/>
    <s v="India"/>
    <m/>
    <x v="2"/>
    <s v="General Floods"/>
    <s v="General Floods"/>
    <x v="0"/>
    <x v="0"/>
    <m/>
    <x v="0"/>
    <m/>
    <x v="0"/>
    <m/>
    <m/>
    <m/>
    <m/>
    <m/>
    <m/>
    <n v="1"/>
    <n v="66918.959999999992"/>
    <m/>
    <m/>
    <m/>
    <n v="66918.959999999992"/>
    <n v="7"/>
    <m/>
    <m/>
    <n v="2900"/>
    <m/>
    <m/>
    <m/>
    <m/>
    <m/>
    <m/>
    <m/>
    <m/>
    <m/>
    <m/>
    <m/>
    <m/>
    <m/>
    <m/>
    <n v="122911.16"/>
    <n v="42422.75"/>
    <n v="232252.87"/>
    <m/>
    <m/>
    <n v="36500"/>
    <x v="57"/>
    <x v="1"/>
    <m/>
    <m/>
    <m/>
    <m/>
    <n v="2954"/>
    <m/>
    <m/>
    <m/>
    <m/>
    <m/>
    <m/>
    <m/>
    <m/>
    <m/>
    <m/>
    <m/>
    <m/>
    <s v="2,900 Family Kits @ $35.88 each; 2 WHO NEHK; 2 WHO Cholera Kits; Flood Mitigation in Assam and Bihar thru Appeal."/>
  </r>
  <r>
    <m/>
    <n v="83"/>
    <x v="88"/>
    <d v="2002-08-01T00:00:00"/>
    <x v="7"/>
    <n v="7"/>
    <m/>
    <x v="7"/>
    <n v="21"/>
    <x v="3"/>
    <s v="Romania"/>
    <m/>
    <x v="2"/>
    <s v="General Floods"/>
    <s v="General Floods"/>
    <x v="0"/>
    <x v="0"/>
    <m/>
    <x v="0"/>
    <m/>
    <x v="0"/>
    <m/>
    <m/>
    <m/>
    <m/>
    <m/>
    <m/>
    <m/>
    <m/>
    <m/>
    <m/>
    <m/>
    <n v="0"/>
    <n v="3"/>
    <m/>
    <m/>
    <n v="14500"/>
    <m/>
    <m/>
    <m/>
    <m/>
    <m/>
    <m/>
    <m/>
    <m/>
    <m/>
    <n v="14500"/>
    <m/>
    <m/>
    <m/>
    <m/>
    <n v="102950"/>
    <n v="12189.84"/>
    <n v="115139.84"/>
    <m/>
    <m/>
    <n v="58000"/>
    <x v="58"/>
    <x v="1"/>
    <m/>
    <m/>
    <m/>
    <m/>
    <n v="2685"/>
    <m/>
    <m/>
    <m/>
    <m/>
    <m/>
    <m/>
    <m/>
    <m/>
    <m/>
    <m/>
    <m/>
    <m/>
    <s v="ex Sofia"/>
  </r>
  <r>
    <m/>
    <n v="83"/>
    <x v="89"/>
    <d v="2002-08-01T00:00:00"/>
    <x v="7"/>
    <n v="7"/>
    <m/>
    <x v="7"/>
    <n v="21"/>
    <x v="3"/>
    <s v="Germany"/>
    <m/>
    <x v="2"/>
    <s v="General Floods"/>
    <s v="General Floods"/>
    <x v="0"/>
    <x v="0"/>
    <m/>
    <x v="0"/>
    <m/>
    <x v="0"/>
    <m/>
    <m/>
    <m/>
    <m/>
    <m/>
    <m/>
    <m/>
    <m/>
    <m/>
    <n v="75000"/>
    <m/>
    <n v="75000"/>
    <m/>
    <m/>
    <m/>
    <m/>
    <m/>
    <m/>
    <m/>
    <m/>
    <m/>
    <m/>
    <m/>
    <m/>
    <m/>
    <m/>
    <m/>
    <m/>
    <m/>
    <m/>
    <m/>
    <m/>
    <n v="75000"/>
    <m/>
    <m/>
    <n v="7500"/>
    <x v="56"/>
    <x v="2"/>
    <m/>
    <m/>
    <m/>
    <m/>
    <n v="2099"/>
    <m/>
    <m/>
    <m/>
    <m/>
    <m/>
    <m/>
    <m/>
    <m/>
    <m/>
    <m/>
    <m/>
    <m/>
    <s v="Pass throughs from  Alcoa, AmEx, Citigroup, Levi Strauss"/>
  </r>
  <r>
    <m/>
    <n v="83"/>
    <x v="90"/>
    <d v="2002-08-01T00:00:00"/>
    <x v="7"/>
    <n v="7"/>
    <m/>
    <x v="7"/>
    <n v="21"/>
    <x v="3"/>
    <s v="Czech Republic"/>
    <m/>
    <x v="2"/>
    <s v="General Floods"/>
    <s v="General Floods"/>
    <x v="0"/>
    <x v="0"/>
    <m/>
    <x v="0"/>
    <m/>
    <x v="0"/>
    <m/>
    <m/>
    <m/>
    <m/>
    <m/>
    <m/>
    <m/>
    <m/>
    <m/>
    <n v="90000"/>
    <m/>
    <n v="90000"/>
    <m/>
    <m/>
    <m/>
    <m/>
    <m/>
    <m/>
    <m/>
    <m/>
    <m/>
    <m/>
    <m/>
    <m/>
    <m/>
    <m/>
    <m/>
    <m/>
    <m/>
    <m/>
    <m/>
    <m/>
    <n v="90000"/>
    <m/>
    <m/>
    <n v="9000"/>
    <x v="29"/>
    <x v="2"/>
    <m/>
    <m/>
    <m/>
    <m/>
    <n v="2099"/>
    <m/>
    <m/>
    <m/>
    <m/>
    <m/>
    <m/>
    <m/>
    <m/>
    <m/>
    <m/>
    <m/>
    <m/>
    <s v="Pass throughs from  AmEx (2099), Levi Strauss (2099) and JP Morgan (2608)"/>
  </r>
  <r>
    <m/>
    <n v="83"/>
    <x v="91"/>
    <d v="2002-08-01T00:00:00"/>
    <x v="7"/>
    <n v="7"/>
    <m/>
    <x v="7"/>
    <n v="21"/>
    <x v="3"/>
    <s v="Slovakia"/>
    <m/>
    <x v="2"/>
    <s v="General Floods"/>
    <s v="General Floods"/>
    <x v="0"/>
    <x v="0"/>
    <m/>
    <x v="0"/>
    <m/>
    <x v="0"/>
    <m/>
    <m/>
    <m/>
    <m/>
    <m/>
    <m/>
    <m/>
    <m/>
    <m/>
    <n v="10000"/>
    <m/>
    <n v="10000"/>
    <m/>
    <m/>
    <m/>
    <m/>
    <m/>
    <m/>
    <m/>
    <m/>
    <m/>
    <m/>
    <m/>
    <m/>
    <m/>
    <m/>
    <m/>
    <m/>
    <m/>
    <m/>
    <m/>
    <m/>
    <n v="10000"/>
    <m/>
    <m/>
    <n v="1000"/>
    <x v="6"/>
    <x v="1"/>
    <m/>
    <m/>
    <m/>
    <m/>
    <n v="2608"/>
    <m/>
    <m/>
    <m/>
    <m/>
    <m/>
    <m/>
    <m/>
    <m/>
    <m/>
    <m/>
    <m/>
    <m/>
    <s v="Pass through from JP Morgan / Chase"/>
  </r>
  <r>
    <m/>
    <n v="83"/>
    <x v="92"/>
    <d v="2002-08-01T00:00:00"/>
    <x v="7"/>
    <n v="7"/>
    <m/>
    <x v="7"/>
    <n v="21"/>
    <x v="3"/>
    <s v="Hungary"/>
    <m/>
    <x v="2"/>
    <s v="General Floods"/>
    <s v="General Floods"/>
    <x v="0"/>
    <x v="0"/>
    <m/>
    <x v="0"/>
    <m/>
    <x v="0"/>
    <m/>
    <m/>
    <m/>
    <m/>
    <m/>
    <m/>
    <m/>
    <m/>
    <m/>
    <n v="35000"/>
    <m/>
    <n v="35000"/>
    <m/>
    <m/>
    <m/>
    <m/>
    <m/>
    <m/>
    <m/>
    <m/>
    <m/>
    <m/>
    <m/>
    <m/>
    <m/>
    <m/>
    <m/>
    <m/>
    <m/>
    <m/>
    <m/>
    <m/>
    <n v="35000"/>
    <m/>
    <m/>
    <n v="3500"/>
    <x v="59"/>
    <x v="2"/>
    <m/>
    <m/>
    <m/>
    <m/>
    <n v="2099"/>
    <m/>
    <m/>
    <m/>
    <m/>
    <m/>
    <m/>
    <m/>
    <m/>
    <m/>
    <m/>
    <m/>
    <m/>
    <s v="Pass through from  Citigroup (2099) &amp; JP Morgan (2608)"/>
  </r>
  <r>
    <m/>
    <n v="83"/>
    <x v="93"/>
    <d v="2002-08-01T00:00:00"/>
    <x v="7"/>
    <n v="7"/>
    <m/>
    <x v="7"/>
    <n v="21"/>
    <x v="3"/>
    <s v="Austria"/>
    <m/>
    <x v="2"/>
    <s v="General Floods"/>
    <s v="General Floods"/>
    <x v="0"/>
    <x v="0"/>
    <m/>
    <x v="0"/>
    <m/>
    <x v="0"/>
    <m/>
    <m/>
    <m/>
    <m/>
    <m/>
    <m/>
    <m/>
    <m/>
    <m/>
    <n v="25000"/>
    <m/>
    <n v="25000"/>
    <m/>
    <m/>
    <m/>
    <m/>
    <m/>
    <m/>
    <m/>
    <m/>
    <m/>
    <m/>
    <m/>
    <m/>
    <m/>
    <m/>
    <m/>
    <m/>
    <m/>
    <m/>
    <m/>
    <m/>
    <n v="25000"/>
    <m/>
    <m/>
    <n v="2500"/>
    <x v="8"/>
    <x v="1"/>
    <m/>
    <m/>
    <m/>
    <m/>
    <n v="2608"/>
    <m/>
    <m/>
    <m/>
    <m/>
    <m/>
    <m/>
    <m/>
    <m/>
    <m/>
    <m/>
    <m/>
    <m/>
    <s v="AMEX re-directed funds from their ADGP"/>
  </r>
  <r>
    <m/>
    <n v="84"/>
    <x v="67"/>
    <d v="2002-09-01T00:00:00"/>
    <x v="7"/>
    <n v="8"/>
    <m/>
    <x v="7"/>
    <n v="22"/>
    <x v="2"/>
    <s v="Mexico"/>
    <m/>
    <x v="5"/>
    <s v="Tropical Cyclone"/>
    <s v="Hurricane"/>
    <x v="0"/>
    <x v="0"/>
    <m/>
    <x v="0"/>
    <m/>
    <x v="0"/>
    <m/>
    <m/>
    <m/>
    <m/>
    <m/>
    <m/>
    <m/>
    <m/>
    <m/>
    <m/>
    <m/>
    <n v="0"/>
    <n v="2"/>
    <m/>
    <m/>
    <m/>
    <m/>
    <m/>
    <m/>
    <m/>
    <m/>
    <m/>
    <m/>
    <m/>
    <m/>
    <m/>
    <m/>
    <m/>
    <m/>
    <m/>
    <m/>
    <n v="60000"/>
    <n v="60000"/>
    <m/>
    <m/>
    <n v="20000"/>
    <x v="45"/>
    <x v="1"/>
    <m/>
    <m/>
    <m/>
    <m/>
    <n v="2687"/>
    <m/>
    <m/>
    <m/>
    <m/>
    <m/>
    <m/>
    <m/>
    <m/>
    <m/>
    <m/>
    <m/>
    <s v="Isidore"/>
    <s v="$50,000 from OFDA; 4,000 hygiene parcels"/>
  </r>
  <r>
    <m/>
    <n v="85"/>
    <x v="94"/>
    <d v="2002-10-01T00:00:00"/>
    <x v="7"/>
    <n v="9"/>
    <m/>
    <x v="7"/>
    <n v="23"/>
    <x v="2"/>
    <s v="Paraguay"/>
    <m/>
    <x v="1"/>
    <s v="Drought"/>
    <s v="Drought"/>
    <x v="0"/>
    <x v="0"/>
    <m/>
    <x v="0"/>
    <m/>
    <x v="0"/>
    <m/>
    <m/>
    <m/>
    <m/>
    <m/>
    <m/>
    <m/>
    <m/>
    <m/>
    <m/>
    <m/>
    <n v="0"/>
    <n v="2"/>
    <m/>
    <m/>
    <m/>
    <m/>
    <m/>
    <m/>
    <m/>
    <m/>
    <m/>
    <m/>
    <m/>
    <m/>
    <m/>
    <m/>
    <m/>
    <m/>
    <m/>
    <m/>
    <m/>
    <n v="0"/>
    <m/>
    <m/>
    <n v="8165"/>
    <x v="7"/>
    <x v="1"/>
    <m/>
    <m/>
    <m/>
    <m/>
    <n v="2898"/>
    <m/>
    <m/>
    <m/>
    <m/>
    <m/>
    <m/>
    <m/>
    <m/>
    <m/>
    <m/>
    <m/>
    <m/>
    <s v="$50,000 from OFDA money given directly to the Paraguay RC for relief food distributions"/>
  </r>
  <r>
    <m/>
    <n v="86"/>
    <x v="67"/>
    <d v="2002-10-01T00:00:00"/>
    <x v="7"/>
    <n v="10"/>
    <m/>
    <x v="7"/>
    <n v="24"/>
    <x v="2"/>
    <s v="Mexico"/>
    <m/>
    <x v="5"/>
    <s v="Tropical Cyclone"/>
    <s v="Hurricane"/>
    <x v="0"/>
    <x v="0"/>
    <m/>
    <x v="0"/>
    <m/>
    <x v="0"/>
    <m/>
    <m/>
    <m/>
    <m/>
    <m/>
    <m/>
    <m/>
    <m/>
    <m/>
    <m/>
    <m/>
    <n v="0"/>
    <n v="1"/>
    <m/>
    <m/>
    <m/>
    <m/>
    <m/>
    <m/>
    <m/>
    <m/>
    <m/>
    <m/>
    <m/>
    <m/>
    <m/>
    <m/>
    <m/>
    <m/>
    <m/>
    <m/>
    <m/>
    <n v="0"/>
    <m/>
    <m/>
    <m/>
    <x v="7"/>
    <x v="1"/>
    <m/>
    <m/>
    <m/>
    <m/>
    <n v="2688"/>
    <m/>
    <m/>
    <m/>
    <m/>
    <m/>
    <m/>
    <m/>
    <m/>
    <m/>
    <m/>
    <m/>
    <s v="Kenna"/>
    <m/>
  </r>
  <r>
    <m/>
    <n v="87"/>
    <x v="95"/>
    <d v="2002-10-01T00:00:00"/>
    <x v="7"/>
    <n v="11"/>
    <m/>
    <x v="7"/>
    <n v="25"/>
    <x v="3"/>
    <s v="South Korea"/>
    <m/>
    <x v="5"/>
    <s v="Tropical Cyclone"/>
    <s v="Typhoon"/>
    <x v="0"/>
    <x v="0"/>
    <m/>
    <x v="0"/>
    <m/>
    <x v="0"/>
    <m/>
    <m/>
    <m/>
    <m/>
    <m/>
    <m/>
    <m/>
    <m/>
    <m/>
    <n v="120000"/>
    <m/>
    <n v="120000"/>
    <m/>
    <m/>
    <m/>
    <m/>
    <m/>
    <m/>
    <m/>
    <m/>
    <m/>
    <m/>
    <m/>
    <m/>
    <m/>
    <m/>
    <m/>
    <m/>
    <m/>
    <m/>
    <m/>
    <n v="10000"/>
    <n v="130000"/>
    <m/>
    <m/>
    <n v="5775"/>
    <x v="60"/>
    <x v="1"/>
    <m/>
    <m/>
    <m/>
    <m/>
    <n v="2686"/>
    <m/>
    <m/>
    <m/>
    <m/>
    <m/>
    <m/>
    <m/>
    <m/>
    <m/>
    <m/>
    <m/>
    <s v="Rusa"/>
    <s v="$10,000 from Alcoa for winter clothing in donor-specified province; $110,000 from CISCO &amp; Lucent for DPP training."/>
  </r>
  <r>
    <m/>
    <n v="88"/>
    <x v="96"/>
    <d v="2002-10-01T00:00:00"/>
    <x v="7"/>
    <n v="12"/>
    <m/>
    <x v="7"/>
    <n v="26"/>
    <x v="3"/>
    <s v="Italy"/>
    <m/>
    <x v="3"/>
    <s v="Earthquake"/>
    <s v="Earthquake"/>
    <x v="0"/>
    <x v="0"/>
    <m/>
    <x v="0"/>
    <m/>
    <x v="0"/>
    <m/>
    <m/>
    <m/>
    <m/>
    <m/>
    <m/>
    <m/>
    <m/>
    <m/>
    <n v="10000"/>
    <m/>
    <n v="10000"/>
    <m/>
    <m/>
    <m/>
    <m/>
    <m/>
    <m/>
    <m/>
    <m/>
    <m/>
    <m/>
    <m/>
    <m/>
    <m/>
    <m/>
    <m/>
    <m/>
    <m/>
    <m/>
    <m/>
    <m/>
    <n v="10000"/>
    <m/>
    <m/>
    <m/>
    <x v="6"/>
    <x v="1"/>
    <m/>
    <m/>
    <m/>
    <m/>
    <n v="2608"/>
    <m/>
    <m/>
    <m/>
    <m/>
    <m/>
    <m/>
    <m/>
    <m/>
    <m/>
    <m/>
    <m/>
    <m/>
    <s v="Verizon Pass through"/>
  </r>
  <r>
    <m/>
    <n v="89"/>
    <x v="97"/>
    <d v="2002-10-01T00:00:00"/>
    <x v="7"/>
    <n v="13"/>
    <m/>
    <x v="7"/>
    <n v="27"/>
    <x v="3"/>
    <s v="Indonesia"/>
    <m/>
    <x v="12"/>
    <s v="Terrorism"/>
    <s v="Terrorism"/>
    <x v="0"/>
    <x v="0"/>
    <m/>
    <x v="0"/>
    <m/>
    <x v="0"/>
    <m/>
    <m/>
    <m/>
    <m/>
    <m/>
    <m/>
    <m/>
    <m/>
    <m/>
    <n v="46670"/>
    <m/>
    <n v="46670"/>
    <m/>
    <m/>
    <m/>
    <m/>
    <m/>
    <m/>
    <m/>
    <m/>
    <m/>
    <m/>
    <m/>
    <m/>
    <m/>
    <m/>
    <m/>
    <m/>
    <m/>
    <m/>
    <m/>
    <m/>
    <n v="46670"/>
    <m/>
    <m/>
    <m/>
    <x v="61"/>
    <x v="1"/>
    <m/>
    <m/>
    <m/>
    <m/>
    <n v="2613"/>
    <m/>
    <m/>
    <m/>
    <m/>
    <m/>
    <m/>
    <m/>
    <m/>
    <m/>
    <m/>
    <m/>
    <s v="Bali"/>
    <s v="Exxon/Mobil provided  $30,000 for Indonesia (to be programmed by AusCross); Citigroup provided $10,000 (2099), G.E provided $5,000 (2898) and Assoc. of Chartered Accountants provided $1,670"/>
  </r>
  <r>
    <m/>
    <n v="89"/>
    <x v="98"/>
    <d v="2002-10-01T00:00:00"/>
    <x v="7"/>
    <n v="13"/>
    <m/>
    <x v="7"/>
    <n v="27"/>
    <x v="3"/>
    <s v="Australia"/>
    <m/>
    <x v="12"/>
    <s v="Terrorism"/>
    <s v="Terrorism"/>
    <x v="0"/>
    <x v="0"/>
    <m/>
    <x v="0"/>
    <m/>
    <x v="0"/>
    <m/>
    <m/>
    <m/>
    <m/>
    <m/>
    <m/>
    <m/>
    <m/>
    <m/>
    <n v="237898.78"/>
    <m/>
    <n v="237898.78"/>
    <n v="1"/>
    <m/>
    <m/>
    <m/>
    <m/>
    <m/>
    <m/>
    <m/>
    <m/>
    <m/>
    <m/>
    <m/>
    <m/>
    <m/>
    <m/>
    <m/>
    <m/>
    <m/>
    <m/>
    <m/>
    <n v="237898.78"/>
    <m/>
    <m/>
    <m/>
    <x v="62"/>
    <x v="1"/>
    <m/>
    <m/>
    <m/>
    <m/>
    <n v="2613"/>
    <m/>
    <m/>
    <m/>
    <m/>
    <m/>
    <m/>
    <m/>
    <m/>
    <m/>
    <m/>
    <m/>
    <s v="Bali"/>
    <s v="includes $151,228.89 from AP 2613 (estab. Oct 2002). Exxon/Mobil provided  $70,000; Anne Bike sent to Australia."/>
  </r>
  <r>
    <m/>
    <n v="90"/>
    <x v="99"/>
    <d v="2002-10-01T00:00:00"/>
    <x v="7"/>
    <n v="14"/>
    <m/>
    <x v="7"/>
    <n v="28"/>
    <x v="3"/>
    <s v="Vietnam"/>
    <m/>
    <x v="10"/>
    <s v="Fire"/>
    <s v="Urban Fire"/>
    <x v="0"/>
    <x v="0"/>
    <m/>
    <x v="0"/>
    <m/>
    <x v="0"/>
    <m/>
    <m/>
    <m/>
    <m/>
    <m/>
    <m/>
    <m/>
    <m/>
    <m/>
    <n v="100000"/>
    <m/>
    <n v="100000"/>
    <m/>
    <m/>
    <m/>
    <m/>
    <m/>
    <m/>
    <m/>
    <m/>
    <m/>
    <m/>
    <m/>
    <m/>
    <m/>
    <m/>
    <m/>
    <m/>
    <m/>
    <m/>
    <m/>
    <m/>
    <n v="100000"/>
    <m/>
    <m/>
    <n v="1000"/>
    <x v="5"/>
    <x v="1"/>
    <m/>
    <m/>
    <m/>
    <m/>
    <n v="2608"/>
    <m/>
    <m/>
    <m/>
    <m/>
    <m/>
    <m/>
    <m/>
    <m/>
    <m/>
    <m/>
    <m/>
    <s v="International Trade Center - HCM City"/>
    <s v="SDP developed for Starr Foundation contribution for $100,000"/>
  </r>
  <r>
    <m/>
    <n v="91"/>
    <x v="72"/>
    <d v="2002-10-01T00:00:00"/>
    <x v="7"/>
    <n v="15"/>
    <m/>
    <x v="7"/>
    <n v="29"/>
    <x v="2"/>
    <s v="Cuba"/>
    <m/>
    <x v="5"/>
    <s v="Tropical Cyclone"/>
    <s v="Hurricane"/>
    <x v="0"/>
    <x v="0"/>
    <m/>
    <x v="0"/>
    <m/>
    <x v="0"/>
    <m/>
    <m/>
    <m/>
    <m/>
    <m/>
    <m/>
    <n v="0"/>
    <n v="10000"/>
    <m/>
    <m/>
    <m/>
    <n v="10000"/>
    <m/>
    <m/>
    <m/>
    <m/>
    <m/>
    <m/>
    <m/>
    <m/>
    <m/>
    <m/>
    <m/>
    <m/>
    <m/>
    <m/>
    <m/>
    <m/>
    <m/>
    <m/>
    <m/>
    <m/>
    <n v="10000"/>
    <m/>
    <m/>
    <n v="1000"/>
    <x v="6"/>
    <x v="1"/>
    <m/>
    <m/>
    <m/>
    <m/>
    <n v="2898"/>
    <m/>
    <m/>
    <m/>
    <m/>
    <m/>
    <m/>
    <m/>
    <m/>
    <m/>
    <m/>
    <m/>
    <s v="Isidore / Lili"/>
    <s v="Toward the Federation Appeal"/>
  </r>
  <r>
    <m/>
    <n v="92"/>
    <x v="100"/>
    <d v="2002-10-01T00:00:00"/>
    <x v="7"/>
    <n v="16"/>
    <m/>
    <x v="7"/>
    <n v="30"/>
    <x v="1"/>
    <s v="Lesotho"/>
    <m/>
    <x v="14"/>
    <s v="Food Insecurity"/>
    <s v="Food Insecurity"/>
    <x v="0"/>
    <x v="0"/>
    <m/>
    <x v="0"/>
    <m/>
    <x v="0"/>
    <m/>
    <m/>
    <m/>
    <m/>
    <m/>
    <m/>
    <n v="0"/>
    <n v="25000"/>
    <m/>
    <m/>
    <m/>
    <n v="25000"/>
    <m/>
    <m/>
    <m/>
    <m/>
    <m/>
    <m/>
    <m/>
    <m/>
    <m/>
    <m/>
    <m/>
    <m/>
    <m/>
    <m/>
    <m/>
    <m/>
    <m/>
    <m/>
    <m/>
    <m/>
    <n v="25000"/>
    <m/>
    <m/>
    <n v="2500"/>
    <x v="8"/>
    <x v="1"/>
    <m/>
    <m/>
    <m/>
    <m/>
    <n v="2898"/>
    <m/>
    <m/>
    <m/>
    <m/>
    <m/>
    <m/>
    <m/>
    <m/>
    <m/>
    <m/>
    <m/>
    <m/>
    <s v="Toward the Federation Appeal for Southern Africa"/>
  </r>
  <r>
    <m/>
    <n v="93"/>
    <x v="7"/>
    <d v="2002-12-01T00:00:00"/>
    <x v="7"/>
    <n v="17"/>
    <m/>
    <x v="7"/>
    <n v="31"/>
    <x v="2"/>
    <s v="Costa Rica"/>
    <m/>
    <x v="2"/>
    <s v="General Floods"/>
    <s v="General Floods"/>
    <x v="0"/>
    <x v="0"/>
    <m/>
    <x v="0"/>
    <m/>
    <x v="0"/>
    <m/>
    <m/>
    <m/>
    <m/>
    <m/>
    <m/>
    <m/>
    <m/>
    <m/>
    <n v="1000"/>
    <m/>
    <n v="1000"/>
    <m/>
    <m/>
    <m/>
    <m/>
    <m/>
    <m/>
    <m/>
    <m/>
    <m/>
    <m/>
    <m/>
    <m/>
    <m/>
    <m/>
    <m/>
    <m/>
    <m/>
    <m/>
    <m/>
    <m/>
    <n v="1000"/>
    <m/>
    <m/>
    <m/>
    <x v="37"/>
    <x v="1"/>
    <m/>
    <m/>
    <m/>
    <m/>
    <n v="2898"/>
    <m/>
    <m/>
    <m/>
    <m/>
    <m/>
    <m/>
    <m/>
    <m/>
    <m/>
    <m/>
    <m/>
    <m/>
    <s v="Cash donation to National Society"/>
  </r>
  <r>
    <m/>
    <n v="94"/>
    <x v="80"/>
    <d v="2002-12-01T00:00:00"/>
    <x v="7"/>
    <n v="18"/>
    <m/>
    <x v="7"/>
    <n v="32"/>
    <x v="2"/>
    <s v="Panama"/>
    <m/>
    <x v="2"/>
    <s v="General Floods"/>
    <s v="General Floods"/>
    <x v="0"/>
    <x v="0"/>
    <m/>
    <x v="0"/>
    <m/>
    <x v="0"/>
    <m/>
    <m/>
    <m/>
    <m/>
    <m/>
    <m/>
    <m/>
    <m/>
    <m/>
    <n v="1345"/>
    <m/>
    <n v="1345"/>
    <m/>
    <m/>
    <m/>
    <n v="675"/>
    <m/>
    <m/>
    <m/>
    <m/>
    <m/>
    <m/>
    <m/>
    <m/>
    <m/>
    <m/>
    <m/>
    <m/>
    <m/>
    <m/>
    <m/>
    <m/>
    <n v="1345"/>
    <m/>
    <m/>
    <n v="675"/>
    <x v="63"/>
    <x v="1"/>
    <m/>
    <m/>
    <m/>
    <m/>
    <n v="2898"/>
    <m/>
    <m/>
    <m/>
    <m/>
    <m/>
    <m/>
    <m/>
    <m/>
    <m/>
    <m/>
    <m/>
    <m/>
    <s v="675 jerry cans from pre-positioned stocks"/>
  </r>
  <r>
    <m/>
    <n v="95"/>
    <x v="101"/>
    <d v="2002-12-01T00:00:00"/>
    <x v="7"/>
    <n v="19"/>
    <m/>
    <x v="7"/>
    <n v="33"/>
    <x v="1"/>
    <s v="Kenya"/>
    <m/>
    <x v="11"/>
    <s v="Parasitic"/>
    <s v="Parasitic"/>
    <x v="0"/>
    <x v="0"/>
    <m/>
    <x v="0"/>
    <m/>
    <x v="0"/>
    <m/>
    <m/>
    <m/>
    <m/>
    <m/>
    <m/>
    <m/>
    <m/>
    <m/>
    <n v="5000"/>
    <m/>
    <n v="5000"/>
    <m/>
    <m/>
    <m/>
    <m/>
    <m/>
    <m/>
    <m/>
    <m/>
    <m/>
    <m/>
    <m/>
    <m/>
    <m/>
    <m/>
    <m/>
    <m/>
    <m/>
    <m/>
    <m/>
    <m/>
    <n v="5000"/>
    <m/>
    <m/>
    <n v="500"/>
    <x v="46"/>
    <x v="1"/>
    <m/>
    <m/>
    <m/>
    <m/>
    <n v="2898"/>
    <m/>
    <m/>
    <m/>
    <m/>
    <m/>
    <m/>
    <m/>
    <m/>
    <m/>
    <m/>
    <m/>
    <s v="Malaria"/>
    <s v="Africa Region also donated $5,000 to KRC for a total of $10,000"/>
  </r>
  <r>
    <m/>
    <n v="96"/>
    <x v="102"/>
    <d v="2003-01-01T00:00:00"/>
    <x v="7"/>
    <n v="20"/>
    <m/>
    <x v="8"/>
    <n v="1"/>
    <x v="3"/>
    <s v="Solomon Islands"/>
    <m/>
    <x v="5"/>
    <s v="Tropical Cyclone"/>
    <s v="Cyclone"/>
    <x v="0"/>
    <x v="0"/>
    <m/>
    <x v="0"/>
    <m/>
    <x v="0"/>
    <m/>
    <m/>
    <m/>
    <m/>
    <m/>
    <m/>
    <n v="0"/>
    <n v="7242.1372799999999"/>
    <m/>
    <m/>
    <m/>
    <n v="7242.1372799999999"/>
    <m/>
    <m/>
    <m/>
    <m/>
    <m/>
    <m/>
    <m/>
    <m/>
    <m/>
    <m/>
    <m/>
    <m/>
    <m/>
    <m/>
    <m/>
    <m/>
    <m/>
    <m/>
    <m/>
    <m/>
    <n v="7242.1372799999999"/>
    <m/>
    <m/>
    <m/>
    <x v="64"/>
    <x v="1"/>
    <m/>
    <m/>
    <m/>
    <m/>
    <n v="2881"/>
    <m/>
    <m/>
    <m/>
    <m/>
    <m/>
    <m/>
    <m/>
    <m/>
    <m/>
    <m/>
    <m/>
    <s v="Zoe"/>
    <s v="FJD 14,369.32 for re-stocking Solomon Islands RC"/>
  </r>
  <r>
    <m/>
    <n v="97"/>
    <x v="0"/>
    <d v="2003-01-01T00:00:00"/>
    <x v="7"/>
    <n v="21"/>
    <m/>
    <x v="8"/>
    <n v="2"/>
    <x v="2"/>
    <s v="Mexico"/>
    <m/>
    <x v="3"/>
    <s v="Earthquake"/>
    <s v="Earthquake"/>
    <x v="0"/>
    <x v="0"/>
    <m/>
    <x v="0"/>
    <m/>
    <x v="0"/>
    <m/>
    <m/>
    <m/>
    <m/>
    <m/>
    <m/>
    <m/>
    <m/>
    <m/>
    <n v="350000"/>
    <m/>
    <n v="350000"/>
    <n v="3"/>
    <m/>
    <m/>
    <m/>
    <m/>
    <m/>
    <m/>
    <m/>
    <m/>
    <m/>
    <m/>
    <m/>
    <m/>
    <m/>
    <m/>
    <m/>
    <m/>
    <m/>
    <m/>
    <m/>
    <n v="350000"/>
    <m/>
    <m/>
    <n v="2000"/>
    <x v="65"/>
    <x v="1"/>
    <m/>
    <m/>
    <m/>
    <m/>
    <n v="2690"/>
    <m/>
    <m/>
    <m/>
    <m/>
    <m/>
    <m/>
    <m/>
    <m/>
    <m/>
    <m/>
    <m/>
    <m/>
    <s v="$100,000 donation from Wells Fargo was programmed by ARC in partnership with Mexican Red Cross (MRC). Steve McAndrew responded and 2 IRT members (Jerry Lisenby and M-C Brien) were subsequently deployed to manage the operation. Toyota donated $250,000 to the relief effort as a strict pass-through to the Mexican Red Cross."/>
  </r>
  <r>
    <m/>
    <n v="97"/>
    <x v="0"/>
    <d v="2003-01-01T00:00:00"/>
    <x v="7"/>
    <n v="21"/>
    <m/>
    <x v="8"/>
    <n v="2"/>
    <x v="2"/>
    <s v="Mexico"/>
    <m/>
    <x v="3"/>
    <s v="Earthquake"/>
    <s v="Earthquake"/>
    <x v="0"/>
    <x v="0"/>
    <m/>
    <x v="0"/>
    <m/>
    <x v="0"/>
    <m/>
    <m/>
    <m/>
    <m/>
    <m/>
    <m/>
    <m/>
    <m/>
    <m/>
    <n v="100000"/>
    <m/>
    <n v="100000"/>
    <m/>
    <m/>
    <m/>
    <m/>
    <m/>
    <m/>
    <m/>
    <m/>
    <m/>
    <m/>
    <m/>
    <m/>
    <m/>
    <m/>
    <m/>
    <m/>
    <m/>
    <m/>
    <m/>
    <m/>
    <n v="100000"/>
    <m/>
    <m/>
    <m/>
    <x v="5"/>
    <x v="1"/>
    <m/>
    <m/>
    <m/>
    <m/>
    <n v="2642"/>
    <m/>
    <m/>
    <m/>
    <m/>
    <m/>
    <m/>
    <m/>
    <m/>
    <m/>
    <m/>
    <m/>
    <m/>
    <s v="$100,000 from OFDA was programmed by ARC in partnership with Mexican Red Cross (MRC)."/>
  </r>
  <r>
    <m/>
    <n v="98"/>
    <x v="103"/>
    <d v="2003-02-01T00:00:00"/>
    <x v="7"/>
    <n v="22"/>
    <m/>
    <x v="8"/>
    <n v="3"/>
    <x v="3"/>
    <s v="South Korea"/>
    <m/>
    <x v="9"/>
    <s v="Rail"/>
    <s v="Fire"/>
    <x v="0"/>
    <x v="0"/>
    <m/>
    <x v="0"/>
    <m/>
    <x v="0"/>
    <m/>
    <m/>
    <m/>
    <m/>
    <m/>
    <m/>
    <m/>
    <m/>
    <m/>
    <n v="10000"/>
    <m/>
    <n v="10000"/>
    <m/>
    <m/>
    <m/>
    <m/>
    <m/>
    <m/>
    <m/>
    <m/>
    <m/>
    <m/>
    <m/>
    <m/>
    <m/>
    <m/>
    <m/>
    <m/>
    <m/>
    <m/>
    <m/>
    <m/>
    <n v="10000"/>
    <m/>
    <m/>
    <n v="1000"/>
    <x v="6"/>
    <x v="1"/>
    <m/>
    <m/>
    <m/>
    <m/>
    <n v="2608"/>
    <m/>
    <m/>
    <m/>
    <m/>
    <m/>
    <m/>
    <m/>
    <m/>
    <m/>
    <m/>
    <m/>
    <s v="Taegu Subway fire"/>
    <s v="Alcoa passthrough"/>
  </r>
  <r>
    <m/>
    <n v="99"/>
    <x v="104"/>
    <d v="2003-02-01T00:00:00"/>
    <x v="7"/>
    <n v="23"/>
    <m/>
    <x v="8"/>
    <n v="4"/>
    <x v="3"/>
    <s v="China"/>
    <m/>
    <x v="3"/>
    <s v="Earthquake"/>
    <s v="Earthquake"/>
    <x v="0"/>
    <x v="0"/>
    <m/>
    <x v="0"/>
    <m/>
    <x v="0"/>
    <m/>
    <m/>
    <m/>
    <m/>
    <m/>
    <m/>
    <m/>
    <m/>
    <m/>
    <n v="50000"/>
    <m/>
    <n v="50000"/>
    <m/>
    <m/>
    <m/>
    <m/>
    <m/>
    <m/>
    <m/>
    <m/>
    <m/>
    <m/>
    <m/>
    <m/>
    <m/>
    <m/>
    <m/>
    <m/>
    <m/>
    <m/>
    <m/>
    <m/>
    <n v="50000"/>
    <m/>
    <m/>
    <n v="1350"/>
    <x v="16"/>
    <x v="1"/>
    <m/>
    <m/>
    <m/>
    <m/>
    <s v="0000"/>
    <m/>
    <m/>
    <m/>
    <m/>
    <m/>
    <m/>
    <m/>
    <m/>
    <m/>
    <m/>
    <m/>
    <m/>
    <s v="Altria passthrough"/>
  </r>
  <r>
    <m/>
    <n v="100"/>
    <x v="105"/>
    <d v="2003-03-01T00:00:00"/>
    <x v="7"/>
    <n v="24"/>
    <m/>
    <x v="8"/>
    <n v="5"/>
    <x v="3"/>
    <s v="Iraq"/>
    <m/>
    <x v="8"/>
    <s v="Conflict"/>
    <s v="Conflict"/>
    <x v="0"/>
    <x v="0"/>
    <m/>
    <x v="0"/>
    <m/>
    <x v="0"/>
    <m/>
    <m/>
    <m/>
    <m/>
    <m/>
    <m/>
    <n v="1"/>
    <n v="100000"/>
    <n v="100000"/>
    <m/>
    <m/>
    <n v="200000"/>
    <m/>
    <m/>
    <m/>
    <n v="64200"/>
    <m/>
    <m/>
    <n v="34200"/>
    <n v="30000"/>
    <m/>
    <m/>
    <m/>
    <m/>
    <m/>
    <m/>
    <m/>
    <m/>
    <m/>
    <m/>
    <n v="221694"/>
    <m/>
    <n v="421694"/>
    <m/>
    <m/>
    <n v="54200"/>
    <x v="66"/>
    <x v="1"/>
    <m/>
    <m/>
    <m/>
    <m/>
    <n v="2689"/>
    <m/>
    <m/>
    <m/>
    <m/>
    <m/>
    <m/>
    <m/>
    <m/>
    <m/>
    <m/>
    <m/>
    <s v="Iraq"/>
    <m/>
  </r>
  <r>
    <m/>
    <n v="100"/>
    <x v="106"/>
    <d v="2003-03-01T00:00:00"/>
    <x v="7"/>
    <n v="24"/>
    <m/>
    <x v="8"/>
    <n v="5"/>
    <x v="3"/>
    <s v="Syria"/>
    <m/>
    <x v="8"/>
    <s v="Conflict"/>
    <s v="Conflict"/>
    <x v="0"/>
    <x v="0"/>
    <m/>
    <x v="0"/>
    <m/>
    <x v="0"/>
    <m/>
    <m/>
    <m/>
    <m/>
    <m/>
    <m/>
    <m/>
    <m/>
    <m/>
    <n v="15000"/>
    <m/>
    <n v="15000"/>
    <m/>
    <m/>
    <m/>
    <m/>
    <m/>
    <m/>
    <m/>
    <m/>
    <m/>
    <m/>
    <m/>
    <m/>
    <m/>
    <m/>
    <m/>
    <m/>
    <m/>
    <m/>
    <m/>
    <m/>
    <n v="15000"/>
    <m/>
    <m/>
    <n v="1000"/>
    <x v="18"/>
    <x v="1"/>
    <m/>
    <m/>
    <m/>
    <m/>
    <n v="2689"/>
    <m/>
    <m/>
    <m/>
    <m/>
    <m/>
    <m/>
    <m/>
    <m/>
    <m/>
    <m/>
    <m/>
    <s v="Iraq"/>
    <s v="PMN for SARC"/>
  </r>
  <r>
    <m/>
    <n v="100"/>
    <x v="36"/>
    <d v="2003-03-01T00:00:00"/>
    <x v="7"/>
    <n v="24"/>
    <m/>
    <x v="8"/>
    <n v="5"/>
    <x v="3"/>
    <s v="Jordan"/>
    <m/>
    <x v="8"/>
    <s v="Conflict"/>
    <s v="Conflict"/>
    <x v="0"/>
    <x v="0"/>
    <m/>
    <x v="0"/>
    <m/>
    <x v="0"/>
    <m/>
    <m/>
    <m/>
    <m/>
    <m/>
    <m/>
    <m/>
    <m/>
    <m/>
    <n v="15000"/>
    <m/>
    <n v="15000"/>
    <n v="2"/>
    <m/>
    <m/>
    <m/>
    <m/>
    <m/>
    <m/>
    <m/>
    <m/>
    <m/>
    <m/>
    <m/>
    <m/>
    <m/>
    <m/>
    <m/>
    <m/>
    <m/>
    <m/>
    <n v="17812"/>
    <n v="32812"/>
    <m/>
    <m/>
    <n v="1000"/>
    <x v="67"/>
    <x v="1"/>
    <m/>
    <m/>
    <m/>
    <m/>
    <n v="2689"/>
    <m/>
    <m/>
    <m/>
    <m/>
    <m/>
    <m/>
    <m/>
    <m/>
    <m/>
    <m/>
    <m/>
    <s v="Iraq"/>
    <s v="PMN for JRCS; Jensen &amp; Dmitryuk in Amman"/>
  </r>
  <r>
    <m/>
    <n v="100"/>
    <x v="107"/>
    <d v="2003-03-01T00:00:00"/>
    <x v="7"/>
    <n v="24"/>
    <m/>
    <x v="8"/>
    <n v="5"/>
    <x v="3"/>
    <s v="Turkey"/>
    <m/>
    <x v="8"/>
    <s v="Conflict"/>
    <s v="Conflict"/>
    <x v="0"/>
    <x v="0"/>
    <m/>
    <x v="0"/>
    <m/>
    <x v="0"/>
    <m/>
    <m/>
    <m/>
    <m/>
    <m/>
    <m/>
    <m/>
    <m/>
    <m/>
    <m/>
    <m/>
    <n v="0"/>
    <n v="1"/>
    <m/>
    <m/>
    <m/>
    <m/>
    <m/>
    <m/>
    <m/>
    <m/>
    <m/>
    <m/>
    <m/>
    <m/>
    <m/>
    <m/>
    <m/>
    <m/>
    <m/>
    <m/>
    <n v="17812"/>
    <n v="17812"/>
    <m/>
    <m/>
    <m/>
    <x v="68"/>
    <x v="1"/>
    <m/>
    <m/>
    <m/>
    <m/>
    <n v="2689"/>
    <m/>
    <m/>
    <m/>
    <m/>
    <m/>
    <m/>
    <m/>
    <m/>
    <m/>
    <m/>
    <m/>
    <s v="Iraq"/>
    <s v="McAndrew in Ankara"/>
  </r>
  <r>
    <m/>
    <n v="101"/>
    <x v="108"/>
    <d v="2003-05-01T00:00:00"/>
    <x v="7"/>
    <n v="25"/>
    <m/>
    <x v="8"/>
    <n v="6"/>
    <x v="2"/>
    <s v="Argentina"/>
    <m/>
    <x v="2"/>
    <s v="General Floods"/>
    <s v="General Floods"/>
    <x v="0"/>
    <x v="0"/>
    <m/>
    <x v="0"/>
    <m/>
    <x v="0"/>
    <m/>
    <m/>
    <m/>
    <m/>
    <m/>
    <m/>
    <n v="0"/>
    <n v="15000"/>
    <m/>
    <m/>
    <m/>
    <n v="15000"/>
    <n v="1"/>
    <m/>
    <m/>
    <m/>
    <m/>
    <m/>
    <m/>
    <m/>
    <m/>
    <m/>
    <m/>
    <m/>
    <m/>
    <m/>
    <m/>
    <m/>
    <m/>
    <m/>
    <m/>
    <m/>
    <n v="15000"/>
    <m/>
    <m/>
    <n v="1500"/>
    <x v="18"/>
    <x v="1"/>
    <m/>
    <m/>
    <m/>
    <m/>
    <n v="2898"/>
    <m/>
    <m/>
    <m/>
    <m/>
    <m/>
    <m/>
    <m/>
    <m/>
    <m/>
    <m/>
    <m/>
    <m/>
    <s v="Rob McKenney from PADRU"/>
  </r>
  <r>
    <m/>
    <n v="102"/>
    <x v="9"/>
    <d v="2003-05-01T00:00:00"/>
    <x v="7"/>
    <n v="26"/>
    <m/>
    <x v="8"/>
    <n v="7"/>
    <x v="3"/>
    <s v="Turkey"/>
    <m/>
    <x v="3"/>
    <s v="Earthquake"/>
    <s v="Earthquake"/>
    <x v="0"/>
    <x v="0"/>
    <m/>
    <x v="0"/>
    <m/>
    <x v="0"/>
    <m/>
    <m/>
    <m/>
    <m/>
    <m/>
    <m/>
    <m/>
    <m/>
    <m/>
    <m/>
    <m/>
    <n v="0"/>
    <n v="2"/>
    <m/>
    <m/>
    <n v="9000"/>
    <m/>
    <m/>
    <m/>
    <m/>
    <m/>
    <m/>
    <m/>
    <m/>
    <m/>
    <n v="9000"/>
    <m/>
    <m/>
    <m/>
    <m/>
    <n v="331380"/>
    <m/>
    <n v="331380"/>
    <m/>
    <m/>
    <n v="45000"/>
    <x v="69"/>
    <x v="1"/>
    <m/>
    <m/>
    <m/>
    <m/>
    <n v="2898"/>
    <m/>
    <m/>
    <m/>
    <m/>
    <m/>
    <m/>
    <m/>
    <m/>
    <m/>
    <m/>
    <m/>
    <s v="Bingol"/>
    <s v="Food Parcels paid for by Region; IRT Kelly Hurd sent to support TRCS distribution; IRT R. Chapman deployed to support TRCS"/>
  </r>
  <r>
    <m/>
    <n v="103"/>
    <x v="109"/>
    <d v="2003-05-01T00:00:00"/>
    <x v="7"/>
    <n v="27"/>
    <m/>
    <x v="8"/>
    <n v="8"/>
    <x v="3"/>
    <s v="China"/>
    <m/>
    <x v="11"/>
    <s v="Viral"/>
    <s v="Viral"/>
    <x v="0"/>
    <x v="0"/>
    <m/>
    <x v="0"/>
    <m/>
    <x v="0"/>
    <m/>
    <m/>
    <m/>
    <m/>
    <m/>
    <m/>
    <m/>
    <m/>
    <m/>
    <n v="32500"/>
    <m/>
    <n v="32500"/>
    <m/>
    <m/>
    <m/>
    <m/>
    <m/>
    <m/>
    <m/>
    <m/>
    <m/>
    <m/>
    <m/>
    <m/>
    <m/>
    <m/>
    <m/>
    <m/>
    <m/>
    <m/>
    <m/>
    <m/>
    <n v="32500"/>
    <m/>
    <m/>
    <n v="59000"/>
    <x v="70"/>
    <x v="1"/>
    <m/>
    <m/>
    <m/>
    <m/>
    <n v="2691"/>
    <m/>
    <m/>
    <m/>
    <m/>
    <m/>
    <m/>
    <m/>
    <m/>
    <m/>
    <m/>
    <m/>
    <s v="SARS"/>
    <s v="AMEX: $25,000 + $7,500"/>
  </r>
  <r>
    <m/>
    <n v="103"/>
    <x v="109"/>
    <d v="2003-05-01T00:00:00"/>
    <x v="7"/>
    <n v="27"/>
    <m/>
    <x v="8"/>
    <n v="8"/>
    <x v="3"/>
    <s v="China"/>
    <m/>
    <x v="11"/>
    <s v="Viral"/>
    <s v="Viral"/>
    <x v="0"/>
    <x v="0"/>
    <m/>
    <x v="0"/>
    <m/>
    <x v="0"/>
    <m/>
    <m/>
    <m/>
    <m/>
    <m/>
    <m/>
    <m/>
    <m/>
    <m/>
    <n v="370642"/>
    <m/>
    <n v="370642"/>
    <m/>
    <m/>
    <m/>
    <m/>
    <m/>
    <m/>
    <m/>
    <m/>
    <m/>
    <m/>
    <m/>
    <m/>
    <m/>
    <m/>
    <m/>
    <m/>
    <m/>
    <m/>
    <m/>
    <m/>
    <n v="370642"/>
    <m/>
    <m/>
    <n v="15000"/>
    <x v="71"/>
    <x v="1"/>
    <m/>
    <m/>
    <m/>
    <m/>
    <s v="0000"/>
    <m/>
    <m/>
    <m/>
    <m/>
    <m/>
    <m/>
    <m/>
    <m/>
    <m/>
    <m/>
    <m/>
    <s v="SARS"/>
    <s v="Pfizer: $200,000; JP Morgan/Chase: $128,000; Microsoft: $42,642"/>
  </r>
  <r>
    <m/>
    <n v="103"/>
    <x v="110"/>
    <d v="2003-05-01T00:00:00"/>
    <x v="7"/>
    <n v="27"/>
    <m/>
    <x v="8"/>
    <n v="8"/>
    <x v="3"/>
    <s v="Hong Kong"/>
    <m/>
    <x v="11"/>
    <s v="Viral"/>
    <s v="Viral"/>
    <x v="0"/>
    <x v="0"/>
    <m/>
    <x v="0"/>
    <m/>
    <x v="0"/>
    <m/>
    <m/>
    <m/>
    <m/>
    <m/>
    <m/>
    <m/>
    <m/>
    <m/>
    <n v="60000"/>
    <m/>
    <n v="60000"/>
    <m/>
    <m/>
    <m/>
    <m/>
    <m/>
    <m/>
    <m/>
    <m/>
    <m/>
    <m/>
    <m/>
    <m/>
    <m/>
    <m/>
    <m/>
    <m/>
    <m/>
    <m/>
    <m/>
    <m/>
    <n v="60000"/>
    <m/>
    <m/>
    <n v="72500"/>
    <x v="45"/>
    <x v="1"/>
    <m/>
    <m/>
    <m/>
    <m/>
    <n v="2060"/>
    <m/>
    <m/>
    <m/>
    <m/>
    <m/>
    <m/>
    <m/>
    <m/>
    <m/>
    <m/>
    <m/>
    <s v="SARS"/>
    <s v="$25,000 from AMEX and $35,000 from JP Morgan Chase (both) programmed against total invoice of $97,923.15 for 1.2 million alcohol swabs and 435,000 surgical masks"/>
  </r>
  <r>
    <m/>
    <n v="104"/>
    <x v="111"/>
    <d v="2003-05-01T00:00:00"/>
    <x v="7"/>
    <n v="28"/>
    <m/>
    <x v="8"/>
    <n v="9"/>
    <x v="3"/>
    <s v="Sri Lanka"/>
    <m/>
    <x v="2"/>
    <s v="General Floods"/>
    <s v="General Floods"/>
    <x v="0"/>
    <x v="0"/>
    <m/>
    <x v="0"/>
    <m/>
    <x v="0"/>
    <m/>
    <m/>
    <m/>
    <m/>
    <m/>
    <m/>
    <n v="0"/>
    <n v="21400"/>
    <m/>
    <m/>
    <m/>
    <n v="21400"/>
    <m/>
    <m/>
    <m/>
    <m/>
    <m/>
    <m/>
    <m/>
    <m/>
    <m/>
    <m/>
    <m/>
    <m/>
    <m/>
    <m/>
    <m/>
    <m/>
    <m/>
    <m/>
    <m/>
    <m/>
    <n v="21400"/>
    <m/>
    <m/>
    <n v="2862.1931568439049"/>
    <x v="72"/>
    <x v="1"/>
    <m/>
    <m/>
    <m/>
    <m/>
    <n v="2692"/>
    <m/>
    <m/>
    <m/>
    <m/>
    <m/>
    <m/>
    <m/>
    <m/>
    <m/>
    <m/>
    <m/>
    <m/>
    <s v="Funds provided through Citigroup's ADGP; Federation Appeal for $934,598 / 125,000 beneficiaries / 3 months"/>
  </r>
  <r>
    <m/>
    <n v="105"/>
    <x v="80"/>
    <d v="2003-07-01T00:00:00"/>
    <x v="8"/>
    <n v="1"/>
    <m/>
    <x v="8"/>
    <n v="10"/>
    <x v="2"/>
    <s v="Panama"/>
    <m/>
    <x v="2"/>
    <s v="General Floods"/>
    <s v="General Floods"/>
    <x v="0"/>
    <x v="0"/>
    <m/>
    <x v="0"/>
    <m/>
    <x v="0"/>
    <m/>
    <m/>
    <m/>
    <m/>
    <m/>
    <m/>
    <m/>
    <m/>
    <m/>
    <m/>
    <m/>
    <n v="0"/>
    <n v="1"/>
    <m/>
    <m/>
    <n v="6500"/>
    <m/>
    <n v="500"/>
    <m/>
    <m/>
    <m/>
    <m/>
    <m/>
    <n v="6000"/>
    <m/>
    <m/>
    <m/>
    <m/>
    <m/>
    <m/>
    <n v="16700"/>
    <m/>
    <n v="16700"/>
    <m/>
    <m/>
    <n v="3000"/>
    <x v="73"/>
    <x v="1"/>
    <m/>
    <m/>
    <m/>
    <m/>
    <n v="2898"/>
    <m/>
    <m/>
    <m/>
    <m/>
    <m/>
    <m/>
    <m/>
    <m/>
    <m/>
    <m/>
    <m/>
    <m/>
    <s v="hygiene kits (value $1,770) and bedsheets (500 packets of 12 at a total value of $15,000) from PADRU as part of a joint ARC/Federation/Panamanian Red Cross operation. Steve McAndrew was deployed from PADRU to oversee the distributions"/>
  </r>
  <r>
    <m/>
    <n v="106"/>
    <x v="112"/>
    <d v="2003-09-01T00:00:00"/>
    <x v="8"/>
    <n v="2"/>
    <m/>
    <x v="8"/>
    <n v="11"/>
    <x v="4"/>
    <s v="Canada"/>
    <m/>
    <x v="15"/>
    <s v="Forest Fire"/>
    <s v="Fire"/>
    <x v="0"/>
    <x v="0"/>
    <m/>
    <x v="0"/>
    <m/>
    <x v="0"/>
    <m/>
    <m/>
    <m/>
    <m/>
    <m/>
    <m/>
    <m/>
    <m/>
    <m/>
    <n v="10000"/>
    <m/>
    <n v="10000"/>
    <m/>
    <m/>
    <m/>
    <m/>
    <m/>
    <m/>
    <m/>
    <m/>
    <m/>
    <m/>
    <m/>
    <m/>
    <m/>
    <m/>
    <m/>
    <m/>
    <m/>
    <m/>
    <m/>
    <m/>
    <n v="10000"/>
    <m/>
    <m/>
    <n v="250"/>
    <x v="6"/>
    <x v="2"/>
    <m/>
    <m/>
    <m/>
    <m/>
    <n v="2099"/>
    <m/>
    <m/>
    <m/>
    <m/>
    <m/>
    <m/>
    <m/>
    <m/>
    <m/>
    <m/>
    <m/>
    <m/>
    <s v="$10,000 donation from Citigroup for forest fires in British Columbia (Citigroup $ kept in 2099 per a prior agreement)"/>
  </r>
  <r>
    <m/>
    <n v="107"/>
    <x v="113"/>
    <d v="2003-10-01T00:00:00"/>
    <x v="8"/>
    <n v="3"/>
    <m/>
    <x v="8"/>
    <n v="12"/>
    <x v="2"/>
    <s v="Dominican Republic"/>
    <m/>
    <x v="3"/>
    <s v="Earthquake"/>
    <s v="Earthquake"/>
    <x v="0"/>
    <x v="0"/>
    <m/>
    <x v="0"/>
    <m/>
    <x v="0"/>
    <m/>
    <m/>
    <m/>
    <m/>
    <m/>
    <m/>
    <m/>
    <m/>
    <m/>
    <m/>
    <m/>
    <n v="0"/>
    <m/>
    <m/>
    <m/>
    <m/>
    <m/>
    <m/>
    <m/>
    <m/>
    <m/>
    <m/>
    <m/>
    <m/>
    <m/>
    <m/>
    <m/>
    <m/>
    <m/>
    <m/>
    <n v="25000"/>
    <m/>
    <n v="25000"/>
    <m/>
    <m/>
    <n v="100"/>
    <x v="8"/>
    <x v="1"/>
    <m/>
    <m/>
    <m/>
    <m/>
    <n v="2694"/>
    <m/>
    <m/>
    <m/>
    <m/>
    <m/>
    <m/>
    <m/>
    <m/>
    <m/>
    <m/>
    <m/>
    <s v="Puerto Plata"/>
    <s v="$25,000 from Verizon (AP is shared with November 2003 floods in Cibao / Montecristi)"/>
  </r>
  <r>
    <m/>
    <n v="108"/>
    <x v="114"/>
    <d v="2003-05-01T00:00:00"/>
    <x v="8"/>
    <n v="4"/>
    <m/>
    <x v="8"/>
    <n v="13"/>
    <x v="1"/>
    <s v="Algeria"/>
    <m/>
    <x v="3"/>
    <s v="Earthquake"/>
    <s v="Earthquake"/>
    <x v="0"/>
    <x v="0"/>
    <m/>
    <x v="0"/>
    <m/>
    <x v="0"/>
    <m/>
    <m/>
    <m/>
    <m/>
    <m/>
    <m/>
    <m/>
    <m/>
    <m/>
    <m/>
    <m/>
    <n v="0"/>
    <m/>
    <m/>
    <m/>
    <n v="10000"/>
    <m/>
    <n v="10000"/>
    <m/>
    <m/>
    <m/>
    <m/>
    <m/>
    <m/>
    <m/>
    <m/>
    <m/>
    <m/>
    <m/>
    <m/>
    <n v="37200"/>
    <n v="28670"/>
    <n v="65870"/>
    <m/>
    <m/>
    <n v="50000"/>
    <x v="74"/>
    <x v="1"/>
    <m/>
    <m/>
    <m/>
    <m/>
    <n v="2693"/>
    <m/>
    <m/>
    <m/>
    <m/>
    <m/>
    <m/>
    <m/>
    <m/>
    <m/>
    <m/>
    <m/>
    <s v="RESPONSE IN FY 04"/>
    <s v="hygiene kits ($3.72 each) ex Bulgaria; $8,470 for transport, $1,200 demurrage, $19,000 to remove washing powder in Greece"/>
  </r>
  <r>
    <m/>
    <n v="109"/>
    <x v="115"/>
    <d v="2003-08-01T00:00:00"/>
    <x v="8"/>
    <n v="5"/>
    <m/>
    <x v="8"/>
    <n v="14"/>
    <x v="1"/>
    <s v="Liberia"/>
    <m/>
    <x v="8"/>
    <s v="Conflict"/>
    <s v="Conflict"/>
    <x v="0"/>
    <x v="0"/>
    <m/>
    <x v="0"/>
    <m/>
    <x v="0"/>
    <m/>
    <m/>
    <m/>
    <m/>
    <m/>
    <m/>
    <n v="0"/>
    <n v="35027"/>
    <m/>
    <m/>
    <m/>
    <n v="35027"/>
    <m/>
    <m/>
    <m/>
    <m/>
    <m/>
    <m/>
    <m/>
    <m/>
    <m/>
    <m/>
    <m/>
    <m/>
    <m/>
    <m/>
    <m/>
    <m/>
    <m/>
    <m/>
    <m/>
    <m/>
    <n v="35027"/>
    <m/>
    <m/>
    <n v="2500"/>
    <x v="75"/>
    <x v="1"/>
    <m/>
    <m/>
    <m/>
    <m/>
    <n v="2631"/>
    <m/>
    <m/>
    <m/>
    <m/>
    <m/>
    <m/>
    <m/>
    <m/>
    <m/>
    <m/>
    <m/>
    <m/>
    <s v="Funds from Region's budget previously sent to Geneva re-allocated  - signed PMN returned to IDRU in October 2003"/>
  </r>
  <r>
    <m/>
    <n v="110"/>
    <x v="6"/>
    <d v="2003-09-01T00:00:00"/>
    <x v="8"/>
    <n v="6"/>
    <m/>
    <x v="8"/>
    <n v="15"/>
    <x v="2"/>
    <s v="Mexico"/>
    <m/>
    <x v="2"/>
    <s v="General Floods"/>
    <s v="General Floods"/>
    <x v="0"/>
    <x v="0"/>
    <m/>
    <x v="0"/>
    <m/>
    <x v="0"/>
    <m/>
    <m/>
    <m/>
    <m/>
    <m/>
    <m/>
    <m/>
    <m/>
    <m/>
    <n v="10500"/>
    <m/>
    <n v="10500"/>
    <n v="2"/>
    <m/>
    <m/>
    <m/>
    <m/>
    <m/>
    <m/>
    <m/>
    <m/>
    <m/>
    <m/>
    <m/>
    <m/>
    <m/>
    <m/>
    <m/>
    <m/>
    <m/>
    <m/>
    <m/>
    <n v="10500"/>
    <m/>
    <m/>
    <n v="3000"/>
    <x v="76"/>
    <x v="1"/>
    <m/>
    <m/>
    <m/>
    <m/>
    <n v="2688"/>
    <m/>
    <m/>
    <m/>
    <m/>
    <m/>
    <m/>
    <m/>
    <m/>
    <m/>
    <m/>
    <m/>
    <m/>
    <s v="Hurricane Kenna funds ($11,636.16 minus 11.15%); Christine Strater and Nate Cooper deployed 5 October 2003"/>
  </r>
  <r>
    <m/>
    <n v="111"/>
    <x v="95"/>
    <d v="2003-10-01T00:00:00"/>
    <x v="8"/>
    <n v="7"/>
    <m/>
    <x v="8"/>
    <n v="16"/>
    <x v="3"/>
    <s v="South Korea"/>
    <m/>
    <x v="5"/>
    <s v="Tropical Cyclone"/>
    <s v="Typhoon"/>
    <x v="0"/>
    <x v="0"/>
    <m/>
    <x v="0"/>
    <m/>
    <x v="0"/>
    <m/>
    <m/>
    <m/>
    <m/>
    <m/>
    <m/>
    <m/>
    <m/>
    <m/>
    <n v="10000"/>
    <m/>
    <n v="10000"/>
    <m/>
    <m/>
    <m/>
    <m/>
    <m/>
    <m/>
    <m/>
    <m/>
    <m/>
    <m/>
    <m/>
    <m/>
    <m/>
    <m/>
    <m/>
    <m/>
    <m/>
    <m/>
    <m/>
    <m/>
    <n v="10000"/>
    <m/>
    <m/>
    <m/>
    <x v="6"/>
    <x v="1"/>
    <m/>
    <m/>
    <m/>
    <m/>
    <n v="2647"/>
    <m/>
    <m/>
    <m/>
    <m/>
    <m/>
    <m/>
    <m/>
    <m/>
    <m/>
    <m/>
    <m/>
    <s v="Maemi"/>
    <s v="Alcoa funds for re-stocking KNRC warehouse"/>
  </r>
  <r>
    <m/>
    <n v="112"/>
    <x v="116"/>
    <d v="2003-11-01T00:00:00"/>
    <x v="8"/>
    <n v="8"/>
    <m/>
    <x v="8"/>
    <n v="17"/>
    <x v="2"/>
    <s v="Dominican Republic"/>
    <m/>
    <x v="2"/>
    <s v="General Floods"/>
    <s v="General Floods"/>
    <x v="0"/>
    <x v="0"/>
    <m/>
    <x v="0"/>
    <m/>
    <x v="0"/>
    <m/>
    <m/>
    <m/>
    <m/>
    <m/>
    <m/>
    <m/>
    <m/>
    <m/>
    <m/>
    <m/>
    <n v="0"/>
    <n v="3"/>
    <s v="Relief ERU"/>
    <m/>
    <m/>
    <m/>
    <m/>
    <m/>
    <m/>
    <m/>
    <m/>
    <m/>
    <m/>
    <m/>
    <m/>
    <m/>
    <m/>
    <m/>
    <m/>
    <n v="50000"/>
    <m/>
    <n v="50000"/>
    <m/>
    <m/>
    <n v="500"/>
    <x v="16"/>
    <x v="1"/>
    <m/>
    <m/>
    <m/>
    <m/>
    <n v="2618"/>
    <m/>
    <m/>
    <m/>
    <m/>
    <m/>
    <m/>
    <m/>
    <m/>
    <m/>
    <m/>
    <m/>
    <s v="Cibao / Montecristi"/>
    <s v="$50,000 from OFDA; Greenhalgh, McAndrew and Chapman deployed in November 2003 on Relief ERU Pilot"/>
  </r>
  <r>
    <m/>
    <n v="112"/>
    <x v="116"/>
    <d v="2003-11-01T00:00:00"/>
    <x v="8"/>
    <n v="8"/>
    <m/>
    <x v="8"/>
    <n v="17"/>
    <x v="2"/>
    <s v="Dominican Republic"/>
    <m/>
    <x v="2"/>
    <s v="General Floods"/>
    <s v="General Floods"/>
    <x v="0"/>
    <x v="0"/>
    <m/>
    <x v="0"/>
    <m/>
    <x v="0"/>
    <m/>
    <m/>
    <m/>
    <m/>
    <m/>
    <m/>
    <m/>
    <m/>
    <m/>
    <m/>
    <m/>
    <n v="0"/>
    <m/>
    <m/>
    <m/>
    <m/>
    <m/>
    <m/>
    <m/>
    <m/>
    <m/>
    <m/>
    <m/>
    <m/>
    <m/>
    <m/>
    <m/>
    <m/>
    <m/>
    <m/>
    <m/>
    <m/>
    <n v="0"/>
    <m/>
    <m/>
    <m/>
    <x v="7"/>
    <x v="1"/>
    <m/>
    <m/>
    <m/>
    <m/>
    <n v="2694"/>
    <m/>
    <m/>
    <m/>
    <m/>
    <m/>
    <m/>
    <m/>
    <m/>
    <m/>
    <m/>
    <m/>
    <s v="Cibao / Montecristi"/>
    <s v="(AP is shared with October 2003 Earthquake in Puerto Plata)"/>
  </r>
  <r>
    <m/>
    <n v="113"/>
    <x v="117"/>
    <d v="2003-12-01T00:00:00"/>
    <x v="8"/>
    <n v="9"/>
    <m/>
    <x v="8"/>
    <n v="18"/>
    <x v="3"/>
    <s v="Iran"/>
    <m/>
    <x v="3"/>
    <s v="Earthquake"/>
    <s v="Earthquake"/>
    <x v="0"/>
    <x v="0"/>
    <m/>
    <x v="0"/>
    <m/>
    <x v="0"/>
    <m/>
    <m/>
    <m/>
    <m/>
    <m/>
    <m/>
    <n v="1"/>
    <n v="200000"/>
    <m/>
    <m/>
    <m/>
    <n v="200000"/>
    <n v="6"/>
    <s v="Relief ERU"/>
    <m/>
    <n v="115560"/>
    <m/>
    <n v="45000"/>
    <n v="27000"/>
    <m/>
    <m/>
    <n v="490"/>
    <m/>
    <m/>
    <m/>
    <m/>
    <m/>
    <m/>
    <m/>
    <m/>
    <n v="825763"/>
    <n v="150038.97999999998"/>
    <n v="1175801.98"/>
    <m/>
    <m/>
    <n v="225000"/>
    <x v="77"/>
    <x v="1"/>
    <m/>
    <m/>
    <m/>
    <m/>
    <n v="2019"/>
    <m/>
    <m/>
    <m/>
    <m/>
    <m/>
    <m/>
    <m/>
    <m/>
    <m/>
    <m/>
    <m/>
    <s v="Bam"/>
    <s v="Relief ERU deployed: McAndrew (TL), Stephenson, Stops, Parry, Strater &amp; Swadzka.  $200,000 PMN sent to Federation; Commodities provide: 10,000 towels and 20,000 nail clippers"/>
  </r>
  <r>
    <m/>
    <n v="113"/>
    <x v="117"/>
    <d v="2003-12-01T00:00:00"/>
    <x v="8"/>
    <n v="9"/>
    <m/>
    <x v="8"/>
    <n v="18"/>
    <x v="3"/>
    <s v="Iran"/>
    <m/>
    <x v="3"/>
    <s v="Earthquake"/>
    <s v="Earthquake"/>
    <x v="0"/>
    <x v="0"/>
    <m/>
    <x v="0"/>
    <m/>
    <x v="0"/>
    <m/>
    <m/>
    <m/>
    <m/>
    <m/>
    <m/>
    <m/>
    <m/>
    <m/>
    <m/>
    <m/>
    <n v="0"/>
    <m/>
    <m/>
    <m/>
    <n v="11"/>
    <m/>
    <m/>
    <m/>
    <m/>
    <m/>
    <n v="11"/>
    <m/>
    <m/>
    <m/>
    <m/>
    <m/>
    <m/>
    <m/>
    <m/>
    <n v="19975"/>
    <m/>
    <n v="19975"/>
    <m/>
    <m/>
    <n v="440"/>
    <x v="78"/>
    <x v="1"/>
    <m/>
    <m/>
    <m/>
    <m/>
    <n v="2616"/>
    <m/>
    <m/>
    <m/>
    <m/>
    <m/>
    <m/>
    <m/>
    <m/>
    <m/>
    <m/>
    <m/>
    <s v="Bam"/>
    <s v="Grant from Reuters / AlertNet"/>
  </r>
  <r>
    <m/>
    <n v="113"/>
    <x v="117"/>
    <d v="2003-12-01T00:00:00"/>
    <x v="8"/>
    <n v="9"/>
    <m/>
    <x v="8"/>
    <n v="18"/>
    <x v="3"/>
    <s v="Iran"/>
    <m/>
    <x v="3"/>
    <s v="Earthquake"/>
    <s v="Earthquake"/>
    <x v="0"/>
    <x v="0"/>
    <m/>
    <x v="0"/>
    <m/>
    <x v="0"/>
    <m/>
    <m/>
    <m/>
    <m/>
    <m/>
    <m/>
    <m/>
    <m/>
    <m/>
    <m/>
    <m/>
    <n v="0"/>
    <m/>
    <m/>
    <m/>
    <m/>
    <m/>
    <m/>
    <m/>
    <m/>
    <m/>
    <m/>
    <m/>
    <m/>
    <m/>
    <m/>
    <m/>
    <m/>
    <m/>
    <m/>
    <n v="60000"/>
    <m/>
    <n v="60000"/>
    <m/>
    <m/>
    <m/>
    <x v="45"/>
    <x v="1"/>
    <m/>
    <m/>
    <m/>
    <m/>
    <n v="2793"/>
    <m/>
    <m/>
    <m/>
    <m/>
    <m/>
    <m/>
    <m/>
    <m/>
    <m/>
    <m/>
    <m/>
    <s v="Bam"/>
    <s v="Grant from Semnani Foundation."/>
  </r>
  <r>
    <m/>
    <n v="114"/>
    <x v="118"/>
    <d v="2003-12-01T00:00:00"/>
    <x v="8"/>
    <n v="10"/>
    <m/>
    <x v="8"/>
    <n v="19"/>
    <x v="2"/>
    <s v="Panama"/>
    <m/>
    <x v="3"/>
    <s v="Earthquake"/>
    <s v="Earthquake"/>
    <x v="0"/>
    <x v="0"/>
    <m/>
    <x v="0"/>
    <m/>
    <x v="0"/>
    <m/>
    <m/>
    <m/>
    <m/>
    <m/>
    <m/>
    <m/>
    <m/>
    <m/>
    <m/>
    <m/>
    <n v="0"/>
    <m/>
    <m/>
    <m/>
    <n v="2300"/>
    <m/>
    <m/>
    <n v="1000"/>
    <m/>
    <m/>
    <m/>
    <m/>
    <n v="1100"/>
    <m/>
    <m/>
    <m/>
    <m/>
    <m/>
    <m/>
    <n v="6178"/>
    <m/>
    <n v="6178"/>
    <m/>
    <m/>
    <n v="550"/>
    <x v="79"/>
    <x v="1"/>
    <m/>
    <m/>
    <m/>
    <m/>
    <n v="2898"/>
    <m/>
    <m/>
    <m/>
    <m/>
    <m/>
    <m/>
    <m/>
    <m/>
    <m/>
    <m/>
    <m/>
    <m/>
    <s v="Supplies to Panama RC"/>
  </r>
  <r>
    <m/>
    <n v="115"/>
    <x v="119"/>
    <d v="2004-04-01T00:00:00"/>
    <x v="8"/>
    <n v="11"/>
    <m/>
    <x v="9"/>
    <n v="1"/>
    <x v="3"/>
    <s v="DPRK/North Korea"/>
    <m/>
    <x v="9"/>
    <s v="Rail"/>
    <s v="Explosion"/>
    <x v="0"/>
    <x v="0"/>
    <m/>
    <x v="0"/>
    <m/>
    <x v="0"/>
    <m/>
    <m/>
    <m/>
    <m/>
    <m/>
    <m/>
    <n v="1"/>
    <n v="110000"/>
    <m/>
    <m/>
    <m/>
    <n v="110000"/>
    <m/>
    <m/>
    <m/>
    <m/>
    <m/>
    <m/>
    <m/>
    <m/>
    <m/>
    <m/>
    <m/>
    <m/>
    <m/>
    <m/>
    <m/>
    <m/>
    <m/>
    <m/>
    <m/>
    <m/>
    <n v="110000"/>
    <m/>
    <m/>
    <n v="3300"/>
    <x v="80"/>
    <x v="1"/>
    <m/>
    <m/>
    <m/>
    <m/>
    <s v="2861 / 2790"/>
    <m/>
    <m/>
    <m/>
    <m/>
    <m/>
    <m/>
    <m/>
    <m/>
    <m/>
    <m/>
    <m/>
    <s v="Ryongchon"/>
    <s v="CASH: $10,000  from 2861 funds from Asia Region ; $100,000 from OFDA / 2790;"/>
  </r>
  <r>
    <m/>
    <n v="116"/>
    <x v="116"/>
    <d v="2004-05-01T00:00:00"/>
    <x v="8"/>
    <n v="12"/>
    <m/>
    <x v="9"/>
    <n v="2"/>
    <x v="2"/>
    <s v="Dominican Republic"/>
    <m/>
    <x v="2"/>
    <s v="General Floods"/>
    <s v="General Floods"/>
    <x v="0"/>
    <x v="0"/>
    <m/>
    <x v="0"/>
    <m/>
    <x v="0"/>
    <m/>
    <m/>
    <m/>
    <m/>
    <m/>
    <m/>
    <m/>
    <m/>
    <m/>
    <m/>
    <m/>
    <n v="0"/>
    <n v="1"/>
    <m/>
    <m/>
    <n v="10930"/>
    <m/>
    <m/>
    <m/>
    <n v="2350"/>
    <m/>
    <n v="150"/>
    <m/>
    <n v="5000"/>
    <m/>
    <m/>
    <n v="1000"/>
    <m/>
    <m/>
    <m/>
    <n v="205334.81245"/>
    <n v="14800"/>
    <n v="220134.81245"/>
    <m/>
    <m/>
    <n v="2500"/>
    <x v="81"/>
    <x v="1"/>
    <m/>
    <m/>
    <m/>
    <m/>
    <n v="2694"/>
    <m/>
    <m/>
    <m/>
    <m/>
    <m/>
    <m/>
    <m/>
    <m/>
    <m/>
    <m/>
    <m/>
    <s v="Jimani &amp; Duarte"/>
    <s v="Nate Cooper deployed to DR with PADRU; stocks deployed ($74,526.50) from PADRU includes 2,430 school kits; $89,000 worth of generators"/>
  </r>
  <r>
    <m/>
    <n v="116"/>
    <x v="120"/>
    <d v="2004-05-01T00:00:00"/>
    <x v="8"/>
    <n v="12"/>
    <m/>
    <x v="9"/>
    <n v="2"/>
    <x v="2"/>
    <s v="Haiti"/>
    <m/>
    <x v="2"/>
    <s v="General Floods"/>
    <s v="General Floods"/>
    <x v="0"/>
    <x v="0"/>
    <m/>
    <x v="0"/>
    <m/>
    <x v="0"/>
    <m/>
    <m/>
    <m/>
    <m/>
    <m/>
    <m/>
    <n v="0"/>
    <n v="20007"/>
    <m/>
    <m/>
    <m/>
    <n v="20007"/>
    <m/>
    <m/>
    <m/>
    <m/>
    <m/>
    <m/>
    <m/>
    <m/>
    <m/>
    <m/>
    <m/>
    <m/>
    <m/>
    <m/>
    <m/>
    <n v="2"/>
    <m/>
    <m/>
    <n v="16885.856"/>
    <n v="7665"/>
    <n v="44557.856"/>
    <m/>
    <m/>
    <n v="3000"/>
    <x v="82"/>
    <x v="1"/>
    <m/>
    <m/>
    <m/>
    <m/>
    <n v="2614"/>
    <m/>
    <m/>
    <m/>
    <m/>
    <m/>
    <m/>
    <m/>
    <m/>
    <m/>
    <m/>
    <m/>
    <s v="Eastern"/>
    <s v="PMN 0407052 ($18,000 + PSR) dated 7 July 2004; rental of two vehicles to be used in Haiti for 3 months each"/>
  </r>
  <r>
    <m/>
    <n v="116"/>
    <x v="121"/>
    <d v="2004-05-01T00:00:00"/>
    <x v="8"/>
    <n v="13"/>
    <m/>
    <x v="9"/>
    <n v="3"/>
    <x v="1"/>
    <s v="Malawi"/>
    <m/>
    <x v="11"/>
    <s v="Viral"/>
    <s v="Viral"/>
    <x v="0"/>
    <x v="0"/>
    <m/>
    <x v="0"/>
    <m/>
    <x v="0"/>
    <m/>
    <m/>
    <m/>
    <m/>
    <m/>
    <m/>
    <m/>
    <m/>
    <m/>
    <m/>
    <m/>
    <n v="0"/>
    <m/>
    <m/>
    <m/>
    <n v="12380"/>
    <m/>
    <m/>
    <m/>
    <m/>
    <m/>
    <m/>
    <m/>
    <n v="12360"/>
    <m/>
    <m/>
    <n v="20"/>
    <m/>
    <m/>
    <m/>
    <n v="61220"/>
    <m/>
    <n v="61220"/>
    <m/>
    <m/>
    <n v="6180"/>
    <x v="83"/>
    <x v="1"/>
    <m/>
    <m/>
    <m/>
    <m/>
    <n v="2898"/>
    <m/>
    <m/>
    <m/>
    <m/>
    <m/>
    <m/>
    <m/>
    <m/>
    <m/>
    <m/>
    <m/>
    <s v="HIV/AIDS - Home Care"/>
    <s v="ex London"/>
  </r>
  <r>
    <m/>
    <n v="116"/>
    <x v="116"/>
    <d v="2004-07-01T00:00:00"/>
    <x v="8"/>
    <n v="12"/>
    <m/>
    <x v="9"/>
    <n v="2"/>
    <x v="2"/>
    <s v="Dominican Republic"/>
    <m/>
    <x v="2"/>
    <s v="General Floods"/>
    <s v="General Floods"/>
    <x v="0"/>
    <x v="0"/>
    <m/>
    <x v="0"/>
    <m/>
    <x v="0"/>
    <m/>
    <m/>
    <m/>
    <m/>
    <m/>
    <m/>
    <m/>
    <m/>
    <m/>
    <m/>
    <m/>
    <n v="0"/>
    <n v="1"/>
    <m/>
    <m/>
    <m/>
    <m/>
    <m/>
    <m/>
    <m/>
    <m/>
    <m/>
    <m/>
    <m/>
    <m/>
    <m/>
    <m/>
    <m/>
    <m/>
    <m/>
    <n v="110266.26"/>
    <m/>
    <n v="110266.26"/>
    <m/>
    <m/>
    <n v="2500"/>
    <x v="84"/>
    <x v="1"/>
    <m/>
    <m/>
    <m/>
    <m/>
    <n v="2788"/>
    <m/>
    <m/>
    <m/>
    <m/>
    <m/>
    <m/>
    <m/>
    <m/>
    <m/>
    <m/>
    <m/>
    <s v="Jimani &amp; Duarte"/>
    <s v="Ricardo Caivano - Gates Foundation funds ($233,780 - 11.15% = $207,713.53 available - - 60% for DR)"/>
  </r>
  <r>
    <m/>
    <n v="116"/>
    <x v="120"/>
    <d v="2004-07-01T00:00:00"/>
    <x v="8"/>
    <n v="12"/>
    <m/>
    <x v="9"/>
    <n v="2"/>
    <x v="2"/>
    <s v="Haiti"/>
    <m/>
    <x v="2"/>
    <s v="General Floods"/>
    <s v="General Floods"/>
    <x v="0"/>
    <x v="0"/>
    <m/>
    <x v="0"/>
    <m/>
    <x v="0"/>
    <m/>
    <m/>
    <m/>
    <m/>
    <m/>
    <m/>
    <m/>
    <m/>
    <m/>
    <m/>
    <m/>
    <n v="0"/>
    <m/>
    <m/>
    <m/>
    <m/>
    <m/>
    <m/>
    <m/>
    <m/>
    <m/>
    <m/>
    <m/>
    <m/>
    <m/>
    <m/>
    <m/>
    <m/>
    <m/>
    <m/>
    <n v="97442.48"/>
    <m/>
    <n v="97442.48"/>
    <m/>
    <m/>
    <n v="3000"/>
    <x v="85"/>
    <x v="1"/>
    <m/>
    <m/>
    <m/>
    <m/>
    <n v="2788"/>
    <m/>
    <m/>
    <m/>
    <m/>
    <m/>
    <m/>
    <m/>
    <m/>
    <m/>
    <m/>
    <m/>
    <s v="Eastern"/>
    <s v="Ricardo Caivano - Gates Foundation funds ($233,780 - 11.15% = $207,713.53 available - - 40% for Haiti)"/>
  </r>
  <r>
    <m/>
    <n v="117"/>
    <x v="122"/>
    <d v="2004-05-01T00:00:00"/>
    <x v="8"/>
    <n v="14"/>
    <m/>
    <x v="9"/>
    <n v="4"/>
    <x v="2"/>
    <s v="Jamaica"/>
    <m/>
    <x v="8"/>
    <s v="Conflict"/>
    <s v="Conflict"/>
    <x v="0"/>
    <x v="0"/>
    <m/>
    <x v="0"/>
    <m/>
    <x v="0"/>
    <m/>
    <m/>
    <m/>
    <m/>
    <m/>
    <m/>
    <m/>
    <m/>
    <m/>
    <m/>
    <m/>
    <n v="0"/>
    <n v="0"/>
    <m/>
    <m/>
    <n v="1000"/>
    <m/>
    <n v="500"/>
    <m/>
    <m/>
    <m/>
    <m/>
    <m/>
    <n v="500"/>
    <m/>
    <m/>
    <m/>
    <m/>
    <m/>
    <m/>
    <n v="3000"/>
    <m/>
    <n v="3000"/>
    <m/>
    <m/>
    <n v="500"/>
    <x v="86"/>
    <x v="1"/>
    <m/>
    <m/>
    <m/>
    <m/>
    <n v="2898"/>
    <m/>
    <m/>
    <m/>
    <m/>
    <m/>
    <m/>
    <m/>
    <m/>
    <m/>
    <m/>
    <m/>
    <s v="Haiti - Refugee"/>
    <s v="PADRU stocks"/>
  </r>
  <r>
    <m/>
    <n v="119"/>
    <x v="123"/>
    <d v="2004-08-01T00:00:00"/>
    <x v="9"/>
    <n v="1"/>
    <m/>
    <x v="9"/>
    <n v="5"/>
    <x v="2"/>
    <s v="Paraguay"/>
    <m/>
    <x v="10"/>
    <s v="Fire"/>
    <s v="Urban Fire"/>
    <x v="0"/>
    <x v="0"/>
    <m/>
    <x v="0"/>
    <m/>
    <x v="0"/>
    <m/>
    <m/>
    <m/>
    <m/>
    <m/>
    <m/>
    <m/>
    <m/>
    <m/>
    <n v="18675"/>
    <m/>
    <n v="18675"/>
    <m/>
    <m/>
    <m/>
    <m/>
    <m/>
    <m/>
    <m/>
    <m/>
    <m/>
    <m/>
    <m/>
    <m/>
    <m/>
    <m/>
    <m/>
    <m/>
    <m/>
    <m/>
    <m/>
    <m/>
    <n v="18675"/>
    <m/>
    <m/>
    <m/>
    <x v="87"/>
    <x v="1"/>
    <m/>
    <m/>
    <m/>
    <m/>
    <n v="2816"/>
    <m/>
    <m/>
    <m/>
    <m/>
    <m/>
    <m/>
    <m/>
    <m/>
    <m/>
    <m/>
    <m/>
    <s v="Asuncion Supermarket"/>
    <s v="World Bank Employees; money arrived Oct 2004"/>
  </r>
  <r>
    <m/>
    <n v="120"/>
    <x v="124"/>
    <d v="2004-08-01T00:00:00"/>
    <x v="9"/>
    <n v="2"/>
    <m/>
    <x v="9"/>
    <n v="6"/>
    <x v="1"/>
    <s v="Chad"/>
    <m/>
    <x v="8"/>
    <s v="Conflict"/>
    <s v="Conflict"/>
    <x v="0"/>
    <x v="0"/>
    <m/>
    <x v="0"/>
    <m/>
    <x v="0"/>
    <m/>
    <m/>
    <m/>
    <m/>
    <m/>
    <m/>
    <n v="1"/>
    <n v="100000"/>
    <m/>
    <m/>
    <m/>
    <n v="100000"/>
    <m/>
    <m/>
    <m/>
    <m/>
    <m/>
    <m/>
    <m/>
    <m/>
    <m/>
    <m/>
    <m/>
    <m/>
    <m/>
    <m/>
    <m/>
    <m/>
    <m/>
    <m/>
    <m/>
    <m/>
    <n v="100000"/>
    <m/>
    <m/>
    <m/>
    <x v="5"/>
    <x v="1"/>
    <m/>
    <m/>
    <m/>
    <m/>
    <n v="9306"/>
    <m/>
    <m/>
    <m/>
    <m/>
    <m/>
    <m/>
    <m/>
    <m/>
    <m/>
    <m/>
    <m/>
    <s v="Darfur / Sudan"/>
    <s v="PMN Contribution to support Fed Appeal - Chad: Sudanese Refugees (from LDS)"/>
  </r>
  <r>
    <m/>
    <n v="120"/>
    <x v="125"/>
    <d v="2004-08-01T00:00:00"/>
    <x v="9"/>
    <n v="2"/>
    <m/>
    <x v="9"/>
    <n v="6"/>
    <x v="1"/>
    <s v="Sudan"/>
    <m/>
    <x v="8"/>
    <s v="Conflict"/>
    <s v="Conflict"/>
    <x v="0"/>
    <x v="0"/>
    <m/>
    <x v="0"/>
    <m/>
    <x v="0"/>
    <m/>
    <m/>
    <m/>
    <m/>
    <m/>
    <m/>
    <m/>
    <m/>
    <n v="242000"/>
    <m/>
    <m/>
    <n v="242000"/>
    <n v="1"/>
    <m/>
    <m/>
    <m/>
    <m/>
    <m/>
    <m/>
    <m/>
    <m/>
    <m/>
    <m/>
    <m/>
    <m/>
    <m/>
    <m/>
    <m/>
    <m/>
    <m/>
    <m/>
    <n v="5400"/>
    <n v="247400"/>
    <m/>
    <m/>
    <m/>
    <x v="88"/>
    <x v="1"/>
    <m/>
    <m/>
    <m/>
    <m/>
    <n v="2802"/>
    <m/>
    <m/>
    <m/>
    <m/>
    <m/>
    <m/>
    <m/>
    <m/>
    <m/>
    <m/>
    <m/>
    <s v="Darfur / Sudan"/>
    <s v="1. 2004 - L. Greenhalgh seconded to Fed, expenses $5400 2. 2006 - Pledge to ICRC Sudan Appeal, $242,000"/>
  </r>
  <r>
    <m/>
    <n v="121"/>
    <x v="19"/>
    <d v="2004-08-01T00:00:00"/>
    <x v="9"/>
    <n v="3"/>
    <m/>
    <x v="9"/>
    <n v="7"/>
    <x v="3"/>
    <s v="Bangladesh"/>
    <m/>
    <x v="2"/>
    <s v="General Floods"/>
    <s v="General Floods"/>
    <x v="0"/>
    <x v="0"/>
    <m/>
    <x v="0"/>
    <m/>
    <x v="0"/>
    <m/>
    <m/>
    <m/>
    <m/>
    <m/>
    <m/>
    <n v="0"/>
    <n v="35975"/>
    <m/>
    <m/>
    <m/>
    <n v="35975"/>
    <m/>
    <m/>
    <m/>
    <m/>
    <m/>
    <m/>
    <m/>
    <m/>
    <m/>
    <m/>
    <m/>
    <m/>
    <m/>
    <m/>
    <m/>
    <m/>
    <m/>
    <m/>
    <m/>
    <m/>
    <n v="35975"/>
    <m/>
    <m/>
    <m/>
    <x v="89"/>
    <x v="1"/>
    <m/>
    <m/>
    <m/>
    <m/>
    <n v="2017"/>
    <m/>
    <m/>
    <m/>
    <m/>
    <m/>
    <m/>
    <m/>
    <m/>
    <m/>
    <m/>
    <m/>
    <s v="Country-wide"/>
    <s v="PMN: $15,975 from Citigroup and $20,000 from AMEX"/>
  </r>
  <r>
    <m/>
    <n v="122"/>
    <x v="126"/>
    <d v="2004-08-01T00:00:00"/>
    <x v="9"/>
    <n v="4"/>
    <m/>
    <x v="9"/>
    <n v="8"/>
    <x v="3"/>
    <s v="Taiwan"/>
    <m/>
    <x v="5"/>
    <s v="Tropical Cyclone"/>
    <s v="Typhoon"/>
    <x v="0"/>
    <x v="0"/>
    <m/>
    <x v="0"/>
    <m/>
    <x v="0"/>
    <m/>
    <m/>
    <m/>
    <m/>
    <m/>
    <m/>
    <m/>
    <m/>
    <m/>
    <n v="59896.536212325685"/>
    <m/>
    <n v="59896.536212325685"/>
    <m/>
    <m/>
    <m/>
    <m/>
    <m/>
    <m/>
    <m/>
    <m/>
    <m/>
    <m/>
    <m/>
    <m/>
    <m/>
    <m/>
    <m/>
    <m/>
    <m/>
    <m/>
    <m/>
    <m/>
    <n v="59896.536212325685"/>
    <m/>
    <m/>
    <m/>
    <x v="90"/>
    <x v="1"/>
    <m/>
    <m/>
    <m/>
    <m/>
    <n v="2824"/>
    <m/>
    <m/>
    <m/>
    <m/>
    <m/>
    <m/>
    <m/>
    <m/>
    <m/>
    <m/>
    <m/>
    <s v="Mindulle"/>
    <s v="Pass through from Intel ($50,000), Synopsys Community Foundation ($10,000 - 11.15%) and San Gabriel Valley Chapter ($1,000 - 11.15%)"/>
  </r>
  <r>
    <m/>
    <n v="123"/>
    <x v="25"/>
    <d v="2004-09-01T00:00:00"/>
    <x v="9"/>
    <n v="5"/>
    <m/>
    <x v="9"/>
    <n v="9"/>
    <x v="2"/>
    <s v="Grenada"/>
    <m/>
    <x v="5"/>
    <s v="Tropical Cyclone"/>
    <s v="Hurricane"/>
    <x v="0"/>
    <x v="0"/>
    <m/>
    <x v="0"/>
    <m/>
    <x v="0"/>
    <m/>
    <m/>
    <m/>
    <m/>
    <m/>
    <m/>
    <n v="1"/>
    <n v="300000"/>
    <m/>
    <m/>
    <m/>
    <n v="300000"/>
    <n v="2"/>
    <m/>
    <m/>
    <n v="486"/>
    <m/>
    <m/>
    <m/>
    <n v="481"/>
    <m/>
    <n v="5"/>
    <m/>
    <m/>
    <m/>
    <m/>
    <m/>
    <m/>
    <m/>
    <m/>
    <n v="2452.19"/>
    <m/>
    <n v="302452.19"/>
    <m/>
    <m/>
    <m/>
    <x v="91"/>
    <x v="1"/>
    <m/>
    <m/>
    <m/>
    <m/>
    <n v="2024"/>
    <m/>
    <m/>
    <m/>
    <m/>
    <m/>
    <m/>
    <m/>
    <m/>
    <m/>
    <m/>
    <m/>
    <s v="Ivan"/>
    <s v="PMN - March 05; N. Cooper deployed to Grenada and Bahamas w/ PADRU; T. Reines deployed to Grenada.  5 Tents @ $299 each; Jerry Cans @ $1.99 each"/>
  </r>
  <r>
    <m/>
    <n v="123"/>
    <x v="73"/>
    <d v="2004-09-01T00:00:00"/>
    <x v="9"/>
    <n v="5"/>
    <m/>
    <x v="9"/>
    <n v="9"/>
    <x v="2"/>
    <s v="Jamaica"/>
    <m/>
    <x v="5"/>
    <s v="Tropical Cyclone"/>
    <s v="Hurricane"/>
    <x v="0"/>
    <x v="0"/>
    <m/>
    <x v="0"/>
    <m/>
    <x v="0"/>
    <m/>
    <m/>
    <m/>
    <m/>
    <m/>
    <m/>
    <n v="1"/>
    <n v="100000"/>
    <m/>
    <m/>
    <m/>
    <n v="100000"/>
    <n v="1"/>
    <m/>
    <m/>
    <n v="7314"/>
    <m/>
    <m/>
    <n v="5000"/>
    <n v="802"/>
    <m/>
    <m/>
    <m/>
    <m/>
    <m/>
    <m/>
    <n v="1105"/>
    <m/>
    <m/>
    <m/>
    <n v="31046.879999999997"/>
    <m/>
    <n v="131046.88"/>
    <m/>
    <m/>
    <m/>
    <x v="92"/>
    <x v="1"/>
    <m/>
    <m/>
    <m/>
    <m/>
    <n v="2024"/>
    <m/>
    <m/>
    <m/>
    <m/>
    <m/>
    <m/>
    <m/>
    <m/>
    <m/>
    <m/>
    <m/>
    <s v="Ivan"/>
    <s v="PMN - March 05; M. Parry deployed with FACT; Jerry Cans @ $1.99 each, blankets @ $3.03 each, 407 flashlights @ $1.20 each,  tarpaulins @ $12.50 each"/>
  </r>
  <r>
    <m/>
    <n v="123"/>
    <x v="127"/>
    <d v="2004-09-01T00:00:00"/>
    <x v="9"/>
    <n v="5"/>
    <m/>
    <x v="9"/>
    <n v="9"/>
    <x v="2"/>
    <s v="Cayman Islands"/>
    <m/>
    <x v="5"/>
    <s v="Tropical Cyclone"/>
    <s v="Hurricane"/>
    <x v="0"/>
    <x v="0"/>
    <m/>
    <x v="0"/>
    <m/>
    <x v="0"/>
    <m/>
    <m/>
    <m/>
    <m/>
    <m/>
    <m/>
    <n v="1"/>
    <n v="100000"/>
    <m/>
    <m/>
    <m/>
    <n v="100000"/>
    <n v="1"/>
    <m/>
    <m/>
    <n v="2346"/>
    <m/>
    <n v="1000"/>
    <m/>
    <n v="321"/>
    <m/>
    <n v="25"/>
    <m/>
    <m/>
    <m/>
    <m/>
    <m/>
    <m/>
    <m/>
    <m/>
    <n v="12853.79"/>
    <m/>
    <n v="112853.79000000001"/>
    <m/>
    <m/>
    <m/>
    <x v="93"/>
    <x v="1"/>
    <m/>
    <m/>
    <m/>
    <m/>
    <n v="2024"/>
    <m/>
    <m/>
    <m/>
    <m/>
    <m/>
    <m/>
    <m/>
    <m/>
    <m/>
    <m/>
    <m/>
    <s v="Ivan"/>
    <s v="PMN - March 05; tents @ $299 each; Jerrry Cans @$1.99 each; 1,000 flashlights @ $1.20 each; Hygiene Kits @ $3.54 loaned to British Red Cross"/>
  </r>
  <r>
    <m/>
    <n v="123"/>
    <x v="13"/>
    <d v="2004-09-01T00:00:00"/>
    <x v="9"/>
    <n v="5"/>
    <m/>
    <x v="9"/>
    <n v="9"/>
    <x v="2"/>
    <s v="Bahamas "/>
    <m/>
    <x v="5"/>
    <s v="Tropical Cyclone"/>
    <s v="Hurricane"/>
    <x v="0"/>
    <x v="0"/>
    <m/>
    <x v="0"/>
    <m/>
    <x v="0"/>
    <m/>
    <m/>
    <m/>
    <m/>
    <m/>
    <m/>
    <n v="1"/>
    <n v="100000"/>
    <m/>
    <m/>
    <m/>
    <n v="100000"/>
    <n v="4"/>
    <m/>
    <m/>
    <m/>
    <m/>
    <m/>
    <m/>
    <m/>
    <m/>
    <m/>
    <m/>
    <m/>
    <m/>
    <m/>
    <m/>
    <m/>
    <m/>
    <m/>
    <m/>
    <m/>
    <n v="100000"/>
    <m/>
    <m/>
    <m/>
    <x v="5"/>
    <x v="1"/>
    <m/>
    <m/>
    <m/>
    <m/>
    <n v="2024"/>
    <m/>
    <m/>
    <m/>
    <m/>
    <m/>
    <m/>
    <m/>
    <m/>
    <m/>
    <m/>
    <m/>
    <s v="Ivan"/>
    <s v="PMN - Jan 05; C. Garrison, S. Schaefer deployed 1 month; N. Cooper deployed several times"/>
  </r>
  <r>
    <m/>
    <n v="124"/>
    <x v="120"/>
    <d v="2004-09-01T00:00:00"/>
    <x v="9"/>
    <n v="6"/>
    <m/>
    <x v="9"/>
    <n v="10"/>
    <x v="2"/>
    <s v="Haiti"/>
    <m/>
    <x v="2"/>
    <s v="Storm Surge"/>
    <s v="Storm Surge"/>
    <x v="0"/>
    <x v="0"/>
    <m/>
    <x v="0"/>
    <m/>
    <x v="0"/>
    <m/>
    <m/>
    <m/>
    <m/>
    <m/>
    <m/>
    <n v="1"/>
    <n v="400000"/>
    <m/>
    <m/>
    <m/>
    <n v="400000"/>
    <n v="1"/>
    <m/>
    <m/>
    <n v="110"/>
    <m/>
    <m/>
    <m/>
    <m/>
    <m/>
    <m/>
    <m/>
    <m/>
    <m/>
    <m/>
    <n v="110"/>
    <m/>
    <m/>
    <m/>
    <n v="1375"/>
    <m/>
    <n v="401375"/>
    <m/>
    <m/>
    <m/>
    <x v="94"/>
    <x v="1"/>
    <m/>
    <m/>
    <m/>
    <m/>
    <n v="2614"/>
    <m/>
    <m/>
    <m/>
    <m/>
    <m/>
    <m/>
    <m/>
    <m/>
    <m/>
    <m/>
    <m/>
    <s v="TS Jeanne"/>
    <s v="Brigitte Gallis deployed; tarpaulins @ $12.50 each; PMN 400K out of AP 2024 Jan 05"/>
  </r>
  <r>
    <m/>
    <n v="125"/>
    <x v="7"/>
    <d v="2004-11-01T00:00:00"/>
    <x v="9"/>
    <n v="7"/>
    <m/>
    <x v="9"/>
    <n v="11"/>
    <x v="2"/>
    <s v="Costa Rica"/>
    <m/>
    <x v="2"/>
    <s v="General Floods"/>
    <s v="General Floods"/>
    <x v="0"/>
    <x v="0"/>
    <m/>
    <x v="0"/>
    <m/>
    <x v="0"/>
    <m/>
    <m/>
    <m/>
    <m/>
    <m/>
    <m/>
    <m/>
    <m/>
    <m/>
    <m/>
    <m/>
    <n v="0"/>
    <m/>
    <m/>
    <m/>
    <n v="750"/>
    <m/>
    <n v="750"/>
    <m/>
    <m/>
    <m/>
    <m/>
    <m/>
    <m/>
    <m/>
    <m/>
    <m/>
    <m/>
    <m/>
    <m/>
    <n v="2655"/>
    <m/>
    <n v="2655"/>
    <m/>
    <m/>
    <m/>
    <x v="95"/>
    <x v="1"/>
    <m/>
    <m/>
    <m/>
    <m/>
    <n v="2898"/>
    <m/>
    <m/>
    <m/>
    <m/>
    <m/>
    <m/>
    <m/>
    <m/>
    <m/>
    <m/>
    <m/>
    <m/>
    <s v="from PADRU @ $3.54 each"/>
  </r>
  <r>
    <m/>
    <n v="126"/>
    <x v="80"/>
    <d v="2004-12-01T00:00:00"/>
    <x v="9"/>
    <n v="8"/>
    <m/>
    <x v="9"/>
    <n v="12"/>
    <x v="2"/>
    <s v="Panama"/>
    <s v="Hydrometerological"/>
    <x v="2"/>
    <s v="General Floods"/>
    <s v="General Floods"/>
    <x v="0"/>
    <x v="0"/>
    <m/>
    <x v="0"/>
    <m/>
    <x v="0"/>
    <m/>
    <m/>
    <m/>
    <m/>
    <m/>
    <m/>
    <m/>
    <m/>
    <m/>
    <m/>
    <m/>
    <n v="0"/>
    <m/>
    <m/>
    <m/>
    <m/>
    <m/>
    <m/>
    <m/>
    <m/>
    <m/>
    <m/>
    <m/>
    <m/>
    <m/>
    <m/>
    <m/>
    <m/>
    <m/>
    <m/>
    <m/>
    <m/>
    <n v="0"/>
    <m/>
    <m/>
    <m/>
    <x v="7"/>
    <x v="1"/>
    <m/>
    <m/>
    <m/>
    <m/>
    <n v="2898"/>
    <m/>
    <m/>
    <m/>
    <m/>
    <m/>
    <m/>
    <m/>
    <m/>
    <m/>
    <m/>
    <m/>
    <s v="Darien"/>
    <s v="CANCELLED: 100 cases of laundry soap (5,000 bars = $7,200) and 5,000 bars of bath soap ($1,475)"/>
  </r>
  <r>
    <m/>
    <n v="127"/>
    <x v="128"/>
    <d v="2004-12-01T00:00:00"/>
    <x v="9"/>
    <n v="9"/>
    <m/>
    <x v="9"/>
    <n v="13"/>
    <x v="3"/>
    <s v="Sri Lanka"/>
    <s v="Hydrometerological"/>
    <x v="16"/>
    <s v="Tsunami"/>
    <s v="Tsunami"/>
    <x v="0"/>
    <x v="0"/>
    <m/>
    <x v="0"/>
    <m/>
    <x v="0"/>
    <m/>
    <m/>
    <m/>
    <m/>
    <m/>
    <m/>
    <n v="1"/>
    <n v="1837066.6666666667"/>
    <m/>
    <m/>
    <m/>
    <n v="1837066.6666666667"/>
    <n v="17"/>
    <s v="Relief ERU"/>
    <m/>
    <m/>
    <m/>
    <m/>
    <m/>
    <m/>
    <m/>
    <m/>
    <m/>
    <m/>
    <m/>
    <m/>
    <m/>
    <m/>
    <m/>
    <m/>
    <n v="2011842.8599999999"/>
    <n v="100000000"/>
    <n v="103848909.52666667"/>
    <m/>
    <m/>
    <m/>
    <x v="96"/>
    <x v="1"/>
    <m/>
    <m/>
    <m/>
    <m/>
    <n v="2695"/>
    <m/>
    <m/>
    <m/>
    <m/>
    <m/>
    <m/>
    <m/>
    <m/>
    <m/>
    <m/>
    <m/>
    <s v="S &amp; E Provinces"/>
    <s v="Parry, Ragan, Courville, Matthews, Caivano, Blake, Garrison, Szwadzka, Hurd, Chinn, Gaver, Brien, Reines, Thornton, Cummings, deployed with Relief ERU. Stephenson and Cooper deployed with British RC; Hagos deployed for 2 weeks in Feb 2005; L. Wilkinson (DP)   $5 million PMN sent to Federation for Appeal / 100K for emerg phase"/>
  </r>
  <r>
    <m/>
    <n v="127"/>
    <x v="129"/>
    <d v="2004-12-01T00:00:00"/>
    <x v="9"/>
    <n v="9"/>
    <m/>
    <x v="9"/>
    <n v="13"/>
    <x v="3"/>
    <s v="Indonesia"/>
    <s v="Hydrometerological"/>
    <x v="16"/>
    <s v="Tsunami"/>
    <s v="Tsunami"/>
    <x v="0"/>
    <x v="0"/>
    <m/>
    <x v="0"/>
    <m/>
    <x v="0"/>
    <m/>
    <m/>
    <m/>
    <m/>
    <m/>
    <m/>
    <n v="1"/>
    <n v="1666666.6666666667"/>
    <m/>
    <m/>
    <m/>
    <n v="1666666.6666666667"/>
    <n v="5"/>
    <s v="Relief ERU"/>
    <m/>
    <m/>
    <m/>
    <m/>
    <m/>
    <m/>
    <m/>
    <m/>
    <m/>
    <m/>
    <m/>
    <m/>
    <m/>
    <m/>
    <m/>
    <m/>
    <n v="2300506.4"/>
    <m/>
    <n v="3967173.0666666664"/>
    <m/>
    <m/>
    <m/>
    <x v="97"/>
    <x v="1"/>
    <m/>
    <m/>
    <m/>
    <m/>
    <n v="2695"/>
    <m/>
    <m/>
    <m/>
    <m/>
    <m/>
    <m/>
    <m/>
    <m/>
    <m/>
    <m/>
    <m/>
    <s v="N. Sumatra"/>
    <s v="O'Donnell, Michaud and Card deployed as w/ Relief ERU in Northern Sumatra; Greenhalgh on FACT.   $5 million PMN sent to Federation for Appeal; Caivano transferred from Sri Lanka to Indo; Karnes deployed as IRT (logs/ops) "/>
  </r>
  <r>
    <m/>
    <n v="127"/>
    <x v="130"/>
    <d v="2004-12-01T00:00:00"/>
    <x v="9"/>
    <n v="9"/>
    <m/>
    <x v="9"/>
    <n v="13"/>
    <x v="3"/>
    <s v="Maldives"/>
    <s v="Hydrometerological"/>
    <x v="16"/>
    <s v="Tsunami"/>
    <s v="Tsunami"/>
    <x v="0"/>
    <x v="0"/>
    <m/>
    <x v="0"/>
    <m/>
    <x v="0"/>
    <m/>
    <m/>
    <m/>
    <m/>
    <m/>
    <m/>
    <n v="1"/>
    <n v="1666666.6666666667"/>
    <m/>
    <m/>
    <m/>
    <n v="1666666.6666666667"/>
    <n v="2"/>
    <m/>
    <m/>
    <m/>
    <m/>
    <m/>
    <m/>
    <m/>
    <m/>
    <m/>
    <m/>
    <m/>
    <m/>
    <m/>
    <m/>
    <m/>
    <m/>
    <m/>
    <n v="155600"/>
    <m/>
    <n v="1822266.6666666667"/>
    <m/>
    <m/>
    <m/>
    <x v="98"/>
    <x v="1"/>
    <m/>
    <m/>
    <m/>
    <m/>
    <n v="2695"/>
    <m/>
    <m/>
    <m/>
    <m/>
    <m/>
    <m/>
    <m/>
    <m/>
    <m/>
    <m/>
    <m/>
    <s v="Country-wide"/>
    <s v="Hagos on FACT; $5 million PMN sent to Federation for Appeal; Gould wat/san IRT"/>
  </r>
  <r>
    <m/>
    <n v="128"/>
    <x v="131"/>
    <d v="2005-01-01T00:00:00"/>
    <x v="9"/>
    <n v="10"/>
    <m/>
    <x v="10"/>
    <n v="1"/>
    <x v="2"/>
    <s v="Guyana"/>
    <s v="Hydrometerological"/>
    <x v="2"/>
    <s v="General Floods"/>
    <s v="General Floods"/>
    <x v="0"/>
    <x v="0"/>
    <m/>
    <x v="0"/>
    <m/>
    <x v="0"/>
    <m/>
    <m/>
    <m/>
    <m/>
    <m/>
    <m/>
    <m/>
    <m/>
    <m/>
    <m/>
    <m/>
    <n v="0"/>
    <n v="2"/>
    <m/>
    <m/>
    <m/>
    <m/>
    <m/>
    <m/>
    <m/>
    <m/>
    <m/>
    <m/>
    <m/>
    <m/>
    <m/>
    <m/>
    <m/>
    <m/>
    <m/>
    <n v="10000"/>
    <n v="3100"/>
    <n v="13100"/>
    <m/>
    <m/>
    <m/>
    <x v="99"/>
    <x v="1"/>
    <m/>
    <m/>
    <m/>
    <m/>
    <n v="2774"/>
    <m/>
    <m/>
    <m/>
    <m/>
    <m/>
    <m/>
    <m/>
    <m/>
    <m/>
    <m/>
    <m/>
    <s v="Georgetown"/>
    <s v="Jim Gould and Jeffery Weiss deployed and purchased and shipped to the GRC $10,000 worth of individual and family First Aid Kits."/>
  </r>
  <r>
    <m/>
    <n v="129"/>
    <x v="132"/>
    <d v="2005-06-01T00:00:00"/>
    <x v="9"/>
    <n v="11"/>
    <m/>
    <x v="10"/>
    <n v="2"/>
    <x v="4"/>
    <s v="Canada"/>
    <s v="Hydrometerological"/>
    <x v="2"/>
    <s v="General Floods"/>
    <s v="General Floods"/>
    <x v="0"/>
    <x v="0"/>
    <m/>
    <x v="0"/>
    <m/>
    <x v="0"/>
    <m/>
    <m/>
    <m/>
    <m/>
    <m/>
    <m/>
    <m/>
    <m/>
    <m/>
    <n v="5000"/>
    <m/>
    <n v="5000"/>
    <m/>
    <m/>
    <m/>
    <m/>
    <m/>
    <m/>
    <m/>
    <m/>
    <m/>
    <m/>
    <m/>
    <m/>
    <m/>
    <m/>
    <m/>
    <m/>
    <m/>
    <m/>
    <m/>
    <m/>
    <n v="5000"/>
    <m/>
    <m/>
    <m/>
    <x v="46"/>
    <x v="1"/>
    <m/>
    <m/>
    <m/>
    <m/>
    <s v="N/A"/>
    <m/>
    <m/>
    <m/>
    <m/>
    <m/>
    <m/>
    <m/>
    <m/>
    <m/>
    <m/>
    <m/>
    <s v="Alberta Floods"/>
    <s v="Contribution from AmEx for the Alberta Floods (GID direct to CRC)."/>
  </r>
  <r>
    <m/>
    <n v="130"/>
    <x v="133"/>
    <d v="2005-07-01T00:00:00"/>
    <x v="10"/>
    <n v="1"/>
    <m/>
    <x v="10"/>
    <n v="3"/>
    <x v="2"/>
    <s v="Jamaica"/>
    <s v="Hydrometerological"/>
    <x v="5"/>
    <s v="Tropical Cyclone"/>
    <s v="Hurricane"/>
    <x v="0"/>
    <x v="1"/>
    <s v="IFRC"/>
    <x v="1"/>
    <s v="05EA14"/>
    <x v="1"/>
    <m/>
    <m/>
    <m/>
    <n v="35000"/>
    <m/>
    <m/>
    <n v="0"/>
    <n v="25000"/>
    <m/>
    <m/>
    <m/>
    <n v="25000"/>
    <m/>
    <m/>
    <m/>
    <n v="25"/>
    <m/>
    <m/>
    <m/>
    <m/>
    <m/>
    <n v="25"/>
    <m/>
    <m/>
    <m/>
    <m/>
    <m/>
    <m/>
    <m/>
    <m/>
    <n v="7475"/>
    <m/>
    <n v="32475"/>
    <m/>
    <m/>
    <n v="100"/>
    <x v="100"/>
    <x v="1"/>
    <m/>
    <m/>
    <m/>
    <m/>
    <n v="2024"/>
    <m/>
    <m/>
    <m/>
    <m/>
    <m/>
    <m/>
    <m/>
    <m/>
    <m/>
    <m/>
    <m/>
    <s v="Dennis / Emily"/>
    <s v="Ex PADRU"/>
  </r>
  <r>
    <m/>
    <n v="130"/>
    <x v="134"/>
    <d v="2005-07-01T00:00:00"/>
    <x v="10"/>
    <n v="1"/>
    <m/>
    <x v="10"/>
    <n v="3"/>
    <x v="2"/>
    <s v="Grenada"/>
    <s v="Hydrometerological"/>
    <x v="5"/>
    <s v="Tropical Cyclone"/>
    <s v="Hurricane"/>
    <x v="0"/>
    <x v="0"/>
    <m/>
    <x v="0"/>
    <m/>
    <x v="0"/>
    <m/>
    <m/>
    <m/>
    <m/>
    <m/>
    <m/>
    <n v="1"/>
    <n v="75000"/>
    <m/>
    <m/>
    <m/>
    <n v="75000"/>
    <m/>
    <m/>
    <m/>
    <m/>
    <m/>
    <m/>
    <m/>
    <m/>
    <m/>
    <m/>
    <m/>
    <m/>
    <m/>
    <m/>
    <m/>
    <m/>
    <m/>
    <m/>
    <m/>
    <m/>
    <n v="75000"/>
    <m/>
    <m/>
    <m/>
    <x v="56"/>
    <x v="1"/>
    <m/>
    <m/>
    <m/>
    <m/>
    <n v="2024"/>
    <m/>
    <m/>
    <m/>
    <m/>
    <m/>
    <m/>
    <m/>
    <m/>
    <m/>
    <m/>
    <m/>
    <s v="Dennis / Emily"/>
    <s v="$200,000 PMN sent: $100,000 to be divided between Jamaica and Grenada at Federation's discretion."/>
  </r>
  <r>
    <m/>
    <n v="130"/>
    <x v="135"/>
    <d v="2005-07-01T00:00:00"/>
    <x v="10"/>
    <n v="1"/>
    <m/>
    <x v="10"/>
    <n v="3"/>
    <x v="2"/>
    <s v="Haiti"/>
    <s v="Hydrometerological"/>
    <x v="5"/>
    <s v="Tropical Cyclone"/>
    <s v="Hurricane"/>
    <x v="0"/>
    <x v="0"/>
    <m/>
    <x v="0"/>
    <m/>
    <x v="0"/>
    <m/>
    <m/>
    <m/>
    <m/>
    <m/>
    <m/>
    <n v="1"/>
    <n v="100000"/>
    <m/>
    <m/>
    <m/>
    <n v="100000"/>
    <m/>
    <m/>
    <m/>
    <n v="9995"/>
    <m/>
    <m/>
    <m/>
    <m/>
    <m/>
    <m/>
    <m/>
    <m/>
    <m/>
    <m/>
    <m/>
    <m/>
    <m/>
    <m/>
    <n v="8693"/>
    <m/>
    <n v="108693"/>
    <m/>
    <m/>
    <m/>
    <x v="101"/>
    <x v="1"/>
    <m/>
    <m/>
    <m/>
    <m/>
    <n v="2614"/>
    <m/>
    <m/>
    <m/>
    <m/>
    <m/>
    <m/>
    <m/>
    <m/>
    <m/>
    <m/>
    <m/>
    <s v="Dennis / Emily"/>
    <s v="4,995 pcs laundry soap &amp; 5,000 pcs bath soap sent from PADRU; $200,000 PMN sent with $100,000 for Haiti"/>
  </r>
  <r>
    <m/>
    <n v="131"/>
    <x v="136"/>
    <d v="2005-07-01T00:00:00"/>
    <x v="10"/>
    <n v="2"/>
    <m/>
    <x v="10"/>
    <n v="4"/>
    <x v="1"/>
    <s v="Niger"/>
    <s v="Human Related"/>
    <x v="14"/>
    <s v="Food Insecurity"/>
    <s v="Food Insecurity"/>
    <x v="0"/>
    <x v="1"/>
    <s v="IFRC"/>
    <x v="2"/>
    <s v="05EA015"/>
    <x v="2"/>
    <m/>
    <m/>
    <m/>
    <n v="222000"/>
    <m/>
    <m/>
    <m/>
    <m/>
    <m/>
    <m/>
    <m/>
    <n v="0"/>
    <n v="3"/>
    <m/>
    <m/>
    <m/>
    <m/>
    <m/>
    <m/>
    <m/>
    <m/>
    <m/>
    <m/>
    <m/>
    <m/>
    <m/>
    <m/>
    <m/>
    <m/>
    <m/>
    <m/>
    <n v="36200"/>
    <n v="36200"/>
    <m/>
    <m/>
    <m/>
    <x v="102"/>
    <x v="1"/>
    <m/>
    <m/>
    <m/>
    <m/>
    <n v="2949"/>
    <m/>
    <m/>
    <m/>
    <m/>
    <m/>
    <m/>
    <m/>
    <m/>
    <m/>
    <m/>
    <m/>
    <s v="Sahel"/>
    <s v="Paying for secondments of Langdon Greenhalgh, Brigitte Gaillis and Tim Cummings to IFRC"/>
  </r>
  <r>
    <m/>
    <n v="132"/>
    <x v="137"/>
    <d v="2005-08-01T00:00:00"/>
    <x v="10"/>
    <n v="3"/>
    <m/>
    <x v="10"/>
    <n v="5"/>
    <x v="4"/>
    <s v="US"/>
    <s v="Hydrometerological"/>
    <x v="17"/>
    <s v="Tropical Cyclone"/>
    <s v="Hurricane"/>
    <x v="0"/>
    <x v="0"/>
    <m/>
    <x v="0"/>
    <m/>
    <x v="0"/>
    <m/>
    <m/>
    <m/>
    <m/>
    <m/>
    <m/>
    <m/>
    <m/>
    <m/>
    <m/>
    <m/>
    <n v="0"/>
    <n v="3"/>
    <m/>
    <m/>
    <m/>
    <m/>
    <m/>
    <m/>
    <m/>
    <m/>
    <m/>
    <m/>
    <m/>
    <m/>
    <m/>
    <m/>
    <m/>
    <m/>
    <m/>
    <m/>
    <m/>
    <n v="0"/>
    <m/>
    <m/>
    <m/>
    <x v="7"/>
    <x v="1"/>
    <m/>
    <m/>
    <m/>
    <m/>
    <m/>
    <m/>
    <m/>
    <m/>
    <m/>
    <m/>
    <m/>
    <m/>
    <m/>
    <m/>
    <m/>
    <m/>
    <s v="Katrina"/>
    <s v="Nate Cooper, Mark Smith and Lance Leverenz deployed to Mississippi, Lousiana and Alabama."/>
  </r>
  <r>
    <m/>
    <n v="133"/>
    <x v="138"/>
    <d v="2005-10-01T00:00:00"/>
    <x v="10"/>
    <n v="4"/>
    <m/>
    <x v="10"/>
    <n v="6"/>
    <x v="3"/>
    <s v="Pakistan"/>
    <s v="Geophysical"/>
    <x v="3"/>
    <s v="Earthquake"/>
    <s v="Earthquake"/>
    <x v="4"/>
    <x v="1"/>
    <s v="IFRC"/>
    <x v="3"/>
    <s v="05EA022"/>
    <x v="3"/>
    <m/>
    <m/>
    <m/>
    <n v="575000"/>
    <m/>
    <m/>
    <n v="1"/>
    <n v="6750000"/>
    <n v="1000000"/>
    <m/>
    <m/>
    <n v="7750000"/>
    <n v="4"/>
    <m/>
    <m/>
    <n v="325618"/>
    <m/>
    <n v="18000"/>
    <n v="222900"/>
    <m/>
    <n v="28000"/>
    <n v="5200"/>
    <n v="18000"/>
    <n v="30518"/>
    <m/>
    <m/>
    <n v="3000"/>
    <m/>
    <m/>
    <m/>
    <n v="4808310"/>
    <m/>
    <n v="12558310"/>
    <m/>
    <m/>
    <n v="120000"/>
    <x v="103"/>
    <x v="1"/>
    <m/>
    <m/>
    <m/>
    <m/>
    <s v="2897/2771/2769"/>
    <m/>
    <m/>
    <m/>
    <m/>
    <m/>
    <m/>
    <m/>
    <m/>
    <m/>
    <m/>
    <s v="y"/>
    <s v="North West Frontier Province (NWFP) and Pakistan Administered Kashmir (PAK)"/>
    <s v="CASH: Non-designated PMN to the Fed $1,850,000; PMN to the Fed designated for one month cost of helicopter relief operations for $400,000; PMN to the Fed designated for corrugated iron sheeting (~73,000 pc) for $1,500,000. SUPPLIES:  Shawls at $50,000. (Cost includes all inspection costs/ transporation costs as well as commodity cost); PEOPLE: Seconded John Manley to FACT team and Jim Stephenson to Fed relief/logistics team.(Cost includes all inspection costs/ transporation costs as well as commodity cost). ICRC - $1M 2006 - Winter Prep - PMN for 1.5 million (500k to household repair kits, 300k to CGI);   (Cost includes all inspection costs/ transporation costs as well as commodity cost); seconded C. Chaperon and N. Cooper to Fed for monitoring."/>
  </r>
  <r>
    <m/>
    <n v="134"/>
    <x v="139"/>
    <d v="2005-10-01T00:00:00"/>
    <x v="10"/>
    <n v="5"/>
    <m/>
    <x v="10"/>
    <n v="7"/>
    <x v="2"/>
    <s v="Guatemala"/>
    <s v="Hydrometerological"/>
    <x v="17"/>
    <s v="Tropical Cyclone"/>
    <s v="Hurricane"/>
    <x v="0"/>
    <x v="0"/>
    <m/>
    <x v="0"/>
    <m/>
    <x v="0"/>
    <m/>
    <m/>
    <m/>
    <m/>
    <m/>
    <m/>
    <n v="0"/>
    <n v="47581"/>
    <m/>
    <m/>
    <m/>
    <n v="47581"/>
    <m/>
    <m/>
    <m/>
    <m/>
    <m/>
    <m/>
    <m/>
    <m/>
    <m/>
    <m/>
    <m/>
    <m/>
    <m/>
    <m/>
    <m/>
    <m/>
    <m/>
    <m/>
    <m/>
    <m/>
    <n v="47581"/>
    <m/>
    <m/>
    <m/>
    <x v="104"/>
    <x v="1"/>
    <m/>
    <m/>
    <m/>
    <m/>
    <n v="2759"/>
    <m/>
    <m/>
    <m/>
    <m/>
    <m/>
    <m/>
    <m/>
    <m/>
    <m/>
    <m/>
    <m/>
    <s v="Stan"/>
    <s v="PMN contribution to support Federation's appeal relief operations."/>
  </r>
  <r>
    <m/>
    <n v="134"/>
    <x v="140"/>
    <d v="2005-10-01T00:00:00"/>
    <x v="10"/>
    <n v="5"/>
    <m/>
    <x v="10"/>
    <n v="7"/>
    <x v="2"/>
    <s v="Mexico"/>
    <s v="Hydrometerological"/>
    <x v="17"/>
    <s v="Tropical Cyclone"/>
    <s v="Hurricane"/>
    <x v="0"/>
    <x v="0"/>
    <m/>
    <x v="0"/>
    <m/>
    <x v="0"/>
    <m/>
    <m/>
    <m/>
    <m/>
    <m/>
    <m/>
    <n v="1"/>
    <n v="257378"/>
    <m/>
    <n v="85000"/>
    <m/>
    <n v="342378"/>
    <m/>
    <m/>
    <m/>
    <m/>
    <m/>
    <m/>
    <m/>
    <m/>
    <m/>
    <m/>
    <m/>
    <m/>
    <m/>
    <m/>
    <m/>
    <m/>
    <m/>
    <m/>
    <m/>
    <m/>
    <n v="342378"/>
    <m/>
    <m/>
    <m/>
    <x v="105"/>
    <x v="1"/>
    <m/>
    <m/>
    <m/>
    <m/>
    <n v="2020"/>
    <m/>
    <m/>
    <m/>
    <m/>
    <m/>
    <m/>
    <m/>
    <m/>
    <m/>
    <m/>
    <m/>
    <s v="Stan"/>
    <s v="CASH: Initial PMN contribution for $25,000 from IRF 2099 for Federation's Hurricane Stan Appeal.Additional PMN contribution for $83,568 from AP2760 for Federation's Hurricane Stan Appeal relief operations. Additional $124,453 PMN contribution from AP 2020 for Federation's Hurricane Stan Appeal relief operations in Mexico. $49,357 PMN contribution from AP2882  to support Federation's appeal relief operations.Cash to Mex RC: $35,000 from AP2760 for Initial direct contribution to the MRC to support their relief operation. Additional contribution of $50,000 from AP2020 to the MexRC to support their relief operation gift from Exxon Mobil and G&amp;E."/>
  </r>
  <r>
    <s v="TC-2005-000173-SLV"/>
    <n v="135"/>
    <x v="141"/>
    <d v="2005-10-01T00:00:00"/>
    <x v="10"/>
    <n v="6"/>
    <m/>
    <x v="10"/>
    <n v="8"/>
    <x v="2"/>
    <s v="El Salvador"/>
    <s v="Geophysical"/>
    <x v="4"/>
    <s v="Volcanic Eruption"/>
    <s v="Volcanic Eruption"/>
    <x v="0"/>
    <x v="0"/>
    <m/>
    <x v="4"/>
    <s v="05EA020"/>
    <x v="4"/>
    <m/>
    <m/>
    <m/>
    <n v="21000"/>
    <m/>
    <m/>
    <n v="0"/>
    <n v="7034"/>
    <m/>
    <m/>
    <m/>
    <n v="7034"/>
    <n v="1"/>
    <m/>
    <m/>
    <m/>
    <m/>
    <m/>
    <m/>
    <m/>
    <m/>
    <m/>
    <m/>
    <m/>
    <m/>
    <m/>
    <m/>
    <m/>
    <m/>
    <m/>
    <m/>
    <m/>
    <n v="7034"/>
    <m/>
    <m/>
    <m/>
    <x v="106"/>
    <x v="1"/>
    <m/>
    <m/>
    <m/>
    <m/>
    <n v="2690"/>
    <m/>
    <m/>
    <m/>
    <m/>
    <m/>
    <m/>
    <m/>
    <m/>
    <m/>
    <m/>
    <m/>
    <s v="Also: Floods"/>
    <s v="Nate Cooper deployed on PADRU team and PMN contribution to support Federation's appeal  relief operation in response of floods and volcanic eruption in El Salvador."/>
  </r>
  <r>
    <s v="TC-2005-000178-BHS"/>
    <n v="136"/>
    <x v="142"/>
    <d v="2005-10-01T00:00:00"/>
    <x v="10"/>
    <n v="7"/>
    <m/>
    <x v="10"/>
    <n v="9"/>
    <x v="2"/>
    <s v="Bahamas"/>
    <s v="Hydrometerological"/>
    <x v="5"/>
    <s v="Tropical Cyclone"/>
    <s v="Hurricane"/>
    <x v="0"/>
    <x v="0"/>
    <m/>
    <x v="5"/>
    <s v="05EA024"/>
    <x v="2"/>
    <m/>
    <m/>
    <m/>
    <m/>
    <m/>
    <m/>
    <m/>
    <m/>
    <m/>
    <m/>
    <m/>
    <n v="0"/>
    <m/>
    <m/>
    <m/>
    <n v="2371.9999999999995"/>
    <m/>
    <n v="2372"/>
    <m/>
    <m/>
    <m/>
    <m/>
    <m/>
    <m/>
    <m/>
    <m/>
    <m/>
    <m/>
    <m/>
    <m/>
    <n v="20597"/>
    <m/>
    <n v="20597"/>
    <m/>
    <m/>
    <n v="4000"/>
    <x v="107"/>
    <x v="1"/>
    <m/>
    <m/>
    <m/>
    <m/>
    <n v="2024"/>
    <m/>
    <m/>
    <m/>
    <m/>
    <m/>
    <m/>
    <m/>
    <m/>
    <m/>
    <m/>
    <m/>
    <s v="Wilma"/>
    <s v="$3.54 each + 6,200 (transport) = $14,596.88  plus shipping and handling"/>
  </r>
  <r>
    <s v="TC-2005-000178-MEX"/>
    <n v="136"/>
    <x v="143"/>
    <d v="2005-10-01T00:00:00"/>
    <x v="10"/>
    <n v="7"/>
    <m/>
    <x v="10"/>
    <n v="9"/>
    <x v="2"/>
    <s v="Mexico"/>
    <s v="Hydrometerological"/>
    <x v="5"/>
    <s v="Tropical Cyclone"/>
    <s v="Hurricane"/>
    <x v="5"/>
    <x v="0"/>
    <m/>
    <x v="6"/>
    <s v="05EA024"/>
    <x v="5"/>
    <m/>
    <m/>
    <m/>
    <m/>
    <m/>
    <m/>
    <n v="1"/>
    <n v="128869"/>
    <m/>
    <n v="325000"/>
    <m/>
    <n v="453869"/>
    <m/>
    <m/>
    <m/>
    <n v="4500"/>
    <m/>
    <n v="4500"/>
    <m/>
    <m/>
    <m/>
    <m/>
    <m/>
    <m/>
    <m/>
    <m/>
    <m/>
    <m/>
    <m/>
    <m/>
    <n v="43875"/>
    <m/>
    <n v="497744"/>
    <m/>
    <m/>
    <m/>
    <x v="108"/>
    <x v="1"/>
    <m/>
    <m/>
    <m/>
    <m/>
    <n v="2757"/>
    <m/>
    <m/>
    <m/>
    <m/>
    <m/>
    <m/>
    <m/>
    <m/>
    <m/>
    <m/>
    <m/>
    <s v="Wilma"/>
    <s v="CASH: $250,000 -Initital direct contribution from AP 2757 to the MexRC to support their relief operation in Cozumel, gift from Carnival Cruise Lines. 2) $75,000 additional direct contribution from AP 2020 to the MexRC to support their relief operations, gift from AmEx;.3) $100,000 PMN contribution from AP2758 to support Federation's appeal relief operations, 1. 62000 2. 38000 (10.06); 4) $28,869 PMN contribution from AP2757 to support Federation's appeal relief operations;    SUPPLIES: PADRU stocks valued at $43,875;"/>
  </r>
  <r>
    <m/>
    <n v="137"/>
    <x v="144"/>
    <d v="2005-10-01T00:00:00"/>
    <x v="10"/>
    <n v="8"/>
    <m/>
    <x v="10"/>
    <n v="10"/>
    <x v="3"/>
    <s v="Vietnam"/>
    <s v="Hydrometerological"/>
    <x v="5"/>
    <s v="Tropical Cyclone"/>
    <s v="Typhoon"/>
    <x v="0"/>
    <x v="1"/>
    <s v="IFRC"/>
    <x v="7"/>
    <s v="05EA019"/>
    <x v="6"/>
    <m/>
    <m/>
    <m/>
    <n v="25000"/>
    <m/>
    <m/>
    <n v="0"/>
    <n v="21068"/>
    <m/>
    <m/>
    <m/>
    <n v="21068"/>
    <m/>
    <m/>
    <m/>
    <m/>
    <m/>
    <m/>
    <m/>
    <m/>
    <m/>
    <m/>
    <m/>
    <m/>
    <m/>
    <m/>
    <m/>
    <m/>
    <m/>
    <m/>
    <m/>
    <m/>
    <n v="21068"/>
    <m/>
    <m/>
    <m/>
    <x v="109"/>
    <x v="1"/>
    <m/>
    <m/>
    <m/>
    <m/>
    <n v="2870"/>
    <m/>
    <m/>
    <m/>
    <m/>
    <m/>
    <m/>
    <m/>
    <m/>
    <m/>
    <m/>
    <m/>
    <s v="Central Vietnam"/>
    <s v="PMN to the Federtion to support Vietnam: Typhoon Damrey Emergency Appeal. The funds were from Boejing and the PMN was handled by the region."/>
  </r>
  <r>
    <m/>
    <n v="138"/>
    <x v="145"/>
    <d v="2005-11-01T00:00:00"/>
    <x v="10"/>
    <n v="9"/>
    <m/>
    <x v="10"/>
    <n v="11"/>
    <x v="2"/>
    <s v="Colombia"/>
    <s v="Geophysical"/>
    <x v="4"/>
    <s v="Volcanic Eruption"/>
    <s v="Volcanic Eruption"/>
    <x v="0"/>
    <x v="0"/>
    <m/>
    <x v="0"/>
    <m/>
    <x v="0"/>
    <m/>
    <m/>
    <m/>
    <m/>
    <m/>
    <m/>
    <m/>
    <m/>
    <m/>
    <m/>
    <m/>
    <n v="0"/>
    <m/>
    <m/>
    <m/>
    <n v="45"/>
    <m/>
    <m/>
    <m/>
    <m/>
    <m/>
    <n v="45"/>
    <m/>
    <m/>
    <m/>
    <m/>
    <m/>
    <m/>
    <m/>
    <m/>
    <n v="17402"/>
    <m/>
    <n v="17402"/>
    <m/>
    <m/>
    <m/>
    <x v="110"/>
    <x v="1"/>
    <m/>
    <m/>
    <m/>
    <m/>
    <n v="2898"/>
    <m/>
    <m/>
    <m/>
    <m/>
    <m/>
    <m/>
    <m/>
    <m/>
    <m/>
    <m/>
    <m/>
    <s v="Galeras Volcano"/>
    <s v="tents to the CRC - cost of shipping charged to 2099."/>
  </r>
  <r>
    <m/>
    <n v="139"/>
    <x v="146"/>
    <d v="2006-01-01T00:00:00"/>
    <x v="10"/>
    <n v="10"/>
    <m/>
    <x v="11"/>
    <n v="1"/>
    <x v="1"/>
    <s v="Lesotho"/>
    <s v="Hydrometerological"/>
    <x v="1"/>
    <s v="Drought"/>
    <s v="Drought"/>
    <x v="0"/>
    <x v="1"/>
    <s v="IFRC"/>
    <x v="0"/>
    <s v="05EA023"/>
    <x v="0"/>
    <m/>
    <m/>
    <m/>
    <n v="1500000"/>
    <m/>
    <m/>
    <n v="1"/>
    <n v="100000"/>
    <m/>
    <m/>
    <m/>
    <n v="100000"/>
    <n v="3"/>
    <m/>
    <m/>
    <m/>
    <m/>
    <m/>
    <m/>
    <m/>
    <m/>
    <m/>
    <m/>
    <m/>
    <m/>
    <m/>
    <m/>
    <m/>
    <m/>
    <m/>
    <m/>
    <m/>
    <n v="100000"/>
    <m/>
    <m/>
    <m/>
    <x v="5"/>
    <x v="2"/>
    <m/>
    <m/>
    <m/>
    <m/>
    <n v="2099"/>
    <m/>
    <m/>
    <m/>
    <m/>
    <m/>
    <m/>
    <m/>
    <m/>
    <m/>
    <m/>
    <m/>
    <s v="Food Crisis"/>
    <s v="PMN contribution to support Federation's appeal relief operations in Lesotho."/>
  </r>
  <r>
    <m/>
    <n v="139"/>
    <x v="147"/>
    <d v="2006-01-01T00:00:00"/>
    <x v="10"/>
    <n v="10"/>
    <m/>
    <x v="11"/>
    <n v="1"/>
    <x v="1"/>
    <s v="Malawi"/>
    <s v="Hydrometerological"/>
    <x v="1"/>
    <s v="Drought"/>
    <s v="Drought"/>
    <x v="0"/>
    <x v="0"/>
    <m/>
    <x v="0"/>
    <s v="05EA023"/>
    <x v="0"/>
    <m/>
    <m/>
    <m/>
    <m/>
    <m/>
    <m/>
    <n v="1"/>
    <n v="150000"/>
    <m/>
    <m/>
    <m/>
    <n v="150000"/>
    <m/>
    <m/>
    <m/>
    <m/>
    <m/>
    <m/>
    <m/>
    <m/>
    <m/>
    <m/>
    <m/>
    <m/>
    <m/>
    <m/>
    <m/>
    <m/>
    <m/>
    <m/>
    <m/>
    <m/>
    <n v="150000"/>
    <m/>
    <m/>
    <m/>
    <x v="13"/>
    <x v="2"/>
    <m/>
    <m/>
    <m/>
    <m/>
    <n v="2099"/>
    <m/>
    <m/>
    <m/>
    <m/>
    <m/>
    <m/>
    <m/>
    <m/>
    <m/>
    <m/>
    <m/>
    <s v="Food Crisis"/>
    <s v="PMN contribution to support Federation's appeal earmarked for Community Base Health Care Program to leverage NLRC funding."/>
  </r>
  <r>
    <m/>
    <n v="139"/>
    <x v="148"/>
    <d v="2006-01-01T00:00:00"/>
    <x v="10"/>
    <n v="10"/>
    <m/>
    <x v="11"/>
    <n v="1"/>
    <x v="1"/>
    <s v="Zimbabwe"/>
    <s v="Hydrometerological"/>
    <x v="1"/>
    <s v="Drought"/>
    <s v="Drought"/>
    <x v="0"/>
    <x v="0"/>
    <m/>
    <x v="0"/>
    <s v="05EA023"/>
    <x v="0"/>
    <m/>
    <m/>
    <m/>
    <m/>
    <m/>
    <m/>
    <n v="1"/>
    <n v="250000"/>
    <m/>
    <m/>
    <m/>
    <n v="250000"/>
    <m/>
    <m/>
    <m/>
    <m/>
    <m/>
    <m/>
    <m/>
    <m/>
    <m/>
    <m/>
    <m/>
    <m/>
    <m/>
    <m/>
    <m/>
    <m/>
    <m/>
    <m/>
    <m/>
    <m/>
    <n v="250000"/>
    <m/>
    <m/>
    <m/>
    <x v="35"/>
    <x v="2"/>
    <m/>
    <m/>
    <m/>
    <m/>
    <n v="2099"/>
    <m/>
    <m/>
    <m/>
    <m/>
    <m/>
    <m/>
    <m/>
    <m/>
    <m/>
    <m/>
    <m/>
    <s v="Food Crisis"/>
    <s v="PMN contribution to support Federation's appeal relief operations in Zimbabwe."/>
  </r>
  <r>
    <m/>
    <n v="139"/>
    <x v="149"/>
    <d v="2006-01-01T00:00:00"/>
    <x v="10"/>
    <n v="10"/>
    <m/>
    <x v="11"/>
    <n v="1"/>
    <x v="1"/>
    <s v="Zambia"/>
    <s v="Hydrometerological"/>
    <x v="1"/>
    <s v="Drought"/>
    <s v="Drought"/>
    <x v="0"/>
    <x v="0"/>
    <m/>
    <x v="8"/>
    <s v="05EA023"/>
    <x v="0"/>
    <m/>
    <m/>
    <m/>
    <m/>
    <m/>
    <m/>
    <n v="1"/>
    <n v="400000"/>
    <m/>
    <m/>
    <m/>
    <n v="400000"/>
    <m/>
    <m/>
    <m/>
    <m/>
    <m/>
    <m/>
    <m/>
    <m/>
    <m/>
    <m/>
    <m/>
    <m/>
    <m/>
    <m/>
    <m/>
    <m/>
    <m/>
    <m/>
    <m/>
    <m/>
    <n v="400000"/>
    <m/>
    <m/>
    <m/>
    <x v="111"/>
    <x v="2"/>
    <m/>
    <m/>
    <m/>
    <m/>
    <n v="2099"/>
    <m/>
    <m/>
    <m/>
    <m/>
    <m/>
    <m/>
    <m/>
    <m/>
    <m/>
    <m/>
    <m/>
    <s v="Food Crisis"/>
    <s v="$400K &amp; $100K PMN contribution to support Federation's appeal relief operations in Zambia."/>
  </r>
  <r>
    <m/>
    <n v="140"/>
    <x v="150"/>
    <d v="2006-03-01T00:00:00"/>
    <x v="10"/>
    <n v="11"/>
    <m/>
    <x v="11"/>
    <n v="2"/>
    <x v="1"/>
    <s v="Kenya"/>
    <s v="Hydrometerological"/>
    <x v="1"/>
    <s v="Drought"/>
    <s v="Drought"/>
    <x v="0"/>
    <x v="1"/>
    <s v="IFRC"/>
    <x v="9"/>
    <s v="MDRKE001"/>
    <x v="7"/>
    <m/>
    <m/>
    <m/>
    <n v="329000"/>
    <m/>
    <m/>
    <n v="1"/>
    <n v="150000"/>
    <m/>
    <m/>
    <m/>
    <n v="150000"/>
    <m/>
    <m/>
    <m/>
    <m/>
    <m/>
    <m/>
    <m/>
    <m/>
    <m/>
    <m/>
    <m/>
    <m/>
    <m/>
    <m/>
    <m/>
    <m/>
    <m/>
    <m/>
    <m/>
    <m/>
    <n v="150000"/>
    <m/>
    <m/>
    <m/>
    <x v="13"/>
    <x v="2"/>
    <m/>
    <m/>
    <m/>
    <m/>
    <n v="2099"/>
    <m/>
    <m/>
    <m/>
    <m/>
    <m/>
    <m/>
    <m/>
    <m/>
    <m/>
    <m/>
    <m/>
    <s v="E. Africa Appeal"/>
    <s v="PMN contribution to support Federation's appeal relief operations."/>
  </r>
  <r>
    <m/>
    <n v="141"/>
    <x v="151"/>
    <d v="2006-03-01T00:00:00"/>
    <x v="10"/>
    <n v="12"/>
    <m/>
    <x v="11"/>
    <n v="3"/>
    <x v="3"/>
    <s v="Iraq"/>
    <s v="Human Related"/>
    <x v="8"/>
    <s v="Conflict"/>
    <s v="Conflict"/>
    <x v="0"/>
    <x v="1"/>
    <s v="IFRC/ ICRC"/>
    <x v="0"/>
    <s v="MDRIQ001 / 05EA026 / REX 07/346"/>
    <x v="0"/>
    <m/>
    <m/>
    <m/>
    <n v="455000"/>
    <m/>
    <m/>
    <n v="1"/>
    <n v="88443"/>
    <n v="100000"/>
    <m/>
    <m/>
    <n v="188443"/>
    <m/>
    <m/>
    <m/>
    <m/>
    <m/>
    <m/>
    <m/>
    <m/>
    <m/>
    <m/>
    <m/>
    <m/>
    <m/>
    <m/>
    <m/>
    <m/>
    <m/>
    <m/>
    <m/>
    <m/>
    <n v="188443"/>
    <m/>
    <m/>
    <n v="455000"/>
    <x v="112"/>
    <x v="1"/>
    <m/>
    <m/>
    <m/>
    <m/>
    <n v="2689"/>
    <m/>
    <m/>
    <m/>
    <m/>
    <m/>
    <m/>
    <m/>
    <m/>
    <m/>
    <m/>
    <m/>
    <s v="Humanitarian Emergency"/>
    <s v="19,170 PMN to IFRC Iraq: Floods Appeal No. MDRIQ001 for 25,000 beneficiaries; 69,272.96 PMN to IFRC Iraq: Humanitarian Emergency Appeal No. 05 EA026 for 350,000 beneficiaries; 100,000 Cash Contribution to ICRC's emergency appeal for Iraq activities related to wat/san for 80,000 beneficiaries."/>
  </r>
  <r>
    <s v="-2006-000022-TMP"/>
    <n v="142"/>
    <x v="152"/>
    <d v="2006-02-01T00:00:00"/>
    <x v="10"/>
    <n v="13"/>
    <m/>
    <x v="11"/>
    <n v="4"/>
    <x v="3"/>
    <s v="Timor-Leste"/>
    <s v="Hydrometerological"/>
    <x v="2"/>
    <s v="General Floods"/>
    <s v="General Floods"/>
    <x v="0"/>
    <x v="1"/>
    <s v="IFRC"/>
    <x v="10"/>
    <s v="MDRTP001"/>
    <x v="8"/>
    <m/>
    <m/>
    <m/>
    <n v="8400"/>
    <m/>
    <m/>
    <n v="1"/>
    <n v="50000"/>
    <m/>
    <m/>
    <m/>
    <n v="50000"/>
    <m/>
    <m/>
    <m/>
    <m/>
    <m/>
    <m/>
    <m/>
    <m/>
    <m/>
    <m/>
    <m/>
    <m/>
    <m/>
    <m/>
    <m/>
    <m/>
    <m/>
    <m/>
    <m/>
    <m/>
    <n v="50000"/>
    <m/>
    <m/>
    <n v="8400"/>
    <x v="16"/>
    <x v="2"/>
    <m/>
    <m/>
    <m/>
    <m/>
    <n v="2799"/>
    <m/>
    <m/>
    <m/>
    <m/>
    <m/>
    <m/>
    <m/>
    <m/>
    <m/>
    <m/>
    <m/>
    <s v="Oecusse, Ainaro, Viqueque, Bobonaro and Baucau Districts"/>
    <s v="PMN contribution to support the Federation's operation in response to the Timor-Leste: Storms and Floods Emergency Appeal No. MDRTP001."/>
  </r>
  <r>
    <s v="MS-2006-000179-PHL"/>
    <n v="143"/>
    <x v="153"/>
    <d v="2006-02-01T00:00:00"/>
    <x v="10"/>
    <n v="14"/>
    <m/>
    <x v="11"/>
    <n v="5"/>
    <x v="3"/>
    <s v="Philippines"/>
    <s v="Hydrometerological"/>
    <x v="18"/>
    <s v="Landslide"/>
    <s v="Mudslide"/>
    <x v="0"/>
    <x v="1"/>
    <s v="IFRC"/>
    <x v="11"/>
    <s v="MDRPH001"/>
    <x v="9"/>
    <m/>
    <m/>
    <m/>
    <n v="8000"/>
    <m/>
    <m/>
    <n v="1"/>
    <n v="50000"/>
    <m/>
    <n v="5000"/>
    <m/>
    <n v="55000"/>
    <m/>
    <m/>
    <m/>
    <m/>
    <m/>
    <m/>
    <m/>
    <m/>
    <m/>
    <m/>
    <m/>
    <m/>
    <m/>
    <m/>
    <m/>
    <m/>
    <m/>
    <m/>
    <m/>
    <m/>
    <n v="55000"/>
    <m/>
    <m/>
    <n v="8000"/>
    <x v="113"/>
    <x v="1"/>
    <m/>
    <m/>
    <m/>
    <m/>
    <n v="2032"/>
    <m/>
    <m/>
    <m/>
    <m/>
    <m/>
    <m/>
    <m/>
    <m/>
    <m/>
    <m/>
    <m/>
    <s v="Southern Leyte"/>
    <s v="PMN contribution to support the Federation's operation in the Philippines: Landslides and Floods Emergency Appeal No. MDRPH001 in the amount of 50,000 USD; Amex donation to Philippines National Red Cross for their emergency operations in the amount of 5,000 USD."/>
  </r>
  <r>
    <m/>
    <n v="144"/>
    <x v="154"/>
    <d v="2006-05-01T00:00:00"/>
    <x v="10"/>
    <n v="15"/>
    <m/>
    <x v="11"/>
    <n v="6"/>
    <x v="1"/>
    <s v="Angola"/>
    <s v="Biological"/>
    <x v="11"/>
    <s v="Bacterial"/>
    <s v="Bacterial"/>
    <x v="0"/>
    <x v="0"/>
    <m/>
    <x v="0"/>
    <m/>
    <x v="0"/>
    <m/>
    <m/>
    <m/>
    <m/>
    <m/>
    <m/>
    <m/>
    <m/>
    <m/>
    <m/>
    <m/>
    <n v="0"/>
    <n v="1"/>
    <m/>
    <m/>
    <m/>
    <m/>
    <m/>
    <m/>
    <m/>
    <m/>
    <m/>
    <m/>
    <m/>
    <m/>
    <m/>
    <m/>
    <m/>
    <m/>
    <m/>
    <m/>
    <n v="5000"/>
    <n v="5000"/>
    <m/>
    <m/>
    <m/>
    <x v="46"/>
    <x v="2"/>
    <m/>
    <m/>
    <m/>
    <m/>
    <n v="2799"/>
    <m/>
    <m/>
    <m/>
    <m/>
    <m/>
    <m/>
    <m/>
    <m/>
    <m/>
    <m/>
    <m/>
    <s v="Cholera Outbreak"/>
    <s v="J. Koepsell as FACT Health"/>
  </r>
  <r>
    <m/>
    <n v="145"/>
    <x v="5"/>
    <d v="2006-04-01T00:00:00"/>
    <x v="10"/>
    <n v="16"/>
    <m/>
    <x v="11"/>
    <n v="7"/>
    <x v="1"/>
    <s v="Ethiopia"/>
    <s v="Hydrometerological"/>
    <x v="1"/>
    <s v="Drought"/>
    <s v="Drought"/>
    <x v="0"/>
    <x v="1"/>
    <s v="IFRC"/>
    <x v="12"/>
    <s v="MDRET001"/>
    <x v="10"/>
    <m/>
    <m/>
    <m/>
    <n v="36341"/>
    <m/>
    <m/>
    <n v="1"/>
    <n v="94461"/>
    <m/>
    <m/>
    <m/>
    <n v="94461"/>
    <m/>
    <m/>
    <m/>
    <m/>
    <m/>
    <m/>
    <m/>
    <m/>
    <m/>
    <m/>
    <m/>
    <m/>
    <m/>
    <m/>
    <m/>
    <m/>
    <m/>
    <m/>
    <m/>
    <m/>
    <n v="94461"/>
    <m/>
    <m/>
    <m/>
    <x v="114"/>
    <x v="2"/>
    <m/>
    <m/>
    <m/>
    <m/>
    <n v="2099"/>
    <m/>
    <m/>
    <m/>
    <m/>
    <m/>
    <m/>
    <m/>
    <m/>
    <m/>
    <m/>
    <m/>
    <m/>
    <s v="PMN contribution to support Ethiopa: Drought Appeal"/>
  </r>
  <r>
    <m/>
    <n v="146"/>
    <x v="155"/>
    <d v="2006-04-01T00:00:00"/>
    <x v="10"/>
    <n v="17"/>
    <m/>
    <x v="11"/>
    <n v="8"/>
    <x v="1"/>
    <s v="Somalia"/>
    <s v="Hydrometerological"/>
    <x v="1"/>
    <s v="Drought"/>
    <s v="Drought"/>
    <x v="0"/>
    <x v="1"/>
    <s v="ICRC"/>
    <x v="0"/>
    <m/>
    <x v="0"/>
    <m/>
    <m/>
    <m/>
    <m/>
    <m/>
    <m/>
    <n v="1"/>
    <m/>
    <n v="250000"/>
    <m/>
    <m/>
    <n v="250000"/>
    <m/>
    <m/>
    <m/>
    <m/>
    <m/>
    <m/>
    <m/>
    <m/>
    <m/>
    <m/>
    <m/>
    <m/>
    <m/>
    <m/>
    <m/>
    <m/>
    <m/>
    <m/>
    <m/>
    <m/>
    <n v="250000"/>
    <m/>
    <m/>
    <m/>
    <x v="35"/>
    <x v="2"/>
    <m/>
    <m/>
    <m/>
    <m/>
    <n v="2099"/>
    <m/>
    <m/>
    <m/>
    <m/>
    <m/>
    <m/>
    <m/>
    <m/>
    <m/>
    <m/>
    <m/>
    <m/>
    <s v="Pledge Letter to ICRC for Somalia Emergency Appeal"/>
  </r>
  <r>
    <m/>
    <n v="147"/>
    <x v="156"/>
    <d v="2006-04-01T00:00:00"/>
    <x v="10"/>
    <n v="18"/>
    <m/>
    <x v="11"/>
    <n v="9"/>
    <x v="3"/>
    <s v="Spain"/>
    <s v="Human Related"/>
    <x v="12"/>
    <s v="Terrorism"/>
    <s v="Terrorism"/>
    <x v="0"/>
    <x v="0"/>
    <m/>
    <x v="0"/>
    <m/>
    <x v="0"/>
    <m/>
    <m/>
    <m/>
    <m/>
    <m/>
    <m/>
    <m/>
    <m/>
    <m/>
    <n v="20000"/>
    <m/>
    <n v="20000"/>
    <m/>
    <m/>
    <m/>
    <m/>
    <m/>
    <m/>
    <m/>
    <m/>
    <m/>
    <m/>
    <m/>
    <m/>
    <m/>
    <m/>
    <m/>
    <m/>
    <m/>
    <m/>
    <m/>
    <m/>
    <n v="20000"/>
    <m/>
    <m/>
    <m/>
    <x v="25"/>
    <x v="1"/>
    <m/>
    <m/>
    <m/>
    <m/>
    <n v="2903"/>
    <m/>
    <m/>
    <m/>
    <m/>
    <m/>
    <m/>
    <m/>
    <m/>
    <m/>
    <m/>
    <m/>
    <s v="April 2004 MadridTrain Bombing"/>
    <s v="Suspense acct contribution following April 2004 bombing. Grant to Spain RC for DPP"/>
  </r>
  <r>
    <m/>
    <n v="148"/>
    <x v="157"/>
    <d v="2006-05-01T00:00:00"/>
    <x v="10"/>
    <n v="19"/>
    <m/>
    <x v="11"/>
    <n v="10"/>
    <x v="2"/>
    <s v="Colombia"/>
    <s v="Hydrometerological"/>
    <x v="2"/>
    <s v="General Floods"/>
    <m/>
    <x v="0"/>
    <x v="0"/>
    <m/>
    <x v="0"/>
    <m/>
    <x v="0"/>
    <m/>
    <m/>
    <m/>
    <m/>
    <m/>
    <n v="2500"/>
    <m/>
    <m/>
    <m/>
    <n v="50000"/>
    <m/>
    <n v="50000"/>
    <m/>
    <m/>
    <m/>
    <m/>
    <m/>
    <m/>
    <m/>
    <m/>
    <m/>
    <m/>
    <m/>
    <m/>
    <m/>
    <m/>
    <m/>
    <m/>
    <m/>
    <m/>
    <m/>
    <m/>
    <n v="50000"/>
    <m/>
    <m/>
    <m/>
    <x v="16"/>
    <x v="2"/>
    <m/>
    <m/>
    <m/>
    <m/>
    <n v="2799"/>
    <m/>
    <m/>
    <m/>
    <m/>
    <m/>
    <m/>
    <m/>
    <m/>
    <m/>
    <m/>
    <m/>
    <m/>
    <s v="OFDA award in support of ARC's proposal &quot;Colombia Floods 2006&quot; to support CRC emergency relief response."/>
  </r>
  <r>
    <s v="EQ-2006-000064-IDN"/>
    <n v="149"/>
    <x v="158"/>
    <d v="2006-05-01T00:00:00"/>
    <x v="10"/>
    <n v="20"/>
    <m/>
    <x v="11"/>
    <n v="11"/>
    <x v="3"/>
    <s v="Indonesia"/>
    <s v="Geophysical"/>
    <x v="3"/>
    <s v="Earthquake"/>
    <s v="Earthquake"/>
    <x v="0"/>
    <x v="1"/>
    <s v="IFRC"/>
    <x v="13"/>
    <s v="MDRID001"/>
    <x v="11"/>
    <m/>
    <m/>
    <m/>
    <n v="325000"/>
    <m/>
    <m/>
    <n v="1"/>
    <n v="1398250"/>
    <m/>
    <m/>
    <m/>
    <n v="1398250"/>
    <n v="7"/>
    <s v="Relief ERU"/>
    <m/>
    <m/>
    <m/>
    <m/>
    <m/>
    <m/>
    <m/>
    <m/>
    <m/>
    <m/>
    <m/>
    <m/>
    <m/>
    <m/>
    <m/>
    <m/>
    <m/>
    <n v="87500"/>
    <n v="1485750"/>
    <m/>
    <m/>
    <n v="13000"/>
    <x v="115"/>
    <x v="1"/>
    <m/>
    <m/>
    <m/>
    <m/>
    <s v="2930 / 2799"/>
    <m/>
    <m/>
    <m/>
    <m/>
    <m/>
    <m/>
    <m/>
    <m/>
    <m/>
    <m/>
    <m/>
    <s v="Yogyakarta"/>
    <s v="CASH: 1. PMN to Fed 119,000 from AP2930  2. PMN to Fed 179,250 from AP2930 earmarked for 80K sleeping mats 3. PMN from AP2930 to Fed 1 million earmarked for tarps (600K), PSP (100K), DM (300K); PMN contribution to support Fed appeal relief operations - joint w/ 119,000 from AP 2930 4. PEOPLE: Relief ERU deployed with N. Cooper, C. Blake, S. Rahman, B. Riester, T. Betz, C. Chaperon. PA B. Gillespie, Health S. Shetty, PSP team"/>
  </r>
  <r>
    <m/>
    <n v="150"/>
    <x v="88"/>
    <d v="2006-07-01T00:00:00"/>
    <x v="11"/>
    <n v="1"/>
    <m/>
    <x v="11"/>
    <n v="12"/>
    <x v="3"/>
    <s v="Romania"/>
    <s v="Hydrometerological"/>
    <x v="2"/>
    <s v="General Floods"/>
    <s v="General Floods"/>
    <x v="0"/>
    <x v="1"/>
    <s v="IFRC"/>
    <x v="14"/>
    <s v="MDRRO001"/>
    <x v="12"/>
    <m/>
    <m/>
    <m/>
    <n v="13000"/>
    <m/>
    <m/>
    <n v="0"/>
    <n v="5000"/>
    <m/>
    <m/>
    <m/>
    <n v="5000"/>
    <m/>
    <m/>
    <m/>
    <m/>
    <m/>
    <m/>
    <m/>
    <m/>
    <m/>
    <m/>
    <m/>
    <m/>
    <m/>
    <m/>
    <m/>
    <m/>
    <m/>
    <m/>
    <m/>
    <m/>
    <n v="5000"/>
    <m/>
    <m/>
    <m/>
    <x v="46"/>
    <x v="1"/>
    <m/>
    <m/>
    <m/>
    <m/>
    <n v="2685"/>
    <m/>
    <m/>
    <m/>
    <m/>
    <m/>
    <m/>
    <m/>
    <m/>
    <m/>
    <m/>
    <m/>
    <s v="Country-Wide"/>
    <s v="PMN contribution to support Federation's Emergency Appeal - AmEx contribution - from suspense acct"/>
  </r>
  <r>
    <m/>
    <n v="151"/>
    <x v="159"/>
    <d v="2006-07-01T00:00:00"/>
    <x v="11"/>
    <n v="2"/>
    <m/>
    <x v="11"/>
    <n v="13"/>
    <x v="3"/>
    <s v="Lebanon"/>
    <s v="Human Related"/>
    <x v="8"/>
    <s v="Conflict"/>
    <s v="Conflict"/>
    <x v="0"/>
    <x v="1"/>
    <s v="IFRC/ICRC"/>
    <x v="15"/>
    <s v="MDR81001 /REX 06/575"/>
    <x v="13"/>
    <m/>
    <m/>
    <m/>
    <n v="2000000"/>
    <m/>
    <m/>
    <n v="1"/>
    <n v="475000"/>
    <n v="1058600"/>
    <n v="356000"/>
    <m/>
    <n v="1889600"/>
    <m/>
    <m/>
    <m/>
    <m/>
    <m/>
    <m/>
    <m/>
    <m/>
    <m/>
    <m/>
    <m/>
    <m/>
    <m/>
    <m/>
    <m/>
    <m/>
    <m/>
    <m/>
    <m/>
    <m/>
    <n v="1889600"/>
    <m/>
    <m/>
    <m/>
    <x v="116"/>
    <x v="1"/>
    <m/>
    <m/>
    <m/>
    <m/>
    <s v="2099 /2649"/>
    <m/>
    <m/>
    <m/>
    <m/>
    <m/>
    <m/>
    <m/>
    <m/>
    <m/>
    <m/>
    <m/>
    <s v="Humanitarian Crisis"/>
    <s v="CASH: Contributions to ICRC - 1. $500,000 2. $150,000 3. $211,136 to MDA specifically from AP2099; Contributions to ICRC - 1. $150,000 2. 47,500 (Dow Chemical Com from AP2649 pany), Contribution to Fed $475,000 (Coca Cola) from AP2649; $200,000 grant to Palestinian Red Crescent for southern Lebanon; $156,000 grant to Lebanese Red Cross for ambulances"/>
  </r>
  <r>
    <m/>
    <n v="152"/>
    <x v="8"/>
    <d v="2006-08-01T00:00:00"/>
    <x v="11"/>
    <n v="3"/>
    <m/>
    <x v="11"/>
    <n v="14"/>
    <x v="3"/>
    <s v="China"/>
    <s v="Hydrometerological"/>
    <x v="2"/>
    <s v="General Floods"/>
    <s v="General Floods"/>
    <x v="0"/>
    <x v="1"/>
    <s v="IFRC"/>
    <x v="16"/>
    <s v="MDRCN001"/>
    <x v="14"/>
    <m/>
    <m/>
    <m/>
    <n v="240000"/>
    <m/>
    <m/>
    <n v="1"/>
    <n v="50000"/>
    <m/>
    <m/>
    <m/>
    <n v="50000"/>
    <m/>
    <m/>
    <m/>
    <m/>
    <m/>
    <m/>
    <m/>
    <m/>
    <m/>
    <m/>
    <m/>
    <m/>
    <m/>
    <m/>
    <m/>
    <m/>
    <m/>
    <m/>
    <m/>
    <m/>
    <n v="50000"/>
    <m/>
    <m/>
    <m/>
    <x v="16"/>
    <x v="2"/>
    <m/>
    <m/>
    <m/>
    <m/>
    <n v="2799"/>
    <m/>
    <m/>
    <m/>
    <m/>
    <m/>
    <m/>
    <m/>
    <m/>
    <m/>
    <m/>
    <m/>
    <m/>
    <s v="PMN contribution earmarked for procurement of rice to support Fed's China: Floods Appeal"/>
  </r>
  <r>
    <s v="VO-2006-"/>
    <n v="153"/>
    <x v="160"/>
    <d v="2006-08-01T00:00:00"/>
    <x v="11"/>
    <n v="4"/>
    <m/>
    <x v="11"/>
    <n v="15"/>
    <x v="2"/>
    <s v="Ecuador"/>
    <s v="Geophysical"/>
    <x v="4"/>
    <s v="Volcanic Eruption"/>
    <s v="Volcanic Eruption"/>
    <x v="0"/>
    <x v="1"/>
    <s v="IFRC"/>
    <x v="17"/>
    <s v="MDREC002"/>
    <x v="15"/>
    <n v="1"/>
    <m/>
    <m/>
    <n v="5475"/>
    <m/>
    <m/>
    <m/>
    <m/>
    <m/>
    <n v="50000"/>
    <m/>
    <n v="50000"/>
    <m/>
    <m/>
    <m/>
    <m/>
    <m/>
    <m/>
    <m/>
    <m/>
    <m/>
    <m/>
    <m/>
    <m/>
    <m/>
    <m/>
    <m/>
    <m/>
    <m/>
    <m/>
    <m/>
    <m/>
    <n v="50000"/>
    <m/>
    <m/>
    <m/>
    <x v="16"/>
    <x v="2"/>
    <m/>
    <m/>
    <m/>
    <m/>
    <n v="2799"/>
    <m/>
    <m/>
    <m/>
    <m/>
    <m/>
    <m/>
    <m/>
    <m/>
    <m/>
    <m/>
    <m/>
    <s v="Tungurahua"/>
    <s v="OFDA award in support of ARC's proposal &quot;Tungurahua Volcano eruption&quot; to support the ERC emergency relief response."/>
  </r>
  <r>
    <s v="FL-2006-000122-ETH"/>
    <n v="154"/>
    <x v="161"/>
    <d v="2006-08-01T00:00:00"/>
    <x v="11"/>
    <n v="5"/>
    <m/>
    <x v="11"/>
    <n v="16"/>
    <x v="1"/>
    <s v="Ethiopia"/>
    <s v="Hydrometerological"/>
    <x v="2"/>
    <s v="General Floods"/>
    <s v="General Floods"/>
    <x v="0"/>
    <x v="1"/>
    <s v="IFRC"/>
    <x v="18"/>
    <s v="MDRET003"/>
    <x v="16"/>
    <m/>
    <m/>
    <m/>
    <n v="25000"/>
    <m/>
    <m/>
    <n v="1"/>
    <n v="85000"/>
    <m/>
    <m/>
    <m/>
    <n v="85000"/>
    <n v="2"/>
    <m/>
    <m/>
    <m/>
    <m/>
    <m/>
    <m/>
    <m/>
    <m/>
    <m/>
    <m/>
    <m/>
    <m/>
    <m/>
    <m/>
    <m/>
    <m/>
    <m/>
    <m/>
    <m/>
    <n v="85000"/>
    <m/>
    <m/>
    <m/>
    <x v="117"/>
    <x v="1"/>
    <m/>
    <m/>
    <m/>
    <m/>
    <s v="2099 / 2648"/>
    <m/>
    <m/>
    <m/>
    <m/>
    <m/>
    <m/>
    <m/>
    <m/>
    <m/>
    <m/>
    <m/>
    <s v="Amhara"/>
    <s v="CASH: PMN from 2099 contribution to Fed Appeal earmarked for tarps, blankets, sleeping mats PEOPLE: Deployed J. Manley, Prog Coordinator, 2 mo. AND K.White, Prog Delegate, 2 mo. From AP 2648."/>
  </r>
  <r>
    <s v="FL-2006-000123-SDN"/>
    <n v="155"/>
    <x v="162"/>
    <d v="2006-09-01T00:00:00"/>
    <x v="11"/>
    <n v="6"/>
    <m/>
    <x v="11"/>
    <n v="17"/>
    <x v="1"/>
    <s v="Sudan"/>
    <s v="Hydrometerological"/>
    <x v="2"/>
    <s v="General Floods"/>
    <s v="General Floods"/>
    <x v="0"/>
    <x v="1"/>
    <s v="IFRC"/>
    <x v="19"/>
    <s v="MDRSD002"/>
    <x v="17"/>
    <m/>
    <m/>
    <m/>
    <n v="15000"/>
    <m/>
    <m/>
    <n v="0"/>
    <n v="10000"/>
    <m/>
    <m/>
    <m/>
    <n v="10000"/>
    <m/>
    <m/>
    <m/>
    <n v="10000"/>
    <m/>
    <m/>
    <m/>
    <m/>
    <m/>
    <m/>
    <m/>
    <m/>
    <n v="10000"/>
    <m/>
    <m/>
    <m/>
    <m/>
    <m/>
    <n v="36900"/>
    <m/>
    <n v="46900"/>
    <m/>
    <m/>
    <m/>
    <x v="118"/>
    <x v="1"/>
    <m/>
    <m/>
    <m/>
    <m/>
    <n v="2802"/>
    <m/>
    <m/>
    <m/>
    <m/>
    <m/>
    <m/>
    <m/>
    <s v="N"/>
    <m/>
    <m/>
    <m/>
    <m/>
    <s v="Nets @ $3.69 each + $10,000 (transport) = $46,900"/>
  </r>
  <r>
    <s v="TC-2006-000175-PHL"/>
    <n v="156"/>
    <x v="163"/>
    <d v="2006-10-01T00:00:00"/>
    <x v="11"/>
    <n v="7"/>
    <m/>
    <x v="11"/>
    <n v="18"/>
    <x v="3"/>
    <s v="Philippines"/>
    <s v="Hydrometerological"/>
    <x v="5"/>
    <s v="Tropical Cyclone"/>
    <s v="Typhoon"/>
    <x v="0"/>
    <x v="1"/>
    <s v="IFRC"/>
    <x v="20"/>
    <s v="MDRPH002"/>
    <x v="18"/>
    <m/>
    <m/>
    <m/>
    <n v="1030000"/>
    <m/>
    <m/>
    <n v="1"/>
    <n v="787000"/>
    <m/>
    <m/>
    <m/>
    <n v="787000"/>
    <n v="2"/>
    <m/>
    <m/>
    <m/>
    <m/>
    <m/>
    <m/>
    <m/>
    <m/>
    <m/>
    <m/>
    <m/>
    <m/>
    <m/>
    <m/>
    <m/>
    <m/>
    <m/>
    <m/>
    <n v="6500"/>
    <n v="793500"/>
    <m/>
    <m/>
    <m/>
    <x v="119"/>
    <x v="1"/>
    <m/>
    <m/>
    <m/>
    <m/>
    <n v="2032"/>
    <m/>
    <m/>
    <m/>
    <m/>
    <m/>
    <m/>
    <m/>
    <s v="N"/>
    <m/>
    <m/>
    <m/>
    <s v="Xangsane / Durian"/>
    <s v="PEOPLE: Deployed B. Gaillis, Ops Coordinator, 5 wks; Deployed C. Blake, FACT Relief, 3 wks. CASH: 2. PMN Fed Philippines: Typhoons $237,000 from AP2032; PMN Fed Philippines: Typhoon Xangsane Appeal $200,000 from AP2099;  3. PMN Fed Philippines: Typhoons $350K earmarked for CGI from AP2032;"/>
  </r>
  <r>
    <s v="TC-2006-000144-VNM; TC-2006-000175-VNM"/>
    <n v="157"/>
    <x v="164"/>
    <d v="2006-10-01T00:00:00"/>
    <x v="11"/>
    <n v="8"/>
    <m/>
    <x v="11"/>
    <n v="19"/>
    <x v="3"/>
    <s v="Vietnam"/>
    <s v="Hydrometerological"/>
    <x v="5"/>
    <s v="Tropical Cyclone"/>
    <s v="Typhoon"/>
    <x v="0"/>
    <x v="1"/>
    <s v="IFRC"/>
    <x v="21"/>
    <s v="MDRVN001"/>
    <x v="19"/>
    <m/>
    <m/>
    <m/>
    <n v="60400"/>
    <m/>
    <m/>
    <n v="1"/>
    <n v="63000"/>
    <m/>
    <m/>
    <m/>
    <n v="63000"/>
    <m/>
    <m/>
    <m/>
    <m/>
    <m/>
    <m/>
    <m/>
    <m/>
    <m/>
    <m/>
    <m/>
    <m/>
    <m/>
    <m/>
    <m/>
    <m/>
    <m/>
    <m/>
    <m/>
    <m/>
    <n v="63000"/>
    <m/>
    <m/>
    <m/>
    <x v="120"/>
    <x v="2"/>
    <m/>
    <m/>
    <m/>
    <m/>
    <n v="2799"/>
    <m/>
    <m/>
    <m/>
    <m/>
    <m/>
    <m/>
    <m/>
    <s v="Y"/>
    <m/>
    <m/>
    <m/>
    <s v="Xangsane"/>
    <s v="PMN Fed Vietnam from AP2799: Typhoon Xangsane Appeal $25,000; PMN Fed Vietnam from AP2870: Typhoon Xangsane $38,000"/>
  </r>
  <r>
    <m/>
    <n v="158"/>
    <x v="165"/>
    <d v="2006-11-01T00:00:00"/>
    <x v="11"/>
    <n v="9"/>
    <m/>
    <x v="11"/>
    <n v="20"/>
    <x v="1"/>
    <s v="Somalia"/>
    <s v="Human Related"/>
    <x v="8"/>
    <s v="Conflict"/>
    <s v="Conflict"/>
    <x v="0"/>
    <x v="0"/>
    <m/>
    <x v="0"/>
    <m/>
    <x v="0"/>
    <m/>
    <m/>
    <m/>
    <m/>
    <m/>
    <m/>
    <m/>
    <m/>
    <n v="50000"/>
    <m/>
    <m/>
    <n v="50000"/>
    <m/>
    <m/>
    <m/>
    <m/>
    <m/>
    <m/>
    <m/>
    <m/>
    <m/>
    <m/>
    <m/>
    <m/>
    <m/>
    <m/>
    <m/>
    <m/>
    <m/>
    <m/>
    <m/>
    <m/>
    <n v="50000"/>
    <m/>
    <m/>
    <m/>
    <x v="16"/>
    <x v="2"/>
    <m/>
    <m/>
    <m/>
    <m/>
    <n v="2799"/>
    <m/>
    <m/>
    <m/>
    <m/>
    <m/>
    <m/>
    <m/>
    <s v="Y"/>
    <m/>
    <m/>
    <m/>
    <s v="IDP"/>
    <s v="Contribution to ICRC 2006 Somalia Emergency Appeal - spec IDPs"/>
  </r>
  <r>
    <s v="FL-2006-000159-KEN"/>
    <n v="159"/>
    <x v="81"/>
    <d v="2006-11-01T00:00:00"/>
    <x v="11"/>
    <n v="10"/>
    <m/>
    <x v="11"/>
    <n v="21"/>
    <x v="1"/>
    <s v="Kenya"/>
    <s v="Hydrometerological"/>
    <x v="2"/>
    <s v="General Floods"/>
    <s v="General Floods"/>
    <x v="0"/>
    <x v="1"/>
    <s v="IFRC"/>
    <x v="22"/>
    <s v="MDRKE003"/>
    <x v="20"/>
    <m/>
    <m/>
    <m/>
    <n v="563000"/>
    <m/>
    <m/>
    <n v="1"/>
    <n v="50000"/>
    <m/>
    <n v="30000"/>
    <m/>
    <n v="80000"/>
    <m/>
    <m/>
    <m/>
    <n v="20000"/>
    <m/>
    <m/>
    <m/>
    <m/>
    <m/>
    <m/>
    <m/>
    <m/>
    <n v="20000"/>
    <m/>
    <m/>
    <m/>
    <m/>
    <m/>
    <n v="120000"/>
    <m/>
    <n v="200000"/>
    <m/>
    <m/>
    <m/>
    <x v="121"/>
    <x v="1"/>
    <m/>
    <m/>
    <m/>
    <m/>
    <s v="2925 / 2099"/>
    <m/>
    <m/>
    <m/>
    <m/>
    <m/>
    <m/>
    <m/>
    <s v="N"/>
    <m/>
    <m/>
    <m/>
    <m/>
    <s v="CASH: From AP2925: 30K - IDR/IP grant directly to Kenya Red Cross; PMN to Fed - 50k from LDS; SUPPLIES: 20,000 (mosquito nets) @ $4.44 each + PSR, etc + $20,000 (transport) = $120,000 from AP2099"/>
  </r>
  <r>
    <m/>
    <n v="160"/>
    <x v="166"/>
    <d v="2006-11-01T00:00:00"/>
    <x v="11"/>
    <n v="11"/>
    <m/>
    <x v="11"/>
    <n v="22"/>
    <x v="1"/>
    <s v="Somalia"/>
    <s v="Hydrometerological"/>
    <x v="2"/>
    <s v="General Floods"/>
    <s v="General Floods"/>
    <x v="0"/>
    <x v="1"/>
    <s v="ICRC"/>
    <x v="23"/>
    <s v="REX 06/813"/>
    <x v="21"/>
    <m/>
    <m/>
    <m/>
    <n v="324000"/>
    <m/>
    <m/>
    <m/>
    <m/>
    <n v="100000"/>
    <m/>
    <m/>
    <n v="100000"/>
    <m/>
    <m/>
    <m/>
    <m/>
    <m/>
    <m/>
    <m/>
    <m/>
    <m/>
    <m/>
    <m/>
    <m/>
    <m/>
    <m/>
    <m/>
    <m/>
    <m/>
    <m/>
    <m/>
    <m/>
    <n v="100000"/>
    <m/>
    <m/>
    <m/>
    <x v="5"/>
    <x v="2"/>
    <m/>
    <m/>
    <m/>
    <m/>
    <n v="2099"/>
    <m/>
    <m/>
    <m/>
    <m/>
    <m/>
    <m/>
    <m/>
    <s v="N"/>
    <m/>
    <m/>
    <m/>
    <m/>
    <s v="Contribution to ICRC 2006 Somalia Emergency Appeal - spec those affected by floods"/>
  </r>
  <r>
    <s v="FL-2006-000198-MOZ"/>
    <n v="161"/>
    <x v="46"/>
    <d v="2007-02-01T00:00:00"/>
    <x v="11"/>
    <n v="12"/>
    <m/>
    <x v="12"/>
    <n v="1"/>
    <x v="1"/>
    <s v="Mozambique"/>
    <s v="Hydrometerological"/>
    <x v="2"/>
    <s v="General Floods"/>
    <s v="General Floods"/>
    <x v="0"/>
    <x v="1"/>
    <s v="IFRC"/>
    <x v="24"/>
    <s v="MDRMZ002"/>
    <x v="2"/>
    <m/>
    <m/>
    <m/>
    <n v="100000"/>
    <m/>
    <m/>
    <m/>
    <m/>
    <m/>
    <m/>
    <m/>
    <n v="0"/>
    <n v="2"/>
    <s v="Relief ERU"/>
    <m/>
    <n v="26950"/>
    <m/>
    <m/>
    <n v="7050"/>
    <m/>
    <m/>
    <m/>
    <m/>
    <m/>
    <m/>
    <m/>
    <n v="3900"/>
    <m/>
    <m/>
    <m/>
    <n v="200000"/>
    <n v="45000"/>
    <n v="245000"/>
    <m/>
    <m/>
    <m/>
    <x v="122"/>
    <x v="1"/>
    <m/>
    <m/>
    <m/>
    <m/>
    <s v="2099 /2936"/>
    <m/>
    <m/>
    <m/>
    <m/>
    <m/>
    <m/>
    <m/>
    <s v="N"/>
    <m/>
    <m/>
    <m/>
    <s v="Caia"/>
    <s v="SUPPLIES: 7050 blankets @ $3.75, 3900 tarps @ $14.20, 16,000 sleeping mats @ $1.70; PEOPLE: Relief ERU deployment - T. Reines, G. Guinta, 1 month, 2nd team rotation from  AP2936"/>
  </r>
  <r>
    <s v="FL-2007-000012-BOL"/>
    <n v="162"/>
    <x v="48"/>
    <d v="2007-02-01T00:00:00"/>
    <x v="11"/>
    <n v="13"/>
    <m/>
    <x v="12"/>
    <n v="2"/>
    <x v="2"/>
    <s v="Bolivia"/>
    <s v="Hydrometerological"/>
    <x v="2"/>
    <s v="General Floods"/>
    <s v="General Floods"/>
    <x v="0"/>
    <x v="1"/>
    <s v="IFRC"/>
    <x v="25"/>
    <s v="MDRBO002"/>
    <x v="22"/>
    <m/>
    <m/>
    <m/>
    <n v="35940"/>
    <m/>
    <m/>
    <n v="1"/>
    <n v="150000"/>
    <m/>
    <m/>
    <m/>
    <n v="150000"/>
    <m/>
    <m/>
    <m/>
    <m/>
    <m/>
    <m/>
    <m/>
    <m/>
    <m/>
    <m/>
    <m/>
    <m/>
    <m/>
    <m/>
    <m/>
    <m/>
    <m/>
    <m/>
    <m/>
    <m/>
    <n v="150000"/>
    <m/>
    <m/>
    <m/>
    <x v="13"/>
    <x v="1"/>
    <m/>
    <m/>
    <m/>
    <m/>
    <s v="2099 / 2666"/>
    <m/>
    <m/>
    <m/>
    <m/>
    <m/>
    <m/>
    <m/>
    <s v="N"/>
    <m/>
    <m/>
    <m/>
    <m/>
    <s v="$50,000 PMN to Fed - unearmarked from 2099; $100,000  from 2666 - OFDA grant to Fed via PMN. Earmarked for 1500 food parcels, 1500 tool kits and remaining goes to transport costs."/>
  </r>
  <r>
    <m/>
    <n v="163"/>
    <x v="167"/>
    <d v="2007-03-01T00:00:00"/>
    <x v="11"/>
    <n v="14"/>
    <m/>
    <x v="12"/>
    <n v="3"/>
    <x v="3"/>
    <s v="Sri Lanka"/>
    <s v="Human Related"/>
    <x v="8"/>
    <s v="Conflict"/>
    <s v="Conflict"/>
    <x v="0"/>
    <x v="1"/>
    <s v="ICRC"/>
    <x v="26"/>
    <s v="REX 07/376"/>
    <x v="23"/>
    <m/>
    <m/>
    <m/>
    <n v="150000"/>
    <m/>
    <m/>
    <m/>
    <m/>
    <n v="2000000"/>
    <m/>
    <m/>
    <n v="2000000"/>
    <m/>
    <m/>
    <m/>
    <m/>
    <m/>
    <m/>
    <m/>
    <m/>
    <m/>
    <m/>
    <m/>
    <m/>
    <m/>
    <m/>
    <m/>
    <m/>
    <m/>
    <m/>
    <m/>
    <m/>
    <n v="2000000"/>
    <m/>
    <m/>
    <m/>
    <x v="123"/>
    <x v="1"/>
    <m/>
    <m/>
    <m/>
    <m/>
    <s v="2695 /2692"/>
    <m/>
    <m/>
    <m/>
    <m/>
    <m/>
    <m/>
    <m/>
    <s v="N"/>
    <m/>
    <m/>
    <m/>
    <m/>
    <s v="Contribution to ICRC 2007 Sri Lanka Emergency Appeal - to build the capacity of the SLRCS in disaster relief, IHL and overall cooperation. $320K earmarked to support ICRC HQ ops"/>
  </r>
  <r>
    <m/>
    <n v="164"/>
    <x v="168"/>
    <d v="2007-03-01T00:00:00"/>
    <x v="11"/>
    <n v="15"/>
    <m/>
    <x v="12"/>
    <n v="4"/>
    <x v="1"/>
    <s v="Madagascar"/>
    <s v="Hydrometerological"/>
    <x v="5"/>
    <s v="Tropical Cyclone"/>
    <s v="Cyclone"/>
    <x v="0"/>
    <x v="1"/>
    <s v="IFRC"/>
    <x v="27"/>
    <s v="MDRMG002"/>
    <x v="2"/>
    <m/>
    <m/>
    <m/>
    <n v="60000"/>
    <m/>
    <m/>
    <m/>
    <m/>
    <m/>
    <m/>
    <m/>
    <n v="0"/>
    <n v="5"/>
    <s v="Relief ERU"/>
    <m/>
    <n v="10000"/>
    <m/>
    <m/>
    <m/>
    <m/>
    <m/>
    <m/>
    <m/>
    <m/>
    <n v="1000"/>
    <m/>
    <m/>
    <m/>
    <m/>
    <m/>
    <n v="74000"/>
    <n v="28000"/>
    <n v="102000"/>
    <m/>
    <m/>
    <m/>
    <x v="124"/>
    <x v="1"/>
    <m/>
    <m/>
    <m/>
    <m/>
    <s v="2936 / 2799"/>
    <m/>
    <m/>
    <m/>
    <m/>
    <m/>
    <m/>
    <m/>
    <s v="N"/>
    <m/>
    <m/>
    <m/>
    <s v="Indlala / Jaya"/>
    <s v="SUPPLIES: 1000 Mosquito Nets - $74,000 from 2799; PEOPLE: Deployed B. Gaillis, FACT, 3 wks; Deployed Relief ERU - C. Chaperon, G. Matthews 4 wks; Deployed 2nd rotation of Relief ERU - J. Manley, S. Hagerich, 4 wks - $18,000 cost from 2936"/>
  </r>
  <r>
    <s v="TS-2007-000042-SLB"/>
    <n v="165"/>
    <x v="169"/>
    <d v="2007-04-01T00:00:00"/>
    <x v="11"/>
    <n v="16"/>
    <m/>
    <x v="12"/>
    <n v="5"/>
    <x v="3"/>
    <s v="Solomon Islands"/>
    <s v="Geophysical"/>
    <x v="3"/>
    <s v="Tsunami"/>
    <s v="Tsunami"/>
    <x v="0"/>
    <x v="1"/>
    <s v="IFRC"/>
    <x v="28"/>
    <s v="MDRSB001"/>
    <x v="24"/>
    <m/>
    <m/>
    <m/>
    <n v="9000"/>
    <m/>
    <m/>
    <n v="1"/>
    <n v="50000"/>
    <m/>
    <m/>
    <m/>
    <n v="50000"/>
    <m/>
    <m/>
    <m/>
    <m/>
    <m/>
    <m/>
    <m/>
    <m/>
    <m/>
    <m/>
    <m/>
    <m/>
    <m/>
    <m/>
    <m/>
    <m/>
    <m/>
    <m/>
    <m/>
    <m/>
    <n v="50000"/>
    <m/>
    <m/>
    <m/>
    <x v="16"/>
    <x v="1"/>
    <m/>
    <m/>
    <m/>
    <m/>
    <n v="2881"/>
    <m/>
    <m/>
    <m/>
    <m/>
    <m/>
    <m/>
    <m/>
    <s v="N"/>
    <m/>
    <m/>
    <m/>
    <m/>
    <s v="PMN to Fed - unearmarked"/>
  </r>
  <r>
    <m/>
    <n v="166"/>
    <x v="170"/>
    <d v="2007-05-01T00:00:00"/>
    <x v="11"/>
    <n v="17"/>
    <m/>
    <x v="12"/>
    <n v="6"/>
    <x v="2"/>
    <s v="Colombia"/>
    <s v="Hydrometerological"/>
    <x v="2"/>
    <s v="General Floods"/>
    <s v="General Floods"/>
    <x v="0"/>
    <x v="0"/>
    <m/>
    <x v="0"/>
    <m/>
    <x v="0"/>
    <m/>
    <m/>
    <m/>
    <m/>
    <m/>
    <n v="3600"/>
    <m/>
    <m/>
    <m/>
    <n v="5000"/>
    <m/>
    <n v="5000"/>
    <m/>
    <m/>
    <m/>
    <m/>
    <m/>
    <m/>
    <m/>
    <m/>
    <m/>
    <m/>
    <m/>
    <m/>
    <m/>
    <m/>
    <m/>
    <m/>
    <m/>
    <m/>
    <m/>
    <m/>
    <n v="5000"/>
    <m/>
    <m/>
    <m/>
    <x v="46"/>
    <x v="2"/>
    <m/>
    <m/>
    <m/>
    <m/>
    <n v="2799"/>
    <m/>
    <m/>
    <m/>
    <m/>
    <m/>
    <m/>
    <m/>
    <s v="Y"/>
    <m/>
    <m/>
    <m/>
    <s v="Tolima"/>
    <s v="Grant to NS for NFIs, health team visits, general admin costs"/>
  </r>
  <r>
    <m/>
    <n v="167"/>
    <x v="171"/>
    <d v="2007-05-01T00:00:00"/>
    <x v="11"/>
    <n v="18"/>
    <m/>
    <x v="12"/>
    <n v="7"/>
    <x v="2"/>
    <s v="Mexico"/>
    <s v="Hydrometerological"/>
    <x v="5"/>
    <s v="Local Storm"/>
    <s v="Tornado"/>
    <x v="0"/>
    <x v="0"/>
    <s v="NS"/>
    <x v="0"/>
    <m/>
    <x v="0"/>
    <m/>
    <m/>
    <m/>
    <m/>
    <m/>
    <n v="3000"/>
    <m/>
    <m/>
    <m/>
    <n v="20000"/>
    <m/>
    <n v="20000"/>
    <m/>
    <m/>
    <m/>
    <m/>
    <m/>
    <m/>
    <m/>
    <m/>
    <m/>
    <m/>
    <m/>
    <m/>
    <m/>
    <m/>
    <m/>
    <m/>
    <m/>
    <m/>
    <m/>
    <m/>
    <n v="20000"/>
    <m/>
    <m/>
    <m/>
    <x v="25"/>
    <x v="1"/>
    <m/>
    <m/>
    <m/>
    <m/>
    <n v="2690"/>
    <m/>
    <m/>
    <m/>
    <m/>
    <m/>
    <m/>
    <m/>
    <s v="N"/>
    <m/>
    <m/>
    <m/>
    <s v="Coahuila"/>
    <s v="Grant to NS for NFIs - kitchen, hygiene, baby kits; laterns w/ radios"/>
  </r>
  <r>
    <m/>
    <n v="168"/>
    <x v="165"/>
    <d v="2007-06-01T00:00:00"/>
    <x v="11"/>
    <n v="19"/>
    <m/>
    <x v="12"/>
    <n v="8"/>
    <x v="1"/>
    <s v="Somalia"/>
    <s v="Human Related"/>
    <x v="8"/>
    <s v="Conflict"/>
    <s v="Conflict"/>
    <x v="0"/>
    <x v="1"/>
    <s v="ICRC"/>
    <x v="29"/>
    <s v="REX 07/347"/>
    <x v="25"/>
    <m/>
    <m/>
    <m/>
    <n v="612000"/>
    <m/>
    <m/>
    <n v="1"/>
    <m/>
    <n v="100000"/>
    <m/>
    <m/>
    <n v="100000"/>
    <m/>
    <m/>
    <m/>
    <m/>
    <m/>
    <m/>
    <m/>
    <m/>
    <m/>
    <m/>
    <m/>
    <m/>
    <m/>
    <m/>
    <m/>
    <m/>
    <m/>
    <m/>
    <m/>
    <m/>
    <n v="100000"/>
    <m/>
    <m/>
    <m/>
    <x v="5"/>
    <x v="1"/>
    <m/>
    <m/>
    <m/>
    <m/>
    <n v="2817"/>
    <m/>
    <m/>
    <m/>
    <m/>
    <m/>
    <m/>
    <m/>
    <s v="N"/>
    <m/>
    <m/>
    <m/>
    <m/>
    <s v="Contribution to ICRC 2007 Somalia Emergency Appeal: Budget Extension - support for capacity bldg."/>
  </r>
  <r>
    <m/>
    <n v="169"/>
    <x v="125"/>
    <d v="2007-06-01T00:00:00"/>
    <x v="11"/>
    <n v="20"/>
    <m/>
    <x v="12"/>
    <n v="9"/>
    <x v="1"/>
    <s v="Sudan"/>
    <s v="Human Related"/>
    <x v="8"/>
    <s v="Conflict"/>
    <s v="Conflict"/>
    <x v="0"/>
    <x v="1"/>
    <s v="ICRC"/>
    <x v="30"/>
    <s v="REX 07/207"/>
    <x v="26"/>
    <m/>
    <m/>
    <m/>
    <n v="125000"/>
    <m/>
    <m/>
    <m/>
    <m/>
    <n v="200000"/>
    <m/>
    <m/>
    <n v="200000"/>
    <m/>
    <m/>
    <m/>
    <m/>
    <m/>
    <m/>
    <m/>
    <m/>
    <m/>
    <m/>
    <m/>
    <m/>
    <m/>
    <m/>
    <m/>
    <m/>
    <m/>
    <m/>
    <m/>
    <m/>
    <n v="200000"/>
    <m/>
    <m/>
    <m/>
    <x v="121"/>
    <x v="1"/>
    <m/>
    <m/>
    <m/>
    <m/>
    <n v="2661"/>
    <m/>
    <m/>
    <m/>
    <m/>
    <m/>
    <m/>
    <m/>
    <s v="N"/>
    <m/>
    <m/>
    <m/>
    <m/>
    <s v="Contribution to ICRC 2007 Sudan Emergency Appeal: Budget Extension - support for capacity bldg."/>
  </r>
  <r>
    <s v="FF-2007-000082-PAK; and TC-2007-000084-PAK"/>
    <n v="170"/>
    <x v="172"/>
    <d v="2007-07-01T00:00:00"/>
    <x v="12"/>
    <n v="1"/>
    <m/>
    <x v="12"/>
    <n v="10"/>
    <x v="3"/>
    <s v="Pakistan"/>
    <s v="Hydrometerological"/>
    <x v="5"/>
    <s v="Tropical Cyclone"/>
    <s v="Cyclone"/>
    <x v="6"/>
    <x v="1"/>
    <s v="IFRC"/>
    <x v="31"/>
    <s v="MDRPK001"/>
    <x v="27"/>
    <m/>
    <m/>
    <m/>
    <n v="257500"/>
    <m/>
    <m/>
    <n v="1"/>
    <n v="285000"/>
    <m/>
    <m/>
    <m/>
    <n v="285000"/>
    <n v="1"/>
    <m/>
    <m/>
    <m/>
    <m/>
    <m/>
    <m/>
    <m/>
    <m/>
    <m/>
    <m/>
    <m/>
    <m/>
    <m/>
    <m/>
    <m/>
    <m/>
    <m/>
    <m/>
    <n v="10000"/>
    <n v="295000"/>
    <m/>
    <m/>
    <m/>
    <x v="125"/>
    <x v="1"/>
    <m/>
    <m/>
    <m/>
    <m/>
    <s v="2099/2897"/>
    <m/>
    <m/>
    <m/>
    <m/>
    <m/>
    <m/>
    <m/>
    <s v="N"/>
    <m/>
    <m/>
    <m/>
    <s v="Yemyin"/>
    <s v="CASH: PMN to Fed - unearmarked; PEOPLE: T. Betz deployed on FACT as Relief/Logs Ap2897"/>
  </r>
  <r>
    <s v="FF-2007-000080-BGD"/>
    <n v="171"/>
    <x v="19"/>
    <d v="2007-07-01T00:00:00"/>
    <x v="12"/>
    <n v="2"/>
    <m/>
    <x v="12"/>
    <n v="11"/>
    <x v="3"/>
    <s v="Bangladesh"/>
    <s v="Hydrometerological"/>
    <x v="2"/>
    <s v="General Floods"/>
    <s v="General Floods"/>
    <x v="7"/>
    <x v="1"/>
    <s v="IFRC"/>
    <x v="32"/>
    <s v="MDRBD002"/>
    <x v="28"/>
    <n v="0.95"/>
    <m/>
    <m/>
    <n v="1200000"/>
    <m/>
    <m/>
    <n v="1"/>
    <n v="124500"/>
    <m/>
    <m/>
    <m/>
    <n v="124500"/>
    <m/>
    <m/>
    <m/>
    <m/>
    <m/>
    <m/>
    <m/>
    <m/>
    <m/>
    <m/>
    <m/>
    <m/>
    <m/>
    <m/>
    <m/>
    <m/>
    <m/>
    <m/>
    <m/>
    <m/>
    <n v="124500"/>
    <m/>
    <m/>
    <m/>
    <x v="126"/>
    <x v="1"/>
    <m/>
    <m/>
    <m/>
    <m/>
    <s v="2017 / 2099"/>
    <m/>
    <m/>
    <m/>
    <m/>
    <m/>
    <m/>
    <m/>
    <s v="N"/>
    <m/>
    <m/>
    <m/>
    <m/>
    <s v="CASH: $24,500 PMN to Fed - unearmarked from 2017; $100,000 PMN to Fed - unearmarked from 2099;"/>
  </r>
  <r>
    <m/>
    <n v="172"/>
    <x v="105"/>
    <d v="2007-07-01T00:00:00"/>
    <x v="12"/>
    <n v="3"/>
    <m/>
    <x v="12"/>
    <n v="12"/>
    <x v="3"/>
    <s v="Iraq"/>
    <s v="Human Related"/>
    <x v="8"/>
    <s v="Conflict"/>
    <s v="Conflict"/>
    <x v="8"/>
    <x v="1"/>
    <s v="IFRC"/>
    <x v="33"/>
    <s v="MDR81002"/>
    <x v="29"/>
    <m/>
    <m/>
    <m/>
    <n v="250000"/>
    <m/>
    <m/>
    <n v="1"/>
    <n v="250000"/>
    <m/>
    <m/>
    <m/>
    <n v="250000"/>
    <m/>
    <m/>
    <m/>
    <m/>
    <m/>
    <m/>
    <m/>
    <m/>
    <m/>
    <m/>
    <m/>
    <m/>
    <m/>
    <m/>
    <m/>
    <m/>
    <m/>
    <m/>
    <m/>
    <m/>
    <n v="250000"/>
    <m/>
    <m/>
    <m/>
    <x v="35"/>
    <x v="2"/>
    <m/>
    <m/>
    <m/>
    <m/>
    <n v="2099"/>
    <m/>
    <m/>
    <m/>
    <m/>
    <m/>
    <m/>
    <m/>
    <s v="N"/>
    <m/>
    <m/>
    <m/>
    <s v="Refugees from Iraq in Syria and Jordan"/>
    <s v="PMN to Fed - unearmarked"/>
  </r>
  <r>
    <s v="FL-2007-00093-SDN"/>
    <n v="173"/>
    <x v="162"/>
    <d v="2007-07-01T00:00:00"/>
    <x v="12"/>
    <n v="4"/>
    <m/>
    <x v="12"/>
    <n v="13"/>
    <x v="1"/>
    <s v="Sudan"/>
    <s v="Hydrometerological"/>
    <x v="2"/>
    <s v="General Floods"/>
    <s v="General Floods"/>
    <x v="9"/>
    <x v="1"/>
    <s v="IFRC"/>
    <x v="34"/>
    <s v="MDRSD004"/>
    <x v="30"/>
    <m/>
    <m/>
    <m/>
    <n v="200000"/>
    <m/>
    <m/>
    <n v="1"/>
    <n v="100000"/>
    <m/>
    <m/>
    <m/>
    <n v="100000"/>
    <n v="1"/>
    <m/>
    <m/>
    <n v="10000"/>
    <m/>
    <m/>
    <m/>
    <m/>
    <m/>
    <m/>
    <m/>
    <m/>
    <n v="10000"/>
    <m/>
    <m/>
    <m/>
    <m/>
    <m/>
    <n v="44400"/>
    <n v="9000"/>
    <n v="153400"/>
    <m/>
    <m/>
    <m/>
    <x v="127"/>
    <x v="1"/>
    <m/>
    <m/>
    <m/>
    <m/>
    <s v="2802 /2099"/>
    <m/>
    <m/>
    <m/>
    <m/>
    <m/>
    <m/>
    <m/>
    <s v="N"/>
    <m/>
    <m/>
    <m/>
    <m/>
    <s v="CASH: $100,000 PMN to Fed earmarked for improved emergency shelters (Appeal obj 1) and tree saplings (obj 4) for 500 families from AP 2099; PEOPLE: N.Cooper deployed on FACT as Relief/Shelter"/>
  </r>
  <r>
    <s v="FL-2007-000111-GBR"/>
    <n v="174"/>
    <x v="173"/>
    <d v="2007-07-01T00:00:00"/>
    <x v="12"/>
    <n v="5"/>
    <m/>
    <x v="12"/>
    <n v="15"/>
    <x v="3"/>
    <s v="United Kingdom"/>
    <s v="Hydrometerological"/>
    <x v="2"/>
    <s v="General Floods"/>
    <s v="General Floods"/>
    <x v="10"/>
    <x v="0"/>
    <m/>
    <x v="0"/>
    <m/>
    <x v="0"/>
    <m/>
    <m/>
    <m/>
    <m/>
    <m/>
    <m/>
    <m/>
    <m/>
    <m/>
    <n v="20188"/>
    <m/>
    <n v="20188"/>
    <m/>
    <m/>
    <m/>
    <m/>
    <m/>
    <m/>
    <m/>
    <m/>
    <m/>
    <m/>
    <m/>
    <m/>
    <m/>
    <m/>
    <m/>
    <m/>
    <m/>
    <m/>
    <m/>
    <m/>
    <n v="20188"/>
    <m/>
    <m/>
    <m/>
    <x v="128"/>
    <x v="1"/>
    <m/>
    <m/>
    <m/>
    <m/>
    <n v="2605"/>
    <m/>
    <m/>
    <m/>
    <m/>
    <m/>
    <m/>
    <m/>
    <s v="N"/>
    <m/>
    <m/>
    <m/>
    <m/>
    <s v="Grant letter to British Red Cross; 10,000 GBP donation from Cargill + individual donations"/>
  </r>
  <r>
    <s v="FF-2007-000117-NPL"/>
    <n v="175"/>
    <x v="174"/>
    <d v="2007-08-01T00:00:00"/>
    <x v="12"/>
    <n v="6"/>
    <m/>
    <x v="12"/>
    <n v="16"/>
    <x v="3"/>
    <s v="Nepal"/>
    <s v="Hydrometerological"/>
    <x v="2"/>
    <s v="General Floods"/>
    <s v="General Floods"/>
    <x v="11"/>
    <x v="1"/>
    <s v="IFRC"/>
    <x v="35"/>
    <m/>
    <x v="31"/>
    <m/>
    <s v="Y"/>
    <m/>
    <n v="150000"/>
    <m/>
    <m/>
    <n v="1"/>
    <n v="50000"/>
    <m/>
    <m/>
    <m/>
    <n v="50000"/>
    <m/>
    <m/>
    <m/>
    <m/>
    <m/>
    <m/>
    <m/>
    <m/>
    <m/>
    <m/>
    <m/>
    <m/>
    <m/>
    <m/>
    <m/>
    <m/>
    <m/>
    <m/>
    <m/>
    <m/>
    <n v="50000"/>
    <m/>
    <m/>
    <m/>
    <x v="16"/>
    <x v="2"/>
    <m/>
    <m/>
    <m/>
    <m/>
    <n v="2099"/>
    <m/>
    <m/>
    <m/>
    <m/>
    <m/>
    <m/>
    <m/>
    <s v="N"/>
    <m/>
    <m/>
    <m/>
    <m/>
    <s v="PMN to Fed - unearmarked"/>
  </r>
  <r>
    <s v="EQ-2007-000133-PER"/>
    <n v="176"/>
    <x v="54"/>
    <d v="2007-08-01T00:00:00"/>
    <x v="12"/>
    <n v="7"/>
    <m/>
    <x v="12"/>
    <n v="17"/>
    <x v="2"/>
    <s v="Peru"/>
    <s v="Geophysical"/>
    <x v="3"/>
    <s v="Earthquake"/>
    <s v="Earthquake"/>
    <x v="12"/>
    <x v="1"/>
    <s v="IFRC"/>
    <x v="36"/>
    <s v="MDRPE003"/>
    <x v="32"/>
    <n v="0.93"/>
    <m/>
    <m/>
    <n v="37500"/>
    <m/>
    <m/>
    <n v="1"/>
    <n v="300000"/>
    <m/>
    <m/>
    <m/>
    <n v="300000"/>
    <n v="6"/>
    <m/>
    <m/>
    <n v="16500"/>
    <m/>
    <n v="3500"/>
    <m/>
    <m/>
    <m/>
    <m/>
    <n v="2000"/>
    <m/>
    <m/>
    <m/>
    <n v="11000"/>
    <m/>
    <m/>
    <m/>
    <n v="214800"/>
    <n v="5000"/>
    <n v="519800"/>
    <m/>
    <m/>
    <m/>
    <x v="129"/>
    <x v="1"/>
    <m/>
    <m/>
    <m/>
    <m/>
    <n v="2816"/>
    <m/>
    <m/>
    <m/>
    <m/>
    <m/>
    <m/>
    <m/>
    <s v="N"/>
    <m/>
    <m/>
    <s v="y"/>
    <m/>
    <s v="CASH: 100K PMN Unearmarked, 200K PMN earmarked for hygiene kits, jerry cans and shelter kits + ops costs; SUPPLIES: hygiene kits @ $13.55; tarps @ $11.30; kitchen sets @ $14.55 + PSR; PEOPLE: C Michaud deployed on Relief ERU (2 days) replaced by L Aceves for 1 month; C Chaperon sent to deliver equipment; Roberto Brito and Richard Urrutia (early recovery assmt); Shelley Cheatham (Admin/Ops), Lee Malany (shelter) and Jessica (PSP early recovery delegate)"/>
  </r>
  <r>
    <s v="TC-2007-000135"/>
    <n v="177"/>
    <x v="175"/>
    <d v="2007-08-01T00:00:00"/>
    <x v="12"/>
    <n v="8"/>
    <m/>
    <x v="12"/>
    <n v="18"/>
    <x v="2"/>
    <s v="Jamaica"/>
    <s v="Hydrometerological"/>
    <x v="5"/>
    <s v="Tropical Cyclone"/>
    <s v="Hurricane"/>
    <x v="13"/>
    <x v="1"/>
    <s v="IFRC"/>
    <x v="37"/>
    <s v="MDR49001"/>
    <x v="2"/>
    <m/>
    <m/>
    <m/>
    <n v="108550"/>
    <m/>
    <n v="5000"/>
    <m/>
    <m/>
    <m/>
    <m/>
    <m/>
    <n v="0"/>
    <m/>
    <m/>
    <m/>
    <n v="2350"/>
    <m/>
    <n v="1000"/>
    <m/>
    <m/>
    <m/>
    <m/>
    <n v="1000"/>
    <m/>
    <m/>
    <m/>
    <n v="350"/>
    <m/>
    <m/>
    <m/>
    <n v="34565"/>
    <m/>
    <n v="34565"/>
    <m/>
    <m/>
    <m/>
    <x v="130"/>
    <x v="1"/>
    <m/>
    <m/>
    <m/>
    <m/>
    <n v="2837"/>
    <m/>
    <m/>
    <m/>
    <m/>
    <m/>
    <m/>
    <m/>
    <s v="N"/>
    <m/>
    <m/>
    <m/>
    <s v="Dean"/>
    <m/>
  </r>
  <r>
    <s v="TC-2007-000135"/>
    <n v="177"/>
    <x v="175"/>
    <d v="2007-08-01T00:00:00"/>
    <x v="12"/>
    <n v="8"/>
    <m/>
    <x v="12"/>
    <n v="18"/>
    <x v="2"/>
    <s v="Mexico"/>
    <s v="Hydrometerological"/>
    <x v="5"/>
    <s v="Tropical Cyclone"/>
    <s v="Hurricane"/>
    <x v="0"/>
    <x v="0"/>
    <m/>
    <x v="0"/>
    <m/>
    <x v="0"/>
    <m/>
    <m/>
    <m/>
    <m/>
    <m/>
    <n v="24000"/>
    <m/>
    <m/>
    <m/>
    <n v="298680"/>
    <m/>
    <n v="298680"/>
    <n v="1"/>
    <m/>
    <m/>
    <m/>
    <m/>
    <m/>
    <m/>
    <m/>
    <m/>
    <m/>
    <m/>
    <m/>
    <m/>
    <m/>
    <m/>
    <m/>
    <m/>
    <m/>
    <m/>
    <m/>
    <n v="298680"/>
    <m/>
    <m/>
    <m/>
    <x v="131"/>
    <x v="1"/>
    <m/>
    <m/>
    <m/>
    <m/>
    <s v="2868 / 2099"/>
    <m/>
    <m/>
    <m/>
    <m/>
    <m/>
    <m/>
    <m/>
    <s v="N"/>
    <m/>
    <m/>
    <m/>
    <s v="Dean"/>
    <s v="CASH:  ARC grant ($76k) to MRC for hygiene kits, kitchen sets, and roofing materials for 670 families; ARC/OFDA subgrant to MRC ($222k) for 1,830 families; PEOPLE: Shelley Cheatham (Monitoring)"/>
  </r>
  <r>
    <s v="TC-2007-000135"/>
    <n v="177"/>
    <x v="175"/>
    <d v="2007-08-01T00:00:00"/>
    <x v="12"/>
    <n v="8"/>
    <m/>
    <x v="12"/>
    <n v="18"/>
    <x v="2"/>
    <s v="Haiti"/>
    <s v="Hydrometerological"/>
    <x v="5"/>
    <s v="Tropical Cyclone"/>
    <s v="Hurricane"/>
    <x v="0"/>
    <x v="0"/>
    <m/>
    <x v="0"/>
    <m/>
    <x v="0"/>
    <m/>
    <m/>
    <m/>
    <m/>
    <m/>
    <m/>
    <m/>
    <m/>
    <m/>
    <n v="2500"/>
    <m/>
    <n v="2500"/>
    <n v="1"/>
    <m/>
    <m/>
    <m/>
    <m/>
    <m/>
    <m/>
    <m/>
    <m/>
    <m/>
    <m/>
    <m/>
    <m/>
    <m/>
    <m/>
    <m/>
    <m/>
    <m/>
    <m/>
    <m/>
    <n v="2500"/>
    <m/>
    <m/>
    <m/>
    <x v="132"/>
    <x v="1"/>
    <m/>
    <m/>
    <m/>
    <m/>
    <n v="2837"/>
    <m/>
    <m/>
    <m/>
    <m/>
    <m/>
    <m/>
    <m/>
    <s v="N"/>
    <m/>
    <m/>
    <m/>
    <s v="Dean"/>
    <s v="CASH: Grant to Haitian Red Cross - restock relief supplies; PEOPLE: Brigitte Gaillis (Contingency Planning)"/>
  </r>
  <r>
    <s v="WF-2007-000148-GRC"/>
    <n v="178"/>
    <x v="176"/>
    <d v="2007-09-01T00:00:00"/>
    <x v="12"/>
    <n v="9"/>
    <m/>
    <x v="12"/>
    <n v="19"/>
    <x v="3"/>
    <s v="Greece"/>
    <s v="Hydrometerological"/>
    <x v="15"/>
    <s v="Forest Fire"/>
    <s v="Fire"/>
    <x v="0"/>
    <x v="0"/>
    <m/>
    <x v="0"/>
    <m/>
    <x v="0"/>
    <m/>
    <m/>
    <m/>
    <m/>
    <m/>
    <m/>
    <m/>
    <m/>
    <m/>
    <n v="40000"/>
    <m/>
    <n v="40000"/>
    <m/>
    <m/>
    <m/>
    <m/>
    <m/>
    <m/>
    <m/>
    <m/>
    <m/>
    <m/>
    <m/>
    <m/>
    <m/>
    <m/>
    <m/>
    <m/>
    <m/>
    <m/>
    <m/>
    <m/>
    <n v="40000"/>
    <m/>
    <m/>
    <m/>
    <x v="27"/>
    <x v="2"/>
    <m/>
    <m/>
    <m/>
    <m/>
    <n v="2099"/>
    <m/>
    <m/>
    <m/>
    <m/>
    <m/>
    <m/>
    <m/>
    <s v="N"/>
    <m/>
    <m/>
    <m/>
    <m/>
    <s v="UPS 25k, Gen Mills 15k - Grant letter"/>
  </r>
  <r>
    <s v="TC-2007-000157"/>
    <n v="179"/>
    <x v="177"/>
    <d v="2007-09-01T00:00:00"/>
    <x v="12"/>
    <n v="10"/>
    <m/>
    <x v="12"/>
    <n v="20"/>
    <x v="2"/>
    <s v="Nicaragua"/>
    <s v="Hydrometerological"/>
    <x v="5"/>
    <s v="Tropical Cyclone"/>
    <s v="Hurricane"/>
    <x v="14"/>
    <x v="1"/>
    <s v="IFRC"/>
    <x v="38"/>
    <s v="MDR43002"/>
    <x v="33"/>
    <m/>
    <m/>
    <m/>
    <n v="31658"/>
    <m/>
    <m/>
    <n v="1"/>
    <n v="50000"/>
    <m/>
    <m/>
    <m/>
    <n v="50000"/>
    <m/>
    <m/>
    <m/>
    <m/>
    <m/>
    <m/>
    <m/>
    <m/>
    <m/>
    <m/>
    <m/>
    <m/>
    <m/>
    <m/>
    <m/>
    <m/>
    <m/>
    <m/>
    <m/>
    <m/>
    <n v="50000"/>
    <m/>
    <m/>
    <m/>
    <x v="16"/>
    <x v="2"/>
    <m/>
    <m/>
    <m/>
    <m/>
    <n v="2099"/>
    <m/>
    <m/>
    <m/>
    <m/>
    <m/>
    <m/>
    <m/>
    <s v="N"/>
    <m/>
    <m/>
    <m/>
    <s v="Felix"/>
    <s v="PMN to Fed - earmarked $50,000 for Nicaragua and $22,500 for Honduras (includes $25,000 from Exxon for Honduras); "/>
  </r>
  <r>
    <s v="TC-2007-000157"/>
    <n v="179"/>
    <x v="177"/>
    <d v="2007-09-01T00:00:00"/>
    <x v="12"/>
    <n v="10"/>
    <m/>
    <x v="12"/>
    <n v="20"/>
    <x v="2"/>
    <s v="Honduras"/>
    <s v="Hydrometerological"/>
    <x v="5"/>
    <s v="Tropical Cyclone"/>
    <s v="Hurricane"/>
    <x v="0"/>
    <x v="0"/>
    <m/>
    <x v="0"/>
    <m/>
    <x v="0"/>
    <m/>
    <m/>
    <m/>
    <m/>
    <m/>
    <m/>
    <n v="0"/>
    <n v="22500"/>
    <m/>
    <m/>
    <m/>
    <n v="22500"/>
    <m/>
    <m/>
    <m/>
    <m/>
    <m/>
    <m/>
    <m/>
    <m/>
    <m/>
    <m/>
    <m/>
    <m/>
    <m/>
    <m/>
    <m/>
    <m/>
    <m/>
    <m/>
    <m/>
    <m/>
    <n v="22500"/>
    <m/>
    <m/>
    <m/>
    <x v="133"/>
    <x v="2"/>
    <m/>
    <m/>
    <m/>
    <m/>
    <n v="2099"/>
    <m/>
    <m/>
    <m/>
    <m/>
    <m/>
    <m/>
    <m/>
    <s v="N"/>
    <m/>
    <m/>
    <m/>
    <s v="Felix"/>
    <m/>
  </r>
  <r>
    <s v="TC-2007-000157"/>
    <n v="179"/>
    <x v="177"/>
    <d v="2007-09-01T00:00:00"/>
    <x v="12"/>
    <n v="10"/>
    <m/>
    <x v="12"/>
    <n v="20"/>
    <x v="2"/>
    <s v="Honduras"/>
    <s v="Hydrometerological"/>
    <x v="5"/>
    <s v="Tropical Cyclone"/>
    <s v="Hurricane"/>
    <x v="0"/>
    <x v="0"/>
    <m/>
    <x v="0"/>
    <m/>
    <x v="0"/>
    <m/>
    <m/>
    <m/>
    <m/>
    <m/>
    <m/>
    <n v="0"/>
    <n v="47500"/>
    <m/>
    <m/>
    <m/>
    <n v="47500"/>
    <m/>
    <m/>
    <m/>
    <m/>
    <m/>
    <m/>
    <m/>
    <m/>
    <m/>
    <m/>
    <m/>
    <m/>
    <m/>
    <m/>
    <m/>
    <m/>
    <m/>
    <m/>
    <m/>
    <m/>
    <n v="47500"/>
    <m/>
    <m/>
    <m/>
    <x v="134"/>
    <x v="1"/>
    <m/>
    <m/>
    <m/>
    <m/>
    <n v="2696"/>
    <m/>
    <m/>
    <m/>
    <m/>
    <m/>
    <m/>
    <m/>
    <s v="N"/>
    <m/>
    <m/>
    <m/>
    <s v="Felix"/>
    <s v="CASH: PMN to Fed - unearmarked"/>
  </r>
  <r>
    <s v="EQ-2007-000157-IDN"/>
    <n v="180"/>
    <x v="178"/>
    <d v="2007-09-01T00:00:00"/>
    <x v="12"/>
    <n v="11"/>
    <m/>
    <x v="12"/>
    <n v="21"/>
    <x v="3"/>
    <s v="Indonesia"/>
    <s v="Geophysical"/>
    <x v="3"/>
    <s v="Earthquake"/>
    <s v="Earthquake"/>
    <x v="0"/>
    <x v="0"/>
    <m/>
    <x v="0"/>
    <m/>
    <x v="0"/>
    <m/>
    <m/>
    <m/>
    <m/>
    <m/>
    <m/>
    <m/>
    <m/>
    <m/>
    <n v="3000"/>
    <m/>
    <n v="3000"/>
    <m/>
    <m/>
    <m/>
    <m/>
    <m/>
    <m/>
    <m/>
    <m/>
    <m/>
    <m/>
    <m/>
    <m/>
    <m/>
    <m/>
    <m/>
    <m/>
    <m/>
    <m/>
    <m/>
    <m/>
    <n v="3000"/>
    <m/>
    <m/>
    <m/>
    <x v="86"/>
    <x v="2"/>
    <m/>
    <m/>
    <m/>
    <m/>
    <n v="2799"/>
    <m/>
    <m/>
    <m/>
    <m/>
    <m/>
    <m/>
    <m/>
    <s v="Y"/>
    <m/>
    <m/>
    <m/>
    <s v="Bengkulu"/>
    <s v="Per diem for PMI response team"/>
  </r>
  <r>
    <s v="FL-2007-000138-UGA"/>
    <n v="181"/>
    <x v="179"/>
    <d v="2007-09-01T00:00:00"/>
    <x v="12"/>
    <n v="12"/>
    <m/>
    <x v="12"/>
    <n v="22"/>
    <x v="1"/>
    <s v="Uganda"/>
    <s v="Hydrometerological"/>
    <x v="2"/>
    <s v="General Floods"/>
    <s v="General Floods"/>
    <x v="15"/>
    <x v="1"/>
    <s v="IFRC"/>
    <x v="39"/>
    <s v="MDRUG006"/>
    <x v="2"/>
    <n v="0.64"/>
    <m/>
    <m/>
    <n v="125000"/>
    <m/>
    <m/>
    <m/>
    <m/>
    <m/>
    <m/>
    <m/>
    <n v="0"/>
    <n v="3"/>
    <s v="IT/Telecoms"/>
    <m/>
    <m/>
    <m/>
    <m/>
    <m/>
    <m/>
    <m/>
    <m/>
    <m/>
    <m/>
    <m/>
    <m/>
    <m/>
    <m/>
    <m/>
    <m/>
    <m/>
    <n v="17400"/>
    <n v="17400"/>
    <m/>
    <m/>
    <m/>
    <x v="135"/>
    <x v="2"/>
    <m/>
    <m/>
    <m/>
    <m/>
    <n v="2799"/>
    <m/>
    <m/>
    <m/>
    <m/>
    <m/>
    <m/>
    <m/>
    <s v="Y"/>
    <m/>
    <m/>
    <m/>
    <m/>
    <s v="C Chaperon (relief) and B Nandiga (wat/san) deployed on FACT.  M Million deployed on joint Danish-American IT/Telecom ERU."/>
  </r>
  <r>
    <s v="FL-2007-000158-TGO; FL-2007-000132-BFA;FL-2007-000153-GHA"/>
    <n v="182"/>
    <x v="180"/>
    <d v="2007-09-01T00:00:00"/>
    <x v="12"/>
    <n v="13"/>
    <m/>
    <x v="12"/>
    <n v="23"/>
    <x v="1"/>
    <s v="Togo"/>
    <s v="Hydrometerological"/>
    <x v="2"/>
    <s v="General Floods"/>
    <s v="General Floods"/>
    <x v="16"/>
    <x v="1"/>
    <s v="IFRC"/>
    <x v="40"/>
    <s v="MDR61002"/>
    <x v="34"/>
    <n v="0.95"/>
    <m/>
    <m/>
    <n v="94825"/>
    <m/>
    <m/>
    <n v="0"/>
    <n v="19970"/>
    <m/>
    <m/>
    <m/>
    <n v="19970"/>
    <m/>
    <m/>
    <m/>
    <m/>
    <m/>
    <m/>
    <m/>
    <m/>
    <m/>
    <m/>
    <m/>
    <m/>
    <m/>
    <m/>
    <m/>
    <m/>
    <m/>
    <m/>
    <m/>
    <m/>
    <n v="19970"/>
    <m/>
    <m/>
    <m/>
    <x v="136"/>
    <x v="2"/>
    <m/>
    <m/>
    <m/>
    <m/>
    <n v="2799"/>
    <m/>
    <m/>
    <m/>
    <m/>
    <m/>
    <m/>
    <m/>
    <s v="Y"/>
    <m/>
    <m/>
    <m/>
    <m/>
    <s v="PMN (CHF 10,300) to cover delegate costs for Youssouff Langui on FACT to Togo.  PMN (CHF 13,102) to cover costs for 3 RDRTs for one month."/>
  </r>
  <r>
    <s v="TC-000198-DOM/HTI;"/>
    <n v="183"/>
    <x v="181"/>
    <d v="2007-10-01T00:00:00"/>
    <x v="12"/>
    <n v="14"/>
    <m/>
    <x v="12"/>
    <n v="24"/>
    <x v="2"/>
    <s v="Dominican Republic"/>
    <s v="Hydrometerological"/>
    <x v="5"/>
    <s v="Tropical Cyclone"/>
    <s v="Tropical Storm"/>
    <x v="17"/>
    <x v="1"/>
    <s v="IFRC"/>
    <x v="41"/>
    <s v="MDR49002"/>
    <x v="35"/>
    <m/>
    <m/>
    <m/>
    <n v="52995"/>
    <m/>
    <m/>
    <n v="0"/>
    <n v="35000"/>
    <m/>
    <m/>
    <m/>
    <n v="35000"/>
    <m/>
    <m/>
    <m/>
    <n v="4000"/>
    <m/>
    <n v="1000"/>
    <m/>
    <m/>
    <m/>
    <m/>
    <n v="1000"/>
    <m/>
    <m/>
    <m/>
    <n v="2000"/>
    <m/>
    <m/>
    <m/>
    <n v="69055"/>
    <m/>
    <n v="104055"/>
    <m/>
    <m/>
    <m/>
    <x v="137"/>
    <x v="1"/>
    <m/>
    <m/>
    <m/>
    <m/>
    <n v="2694"/>
    <m/>
    <m/>
    <m/>
    <m/>
    <m/>
    <m/>
    <m/>
    <s v="N"/>
    <m/>
    <m/>
    <m/>
    <s v="Noel"/>
    <s v="PSR"/>
  </r>
  <r>
    <s v="TC-000198-DOM/HTI;"/>
    <n v="183"/>
    <x v="181"/>
    <d v="2007-11-01T00:00:00"/>
    <x v="12"/>
    <n v="14"/>
    <m/>
    <x v="12"/>
    <n v="24"/>
    <x v="2"/>
    <s v="Haiti"/>
    <s v="Hydrometerological"/>
    <x v="5"/>
    <s v="Tropical Cyclone"/>
    <s v="Tropical Storm"/>
    <x v="0"/>
    <x v="0"/>
    <m/>
    <x v="0"/>
    <s v="MDR49002"/>
    <x v="0"/>
    <m/>
    <m/>
    <m/>
    <m/>
    <m/>
    <m/>
    <n v="1"/>
    <n v="50000"/>
    <m/>
    <m/>
    <m/>
    <n v="50000"/>
    <m/>
    <m/>
    <m/>
    <n v="2000"/>
    <m/>
    <m/>
    <n v="2000"/>
    <m/>
    <m/>
    <m/>
    <m/>
    <m/>
    <m/>
    <m/>
    <m/>
    <m/>
    <m/>
    <m/>
    <n v="8073"/>
    <m/>
    <n v="58073"/>
    <m/>
    <m/>
    <m/>
    <x v="138"/>
    <x v="1"/>
    <m/>
    <m/>
    <m/>
    <m/>
    <n v="2024"/>
    <m/>
    <m/>
    <m/>
    <m/>
    <m/>
    <m/>
    <m/>
    <s v="N"/>
    <m/>
    <m/>
    <m/>
    <s v="Noel"/>
    <s v="PSR"/>
  </r>
  <r>
    <s v="TC-000198-DOM/HTI;"/>
    <n v="183"/>
    <x v="181"/>
    <d v="2007-11-01T00:00:00"/>
    <x v="12"/>
    <n v="14"/>
    <m/>
    <x v="12"/>
    <n v="24"/>
    <x v="2"/>
    <s v="Bahamas"/>
    <s v="Hydrometerological"/>
    <x v="5"/>
    <s v="Tropical Cyclone"/>
    <s v="Tropical Storm"/>
    <x v="0"/>
    <x v="0"/>
    <m/>
    <x v="0"/>
    <s v="MDR49002"/>
    <x v="0"/>
    <m/>
    <m/>
    <m/>
    <m/>
    <m/>
    <m/>
    <n v="0"/>
    <n v="30000"/>
    <m/>
    <m/>
    <m/>
    <n v="30000"/>
    <n v="2"/>
    <m/>
    <m/>
    <m/>
    <m/>
    <m/>
    <m/>
    <m/>
    <m/>
    <m/>
    <m/>
    <m/>
    <m/>
    <m/>
    <m/>
    <m/>
    <m/>
    <m/>
    <m/>
    <n v="7440"/>
    <n v="37440"/>
    <m/>
    <m/>
    <m/>
    <x v="139"/>
    <x v="1"/>
    <m/>
    <m/>
    <m/>
    <m/>
    <n v="2024"/>
    <m/>
    <m/>
    <m/>
    <m/>
    <m/>
    <m/>
    <m/>
    <s v="N"/>
    <m/>
    <m/>
    <m/>
    <s v="Noel"/>
    <s v="PEOPLE: O Abou-Samra, J Ferguson (cash/livelihoods); CASH: PMN to Fed ($10k for cash distribution project, $20k operational costs)"/>
  </r>
  <r>
    <s v="FL-2007-000200-MEX"/>
    <n v="184"/>
    <x v="6"/>
    <d v="2007-11-01T00:00:00"/>
    <x v="12"/>
    <n v="15"/>
    <m/>
    <x v="12"/>
    <n v="25"/>
    <x v="2"/>
    <s v="Mexico"/>
    <s v="Hydrometerological"/>
    <x v="2"/>
    <s v="General Floods"/>
    <s v="General Floods"/>
    <x v="10"/>
    <x v="1"/>
    <s v="IFRC"/>
    <x v="42"/>
    <s v="MDRMX002"/>
    <x v="36"/>
    <n v="1"/>
    <m/>
    <m/>
    <n v="44380"/>
    <m/>
    <n v="10000"/>
    <n v="1"/>
    <n v="167077"/>
    <m/>
    <n v="350000"/>
    <m/>
    <n v="517077"/>
    <n v="1"/>
    <m/>
    <m/>
    <n v="15500"/>
    <m/>
    <n v="3500"/>
    <m/>
    <m/>
    <m/>
    <m/>
    <n v="2000"/>
    <m/>
    <n v="10000"/>
    <m/>
    <m/>
    <m/>
    <m/>
    <m/>
    <n v="143415"/>
    <n v="357"/>
    <n v="660849"/>
    <m/>
    <m/>
    <m/>
    <x v="140"/>
    <x v="1"/>
    <m/>
    <m/>
    <m/>
    <m/>
    <s v="2690/OFDA/2799 "/>
    <m/>
    <m/>
    <m/>
    <m/>
    <m/>
    <m/>
    <m/>
    <s v="N"/>
    <m/>
    <m/>
    <m/>
    <s v="Tabasco"/>
    <s v="CASH: Grants to MxRC ($50k from 2799 + $300k from 2690), PMN to Fed $167k (earmarked for 4,000 hygiene kits, 4,000 jerry cans, 4,000 buckets);  OFDA Grant; PEOPLE: W Romeril (info)"/>
  </r>
  <r>
    <s v="TC-2007-00178-VNM"/>
    <n v="185"/>
    <x v="182"/>
    <d v="2007-11-01T00:00:00"/>
    <x v="12"/>
    <n v="16"/>
    <m/>
    <x v="12"/>
    <n v="26"/>
    <x v="3"/>
    <s v="Vietnam"/>
    <s v="Hydrometerological"/>
    <x v="5"/>
    <s v="Tropical Cyclone"/>
    <s v="Typhoon"/>
    <x v="18"/>
    <x v="1"/>
    <s v="IFRC"/>
    <x v="43"/>
    <s v="MDRVN002"/>
    <x v="37"/>
    <n v="0.77"/>
    <m/>
    <m/>
    <n v="180000"/>
    <m/>
    <m/>
    <n v="1"/>
    <n v="115000"/>
    <m/>
    <m/>
    <m/>
    <n v="115000"/>
    <m/>
    <m/>
    <m/>
    <m/>
    <m/>
    <m/>
    <m/>
    <m/>
    <m/>
    <m/>
    <m/>
    <m/>
    <m/>
    <m/>
    <m/>
    <m/>
    <m/>
    <m/>
    <m/>
    <m/>
    <n v="115000"/>
    <m/>
    <m/>
    <m/>
    <x v="141"/>
    <x v="1"/>
    <m/>
    <m/>
    <m/>
    <m/>
    <s v="2099/ 2869"/>
    <m/>
    <m/>
    <m/>
    <m/>
    <m/>
    <m/>
    <m/>
    <s v="N"/>
    <m/>
    <s v="ARCT"/>
    <m/>
    <s v="Lekima"/>
    <s v="CASH: PMN  from AP 2099 to Fed unearmarked; PMN from AP 2869 to Fed earmarked purchase/dist household kits;  $100,000 from ARCT for shelter to Federation"/>
  </r>
  <r>
    <s v="FF-2007-000080-BGD"/>
    <n v="186"/>
    <x v="183"/>
    <d v="2007-11-01T00:00:00"/>
    <x v="12"/>
    <n v="17"/>
    <m/>
    <x v="12"/>
    <n v="27"/>
    <x v="3"/>
    <s v="Bangladesh"/>
    <s v="Hydrometerological"/>
    <x v="5"/>
    <s v="Tropical Cyclone"/>
    <s v="Cyclone"/>
    <x v="19"/>
    <x v="1"/>
    <s v="IFRC"/>
    <x v="44"/>
    <s v="MDRBD002"/>
    <x v="38"/>
    <n v="0.66"/>
    <m/>
    <m/>
    <n v="1215000"/>
    <m/>
    <m/>
    <n v="1"/>
    <n v="1083856"/>
    <m/>
    <m/>
    <m/>
    <n v="1083856"/>
    <n v="3"/>
    <m/>
    <m/>
    <n v="39000"/>
    <m/>
    <n v="4000"/>
    <n v="25000"/>
    <m/>
    <m/>
    <m/>
    <m/>
    <m/>
    <m/>
    <m/>
    <n v="10000"/>
    <m/>
    <m/>
    <m/>
    <n v="260798"/>
    <n v="12000"/>
    <n v="1356654"/>
    <m/>
    <m/>
    <m/>
    <x v="142"/>
    <x v="1"/>
    <m/>
    <m/>
    <m/>
    <m/>
    <s v="2017/OFDA"/>
    <m/>
    <m/>
    <m/>
    <m/>
    <m/>
    <m/>
    <m/>
    <s v="N"/>
    <m/>
    <m/>
    <m/>
    <s v="Sidr"/>
    <s v="CASH:  1st PMN ($100k unearmarked from AP 2099), 2nd PMN ($100k earmarked to tsunami affected areas from AP 2546), 3rd PMN ($300k earmarked for shelter and wat/san from OFDA), 4th PMN ($583k earmarked for shelter and wat/san from OFDA); SUPPLIES: + PSR; PEOPLE: Nek Alam (wat/san); S Wiseman (wat/san), L Malany (shelter)"/>
  </r>
  <r>
    <s v="FL-2007-000209-PNG"/>
    <n v="187"/>
    <x v="184"/>
    <d v="2007-11-01T00:00:00"/>
    <x v="12"/>
    <n v="18"/>
    <m/>
    <x v="12"/>
    <n v="28"/>
    <x v="3"/>
    <s v="Papua New Guinea"/>
    <s v="Hydrometerological"/>
    <x v="5"/>
    <s v="Tropical Cyclone"/>
    <s v="Cyclone"/>
    <x v="20"/>
    <x v="1"/>
    <s v="IFRC"/>
    <x v="45"/>
    <s v="MDRPG002"/>
    <x v="39"/>
    <n v="0.76"/>
    <m/>
    <m/>
    <n v="13000"/>
    <m/>
    <m/>
    <n v="0"/>
    <n v="23750"/>
    <m/>
    <m/>
    <m/>
    <n v="23750"/>
    <m/>
    <m/>
    <m/>
    <m/>
    <m/>
    <m/>
    <m/>
    <m/>
    <m/>
    <m/>
    <m/>
    <m/>
    <m/>
    <m/>
    <m/>
    <m/>
    <m/>
    <m/>
    <m/>
    <m/>
    <n v="23750"/>
    <m/>
    <m/>
    <m/>
    <x v="143"/>
    <x v="1"/>
    <m/>
    <m/>
    <m/>
    <m/>
    <n v="2881"/>
    <m/>
    <m/>
    <m/>
    <m/>
    <m/>
    <m/>
    <m/>
    <s v="N"/>
    <m/>
    <m/>
    <m/>
    <s v="Guba"/>
    <s v="CASH: PMN to Fed unearmarked"/>
  </r>
  <r>
    <m/>
    <n v="188"/>
    <x v="185"/>
    <d v="2008-01-01T00:00:00"/>
    <x v="12"/>
    <n v="19"/>
    <m/>
    <x v="13"/>
    <n v="1"/>
    <x v="1"/>
    <s v="Kenya"/>
    <s v="Human Related"/>
    <x v="19"/>
    <s v="Civil Unrest"/>
    <s v="Civil Unrest"/>
    <x v="21"/>
    <x v="1"/>
    <s v="ICRC"/>
    <x v="46"/>
    <m/>
    <x v="40"/>
    <m/>
    <m/>
    <m/>
    <n v="500000"/>
    <m/>
    <m/>
    <n v="1"/>
    <m/>
    <n v="250000"/>
    <n v="50000"/>
    <m/>
    <n v="300000"/>
    <m/>
    <m/>
    <m/>
    <m/>
    <m/>
    <m/>
    <m/>
    <m/>
    <m/>
    <m/>
    <m/>
    <m/>
    <m/>
    <m/>
    <m/>
    <m/>
    <m/>
    <m/>
    <m/>
    <m/>
    <n v="300000"/>
    <m/>
    <m/>
    <m/>
    <x v="144"/>
    <x v="1"/>
    <m/>
    <m/>
    <m/>
    <m/>
    <s v="2002 / 2099"/>
    <m/>
    <m/>
    <m/>
    <m/>
    <m/>
    <m/>
    <m/>
    <s v="N"/>
    <m/>
    <m/>
    <m/>
    <s v="Elections"/>
    <s v="CASH: 50k to KRCS  from 2799 and 50k to ICRC from 2002; CASH from 2099: 200k to ICRC"/>
  </r>
  <r>
    <s v="CW-2008-000013-CHN"/>
    <n v="189"/>
    <x v="186"/>
    <d v="2008-02-01T00:00:00"/>
    <x v="12"/>
    <n v="20"/>
    <m/>
    <x v="13"/>
    <n v="2"/>
    <x v="3"/>
    <s v="China"/>
    <s v="Hydrometerological"/>
    <x v="5"/>
    <s v="Winter Storm"/>
    <s v="Snowstorm"/>
    <x v="22"/>
    <x v="0"/>
    <m/>
    <x v="47"/>
    <m/>
    <x v="0"/>
    <m/>
    <m/>
    <m/>
    <s v="n/a"/>
    <m/>
    <s v="n/a"/>
    <m/>
    <m/>
    <m/>
    <n v="867000"/>
    <m/>
    <n v="867000"/>
    <m/>
    <m/>
    <m/>
    <m/>
    <m/>
    <m/>
    <m/>
    <m/>
    <m/>
    <m/>
    <m/>
    <m/>
    <m/>
    <m/>
    <m/>
    <m/>
    <m/>
    <m/>
    <m/>
    <m/>
    <n v="867000"/>
    <m/>
    <m/>
    <m/>
    <x v="145"/>
    <x v="1"/>
    <m/>
    <m/>
    <m/>
    <m/>
    <n v="2060"/>
    <m/>
    <m/>
    <m/>
    <m/>
    <m/>
    <m/>
    <m/>
    <s v="N"/>
    <m/>
    <m/>
    <s v="y"/>
    <m/>
    <s v="CASH: Bilateral to RCSC"/>
  </r>
  <r>
    <m/>
    <n v="190"/>
    <x v="187"/>
    <d v="2008-02-01T00:00:00"/>
    <x v="12"/>
    <n v="21"/>
    <m/>
    <x v="13"/>
    <n v="3"/>
    <x v="1"/>
    <s v="Guyana"/>
    <s v="Human Related"/>
    <x v="19"/>
    <s v="Civil Unrest"/>
    <s v="Civil Unrest"/>
    <x v="0"/>
    <x v="0"/>
    <m/>
    <x v="47"/>
    <m/>
    <x v="0"/>
    <m/>
    <m/>
    <m/>
    <n v="0"/>
    <m/>
    <n v="0"/>
    <m/>
    <m/>
    <m/>
    <n v="2400"/>
    <m/>
    <n v="2400"/>
    <n v="2"/>
    <m/>
    <m/>
    <m/>
    <m/>
    <m/>
    <m/>
    <m/>
    <m/>
    <m/>
    <m/>
    <m/>
    <m/>
    <m/>
    <m/>
    <m/>
    <m/>
    <m/>
    <m/>
    <n v="10000"/>
    <n v="12400"/>
    <m/>
    <m/>
    <m/>
    <x v="146"/>
    <x v="2"/>
    <m/>
    <m/>
    <m/>
    <m/>
    <n v="2799"/>
    <m/>
    <m/>
    <m/>
    <m/>
    <m/>
    <m/>
    <m/>
    <s v="Y"/>
    <m/>
    <m/>
    <m/>
    <s v="Violence"/>
    <s v="PEOPLE: G. Dodge, V. Vibhakar to Guyana for PSP ($10k) CASH: cash to NS $2,400 - total both $12,400"/>
  </r>
  <r>
    <m/>
    <n v="191"/>
    <x v="125"/>
    <d v="2008-02-01T00:00:00"/>
    <x v="12"/>
    <n v="22"/>
    <m/>
    <x v="13"/>
    <n v="4"/>
    <x v="1"/>
    <s v="Sudan"/>
    <s v="Human Related"/>
    <x v="8"/>
    <s v="Conflict"/>
    <s v="Conflict"/>
    <x v="8"/>
    <x v="1"/>
    <s v="ICRC"/>
    <x v="48"/>
    <m/>
    <x v="41"/>
    <m/>
    <m/>
    <m/>
    <n v="600000"/>
    <m/>
    <m/>
    <n v="1"/>
    <m/>
    <n v="714000"/>
    <m/>
    <m/>
    <n v="714000"/>
    <m/>
    <m/>
    <m/>
    <m/>
    <m/>
    <m/>
    <m/>
    <m/>
    <m/>
    <m/>
    <m/>
    <m/>
    <m/>
    <m/>
    <m/>
    <m/>
    <m/>
    <m/>
    <m/>
    <m/>
    <n v="714000"/>
    <m/>
    <m/>
    <m/>
    <x v="147"/>
    <x v="1"/>
    <m/>
    <m/>
    <m/>
    <m/>
    <n v="2661"/>
    <m/>
    <m/>
    <m/>
    <m/>
    <m/>
    <m/>
    <m/>
    <s v="N"/>
    <m/>
    <m/>
    <m/>
    <m/>
    <s v="CASH: 714k to ICRC from Coca Cola"/>
  </r>
  <r>
    <s v="FL-2008-000018-ECU"/>
    <n v="192"/>
    <x v="188"/>
    <d v="2008-02-01T00:00:00"/>
    <x v="12"/>
    <n v="23"/>
    <m/>
    <x v="13"/>
    <n v="5"/>
    <x v="2"/>
    <s v="Ecuador"/>
    <s v="Hydrometerological"/>
    <x v="2"/>
    <s v="General Floods"/>
    <s v="General Floods"/>
    <x v="23"/>
    <x v="0"/>
    <s v="?"/>
    <x v="49"/>
    <m/>
    <x v="42"/>
    <m/>
    <m/>
    <m/>
    <n v="15220"/>
    <m/>
    <n v="6445"/>
    <m/>
    <m/>
    <m/>
    <n v="245000"/>
    <m/>
    <n v="245000"/>
    <m/>
    <m/>
    <m/>
    <m/>
    <m/>
    <m/>
    <m/>
    <m/>
    <m/>
    <m/>
    <m/>
    <m/>
    <m/>
    <m/>
    <m/>
    <m/>
    <m/>
    <m/>
    <m/>
    <m/>
    <n v="245000"/>
    <m/>
    <m/>
    <m/>
    <x v="122"/>
    <x v="1"/>
    <m/>
    <m/>
    <m/>
    <m/>
    <s v="2597 / 2099"/>
    <m/>
    <m/>
    <m/>
    <m/>
    <m/>
    <m/>
    <m/>
    <s v="N"/>
    <m/>
    <m/>
    <m/>
    <s v="Pacific Coast"/>
    <s v="CASH from 2597: OFDA grant for procurement of NFIs - nets, clean-up kits, kitchen sets;  CASH from 2099: To ERC for purchase of food parcels "/>
  </r>
  <r>
    <m/>
    <n v="193"/>
    <x v="105"/>
    <d v="2008-03-08T00:00:00"/>
    <x v="12"/>
    <n v="24"/>
    <m/>
    <x v="13"/>
    <n v="6"/>
    <x v="3"/>
    <s v="Iraq"/>
    <s v="Human Related"/>
    <x v="8"/>
    <s v="Conflict"/>
    <s v="Conflict"/>
    <x v="24"/>
    <x v="1"/>
    <s v="IFRC"/>
    <x v="50"/>
    <m/>
    <x v="43"/>
    <m/>
    <m/>
    <m/>
    <n v="900000"/>
    <m/>
    <m/>
    <n v="1"/>
    <n v="269000"/>
    <m/>
    <m/>
    <m/>
    <n v="269000"/>
    <m/>
    <m/>
    <m/>
    <m/>
    <m/>
    <m/>
    <m/>
    <m/>
    <m/>
    <m/>
    <m/>
    <m/>
    <m/>
    <m/>
    <m/>
    <m/>
    <m/>
    <m/>
    <m/>
    <m/>
    <n v="269000"/>
    <m/>
    <m/>
    <m/>
    <x v="148"/>
    <x v="1"/>
    <m/>
    <m/>
    <m/>
    <m/>
    <s v="2099/2689"/>
    <m/>
    <m/>
    <m/>
    <m/>
    <m/>
    <m/>
    <m/>
    <s v="N"/>
    <m/>
    <m/>
    <m/>
    <s v="Country-wide"/>
    <s v="CASH from 2099: $250k Earmarked for OD and M&amp;E; CASH from 2689: $19k Earmarked for OD and M&amp;E;"/>
  </r>
  <r>
    <s v="TC-2008-000023-MDG"/>
    <n v="194"/>
    <x v="189"/>
    <d v="2008-03-08T00:00:00"/>
    <x v="12"/>
    <n v="25"/>
    <m/>
    <x v="13"/>
    <n v="7"/>
    <x v="1"/>
    <s v="Madagascar"/>
    <s v="Hydrometerological"/>
    <x v="5"/>
    <s v="Tropical Cyclone"/>
    <s v="Cyclone"/>
    <x v="25"/>
    <x v="1"/>
    <s v="IFRC"/>
    <x v="51"/>
    <s v="MDRMG003"/>
    <x v="2"/>
    <m/>
    <m/>
    <m/>
    <n v="50000"/>
    <m/>
    <m/>
    <m/>
    <m/>
    <m/>
    <m/>
    <m/>
    <n v="0"/>
    <m/>
    <m/>
    <m/>
    <n v="10000"/>
    <m/>
    <m/>
    <m/>
    <m/>
    <m/>
    <m/>
    <m/>
    <m/>
    <n v="10000"/>
    <m/>
    <m/>
    <m/>
    <m/>
    <m/>
    <n v="50000"/>
    <m/>
    <n v="50000"/>
    <m/>
    <m/>
    <m/>
    <x v="16"/>
    <x v="2"/>
    <m/>
    <m/>
    <m/>
    <m/>
    <n v="2799"/>
    <m/>
    <m/>
    <m/>
    <m/>
    <m/>
    <m/>
    <m/>
    <s v="Y"/>
    <m/>
    <m/>
    <m/>
    <s v="Ivan"/>
    <m/>
  </r>
  <r>
    <s v="TC-2008-000033-MOZ"/>
    <n v="195"/>
    <x v="190"/>
    <d v="2008-03-08T00:00:00"/>
    <x v="12"/>
    <n v="26"/>
    <m/>
    <x v="13"/>
    <n v="8"/>
    <x v="1"/>
    <s v="Mozambique"/>
    <s v="Hydrometerological"/>
    <x v="2"/>
    <s v="General Floods"/>
    <s v="General Floods"/>
    <x v="26"/>
    <x v="1"/>
    <m/>
    <x v="52"/>
    <m/>
    <x v="44"/>
    <m/>
    <m/>
    <m/>
    <n v="97550"/>
    <m/>
    <n v="15000"/>
    <n v="1"/>
    <n v="300000"/>
    <m/>
    <m/>
    <m/>
    <n v="300000"/>
    <m/>
    <m/>
    <m/>
    <m/>
    <m/>
    <m/>
    <m/>
    <m/>
    <m/>
    <m/>
    <m/>
    <m/>
    <m/>
    <m/>
    <m/>
    <m/>
    <m/>
    <m/>
    <m/>
    <m/>
    <n v="300000"/>
    <m/>
    <m/>
    <m/>
    <x v="144"/>
    <x v="1"/>
    <m/>
    <m/>
    <m/>
    <m/>
    <s v="2099/($200k)/2869 ($100k)"/>
    <m/>
    <m/>
    <m/>
    <m/>
    <m/>
    <m/>
    <m/>
    <s v="N"/>
    <m/>
    <s v="ARCT"/>
    <m/>
    <s v="Southern Africa"/>
    <s v="CASH: 285k earmarked shelter/relief activities, 15k earmarked for RDRT costs x3; 2099 = $200k/ 2869 = $100k. Note ARCT funds used - $100,000 to Federation for shelter, see ARCT 2008 report."/>
  </r>
  <r>
    <s v="TC-2008-000033-MOZ"/>
    <n v="196"/>
    <x v="190"/>
    <d v="2008-03-08T00:00:00"/>
    <x v="12"/>
    <n v="27"/>
    <m/>
    <x v="13"/>
    <n v="9"/>
    <x v="1"/>
    <s v="Tanzania"/>
    <s v="Hydrometerological"/>
    <x v="2"/>
    <s v="General Floods"/>
    <s v="General Floods"/>
    <x v="27"/>
    <x v="0"/>
    <m/>
    <x v="47"/>
    <m/>
    <x v="0"/>
    <m/>
    <m/>
    <m/>
    <n v="2700"/>
    <m/>
    <m/>
    <m/>
    <m/>
    <m/>
    <n v="48500"/>
    <m/>
    <n v="48500"/>
    <m/>
    <m/>
    <m/>
    <m/>
    <m/>
    <m/>
    <m/>
    <m/>
    <m/>
    <m/>
    <m/>
    <m/>
    <m/>
    <m/>
    <m/>
    <m/>
    <m/>
    <m/>
    <m/>
    <m/>
    <n v="48500"/>
    <m/>
    <m/>
    <m/>
    <x v="149"/>
    <x v="1"/>
    <m/>
    <m/>
    <m/>
    <m/>
    <n v="2002"/>
    <m/>
    <m/>
    <m/>
    <m/>
    <m/>
    <m/>
    <m/>
    <s v="N"/>
    <m/>
    <m/>
    <m/>
    <s v="Flood/Mine"/>
    <s v="CASH: Grant letter to TRCS, relief/shelter"/>
  </r>
  <r>
    <s v="TC-2008-000057-MMR"/>
    <n v="197"/>
    <x v="191"/>
    <d v="2008-05-08T00:00:00"/>
    <x v="12"/>
    <n v="28"/>
    <m/>
    <x v="13"/>
    <n v="10"/>
    <x v="3"/>
    <s v="Myanmar"/>
    <s v="Hydrometerological"/>
    <x v="5"/>
    <s v="Tropical Cyclone"/>
    <s v="Cyclone"/>
    <x v="28"/>
    <x v="1"/>
    <s v="IFRC"/>
    <x v="53"/>
    <s v="MDRMM002"/>
    <x v="45"/>
    <n v="0.9"/>
    <m/>
    <m/>
    <n v="500000"/>
    <m/>
    <m/>
    <n v="1"/>
    <n v="250000"/>
    <m/>
    <m/>
    <m/>
    <n v="250000"/>
    <n v="1"/>
    <m/>
    <n v="1"/>
    <n v="205000"/>
    <m/>
    <m/>
    <n v="25000"/>
    <m/>
    <m/>
    <m/>
    <n v="5000"/>
    <m/>
    <n v="20000"/>
    <m/>
    <n v="9995"/>
    <m/>
    <m/>
    <m/>
    <n v="900000"/>
    <m/>
    <n v="1150000"/>
    <m/>
    <m/>
    <m/>
    <x v="129"/>
    <x v="1"/>
    <m/>
    <m/>
    <m/>
    <m/>
    <s v="2594 / 2875"/>
    <m/>
    <m/>
    <m/>
    <m/>
    <m/>
    <m/>
    <m/>
    <s v="N"/>
    <m/>
    <m/>
    <s v="y"/>
    <s v="Nargis"/>
    <s v="SUPPLIES from 2594: OFDA  jerry cans, plus roughly 60k transport and associated costs; SUPPLIES from 2875: $1,150,000 plus transport"/>
  </r>
  <r>
    <s v="EQ-2008-000062-CHN"/>
    <n v="198"/>
    <x v="192"/>
    <d v="2008-05-08T00:00:00"/>
    <x v="12"/>
    <n v="29"/>
    <m/>
    <x v="13"/>
    <n v="11"/>
    <x v="3"/>
    <s v="China"/>
    <s v="Geophysical"/>
    <x v="3"/>
    <s v="Earthquake"/>
    <s v="Earthquake"/>
    <x v="29"/>
    <x v="1"/>
    <s v="IFRC"/>
    <x v="54"/>
    <s v="MDRCN003"/>
    <x v="46"/>
    <n v="0.65"/>
    <m/>
    <m/>
    <n v="500000"/>
    <m/>
    <m/>
    <n v="1"/>
    <n v="10000000"/>
    <m/>
    <m/>
    <m/>
    <n v="10000000"/>
    <n v="3"/>
    <m/>
    <m/>
    <m/>
    <m/>
    <m/>
    <m/>
    <m/>
    <m/>
    <m/>
    <m/>
    <m/>
    <m/>
    <m/>
    <m/>
    <m/>
    <m/>
    <m/>
    <m/>
    <m/>
    <n v="10000000"/>
    <m/>
    <m/>
    <m/>
    <x v="150"/>
    <x v="1"/>
    <m/>
    <m/>
    <m/>
    <m/>
    <n v="2060"/>
    <m/>
    <m/>
    <m/>
    <m/>
    <m/>
    <m/>
    <m/>
    <s v="N"/>
    <m/>
    <m/>
    <s v="y"/>
    <s v="Sichuan"/>
    <s v="CASH: Unearmarked PMN; PEOPLE: R. Rayyis 1 wk info gathering, T. Betz 3 wk relief/logs/monitoring del; S. Thornton 6 mo relief del"/>
  </r>
  <r>
    <s v="DR-2008-000043-ETH"/>
    <n v="199"/>
    <x v="193"/>
    <d v="2008-06-08T00:00:00"/>
    <x v="12"/>
    <n v="32"/>
    <m/>
    <x v="13"/>
    <n v="14"/>
    <x v="1"/>
    <s v="Ethiopia"/>
    <s v="Human Related"/>
    <x v="14"/>
    <s v="Food Insecurity"/>
    <s v="Food Insecurity"/>
    <x v="30"/>
    <x v="1"/>
    <s v="IFRC"/>
    <x v="55"/>
    <s v="MDRET005"/>
    <x v="47"/>
    <m/>
    <m/>
    <m/>
    <n v="76075"/>
    <m/>
    <m/>
    <n v="1"/>
    <n v="100000"/>
    <m/>
    <m/>
    <m/>
    <n v="100000"/>
    <m/>
    <m/>
    <m/>
    <m/>
    <m/>
    <m/>
    <m/>
    <m/>
    <m/>
    <m/>
    <m/>
    <m/>
    <m/>
    <m/>
    <m/>
    <m/>
    <m/>
    <m/>
    <m/>
    <m/>
    <n v="100000"/>
    <m/>
    <m/>
    <m/>
    <x v="5"/>
    <x v="1"/>
    <m/>
    <m/>
    <m/>
    <m/>
    <n v="2949"/>
    <m/>
    <m/>
    <m/>
    <m/>
    <m/>
    <m/>
    <m/>
    <s v="N"/>
    <m/>
    <m/>
    <m/>
    <m/>
    <s v="CASH: PMN earmarked for procurement, transport, distribution of food"/>
  </r>
  <r>
    <m/>
    <n v="200"/>
    <x v="194"/>
    <d v="2008-06-08T00:00:00"/>
    <x v="12"/>
    <n v="30"/>
    <m/>
    <x v="13"/>
    <n v="12"/>
    <x v="1"/>
    <s v="South Africa"/>
    <s v="Human Related"/>
    <x v="19"/>
    <s v="Civil Unrest"/>
    <s v="Civil Unrest"/>
    <x v="31"/>
    <x v="0"/>
    <m/>
    <x v="47"/>
    <m/>
    <x v="0"/>
    <m/>
    <m/>
    <m/>
    <n v="30000"/>
    <m/>
    <n v="0"/>
    <m/>
    <m/>
    <m/>
    <m/>
    <m/>
    <n v="0"/>
    <n v="1"/>
    <m/>
    <m/>
    <m/>
    <m/>
    <m/>
    <m/>
    <m/>
    <m/>
    <m/>
    <m/>
    <m/>
    <m/>
    <m/>
    <m/>
    <m/>
    <m/>
    <m/>
    <m/>
    <n v="10000"/>
    <n v="10000"/>
    <m/>
    <m/>
    <m/>
    <x v="6"/>
    <x v="2"/>
    <m/>
    <m/>
    <m/>
    <m/>
    <n v="2799"/>
    <m/>
    <m/>
    <m/>
    <m/>
    <m/>
    <m/>
    <m/>
    <s v="Y"/>
    <m/>
    <m/>
    <m/>
    <s v="Urban Violence"/>
    <s v="PEOPLE: C. Bell bilateral - dev systems/tracking"/>
  </r>
  <r>
    <s v="FL-2008-000069-CHL"/>
    <n v="201"/>
    <x v="195"/>
    <d v="2008-06-08T00:00:00"/>
    <x v="12"/>
    <n v="31"/>
    <m/>
    <x v="13"/>
    <n v="13"/>
    <x v="2"/>
    <s v="Chile"/>
    <s v="Hydrometerological"/>
    <x v="2"/>
    <s v="General Floods"/>
    <s v="General Floods"/>
    <x v="31"/>
    <x v="0"/>
    <m/>
    <x v="47"/>
    <m/>
    <x v="0"/>
    <m/>
    <m/>
    <m/>
    <n v="4000"/>
    <m/>
    <n v="1250"/>
    <n v="0"/>
    <n v="2000"/>
    <m/>
    <m/>
    <m/>
    <n v="2000"/>
    <n v="1"/>
    <m/>
    <m/>
    <m/>
    <m/>
    <m/>
    <m/>
    <m/>
    <m/>
    <m/>
    <m/>
    <m/>
    <m/>
    <m/>
    <m/>
    <m/>
    <m/>
    <m/>
    <m/>
    <m/>
    <n v="2000"/>
    <m/>
    <m/>
    <m/>
    <x v="55"/>
    <x v="2"/>
    <m/>
    <m/>
    <m/>
    <m/>
    <n v="2799"/>
    <m/>
    <m/>
    <m/>
    <m/>
    <m/>
    <m/>
    <m/>
    <s v="Y"/>
    <m/>
    <m/>
    <m/>
    <m/>
    <s v="PEOPLE: S. DiPretoro, w/RIT, cash voucher/market assessment"/>
  </r>
  <r>
    <s v="TC-2008-000093-PHL"/>
    <n v="202"/>
    <x v="196"/>
    <d v="2008-06-08T00:00:00"/>
    <x v="12"/>
    <n v="33"/>
    <m/>
    <x v="13"/>
    <n v="15"/>
    <x v="3"/>
    <s v="Philippines"/>
    <s v="Hydrometerological"/>
    <x v="5"/>
    <s v="Tropical Cyclone"/>
    <s v="Typhoon"/>
    <x v="32"/>
    <x v="1"/>
    <s v="IFRC"/>
    <x v="56"/>
    <s v="MDRPH004"/>
    <x v="48"/>
    <n v="1"/>
    <m/>
    <m/>
    <n v="30000"/>
    <m/>
    <m/>
    <n v="1"/>
    <n v="185000"/>
    <m/>
    <m/>
    <m/>
    <n v="185000"/>
    <n v="1"/>
    <m/>
    <m/>
    <m/>
    <m/>
    <m/>
    <m/>
    <m/>
    <m/>
    <m/>
    <m/>
    <m/>
    <m/>
    <m/>
    <m/>
    <m/>
    <m/>
    <m/>
    <m/>
    <m/>
    <n v="185000"/>
    <m/>
    <m/>
    <m/>
    <x v="151"/>
    <x v="1"/>
    <m/>
    <m/>
    <m/>
    <m/>
    <s v="2032/2799/2869"/>
    <m/>
    <m/>
    <m/>
    <m/>
    <m/>
    <m/>
    <m/>
    <s v="N"/>
    <m/>
    <s v="ARCT"/>
    <m/>
    <s v="Fengshen"/>
    <s v="CASH: 1st PMN (135K)earmarked for typhoon-resistant shelter construction, and DP programs, 2nd (50k) earmarked for shelters after IFRC reported severe underfunding; 1st PMN: AP 2869 - $80,938.17, AP 2799 - $45,211.83. AP 2032 - $8,850.00 / 2nd PMN: AP 2799 - $50,000 PEOPLE: G. Bicego, wat/san assessment team, Fed will pay all expenses. Note: ARCT Funds $100,000 used for shelter to Federation as noted in ARCT report for 2008."/>
  </r>
  <r>
    <m/>
    <n v="203"/>
    <x v="197"/>
    <d v="2008-07-08T00:00:00"/>
    <x v="13"/>
    <n v="1"/>
    <m/>
    <x v="13"/>
    <n v="16"/>
    <x v="3"/>
    <s v="Yemen"/>
    <s v="Human Related"/>
    <x v="8"/>
    <s v="Conflict"/>
    <s v="Conflict"/>
    <x v="33"/>
    <x v="1"/>
    <s v="ICRC"/>
    <x v="57"/>
    <m/>
    <x v="49"/>
    <m/>
    <m/>
    <m/>
    <n v="80500"/>
    <m/>
    <m/>
    <n v="1"/>
    <m/>
    <n v="50000"/>
    <m/>
    <m/>
    <n v="50000"/>
    <m/>
    <m/>
    <m/>
    <s v="-"/>
    <m/>
    <m/>
    <m/>
    <m/>
    <m/>
    <m/>
    <m/>
    <m/>
    <m/>
    <m/>
    <m/>
    <m/>
    <m/>
    <m/>
    <m/>
    <m/>
    <n v="50000"/>
    <m/>
    <m/>
    <m/>
    <x v="16"/>
    <x v="2"/>
    <m/>
    <m/>
    <m/>
    <m/>
    <n v="2799"/>
    <m/>
    <m/>
    <m/>
    <m/>
    <m/>
    <m/>
    <m/>
    <s v="Y"/>
    <m/>
    <m/>
    <m/>
    <s v="Believing Youth"/>
    <s v="CASH: $50,000 Pledge Letter to ICRC"/>
  </r>
  <r>
    <s v="FL-2008-000095-SUR"/>
    <n v="204"/>
    <x v="198"/>
    <d v="2008-07-01T00:00:00"/>
    <x v="13"/>
    <n v="2"/>
    <m/>
    <x v="13"/>
    <n v="17"/>
    <x v="2"/>
    <s v="Suriname"/>
    <s v="Hydrometerological"/>
    <x v="2"/>
    <s v="General Floods"/>
    <s v="General Floods"/>
    <x v="34"/>
    <x v="1"/>
    <s v="IFRC"/>
    <x v="58"/>
    <s v="MDRSR002"/>
    <x v="2"/>
    <m/>
    <m/>
    <m/>
    <n v="3000"/>
    <m/>
    <m/>
    <m/>
    <m/>
    <m/>
    <m/>
    <m/>
    <s v="-"/>
    <n v="2"/>
    <s v="IT/Telecoms"/>
    <n v="2"/>
    <s v="-"/>
    <m/>
    <m/>
    <m/>
    <m/>
    <m/>
    <m/>
    <m/>
    <m/>
    <m/>
    <m/>
    <m/>
    <m/>
    <m/>
    <m/>
    <s v="-"/>
    <s v="-"/>
    <m/>
    <m/>
    <m/>
    <m/>
    <x v="152"/>
    <x v="2"/>
    <m/>
    <m/>
    <m/>
    <m/>
    <n v="2799"/>
    <m/>
    <m/>
    <m/>
    <m/>
    <m/>
    <m/>
    <m/>
    <s v="Y"/>
    <m/>
    <m/>
    <m/>
    <m/>
    <s v="PEOPLE: M. Million, R. Palmer IT capacity bldg"/>
  </r>
  <r>
    <s v="FL-2008-000122-UKR/MDA"/>
    <n v="205"/>
    <x v="199"/>
    <d v="2008-08-01T00:00:00"/>
    <x v="13"/>
    <n v="3"/>
    <m/>
    <x v="13"/>
    <n v="18"/>
    <x v="3"/>
    <s v="Ukraine"/>
    <s v="Hydrometerological"/>
    <x v="2"/>
    <s v="General Floods"/>
    <s v="General Floods"/>
    <x v="35"/>
    <x v="1"/>
    <s v="IFRC"/>
    <x v="59"/>
    <s v="MDR67003"/>
    <x v="50"/>
    <n v="0.54"/>
    <m/>
    <m/>
    <n v="60000"/>
    <m/>
    <m/>
    <n v="1"/>
    <n v="44250"/>
    <m/>
    <m/>
    <m/>
    <n v="44250"/>
    <m/>
    <m/>
    <m/>
    <s v="-"/>
    <m/>
    <m/>
    <m/>
    <m/>
    <m/>
    <m/>
    <m/>
    <m/>
    <m/>
    <m/>
    <m/>
    <m/>
    <m/>
    <m/>
    <m/>
    <m/>
    <n v="44250"/>
    <m/>
    <m/>
    <m/>
    <x v="153"/>
    <x v="1"/>
    <m/>
    <m/>
    <m/>
    <m/>
    <n v="2048"/>
    <m/>
    <m/>
    <m/>
    <m/>
    <m/>
    <m/>
    <m/>
    <s v="N"/>
    <m/>
    <m/>
    <m/>
    <m/>
    <s v="CASH: $44,280 PMN unearmarked, Boeing donation"/>
  </r>
  <r>
    <m/>
    <n v="206"/>
    <x v="200"/>
    <d v="2008-08-01T00:00:00"/>
    <x v="13"/>
    <n v="4"/>
    <m/>
    <x v="13"/>
    <n v="19"/>
    <x v="3"/>
    <s v="Georgia"/>
    <s v="Human Related"/>
    <x v="8"/>
    <s v="Conflict"/>
    <s v="Conflict"/>
    <x v="36"/>
    <x v="1"/>
    <s v="ICRC"/>
    <x v="60"/>
    <s v="REX08/555"/>
    <x v="51"/>
    <m/>
    <m/>
    <m/>
    <n v="50000"/>
    <m/>
    <m/>
    <n v="1"/>
    <m/>
    <n v="100000"/>
    <m/>
    <m/>
    <n v="100000"/>
    <m/>
    <m/>
    <m/>
    <s v="-"/>
    <m/>
    <m/>
    <m/>
    <m/>
    <m/>
    <m/>
    <m/>
    <m/>
    <m/>
    <m/>
    <m/>
    <m/>
    <m/>
    <m/>
    <m/>
    <m/>
    <n v="100000"/>
    <m/>
    <m/>
    <m/>
    <x v="5"/>
    <x v="2"/>
    <m/>
    <m/>
    <m/>
    <m/>
    <n v="2799"/>
    <m/>
    <m/>
    <m/>
    <m/>
    <m/>
    <m/>
    <m/>
    <s v="Y"/>
    <m/>
    <m/>
    <m/>
    <s v="S. Ossetia"/>
    <s v="CASH: $100,000 Pledge Letter to ICRC"/>
  </r>
  <r>
    <s v="FL-2008-000104-NPL"/>
    <n v="207"/>
    <x v="174"/>
    <d v="2008-09-08T00:00:00"/>
    <x v="13"/>
    <n v="5"/>
    <m/>
    <x v="13"/>
    <n v="20"/>
    <x v="3"/>
    <s v="Nepal"/>
    <s v="Hydrometerological"/>
    <x v="2"/>
    <s v="General Floods"/>
    <s v="General Floods"/>
    <x v="37"/>
    <x v="1"/>
    <s v="IFRC"/>
    <x v="61"/>
    <s v="MDRNP002"/>
    <x v="52"/>
    <n v="0.72"/>
    <m/>
    <m/>
    <n v="150000"/>
    <m/>
    <m/>
    <n v="1"/>
    <n v="50000"/>
    <m/>
    <m/>
    <m/>
    <n v="50000"/>
    <m/>
    <m/>
    <m/>
    <s v="-"/>
    <m/>
    <m/>
    <m/>
    <m/>
    <m/>
    <m/>
    <m/>
    <m/>
    <m/>
    <m/>
    <m/>
    <m/>
    <m/>
    <m/>
    <m/>
    <m/>
    <n v="50000"/>
    <m/>
    <m/>
    <m/>
    <x v="16"/>
    <x v="2"/>
    <m/>
    <m/>
    <m/>
    <m/>
    <n v="2799"/>
    <m/>
    <m/>
    <m/>
    <m/>
    <m/>
    <m/>
    <m/>
    <s v="Y"/>
    <m/>
    <m/>
    <m/>
    <s v="Koshi River Embankment Breach"/>
    <s v="CASH: PMN $50,000 unearmarked to Fed"/>
  </r>
  <r>
    <s v="TC-2008-000147-HTI"/>
    <n v="208"/>
    <x v="201"/>
    <d v="2008-09-08T00:00:00"/>
    <x v="13"/>
    <n v="6"/>
    <m/>
    <x v="13"/>
    <n v="21"/>
    <x v="2"/>
    <s v="Haiti"/>
    <s v="Hydrometerological"/>
    <x v="5"/>
    <s v="Tropical Cyclone"/>
    <s v="Hurricane"/>
    <x v="38"/>
    <x v="1"/>
    <s v="IFRC"/>
    <x v="62"/>
    <s v="MDRHT005"/>
    <x v="53"/>
    <n v="1.04"/>
    <m/>
    <m/>
    <n v="50000"/>
    <m/>
    <m/>
    <n v="1"/>
    <n v="283682"/>
    <m/>
    <m/>
    <m/>
    <n v="283682"/>
    <n v="5"/>
    <s v="Relief ERU"/>
    <n v="5"/>
    <n v="19100"/>
    <m/>
    <n v="4000"/>
    <m/>
    <m/>
    <n v="4800"/>
    <m/>
    <n v="3000"/>
    <m/>
    <n v="6000"/>
    <m/>
    <n v="1300"/>
    <m/>
    <m/>
    <m/>
    <n v="340000"/>
    <m/>
    <n v="1532876"/>
    <m/>
    <m/>
    <m/>
    <x v="154"/>
    <x v="1"/>
    <m/>
    <m/>
    <m/>
    <m/>
    <s v="2869/2885/ 2591"/>
    <m/>
    <m/>
    <m/>
    <m/>
    <m/>
    <m/>
    <m/>
    <s v="N"/>
    <m/>
    <s v="OFDA grant for $500,000; ARCT funds used - $100,000"/>
    <s v="y"/>
    <s v="Gustav, Hanna, Ike"/>
    <s v="CASH: $100K PMN from AP 2885 earmarked for shelter kits from ARCT; PEOPLE: B. Gaillis (FACT TL), Relief ERU - C. Chaperon (TL), M. Marek, 2nd round - M. Marek (TL), J. Manley, G. Matthews, value at 50k to Fed;  OFDA grant for $500,000. SUPPLIES plus transport/PSR"/>
  </r>
  <r>
    <s v="TC-2008-000143"/>
    <n v="209"/>
    <x v="202"/>
    <d v="2008-09-08T00:00:00"/>
    <x v="13"/>
    <n v="7"/>
    <m/>
    <x v="13"/>
    <n v="22"/>
    <x v="2"/>
    <s v="Bahamas"/>
    <s v="Hydrometerological"/>
    <x v="5"/>
    <s v="Tropical Cyclone"/>
    <s v="Hurricane"/>
    <x v="39"/>
    <x v="1"/>
    <s v="IFRC"/>
    <x v="63"/>
    <s v="MDR49003"/>
    <x v="54"/>
    <n v="0.77"/>
    <m/>
    <m/>
    <n v="20000"/>
    <m/>
    <m/>
    <n v="1"/>
    <n v="121044"/>
    <m/>
    <m/>
    <m/>
    <n v="121044"/>
    <n v="1"/>
    <m/>
    <n v="1"/>
    <s v="-"/>
    <m/>
    <m/>
    <m/>
    <m/>
    <m/>
    <m/>
    <m/>
    <m/>
    <m/>
    <m/>
    <m/>
    <m/>
    <m/>
    <m/>
    <m/>
    <m/>
    <n v="121044"/>
    <m/>
    <m/>
    <m/>
    <x v="155"/>
    <x v="2"/>
    <m/>
    <m/>
    <m/>
    <m/>
    <n v="2799"/>
    <m/>
    <m/>
    <m/>
    <m/>
    <m/>
    <m/>
    <m/>
    <s v="Y"/>
    <m/>
    <m/>
    <s v="y"/>
    <s v="Bahamas, Jamaica"/>
    <s v="CASH: PMN $100,000 earmarked for Bahamas and Jamaica; PEOPLE: C. Hammond (RIT)"/>
  </r>
  <r>
    <s v="TC-2008-000143"/>
    <n v="209"/>
    <x v="203"/>
    <d v="2008-09-08T00:00:00"/>
    <x v="13"/>
    <n v="7"/>
    <m/>
    <x v="13"/>
    <n v="22"/>
    <x v="2"/>
    <s v="Jamaica"/>
    <s v="Hydrometerological"/>
    <x v="5"/>
    <s v="Tropical Cyclone"/>
    <s v="Hurricane"/>
    <x v="40"/>
    <x v="0"/>
    <m/>
    <x v="64"/>
    <s v="MDR49003"/>
    <x v="0"/>
    <m/>
    <m/>
    <m/>
    <s v="-"/>
    <m/>
    <s v="-"/>
    <m/>
    <m/>
    <m/>
    <m/>
    <m/>
    <m/>
    <m/>
    <m/>
    <m/>
    <s v="-"/>
    <m/>
    <m/>
    <m/>
    <m/>
    <m/>
    <m/>
    <m/>
    <m/>
    <m/>
    <m/>
    <m/>
    <m/>
    <m/>
    <m/>
    <m/>
    <m/>
    <s v="-"/>
    <m/>
    <m/>
    <m/>
    <x v="156"/>
    <x v="1"/>
    <m/>
    <m/>
    <m/>
    <m/>
    <m/>
    <m/>
    <m/>
    <m/>
    <m/>
    <m/>
    <m/>
    <m/>
    <s v="N"/>
    <m/>
    <m/>
    <s v="y"/>
    <s v="Bahamas, Jamaica"/>
    <s v="CASH: PMN earmarked for Bahamas and Jamaica"/>
  </r>
  <r>
    <s v="TC-2008-000143"/>
    <n v="210"/>
    <x v="204"/>
    <d v="2008-09-08T00:00:00"/>
    <x v="13"/>
    <n v="8"/>
    <m/>
    <x v="13"/>
    <n v="23"/>
    <x v="2"/>
    <s v="Cuba"/>
    <s v="Hydrometerological"/>
    <x v="5"/>
    <s v="Tropical Cyclone"/>
    <s v="Hurricane"/>
    <x v="41"/>
    <x v="1"/>
    <s v="IFRC"/>
    <x v="65"/>
    <s v="MDRCU001"/>
    <x v="55"/>
    <n v="0.66"/>
    <m/>
    <m/>
    <n v="60000"/>
    <m/>
    <n v="10380"/>
    <n v="1"/>
    <n v="1129943"/>
    <m/>
    <m/>
    <m/>
    <n v="1129943"/>
    <m/>
    <m/>
    <m/>
    <s v="-"/>
    <m/>
    <m/>
    <m/>
    <m/>
    <m/>
    <m/>
    <m/>
    <m/>
    <m/>
    <m/>
    <m/>
    <m/>
    <m/>
    <m/>
    <m/>
    <m/>
    <n v="1129943"/>
    <m/>
    <m/>
    <m/>
    <x v="157"/>
    <x v="2"/>
    <m/>
    <m/>
    <m/>
    <m/>
    <n v="2099"/>
    <m/>
    <m/>
    <m/>
    <m/>
    <m/>
    <m/>
    <m/>
    <s v="N"/>
    <m/>
    <m/>
    <s v="y"/>
    <s v="Gustav, Ike"/>
    <s v="CASH: PMN unearmarked - OFAC license received"/>
  </r>
  <r>
    <s v="FL-2008-000198"/>
    <n v="211"/>
    <x v="205"/>
    <d v="2008-10-01T00:00:00"/>
    <x v="13"/>
    <n v="9"/>
    <m/>
    <x v="13"/>
    <n v="24"/>
    <x v="2"/>
    <s v="Nicaragua"/>
    <s v="Hydrometerological"/>
    <x v="2"/>
    <s v="Storm Surge"/>
    <s v="Storm Surge"/>
    <x v="42"/>
    <x v="0"/>
    <m/>
    <x v="64"/>
    <m/>
    <x v="0"/>
    <m/>
    <m/>
    <m/>
    <s v="-"/>
    <m/>
    <s v="-"/>
    <m/>
    <m/>
    <m/>
    <m/>
    <m/>
    <m/>
    <m/>
    <m/>
    <m/>
    <s v="-"/>
    <m/>
    <m/>
    <m/>
    <m/>
    <m/>
    <m/>
    <m/>
    <m/>
    <m/>
    <m/>
    <m/>
    <m/>
    <m/>
    <m/>
    <m/>
    <m/>
    <s v="-"/>
    <m/>
    <m/>
    <m/>
    <x v="156"/>
    <x v="1"/>
    <m/>
    <m/>
    <m/>
    <m/>
    <m/>
    <m/>
    <m/>
    <m/>
    <m/>
    <m/>
    <m/>
    <m/>
    <s v="N"/>
    <m/>
    <m/>
    <s v="y"/>
    <m/>
    <m/>
  </r>
  <r>
    <s v="FL-2008-000198"/>
    <n v="211"/>
    <x v="205"/>
    <d v="2008-10-01T00:00:00"/>
    <x v="13"/>
    <n v="9"/>
    <m/>
    <x v="13"/>
    <n v="24"/>
    <x v="2"/>
    <s v="Honduras"/>
    <s v="Hydrometerological"/>
    <x v="2"/>
    <s v="Storm Surge"/>
    <s v="Storm Surge"/>
    <x v="42"/>
    <x v="0"/>
    <m/>
    <x v="64"/>
    <m/>
    <x v="0"/>
    <m/>
    <m/>
    <m/>
    <s v="-"/>
    <m/>
    <s v="-"/>
    <n v="0"/>
    <n v="25000"/>
    <m/>
    <m/>
    <m/>
    <m/>
    <m/>
    <m/>
    <m/>
    <s v="-"/>
    <m/>
    <m/>
    <m/>
    <m/>
    <m/>
    <m/>
    <m/>
    <m/>
    <m/>
    <m/>
    <m/>
    <m/>
    <m/>
    <m/>
    <m/>
    <m/>
    <s v="-"/>
    <m/>
    <m/>
    <m/>
    <x v="156"/>
    <x v="1"/>
    <m/>
    <m/>
    <m/>
    <m/>
    <n v="2882"/>
    <m/>
    <m/>
    <m/>
    <m/>
    <m/>
    <m/>
    <m/>
    <s v="N"/>
    <m/>
    <m/>
    <s v="y"/>
    <m/>
    <s v="CASH: PMN 25k earmarked to Honduras from 2882"/>
  </r>
  <r>
    <s v="FL-2008-000198"/>
    <n v="211"/>
    <x v="205"/>
    <d v="2008-10-01T00:00:00"/>
    <x v="13"/>
    <n v="9"/>
    <m/>
    <x v="13"/>
    <n v="24"/>
    <x v="2"/>
    <s v="[rollup]"/>
    <s v="Hydrometerological"/>
    <x v="2"/>
    <s v="Storm Surge"/>
    <s v="Storm Surge"/>
    <x v="43"/>
    <x v="1"/>
    <s v="IFRC"/>
    <x v="66"/>
    <s v="MDR43004"/>
    <x v="56"/>
    <n v="0.67"/>
    <m/>
    <m/>
    <n v="32000"/>
    <m/>
    <m/>
    <n v="1"/>
    <n v="246683"/>
    <m/>
    <m/>
    <m/>
    <n v="246683"/>
    <m/>
    <m/>
    <m/>
    <s v="-"/>
    <m/>
    <m/>
    <m/>
    <m/>
    <m/>
    <m/>
    <m/>
    <m/>
    <m/>
    <m/>
    <m/>
    <m/>
    <m/>
    <m/>
    <m/>
    <m/>
    <n v="246683"/>
    <m/>
    <m/>
    <m/>
    <x v="158"/>
    <x v="1"/>
    <m/>
    <m/>
    <m/>
    <m/>
    <s v="2799 /2882 /2869"/>
    <m/>
    <m/>
    <m/>
    <m/>
    <m/>
    <m/>
    <m/>
    <s v="N"/>
    <m/>
    <s v="ARCT funds used - $100,000"/>
    <s v="y"/>
    <m/>
    <s v="CASH: PMN 100k from 2799 unearmarked; PMN 91k - ( $88,500 from 2869 ARCT and $2,500 from 2799); $25,000 from 2882 earmarked for Honduras"/>
  </r>
  <r>
    <s v="FL-2008-000198"/>
    <n v="211"/>
    <x v="205"/>
    <d v="2008-10-01T00:00:00"/>
    <x v="13"/>
    <n v="9"/>
    <m/>
    <x v="13"/>
    <n v="24"/>
    <x v="2"/>
    <s v="Guatemala"/>
    <s v="Hydrometerological"/>
    <x v="2"/>
    <s v="Storm Surge"/>
    <s v="Storm Surge"/>
    <x v="0"/>
    <x v="0"/>
    <m/>
    <x v="0"/>
    <m/>
    <x v="0"/>
    <m/>
    <m/>
    <m/>
    <m/>
    <m/>
    <m/>
    <m/>
    <m/>
    <m/>
    <m/>
    <m/>
    <m/>
    <m/>
    <m/>
    <m/>
    <s v="-"/>
    <m/>
    <m/>
    <m/>
    <m/>
    <m/>
    <m/>
    <m/>
    <m/>
    <m/>
    <m/>
    <m/>
    <m/>
    <m/>
    <m/>
    <m/>
    <m/>
    <m/>
    <m/>
    <m/>
    <m/>
    <x v="7"/>
    <x v="1"/>
    <m/>
    <m/>
    <m/>
    <m/>
    <m/>
    <m/>
    <m/>
    <m/>
    <m/>
    <m/>
    <m/>
    <m/>
    <s v="N"/>
    <m/>
    <m/>
    <s v="y"/>
    <m/>
    <m/>
  </r>
  <r>
    <s v="EQ-2008-000206-PAK"/>
    <n v="212"/>
    <x v="206"/>
    <d v="2008-11-08T00:00:00"/>
    <x v="13"/>
    <n v="10"/>
    <m/>
    <x v="13"/>
    <n v="25"/>
    <x v="3"/>
    <s v="Pakistan"/>
    <s v="Geophysical"/>
    <x v="3"/>
    <s v="Earthquake"/>
    <s v="Earthquake"/>
    <x v="44"/>
    <x v="1"/>
    <s v="ICRC &amp; IFRC"/>
    <x v="67"/>
    <s v="REX08/722 &amp; MDRPK002"/>
    <x v="57"/>
    <m/>
    <m/>
    <m/>
    <n v="37930"/>
    <m/>
    <m/>
    <m/>
    <m/>
    <m/>
    <n v="100000"/>
    <m/>
    <n v="100000"/>
    <m/>
    <m/>
    <m/>
    <s v="-"/>
    <m/>
    <m/>
    <m/>
    <m/>
    <m/>
    <m/>
    <m/>
    <m/>
    <m/>
    <m/>
    <m/>
    <m/>
    <m/>
    <m/>
    <m/>
    <m/>
    <n v="100000"/>
    <m/>
    <m/>
    <n v="37930"/>
    <x v="5"/>
    <x v="2"/>
    <m/>
    <m/>
    <m/>
    <m/>
    <n v="2799"/>
    <m/>
    <m/>
    <m/>
    <m/>
    <m/>
    <m/>
    <m/>
    <s v="Y"/>
    <m/>
    <m/>
    <m/>
    <s v="Baluchistan"/>
    <s v="CASH: $100,000 to purchase relief supplies."/>
  </r>
  <r>
    <s v="FF-2008-000211-VNM"/>
    <n v="213"/>
    <x v="21"/>
    <d v="2008-11-08T00:00:00"/>
    <x v="13"/>
    <n v="11"/>
    <m/>
    <x v="13"/>
    <n v="26"/>
    <x v="3"/>
    <s v="Vietnam"/>
    <s v="Hydrometerological"/>
    <x v="2"/>
    <s v="General Floods"/>
    <s v="General Floods"/>
    <x v="18"/>
    <x v="1"/>
    <s v="IFRC"/>
    <x v="68"/>
    <s v="MDRVN005"/>
    <x v="58"/>
    <n v="0.47"/>
    <m/>
    <m/>
    <n v="300000"/>
    <m/>
    <m/>
    <n v="1"/>
    <n v="50000"/>
    <m/>
    <m/>
    <m/>
    <n v="50000"/>
    <m/>
    <m/>
    <m/>
    <s v="-"/>
    <m/>
    <m/>
    <m/>
    <m/>
    <m/>
    <m/>
    <m/>
    <m/>
    <m/>
    <m/>
    <m/>
    <m/>
    <m/>
    <m/>
    <m/>
    <m/>
    <n v="50000"/>
    <m/>
    <m/>
    <m/>
    <x v="16"/>
    <x v="2"/>
    <m/>
    <m/>
    <m/>
    <m/>
    <n v="2799"/>
    <m/>
    <m/>
    <m/>
    <m/>
    <m/>
    <m/>
    <m/>
    <s v="Y"/>
    <m/>
    <m/>
    <m/>
    <s v="North and Central Regions"/>
    <s v="CASH: PMN 50k unearmarked "/>
  </r>
  <r>
    <s v="FL-2008-000232-CRI"/>
    <n v="214"/>
    <x v="207"/>
    <d v="2008-12-09T00:00:00"/>
    <x v="13"/>
    <n v="12"/>
    <m/>
    <x v="13"/>
    <n v="27"/>
    <x v="2"/>
    <s v="Costa Rica"/>
    <s v="Hydrometerological"/>
    <x v="2"/>
    <s v="General Floods"/>
    <m/>
    <x v="42"/>
    <x v="0"/>
    <m/>
    <x v="64"/>
    <m/>
    <x v="0"/>
    <m/>
    <m/>
    <m/>
    <s v="-"/>
    <m/>
    <s v="-"/>
    <m/>
    <m/>
    <m/>
    <m/>
    <m/>
    <m/>
    <m/>
    <m/>
    <m/>
    <s v="-"/>
    <m/>
    <m/>
    <m/>
    <m/>
    <m/>
    <m/>
    <m/>
    <m/>
    <m/>
    <m/>
    <m/>
    <m/>
    <m/>
    <m/>
    <m/>
    <m/>
    <s v="-"/>
    <m/>
    <m/>
    <m/>
    <x v="156"/>
    <x v="1"/>
    <m/>
    <m/>
    <m/>
    <m/>
    <m/>
    <m/>
    <m/>
    <m/>
    <m/>
    <m/>
    <m/>
    <m/>
    <s v="N"/>
    <m/>
    <m/>
    <m/>
    <m/>
    <m/>
  </r>
  <r>
    <s v="FL-2008-000158-PAN"/>
    <n v="214"/>
    <x v="207"/>
    <d v="2008-12-08T00:00:00"/>
    <x v="13"/>
    <n v="12"/>
    <m/>
    <x v="13"/>
    <n v="27"/>
    <x v="2"/>
    <s v="Panama"/>
    <s v="Hydrometerological"/>
    <x v="2"/>
    <s v="General Floods"/>
    <m/>
    <x v="45"/>
    <x v="1"/>
    <s v="IFRC"/>
    <x v="69"/>
    <s v="MDR43005"/>
    <x v="59"/>
    <n v="0.39"/>
    <m/>
    <m/>
    <n v="15000"/>
    <m/>
    <m/>
    <n v="1"/>
    <n v="100000"/>
    <m/>
    <m/>
    <m/>
    <n v="100000"/>
    <m/>
    <m/>
    <m/>
    <s v="-"/>
    <m/>
    <m/>
    <m/>
    <m/>
    <m/>
    <m/>
    <m/>
    <m/>
    <m/>
    <m/>
    <m/>
    <m/>
    <m/>
    <m/>
    <m/>
    <m/>
    <n v="100000"/>
    <m/>
    <m/>
    <m/>
    <x v="5"/>
    <x v="2"/>
    <m/>
    <m/>
    <m/>
    <m/>
    <n v="2799"/>
    <m/>
    <m/>
    <m/>
    <m/>
    <m/>
    <m/>
    <m/>
    <s v="Y"/>
    <m/>
    <m/>
    <m/>
    <m/>
    <s v="CASH: PMN $100,000 for Fed Appeal"/>
  </r>
  <r>
    <m/>
    <n v="215"/>
    <x v="208"/>
    <d v="2008-12-11T00:00:00"/>
    <x v="13"/>
    <n v="13"/>
    <m/>
    <x v="13"/>
    <n v="28"/>
    <x v="1"/>
    <s v="Ethiopia"/>
    <s v="Human Related"/>
    <x v="14"/>
    <s v="Food Insecurity"/>
    <m/>
    <x v="42"/>
    <x v="0"/>
    <m/>
    <x v="64"/>
    <m/>
    <x v="0"/>
    <m/>
    <m/>
    <m/>
    <s v="-"/>
    <m/>
    <s v="-"/>
    <m/>
    <m/>
    <m/>
    <m/>
    <m/>
    <m/>
    <m/>
    <m/>
    <m/>
    <s v="-"/>
    <m/>
    <m/>
    <m/>
    <m/>
    <m/>
    <m/>
    <m/>
    <m/>
    <m/>
    <m/>
    <m/>
    <m/>
    <m/>
    <m/>
    <m/>
    <m/>
    <s v="-"/>
    <m/>
    <m/>
    <m/>
    <x v="156"/>
    <x v="1"/>
    <m/>
    <m/>
    <m/>
    <m/>
    <m/>
    <m/>
    <m/>
    <m/>
    <m/>
    <m/>
    <m/>
    <m/>
    <s v="N"/>
    <m/>
    <m/>
    <m/>
    <m/>
    <m/>
  </r>
  <r>
    <m/>
    <n v="215"/>
    <x v="208"/>
    <d v="2008-12-12T00:00:00"/>
    <x v="13"/>
    <n v="13"/>
    <m/>
    <x v="13"/>
    <n v="28"/>
    <x v="1"/>
    <s v="Kenya"/>
    <s v="Human Related"/>
    <x v="14"/>
    <s v="Food Insecurity"/>
    <m/>
    <x v="42"/>
    <x v="0"/>
    <m/>
    <x v="64"/>
    <m/>
    <x v="0"/>
    <m/>
    <m/>
    <m/>
    <s v="-"/>
    <m/>
    <s v="-"/>
    <m/>
    <m/>
    <m/>
    <m/>
    <m/>
    <m/>
    <m/>
    <m/>
    <m/>
    <s v="-"/>
    <m/>
    <m/>
    <m/>
    <m/>
    <m/>
    <m/>
    <m/>
    <m/>
    <m/>
    <m/>
    <m/>
    <m/>
    <m/>
    <m/>
    <m/>
    <m/>
    <s v="-"/>
    <m/>
    <m/>
    <m/>
    <x v="156"/>
    <x v="1"/>
    <m/>
    <m/>
    <m/>
    <m/>
    <m/>
    <m/>
    <m/>
    <m/>
    <m/>
    <m/>
    <m/>
    <m/>
    <s v="N"/>
    <m/>
    <m/>
    <m/>
    <m/>
    <m/>
  </r>
  <r>
    <m/>
    <n v="215"/>
    <x v="208"/>
    <d v="2008-12-13T00:00:00"/>
    <x v="13"/>
    <n v="13"/>
    <m/>
    <x v="13"/>
    <n v="28"/>
    <x v="1"/>
    <s v="Somalia"/>
    <s v="Human Related"/>
    <x v="14"/>
    <s v="Food Insecurity"/>
    <m/>
    <x v="42"/>
    <x v="0"/>
    <m/>
    <x v="64"/>
    <m/>
    <x v="0"/>
    <m/>
    <m/>
    <m/>
    <s v="-"/>
    <m/>
    <s v="-"/>
    <m/>
    <m/>
    <m/>
    <m/>
    <m/>
    <m/>
    <m/>
    <m/>
    <m/>
    <s v="-"/>
    <m/>
    <m/>
    <m/>
    <m/>
    <m/>
    <m/>
    <m/>
    <m/>
    <m/>
    <m/>
    <m/>
    <m/>
    <m/>
    <m/>
    <m/>
    <m/>
    <s v="-"/>
    <m/>
    <m/>
    <m/>
    <x v="156"/>
    <x v="1"/>
    <m/>
    <m/>
    <m/>
    <m/>
    <m/>
    <m/>
    <m/>
    <m/>
    <m/>
    <m/>
    <m/>
    <m/>
    <s v="N"/>
    <m/>
    <m/>
    <m/>
    <m/>
    <m/>
  </r>
  <r>
    <s v="OT-2008-000196-DJI/ERI/ETH/KEN/SOM"/>
    <n v="215"/>
    <x v="208"/>
    <d v="2008-12-10T00:00:00"/>
    <x v="13"/>
    <n v="13"/>
    <m/>
    <x v="13"/>
    <n v="28"/>
    <x v="1"/>
    <s v="Djibouti"/>
    <s v="Human Related"/>
    <x v="14"/>
    <s v="Food Insecurity"/>
    <m/>
    <x v="46"/>
    <x v="1"/>
    <s v="IFRC"/>
    <x v="70"/>
    <s v="MDR64003"/>
    <x v="60"/>
    <n v="0.09"/>
    <s v="Y"/>
    <n v="118830"/>
    <n v="2488500"/>
    <m/>
    <m/>
    <m/>
    <m/>
    <m/>
    <n v="500000"/>
    <m/>
    <m/>
    <n v="1"/>
    <m/>
    <n v="1"/>
    <s v="-"/>
    <m/>
    <m/>
    <m/>
    <m/>
    <m/>
    <m/>
    <m/>
    <m/>
    <m/>
    <m/>
    <m/>
    <m/>
    <m/>
    <m/>
    <m/>
    <m/>
    <n v="0"/>
    <m/>
    <m/>
    <m/>
    <x v="7"/>
    <x v="2"/>
    <m/>
    <m/>
    <m/>
    <m/>
    <n v="2799"/>
    <m/>
    <m/>
    <m/>
    <m/>
    <m/>
    <m/>
    <m/>
    <s v="Y"/>
    <m/>
    <m/>
    <m/>
    <m/>
    <s v="PEOPLE: T. Reines, relief del on Fed assessment team x3 wks (entire Horn of Africa); CASH: Intially $500,000 was approved but issues related to the programming and the appeal kept these funds from being disbursed to IFRC appeal. Eventually appeal was cancelled. Instead, ARC provided the resources to a British Red Cross led effort in Djibouti around livelihoods that was consistent with the appeal and recognized by the Federation as such."/>
  </r>
  <r>
    <m/>
    <n v="216"/>
    <x v="209"/>
    <d v="2008-12-14T00:00:00"/>
    <x v="13"/>
    <n v="14"/>
    <m/>
    <x v="13"/>
    <n v="29"/>
    <x v="1"/>
    <s v="Uganda"/>
    <s v="Human Related"/>
    <x v="8"/>
    <s v="Conflict"/>
    <s v="Conflict"/>
    <x v="47"/>
    <x v="1"/>
    <s v="IFRC"/>
    <x v="71"/>
    <s v="MDR64004"/>
    <x v="61"/>
    <n v="0.62"/>
    <s v="Y"/>
    <n v="201571"/>
    <n v="60000"/>
    <m/>
    <m/>
    <n v="1"/>
    <n v="50000"/>
    <m/>
    <m/>
    <m/>
    <n v="50000"/>
    <n v="1"/>
    <m/>
    <n v="1"/>
    <s v="-"/>
    <m/>
    <m/>
    <m/>
    <m/>
    <m/>
    <m/>
    <m/>
    <m/>
    <m/>
    <m/>
    <m/>
    <m/>
    <m/>
    <m/>
    <m/>
    <m/>
    <n v="50000"/>
    <m/>
    <m/>
    <m/>
    <x v="16"/>
    <x v="2"/>
    <m/>
    <m/>
    <m/>
    <m/>
    <n v="2799"/>
    <m/>
    <m/>
    <m/>
    <m/>
    <m/>
    <m/>
    <m/>
    <s v="Y"/>
    <m/>
    <m/>
    <m/>
    <m/>
    <s v="CASH: $50,000 PMN to Appeal earmarked to Uganda. PEOPLE: B. Banks, seconded to NBO as backfill DM coordinator deployed to Uganda on Fed assessment"/>
  </r>
  <r>
    <s v="EP-2008-000218-ZWE"/>
    <n v="217"/>
    <x v="210"/>
    <d v="2008-12-17T00:00:00"/>
    <x v="13"/>
    <n v="15"/>
    <m/>
    <x v="13"/>
    <n v="30"/>
    <x v="1"/>
    <s v="Zimbabwe"/>
    <s v="Biological"/>
    <x v="11"/>
    <s v="Disease"/>
    <s v="Cholera"/>
    <x v="31"/>
    <x v="1"/>
    <s v="IFRC"/>
    <x v="72"/>
    <s v="MDRZW004"/>
    <x v="62"/>
    <n v="0.64"/>
    <s v="Y"/>
    <n v="359374"/>
    <n v="1500000"/>
    <m/>
    <m/>
    <n v="1"/>
    <n v="100000"/>
    <m/>
    <m/>
    <m/>
    <n v="100000"/>
    <m/>
    <m/>
    <m/>
    <s v="-"/>
    <m/>
    <m/>
    <m/>
    <m/>
    <m/>
    <m/>
    <m/>
    <m/>
    <m/>
    <m/>
    <m/>
    <m/>
    <m/>
    <m/>
    <m/>
    <m/>
    <n v="100000"/>
    <m/>
    <m/>
    <m/>
    <x v="5"/>
    <x v="2"/>
    <m/>
    <m/>
    <m/>
    <m/>
    <n v="2799"/>
    <m/>
    <m/>
    <m/>
    <m/>
    <m/>
    <m/>
    <m/>
    <s v="Y"/>
    <m/>
    <m/>
    <m/>
    <m/>
    <s v="CASH: PMN $100k to IFRC from 2799 - 75% operational needs, 25% support costs."/>
  </r>
  <r>
    <m/>
    <n v="218"/>
    <x v="211"/>
    <d v="2008-12-17T00:00:00"/>
    <x v="13"/>
    <n v="16"/>
    <m/>
    <x v="13"/>
    <n v="31"/>
    <x v="3"/>
    <s v="Israel"/>
    <s v="Human Related"/>
    <x v="8"/>
    <s v="Conflict"/>
    <s v="Conflict"/>
    <x v="42"/>
    <x v="1"/>
    <s v="ICRC/Ntl Socs"/>
    <x v="64"/>
    <m/>
    <x v="0"/>
    <m/>
    <m/>
    <m/>
    <s v="-"/>
    <m/>
    <s v="-"/>
    <m/>
    <m/>
    <s v=" "/>
    <n v="200000"/>
    <m/>
    <m/>
    <m/>
    <m/>
    <m/>
    <s v="-"/>
    <m/>
    <m/>
    <m/>
    <m/>
    <m/>
    <m/>
    <m/>
    <m/>
    <m/>
    <m/>
    <m/>
    <m/>
    <m/>
    <m/>
    <m/>
    <m/>
    <s v="-"/>
    <m/>
    <m/>
    <m/>
    <x v="156"/>
    <x v="2"/>
    <m/>
    <m/>
    <m/>
    <m/>
    <n v="2099"/>
    <m/>
    <m/>
    <m/>
    <m/>
    <m/>
    <m/>
    <m/>
    <s v="N"/>
    <m/>
    <m/>
    <m/>
    <m/>
    <s v="CASH: 5 Jan 09 - $250,000 from 2799 RRF to ICRC;  9 Jan 09 $250,000 from 2799 RRF, to PRCS;  30 Jan 09 $200,000 from 2099 IRF to MDA;  5 Feb 09: $110,625 from 2010 Middle East, to PRCS appeal, and $110,625, 2010 Middle East to ICRC appeal."/>
  </r>
  <r>
    <m/>
    <n v="218"/>
    <x v="212"/>
    <d v="2008-12-17T00:00:00"/>
    <x v="13"/>
    <n v="16"/>
    <m/>
    <x v="13"/>
    <n v="31"/>
    <x v="3"/>
    <s v="Palestine"/>
    <s v="Human Related"/>
    <x v="8"/>
    <s v="Conflict"/>
    <s v="Conflict"/>
    <x v="48"/>
    <x v="1"/>
    <s v="ICRC/Ntl Socs"/>
    <x v="0"/>
    <m/>
    <x v="0"/>
    <m/>
    <s v="Y"/>
    <n v="310244"/>
    <n v="50000"/>
    <m/>
    <m/>
    <n v="1"/>
    <m/>
    <n v="360625"/>
    <n v="560625"/>
    <m/>
    <n v="921250"/>
    <m/>
    <m/>
    <m/>
    <s v="-"/>
    <m/>
    <m/>
    <m/>
    <m/>
    <m/>
    <m/>
    <m/>
    <m/>
    <m/>
    <m/>
    <m/>
    <m/>
    <m/>
    <m/>
    <m/>
    <m/>
    <n v="921250"/>
    <m/>
    <m/>
    <m/>
    <x v="159"/>
    <x v="1"/>
    <m/>
    <m/>
    <m/>
    <m/>
    <s v="2799/2099/2010"/>
    <m/>
    <m/>
    <m/>
    <m/>
    <m/>
    <m/>
    <m/>
    <s v="N"/>
    <m/>
    <m/>
    <m/>
    <m/>
    <s v="CASH: 5 Jan 09 - $250,000 from 2799 RRF to ICRC;  9 Jan 09 $250,000 from 2799 RRF, to PRCS;  30 Jan 09 $200,000 from 2099 IRF to MDA;  5 Feb 09: $110,625 from 2010 Middle East, to PRCS appeal, and $110,625, 2010 Middle East to ICRC appeal."/>
  </r>
  <r>
    <s v="EQ-2009-000009-CRI"/>
    <n v="219"/>
    <x v="213"/>
    <d v="2009-01-08T00:00:00"/>
    <x v="13"/>
    <n v="17"/>
    <s v="Q3"/>
    <x v="14"/>
    <n v="2"/>
    <x v="2"/>
    <s v="Costa Rica"/>
    <s v="Geophysical"/>
    <x v="3"/>
    <s v="Earthquake"/>
    <s v="Earthquake"/>
    <x v="49"/>
    <x v="2"/>
    <m/>
    <x v="64"/>
    <m/>
    <x v="0"/>
    <m/>
    <s v="Y"/>
    <n v="49273"/>
    <s v="-"/>
    <s v="Y"/>
    <n v="640"/>
    <m/>
    <m/>
    <m/>
    <n v="62250"/>
    <m/>
    <n v="62250"/>
    <n v="2"/>
    <m/>
    <n v="2"/>
    <m/>
    <m/>
    <m/>
    <m/>
    <m/>
    <m/>
    <m/>
    <m/>
    <m/>
    <m/>
    <m/>
    <m/>
    <m/>
    <m/>
    <m/>
    <m/>
    <n v="11950"/>
    <n v="74200"/>
    <m/>
    <m/>
    <m/>
    <x v="160"/>
    <x v="1"/>
    <m/>
    <m/>
    <m/>
    <m/>
    <n v="2882"/>
    <m/>
    <m/>
    <m/>
    <m/>
    <m/>
    <m/>
    <m/>
    <s v="N"/>
    <m/>
    <m/>
    <m/>
    <s v="Earthquake"/>
    <s v="CASH: Bilateral to CRRC; PEOPLE: S. DiPretoro, A. Vargas"/>
  </r>
  <r>
    <s v="WF-2009-000035-AUS"/>
    <n v="220"/>
    <x v="214"/>
    <d v="2009-02-07T00:00:00"/>
    <x v="13"/>
    <n v="18"/>
    <s v="Q3"/>
    <x v="14"/>
    <n v="3"/>
    <x v="3"/>
    <s v="Australia"/>
    <s v="Hydrometerological"/>
    <x v="15"/>
    <m/>
    <m/>
    <x v="50"/>
    <x v="2"/>
    <m/>
    <x v="0"/>
    <m/>
    <x v="0"/>
    <m/>
    <m/>
    <m/>
    <m/>
    <s v="Y"/>
    <m/>
    <m/>
    <m/>
    <m/>
    <n v="1520000"/>
    <m/>
    <n v="1520000"/>
    <m/>
    <m/>
    <m/>
    <m/>
    <m/>
    <m/>
    <m/>
    <m/>
    <m/>
    <m/>
    <m/>
    <m/>
    <m/>
    <m/>
    <m/>
    <m/>
    <m/>
    <m/>
    <m/>
    <m/>
    <n v="1520000"/>
    <m/>
    <m/>
    <m/>
    <x v="161"/>
    <x v="1"/>
    <m/>
    <m/>
    <m/>
    <m/>
    <n v="2881"/>
    <m/>
    <m/>
    <m/>
    <m/>
    <m/>
    <m/>
    <m/>
    <s v="N"/>
    <m/>
    <m/>
    <m/>
    <m/>
    <s v="CASH: ARC coordinated US corporate donations to joint domestic AusRC &amp; Ntl Govt appeal -  totaled $1,250,000 - sent August 2009"/>
  </r>
  <r>
    <m/>
    <n v="221"/>
    <x v="167"/>
    <d v="2009-03-05T00:00:00"/>
    <x v="13"/>
    <n v="19"/>
    <s v="Q3"/>
    <x v="14"/>
    <n v="4"/>
    <x v="3"/>
    <s v="Sri Lanka"/>
    <s v="Human Related"/>
    <x v="8"/>
    <m/>
    <m/>
    <x v="51"/>
    <x v="1"/>
    <s v="ICRC"/>
    <x v="0"/>
    <m/>
    <x v="0"/>
    <m/>
    <m/>
    <m/>
    <m/>
    <m/>
    <n v="20000"/>
    <n v="1"/>
    <m/>
    <n v="500000"/>
    <m/>
    <m/>
    <n v="500000"/>
    <n v="1"/>
    <m/>
    <n v="1"/>
    <m/>
    <m/>
    <m/>
    <m/>
    <m/>
    <m/>
    <m/>
    <m/>
    <m/>
    <m/>
    <m/>
    <m/>
    <m/>
    <m/>
    <m/>
    <m/>
    <m/>
    <n v="500000"/>
    <m/>
    <m/>
    <m/>
    <x v="162"/>
    <x v="1"/>
    <m/>
    <m/>
    <m/>
    <m/>
    <s v="TRP"/>
    <m/>
    <m/>
    <m/>
    <m/>
    <m/>
    <m/>
    <m/>
    <s v="N"/>
    <m/>
    <m/>
    <m/>
    <s v="Sri Lanka Conflict"/>
    <s v="CASH: $500,000 to ICRC for baby kits to IDPs in camps. PEOPLE: Gina Guinta ICRC volunteer to work in IDP camps doing relief distribution, 30 days."/>
  </r>
  <r>
    <s v="FL-2009-000052-COL"/>
    <n v="222"/>
    <x v="157"/>
    <d v="2009-03-19T00:00:00"/>
    <x v="13"/>
    <n v="20"/>
    <s v="Q3"/>
    <x v="14"/>
    <n v="5"/>
    <x v="2"/>
    <s v="Colombia"/>
    <s v="Hydrometerological"/>
    <x v="2"/>
    <m/>
    <m/>
    <x v="52"/>
    <x v="1"/>
    <s v="IFRC"/>
    <x v="73"/>
    <s v="MDRCO006"/>
    <x v="2"/>
    <n v="0.99"/>
    <s v="Y"/>
    <n v="152369"/>
    <n v="25000"/>
    <m/>
    <m/>
    <m/>
    <m/>
    <m/>
    <m/>
    <m/>
    <m/>
    <m/>
    <m/>
    <m/>
    <n v="8000"/>
    <m/>
    <m/>
    <m/>
    <n v="8000"/>
    <m/>
    <m/>
    <m/>
    <m/>
    <m/>
    <m/>
    <m/>
    <m/>
    <m/>
    <m/>
    <n v="30000"/>
    <m/>
    <n v="30000"/>
    <m/>
    <m/>
    <m/>
    <x v="163"/>
    <x v="2"/>
    <m/>
    <m/>
    <m/>
    <m/>
    <n v="2799"/>
    <m/>
    <m/>
    <m/>
    <m/>
    <m/>
    <m/>
    <m/>
    <s v="Y"/>
    <m/>
    <m/>
    <m/>
    <s v="Colombia Floods"/>
    <s v="SUPPLIES: 8,000 ARC Jerry Cans from stock at PADRU shipped to IFRC in Colombia."/>
  </r>
  <r>
    <s v="EQ-2009-000072-ITA"/>
    <n v="223"/>
    <x v="96"/>
    <d v="2009-04-07T00:00:00"/>
    <x v="13"/>
    <n v="21"/>
    <s v="Q4"/>
    <x v="14"/>
    <n v="6"/>
    <x v="3"/>
    <s v="Italy"/>
    <s v="Geophysical"/>
    <x v="3"/>
    <m/>
    <m/>
    <x v="53"/>
    <x v="2"/>
    <m/>
    <x v="0"/>
    <m/>
    <x v="0"/>
    <m/>
    <s v="Y"/>
    <n v="613944"/>
    <m/>
    <s v="Y"/>
    <m/>
    <m/>
    <m/>
    <m/>
    <n v="981315"/>
    <m/>
    <n v="981315"/>
    <m/>
    <m/>
    <m/>
    <m/>
    <m/>
    <m/>
    <m/>
    <m/>
    <m/>
    <m/>
    <m/>
    <m/>
    <m/>
    <m/>
    <m/>
    <m/>
    <m/>
    <m/>
    <m/>
    <m/>
    <n v="981315"/>
    <m/>
    <m/>
    <m/>
    <x v="164"/>
    <x v="1"/>
    <m/>
    <m/>
    <m/>
    <m/>
    <s v="2799/2697"/>
    <m/>
    <m/>
    <m/>
    <m/>
    <m/>
    <m/>
    <m/>
    <s v="N"/>
    <m/>
    <m/>
    <m/>
    <s v="L'Aquila Earthquake"/>
    <s v="CASH: $50,000 to Italian Red Cross from RRF 2799 - later repaid by 2697 when raised; Receiving donor funds to AP 2697 from public and chapters. Additional $522,180 from donor funds sent 5/29/09. Final amount in Aug. 2009"/>
  </r>
  <r>
    <s v="Fl-2009-000062-NAM"/>
    <n v="224"/>
    <x v="215"/>
    <d v="2009-05-15T00:00:00"/>
    <x v="13"/>
    <n v="22"/>
    <s v="Q4"/>
    <x v="14"/>
    <n v="7"/>
    <x v="1"/>
    <s v="Namibia"/>
    <s v="Hydrometerological"/>
    <x v="2"/>
    <m/>
    <m/>
    <x v="54"/>
    <x v="1"/>
    <s v="IFRC"/>
    <x v="74"/>
    <s v="MDRNA004"/>
    <x v="63"/>
    <n v="0.91"/>
    <s v="Y"/>
    <n v="128552"/>
    <n v="20000"/>
    <m/>
    <m/>
    <n v="1"/>
    <n v="50000"/>
    <m/>
    <m/>
    <m/>
    <n v="50000"/>
    <m/>
    <m/>
    <m/>
    <m/>
    <m/>
    <m/>
    <m/>
    <m/>
    <m/>
    <m/>
    <m/>
    <m/>
    <m/>
    <m/>
    <m/>
    <m/>
    <m/>
    <m/>
    <m/>
    <m/>
    <n v="50000"/>
    <m/>
    <m/>
    <m/>
    <x v="16"/>
    <x v="2"/>
    <m/>
    <m/>
    <m/>
    <m/>
    <n v="2799"/>
    <m/>
    <m/>
    <m/>
    <m/>
    <m/>
    <m/>
    <m/>
    <s v="Y"/>
    <m/>
    <m/>
    <m/>
    <m/>
    <s v="CASH: $50k to IFRC from 2799 earmarked for relief supplies"/>
  </r>
  <r>
    <m/>
    <n v="225"/>
    <x v="216"/>
    <d v="2009-05-15T00:00:00"/>
    <x v="13"/>
    <n v="23"/>
    <s v="Q4"/>
    <x v="14"/>
    <n v="8"/>
    <x v="1"/>
    <s v="Sudan"/>
    <s v="Biological"/>
    <x v="11"/>
    <m/>
    <m/>
    <x v="55"/>
    <x v="1"/>
    <s v="IFRC"/>
    <x v="75"/>
    <s v="MDR61004; MDR64004; MDR63002"/>
    <x v="64"/>
    <s v="various"/>
    <s v="Y"/>
    <n v="315628"/>
    <n v="25000000"/>
    <m/>
    <m/>
    <n v="1"/>
    <n v="200000"/>
    <m/>
    <m/>
    <m/>
    <n v="200000"/>
    <m/>
    <m/>
    <m/>
    <m/>
    <m/>
    <m/>
    <m/>
    <m/>
    <m/>
    <m/>
    <m/>
    <m/>
    <m/>
    <m/>
    <m/>
    <m/>
    <m/>
    <m/>
    <m/>
    <m/>
    <n v="200000"/>
    <m/>
    <m/>
    <m/>
    <x v="121"/>
    <x v="1"/>
    <m/>
    <m/>
    <m/>
    <m/>
    <n v="2869"/>
    <m/>
    <m/>
    <m/>
    <m/>
    <m/>
    <s v="Y"/>
    <m/>
    <s v="N"/>
    <m/>
    <s v="ARCT Funds used - $200,000"/>
    <m/>
    <s v="Polio - Sudan"/>
    <s v="CASH: $200k to IFRC earmarked for Sudan vaccination campaign from ARCT - funds went out as of August 2009."/>
  </r>
  <r>
    <m/>
    <n v="226"/>
    <x v="217"/>
    <d v="2009-05-15T00:00:00"/>
    <x v="13"/>
    <n v="24"/>
    <s v="Q4"/>
    <x v="14"/>
    <n v="9"/>
    <x v="3"/>
    <s v="Pakistan"/>
    <s v="Human Related"/>
    <x v="8"/>
    <m/>
    <m/>
    <x v="8"/>
    <x v="1"/>
    <s v="IFRC"/>
    <x v="76"/>
    <s v="MDRPK003"/>
    <x v="65"/>
    <n v="0.45"/>
    <m/>
    <m/>
    <n v="91000"/>
    <m/>
    <m/>
    <n v="1"/>
    <n v="250000"/>
    <m/>
    <m/>
    <m/>
    <n v="250000"/>
    <m/>
    <m/>
    <m/>
    <n v="5150"/>
    <m/>
    <m/>
    <m/>
    <m/>
    <m/>
    <m/>
    <m/>
    <m/>
    <m/>
    <m/>
    <m/>
    <m/>
    <m/>
    <m/>
    <n v="80000"/>
    <m/>
    <n v="330000"/>
    <m/>
    <m/>
    <m/>
    <x v="165"/>
    <x v="2"/>
    <m/>
    <m/>
    <m/>
    <m/>
    <n v="2799"/>
    <m/>
    <m/>
    <m/>
    <m/>
    <m/>
    <m/>
    <m/>
    <s v="Y"/>
    <m/>
    <m/>
    <m/>
    <s v="Pakistan Complex Emergency"/>
    <s v="SUPPLIES: $80,000 bilateral for beds and mattresses to be transported to PRCS for IDP camps. CASH: $250,000 earmarked for NFIs. on June 26 to support Federation Appeal. "/>
  </r>
  <r>
    <s v="TC-2009-000105-BGD"/>
    <n v="227"/>
    <x v="218"/>
    <d v="2009-06-26T00:00:00"/>
    <x v="13"/>
    <n v="25"/>
    <s v="Q4"/>
    <x v="14"/>
    <n v="10"/>
    <x v="3"/>
    <s v="Bangladesh"/>
    <s v="Hydrometerological"/>
    <x v="5"/>
    <m/>
    <m/>
    <x v="56"/>
    <x v="1"/>
    <s v="IFRC"/>
    <x v="75"/>
    <s v="MDRBD004"/>
    <x v="2"/>
    <m/>
    <s v="Y"/>
    <n v="230677"/>
    <n v="184000"/>
    <m/>
    <m/>
    <m/>
    <m/>
    <m/>
    <m/>
    <m/>
    <m/>
    <n v="1"/>
    <m/>
    <n v="1"/>
    <m/>
    <m/>
    <m/>
    <m/>
    <m/>
    <m/>
    <m/>
    <m/>
    <m/>
    <m/>
    <m/>
    <m/>
    <m/>
    <m/>
    <m/>
    <m/>
    <m/>
    <n v="0"/>
    <m/>
    <m/>
    <m/>
    <x v="7"/>
    <x v="1"/>
    <m/>
    <m/>
    <m/>
    <m/>
    <n v="2017"/>
    <m/>
    <m/>
    <m/>
    <m/>
    <m/>
    <m/>
    <m/>
    <s v="N"/>
    <m/>
    <m/>
    <m/>
    <s v="Bangladesh Cyclone Aila"/>
    <s v="PEOPLE: Relief Operations Support Delegate: Travis Betz deployed 4 weeks as a Relief Operations Support Delegate to provide support to the Bangladesh Delegation and affected National Society in response to Cyclone Aila. "/>
  </r>
  <r>
    <s v="FL-2009-000095-TJK"/>
    <n v="228"/>
    <x v="219"/>
    <d v="2009-08-12T00:00:00"/>
    <x v="14"/>
    <n v="1"/>
    <s v="Q1"/>
    <x v="14"/>
    <n v="11"/>
    <x v="3"/>
    <s v="Tajikistan"/>
    <s v="Hydrometerological"/>
    <x v="2"/>
    <m/>
    <m/>
    <x v="57"/>
    <x v="1"/>
    <s v="IFRC"/>
    <x v="77"/>
    <s v="MDRTJ005"/>
    <x v="66"/>
    <n v="0.61"/>
    <s v="Y"/>
    <n v="118472"/>
    <n v="4320"/>
    <m/>
    <n v="165"/>
    <m/>
    <n v="11500"/>
    <m/>
    <m/>
    <m/>
    <n v="11500"/>
    <m/>
    <m/>
    <m/>
    <m/>
    <m/>
    <m/>
    <m/>
    <m/>
    <m/>
    <m/>
    <m/>
    <m/>
    <m/>
    <m/>
    <m/>
    <m/>
    <m/>
    <m/>
    <m/>
    <m/>
    <n v="11500"/>
    <m/>
    <m/>
    <m/>
    <x v="166"/>
    <x v="2"/>
    <m/>
    <m/>
    <m/>
    <m/>
    <n v="2799"/>
    <m/>
    <m/>
    <m/>
    <m/>
    <m/>
    <m/>
    <m/>
    <s v="Y"/>
    <m/>
    <m/>
    <m/>
    <m/>
    <s v="CASH: $11,500 (plus cost recovery) to IFRC Appeal from 2799"/>
  </r>
  <r>
    <s v="DR-2009-00149-SYR"/>
    <n v="229"/>
    <x v="220"/>
    <d v="2009-09-01T00:00:00"/>
    <x v="14"/>
    <n v="2"/>
    <s v="Q1"/>
    <x v="14"/>
    <n v="12"/>
    <x v="3"/>
    <s v="Syria"/>
    <s v="Hydrometerological"/>
    <x v="1"/>
    <m/>
    <m/>
    <x v="58"/>
    <x v="1"/>
    <s v="IFRC"/>
    <x v="78"/>
    <s v="MDRSY001"/>
    <x v="67"/>
    <n v="0.34"/>
    <s v="Y"/>
    <n v="303195"/>
    <n v="260000"/>
    <m/>
    <m/>
    <n v="1"/>
    <n v="50000"/>
    <m/>
    <m/>
    <m/>
    <n v="50000"/>
    <m/>
    <m/>
    <m/>
    <m/>
    <m/>
    <m/>
    <m/>
    <m/>
    <m/>
    <m/>
    <m/>
    <m/>
    <m/>
    <m/>
    <m/>
    <m/>
    <m/>
    <m/>
    <m/>
    <m/>
    <n v="50000"/>
    <m/>
    <m/>
    <m/>
    <x v="16"/>
    <x v="1"/>
    <m/>
    <m/>
    <m/>
    <m/>
    <n v="2869"/>
    <m/>
    <m/>
    <m/>
    <m/>
    <m/>
    <s v="Y"/>
    <m/>
    <s v="N"/>
    <m/>
    <s v="ARCT Funds used"/>
    <m/>
    <m/>
    <s v="CASH: $50,000 from ARCT for Overlooked Disasters Fund (plus cost recovery to be covered from RRF 2799)"/>
  </r>
  <r>
    <s v="FL-2009-000172-BFA "/>
    <n v="230"/>
    <x v="221"/>
    <d v="2009-09-10T00:00:00"/>
    <x v="14"/>
    <n v="3"/>
    <s v="Q1"/>
    <x v="14"/>
    <n v="13"/>
    <x v="1"/>
    <s v="Burkina Faso"/>
    <s v="Hydrometerological"/>
    <x v="2"/>
    <m/>
    <m/>
    <x v="18"/>
    <x v="1"/>
    <s v="IFRC"/>
    <x v="79"/>
    <s v="MDRBF008 &amp; MDRSN002"/>
    <x v="2"/>
    <n v="0.32"/>
    <s v="Y"/>
    <n v="419190"/>
    <n v="40000"/>
    <m/>
    <m/>
    <m/>
    <m/>
    <m/>
    <m/>
    <m/>
    <n v="0"/>
    <n v="1"/>
    <m/>
    <n v="1"/>
    <m/>
    <m/>
    <n v="7500"/>
    <n v="37500"/>
    <n v="7500"/>
    <n v="7500"/>
    <n v="500"/>
    <n v="7500"/>
    <m/>
    <m/>
    <m/>
    <m/>
    <m/>
    <m/>
    <m/>
    <m/>
    <m/>
    <n v="0"/>
    <m/>
    <m/>
    <m/>
    <x v="7"/>
    <x v="2"/>
    <m/>
    <m/>
    <m/>
    <m/>
    <n v="2799"/>
    <m/>
    <m/>
    <m/>
    <m/>
    <m/>
    <m/>
    <m/>
    <s v="Y"/>
    <m/>
    <m/>
    <m/>
    <m/>
    <s v="PEOPLE: John Manley deployed to Burkina Faso as FACT team member for 1 month. "/>
  </r>
  <r>
    <s v="FL-2009-000164-SEN"/>
    <n v="230"/>
    <x v="222"/>
    <d v="2009-09-10T00:00:00"/>
    <x v="14"/>
    <n v="3"/>
    <s v="Q1"/>
    <x v="14"/>
    <n v="13"/>
    <x v="1"/>
    <s v="Senegal"/>
    <s v="Hydrometerological"/>
    <x v="2"/>
    <m/>
    <m/>
    <x v="59"/>
    <x v="1"/>
    <s v="IFRC"/>
    <x v="11"/>
    <s v="MDRBF008 &amp; MDRSN002"/>
    <x v="2"/>
    <n v="0.47"/>
    <s v="Y"/>
    <n v="419190"/>
    <n v="25000"/>
    <m/>
    <m/>
    <m/>
    <m/>
    <m/>
    <m/>
    <m/>
    <n v="0"/>
    <n v="3"/>
    <s v="Relief ERU"/>
    <n v="3"/>
    <m/>
    <m/>
    <m/>
    <m/>
    <m/>
    <m/>
    <m/>
    <m/>
    <m/>
    <m/>
    <m/>
    <m/>
    <m/>
    <m/>
    <m/>
    <m/>
    <m/>
    <n v="0"/>
    <m/>
    <m/>
    <m/>
    <x v="7"/>
    <x v="2"/>
    <m/>
    <m/>
    <m/>
    <m/>
    <n v="2799"/>
    <m/>
    <m/>
    <m/>
    <m/>
    <m/>
    <m/>
    <m/>
    <s v="Y"/>
    <m/>
    <m/>
    <m/>
    <m/>
    <s v="PEOPLE: 3 ERU team members deployed jointly with DanishRC for 1 month: Steve McAndrew – ERU Team leader, Shinko Mondori- ERU team member, Luis Matnog- ERU team member . ERUs are part of Appeal Mob table so we can claim multilateral beneficiaries."/>
  </r>
  <r>
    <s v="TC-2009-000167-MEX"/>
    <n v="231"/>
    <x v="223"/>
    <d v="2009-09-03T00:00:00"/>
    <x v="14"/>
    <n v="4"/>
    <s v="Q1"/>
    <x v="14"/>
    <n v="14"/>
    <x v="2"/>
    <s v="Mexico"/>
    <s v="Hydrometerological"/>
    <x v="20"/>
    <m/>
    <m/>
    <x v="60"/>
    <x v="2"/>
    <m/>
    <x v="0"/>
    <m/>
    <x v="0"/>
    <m/>
    <s v="Y"/>
    <n v="319632"/>
    <m/>
    <s v="Y"/>
    <n v="15000"/>
    <m/>
    <m/>
    <m/>
    <m/>
    <m/>
    <n v="0"/>
    <n v="1"/>
    <m/>
    <n v="1"/>
    <n v="13840"/>
    <s v="mixed"/>
    <n v="1840"/>
    <m/>
    <m/>
    <m/>
    <m/>
    <n v="3000"/>
    <m/>
    <n v="6000"/>
    <m/>
    <m/>
    <m/>
    <n v="3000"/>
    <m/>
    <n v="259500"/>
    <m/>
    <n v="259500"/>
    <m/>
    <m/>
    <m/>
    <x v="167"/>
    <x v="2"/>
    <m/>
    <m/>
    <m/>
    <m/>
    <s v="2799  + OFDA"/>
    <m/>
    <m/>
    <m/>
    <m/>
    <m/>
    <m/>
    <s v="Y"/>
    <s v="N"/>
    <m/>
    <m/>
    <m/>
    <m/>
    <s v="SUPPLIES: Bilateral to Mexican RC: 1,840 hygiene kits from stock at PADRU, 3,000 kitchen sets from stock at PADRU, 3,000 reconstruction kits to be procured locally. Funding: For 1,840  hygiene kits ($60,000) from 2799; 3,000 kitchen sets ($75,000) from OFDA; 3,000 reconstruction kits ($124,500) from OFDA.  PEOPLE: Jono Anzalone deployed to do M &amp; E for relief distribution."/>
  </r>
  <r>
    <s v="EQ-2009-000173-IDN"/>
    <n v="232"/>
    <x v="224"/>
    <d v="2009-09-02T00:00:00"/>
    <x v="14"/>
    <n v="5"/>
    <s v="Q1"/>
    <x v="14"/>
    <n v="15"/>
    <x v="3"/>
    <s v="Indonesia"/>
    <s v="Geophysical"/>
    <x v="3"/>
    <m/>
    <m/>
    <x v="48"/>
    <x v="2"/>
    <m/>
    <x v="0"/>
    <m/>
    <x v="0"/>
    <m/>
    <s v="N"/>
    <m/>
    <m/>
    <s v="Y"/>
    <m/>
    <m/>
    <m/>
    <m/>
    <m/>
    <m/>
    <n v="0"/>
    <n v="1"/>
    <m/>
    <n v="1"/>
    <m/>
    <m/>
    <m/>
    <m/>
    <m/>
    <m/>
    <m/>
    <m/>
    <m/>
    <m/>
    <m/>
    <m/>
    <m/>
    <m/>
    <m/>
    <m/>
    <m/>
    <n v="0"/>
    <m/>
    <m/>
    <m/>
    <x v="7"/>
    <x v="2"/>
    <m/>
    <m/>
    <m/>
    <m/>
    <n v="2799"/>
    <m/>
    <m/>
    <m/>
    <m/>
    <m/>
    <m/>
    <m/>
    <s v="Y"/>
    <m/>
    <m/>
    <m/>
    <m/>
    <s v="PEOPLE: Cristina Hammond deployed to fill the role of IFRC Shelter Cluster Information Manager for Java Earthquake response - 4 weeks."/>
  </r>
  <r>
    <s v="TC-2009-000205-PHL"/>
    <n v="233"/>
    <x v="225"/>
    <d v="2009-09-02T00:00:00"/>
    <x v="14"/>
    <n v="6"/>
    <s v="Q1"/>
    <x v="14"/>
    <n v="16"/>
    <x v="3"/>
    <s v="Philippines"/>
    <s v="Hydrometerological"/>
    <x v="20"/>
    <m/>
    <m/>
    <x v="10"/>
    <x v="1"/>
    <s v="IFRC"/>
    <x v="80"/>
    <s v="MDRPH005"/>
    <x v="68"/>
    <n v="0.53"/>
    <s v="Y"/>
    <n v="242000"/>
    <n v="200000"/>
    <m/>
    <n v="50000"/>
    <n v="1"/>
    <n v="550000"/>
    <m/>
    <n v="500000"/>
    <m/>
    <n v="1050000"/>
    <n v="2"/>
    <m/>
    <n v="2"/>
    <n v="22300"/>
    <s v="Y"/>
    <m/>
    <n v="4000"/>
    <n v="10000"/>
    <m/>
    <m/>
    <n v="1500"/>
    <m/>
    <n v="6800"/>
    <m/>
    <m/>
    <m/>
    <m/>
    <m/>
    <n v="118000"/>
    <m/>
    <n v="1168000"/>
    <m/>
    <m/>
    <m/>
    <x v="168"/>
    <x v="1"/>
    <m/>
    <m/>
    <m/>
    <m/>
    <n v="2698"/>
    <m/>
    <m/>
    <m/>
    <m/>
    <m/>
    <m/>
    <s v="Y"/>
    <s v="N"/>
    <m/>
    <s v="OFDA grant for $500,000 for NFIs"/>
    <m/>
    <m/>
    <s v="Philippines: SUPPLIES: approx $118,000 in relief supplies from KL warehouse. CASH: $550,000 = $250,000 PMN to Philippines Appeal for early recovery (plus cost recovery) +$300,000 PMN to Philippines appeal for shelter, relief and watsan (plus cost recovery); plus OFDA grant for $500,000 for locally procured NFIs l w/ARC mgmt through Philippines RC (counted as cash to Ntl Soc). PEOPLE: 1) Mariza Rogers deployed as shelter coordinator delegate for one month - started Oct. 5.  2) Cristina Hammond deployed to implement OFDA NFI distribution Oct. 16 for one month"/>
  </r>
  <r>
    <s v="FL-2009-000207-VNM"/>
    <n v="233"/>
    <x v="226"/>
    <d v="2009-09-02T00:00:00"/>
    <x v="14"/>
    <n v="6"/>
    <s v="Q1"/>
    <x v="14"/>
    <n v="16"/>
    <x v="3"/>
    <s v="Vietnam"/>
    <s v="Hydrometerological"/>
    <x v="20"/>
    <m/>
    <m/>
    <x v="61"/>
    <x v="1"/>
    <s v="IFRC"/>
    <x v="81"/>
    <s v="MDRRVN006"/>
    <x v="69"/>
    <n v="0.77"/>
    <s v="Y"/>
    <n v="324167"/>
    <n v="270000"/>
    <m/>
    <m/>
    <n v="1"/>
    <n v="450000"/>
    <m/>
    <n v="500000"/>
    <m/>
    <n v="950000"/>
    <n v="1"/>
    <m/>
    <n v="1"/>
    <m/>
    <m/>
    <m/>
    <m/>
    <m/>
    <m/>
    <m/>
    <m/>
    <m/>
    <m/>
    <m/>
    <m/>
    <m/>
    <m/>
    <m/>
    <m/>
    <m/>
    <n v="950000"/>
    <n v="1200000"/>
    <m/>
    <m/>
    <x v="169"/>
    <x v="1"/>
    <m/>
    <m/>
    <m/>
    <m/>
    <n v="2698"/>
    <m/>
    <m/>
    <m/>
    <m/>
    <m/>
    <m/>
    <s v="Y"/>
    <s v="N"/>
    <m/>
    <s v="OFDA grant for $500,000 for cash transfer programming"/>
    <m/>
    <m/>
    <s v="Vietnam: CASH: Cash: $450,000 total:  $50,000 PMN Oct. 2 + $300,000 PMN Oct. 5 to Federation Vietnam Appeal - earmarked for shelter, NFIs and Wat/San + $100,000 PMN to Vietnam Appeal for DRR (plus cost recovery). OFDA grant for $500,000 for cash programming; PEOPLE: Michael Zeleke delegate to Vietnam to work on cash programming."/>
  </r>
  <r>
    <s v="TS-2009-000211-IDN"/>
    <n v="234"/>
    <x v="227"/>
    <d v="2009-09-02T00:00:00"/>
    <x v="14"/>
    <n v="7"/>
    <s v="Q1"/>
    <x v="14"/>
    <n v="17"/>
    <x v="3"/>
    <s v="Indonesia"/>
    <s v="Geophysical"/>
    <x v="3"/>
    <m/>
    <m/>
    <x v="10"/>
    <x v="1"/>
    <s v="IFRC"/>
    <x v="82"/>
    <s v="MDRID004"/>
    <x v="70"/>
    <n v="0.93"/>
    <s v="Y"/>
    <n v="227106"/>
    <n v="100000"/>
    <m/>
    <n v="25000"/>
    <n v="1"/>
    <m/>
    <m/>
    <n v="500000"/>
    <m/>
    <n v="500000"/>
    <n v="1"/>
    <m/>
    <n v="1"/>
    <n v="44181"/>
    <s v="Y"/>
    <m/>
    <n v="20981"/>
    <m/>
    <m/>
    <m/>
    <m/>
    <m/>
    <n v="13200"/>
    <m/>
    <n v="10000"/>
    <m/>
    <m/>
    <m/>
    <n v="400000"/>
    <m/>
    <n v="900000"/>
    <n v="764192.86"/>
    <m/>
    <m/>
    <x v="170"/>
    <x v="1"/>
    <m/>
    <m/>
    <m/>
    <m/>
    <n v="2930"/>
    <m/>
    <m/>
    <m/>
    <m/>
    <m/>
    <m/>
    <s v="Y"/>
    <s v="N"/>
    <m/>
    <s v="OFDA grant for $500,000 for NFIs"/>
    <m/>
    <m/>
    <s v="CASH: OFDA grant for $500,000 to fund NFIs; SUPPLIES: 44,180 supplies (cost: $400,000) from KL warehouse; PEOPLE: Alex Mahoney onsite 3 weeks to coordinate OFDA NFIs distribution."/>
  </r>
  <r>
    <s v="2009-000209 - ASM; 2009-000210-WSM"/>
    <n v="235"/>
    <x v="228"/>
    <d v="2009-10-01T00:00:00"/>
    <x v="14"/>
    <n v="8"/>
    <s v="Q2"/>
    <x v="14"/>
    <n v="18"/>
    <x v="3"/>
    <s v="Samoa"/>
    <s v="Hydrometerological"/>
    <x v="16"/>
    <m/>
    <m/>
    <x v="62"/>
    <x v="1"/>
    <s v="IFRC"/>
    <x v="83"/>
    <s v="MDRWS001"/>
    <x v="71"/>
    <n v="0.25"/>
    <s v="Y"/>
    <n v="313729"/>
    <n v="5000"/>
    <m/>
    <n v="2500"/>
    <n v="1"/>
    <n v="100000"/>
    <m/>
    <m/>
    <m/>
    <n v="100000"/>
    <m/>
    <m/>
    <m/>
    <m/>
    <m/>
    <m/>
    <m/>
    <m/>
    <m/>
    <m/>
    <m/>
    <m/>
    <m/>
    <m/>
    <m/>
    <m/>
    <m/>
    <m/>
    <m/>
    <m/>
    <n v="100000"/>
    <m/>
    <m/>
    <m/>
    <x v="5"/>
    <x v="2"/>
    <m/>
    <m/>
    <m/>
    <m/>
    <n v="2799"/>
    <m/>
    <m/>
    <m/>
    <m/>
    <m/>
    <m/>
    <m/>
    <s v="Y"/>
    <m/>
    <m/>
    <m/>
    <m/>
    <s v="CASH: $100,000 PMN to Federation Appeal from Rapid Response Fund"/>
  </r>
  <r>
    <s v="FL-2009-000217-IND"/>
    <n v="236"/>
    <x v="33"/>
    <d v="2009-10-27T00:00:00"/>
    <x v="14"/>
    <n v="9"/>
    <s v="Q2"/>
    <x v="14"/>
    <n v="19"/>
    <x v="3"/>
    <s v="India"/>
    <s v="Hydrometerological"/>
    <x v="2"/>
    <m/>
    <m/>
    <x v="63"/>
    <x v="1"/>
    <s v="NS"/>
    <x v="84"/>
    <s v="MDRIN004"/>
    <x v="2"/>
    <m/>
    <s v="Y"/>
    <n v="51364"/>
    <n v="125000"/>
    <m/>
    <m/>
    <m/>
    <m/>
    <m/>
    <m/>
    <m/>
    <n v="0"/>
    <m/>
    <m/>
    <m/>
    <n v="7500"/>
    <s v="N"/>
    <m/>
    <m/>
    <m/>
    <m/>
    <m/>
    <n v="7500"/>
    <m/>
    <m/>
    <m/>
    <m/>
    <m/>
    <m/>
    <m/>
    <n v="190000"/>
    <m/>
    <n v="190000"/>
    <m/>
    <m/>
    <m/>
    <x v="171"/>
    <x v="1"/>
    <m/>
    <m/>
    <m/>
    <m/>
    <s v="2003/2695"/>
    <m/>
    <m/>
    <m/>
    <m/>
    <m/>
    <m/>
    <m/>
    <s v="N"/>
    <m/>
    <m/>
    <m/>
    <m/>
    <s v="SUPPLIES: In response to Indian RC national appeal, ARC locally procured approx 2,700 kitchen sets to deliver to Indian RC, using APs 2003 (India R &amp; D) and 2695 (TRP funds for Andra Pradesh DM) - this effectively closes out these APs ($190,000 spent total)"/>
  </r>
  <r>
    <s v="DR-2009-000197-KEN"/>
    <n v="237"/>
    <x v="229"/>
    <d v="2009-11-05T00:00:00"/>
    <x v="14"/>
    <n v="10"/>
    <s v="Q2"/>
    <x v="14"/>
    <n v="20"/>
    <x v="1"/>
    <s v="Kenya"/>
    <s v="Hydrometerological"/>
    <x v="1"/>
    <m/>
    <m/>
    <x v="64"/>
    <x v="1"/>
    <s v="IFRC"/>
    <x v="85"/>
    <s v="MDRKE009"/>
    <x v="72"/>
    <n v="0.06"/>
    <s v="Y"/>
    <n v="500000"/>
    <n v="1692428"/>
    <m/>
    <n v="21668"/>
    <n v="1"/>
    <n v="100000"/>
    <m/>
    <m/>
    <m/>
    <n v="100000"/>
    <m/>
    <m/>
    <m/>
    <m/>
    <m/>
    <m/>
    <m/>
    <m/>
    <m/>
    <m/>
    <m/>
    <m/>
    <m/>
    <m/>
    <m/>
    <m/>
    <m/>
    <m/>
    <m/>
    <m/>
    <n v="100000"/>
    <m/>
    <m/>
    <m/>
    <x v="5"/>
    <x v="2"/>
    <m/>
    <m/>
    <m/>
    <m/>
    <n v="2799"/>
    <m/>
    <m/>
    <m/>
    <m/>
    <m/>
    <m/>
    <m/>
    <s v="Y"/>
    <m/>
    <m/>
    <m/>
    <m/>
    <s v="CASH: $100,000 PMN to Federation Appeal from Rapid Response Fund earmarked for seeds."/>
  </r>
  <r>
    <s v="FL-2009-000206-HTI"/>
    <n v="238"/>
    <x v="120"/>
    <d v="2009-11-12T00:00:00"/>
    <x v="14"/>
    <n v="11"/>
    <s v="Q2"/>
    <x v="14"/>
    <n v="21"/>
    <x v="2"/>
    <s v="Haiti"/>
    <s v="Hydrometerological"/>
    <x v="2"/>
    <m/>
    <m/>
    <x v="65"/>
    <x v="2"/>
    <m/>
    <x v="0"/>
    <m/>
    <x v="0"/>
    <m/>
    <s v="Y"/>
    <n v="103918"/>
    <n v="2500"/>
    <s v="Y"/>
    <m/>
    <m/>
    <m/>
    <m/>
    <m/>
    <m/>
    <n v="0"/>
    <n v="1"/>
    <m/>
    <n v="1"/>
    <m/>
    <m/>
    <m/>
    <m/>
    <m/>
    <m/>
    <m/>
    <m/>
    <m/>
    <m/>
    <m/>
    <m/>
    <m/>
    <m/>
    <m/>
    <m/>
    <m/>
    <n v="0"/>
    <m/>
    <m/>
    <m/>
    <x v="7"/>
    <x v="1"/>
    <m/>
    <m/>
    <m/>
    <m/>
    <n v="2885"/>
    <m/>
    <m/>
    <m/>
    <m/>
    <m/>
    <m/>
    <m/>
    <s v="N"/>
    <m/>
    <m/>
    <m/>
    <m/>
    <s v="PEOPLE: John Manley deployed to Haiti NRC as a RIT for DREF operation."/>
  </r>
  <r>
    <s v="FL-2009-000238-SLV"/>
    <n v="239"/>
    <x v="230"/>
    <d v="2009-11-16T00:00:00"/>
    <x v="14"/>
    <n v="12"/>
    <s v="Q2"/>
    <x v="14"/>
    <n v="22"/>
    <x v="2"/>
    <s v="El Salvador"/>
    <s v="Hydrometerological"/>
    <x v="2"/>
    <m/>
    <m/>
    <x v="66"/>
    <x v="1"/>
    <s v="IFRC"/>
    <x v="86"/>
    <s v="MDRSV002"/>
    <x v="73"/>
    <n v="0.92"/>
    <s v="Y"/>
    <n v="180614"/>
    <n v="10000"/>
    <m/>
    <m/>
    <n v="1"/>
    <n v="243605"/>
    <m/>
    <m/>
    <m/>
    <n v="243605"/>
    <m/>
    <m/>
    <m/>
    <n v="1000"/>
    <s v="Y"/>
    <n v="500"/>
    <m/>
    <m/>
    <m/>
    <m/>
    <n v="500"/>
    <m/>
    <m/>
    <m/>
    <m/>
    <m/>
    <m/>
    <m/>
    <n v="31240"/>
    <m/>
    <n v="274845"/>
    <m/>
    <m/>
    <m/>
    <x v="172"/>
    <x v="1"/>
    <m/>
    <m/>
    <m/>
    <m/>
    <n v="2882"/>
    <m/>
    <m/>
    <m/>
    <m/>
    <m/>
    <s v="Y"/>
    <m/>
    <s v="N"/>
    <m/>
    <s v="UPS donated $50,000; ARCT Funds applied for as of 11/18/09"/>
    <s v="ARCT"/>
    <m/>
    <s v="CASH: $193,603 to Federation Appeal earmarked for transitional shelter; SUPPLIES: $24,500 in kitchen sets and hygiene kits. "/>
  </r>
  <r>
    <s v="EQ-2010-000009-HTI"/>
    <n v="240"/>
    <x v="231"/>
    <d v="2010-01-12T00:00:00"/>
    <x v="14"/>
    <n v="13"/>
    <s v="Q3"/>
    <x v="15"/>
    <n v="1"/>
    <x v="2"/>
    <s v="Haiti"/>
    <s v="Geophysical"/>
    <x v="3"/>
    <m/>
    <m/>
    <x v="8"/>
    <x v="1"/>
    <s v="IFRC"/>
    <x v="87"/>
    <s v="MDRHT008"/>
    <x v="74"/>
    <n v="0.94"/>
    <s v="Y"/>
    <n v="491265"/>
    <n v="400000"/>
    <m/>
    <m/>
    <n v="1"/>
    <n v="30000000"/>
    <n v="4377346.43"/>
    <m/>
    <m/>
    <m/>
    <n v="82"/>
    <s v=" IT/Telecoms; Relief ERU"/>
    <n v="85"/>
    <n v="5143307"/>
    <s v="Y"/>
    <m/>
    <m/>
    <m/>
    <m/>
    <m/>
    <m/>
    <m/>
    <m/>
    <m/>
    <m/>
    <m/>
    <m/>
    <m/>
    <n v="15266353"/>
    <m/>
    <n v="139611532"/>
    <n v="337000000"/>
    <m/>
    <m/>
    <x v="173"/>
    <x v="1"/>
    <m/>
    <m/>
    <m/>
    <m/>
    <n v="2888"/>
    <m/>
    <m/>
    <m/>
    <m/>
    <m/>
    <m/>
    <m/>
    <s v="N"/>
    <m/>
    <s v="various - notably online and text donations from individuals; telethons. "/>
    <s v="definitely!"/>
    <n v="476611532"/>
    <s v="As of June 30 2010: CASH &amp; SUPPLIES: See detailed donor report, mob table, etc. for specific amounts to Federation, amount spent, etc. Raised: $468 million. PEOPLE: 65+ deployed to Haiti, DR and PADRU: Relief and IT/Telecoms ERU deployed, and various delegates to Fed and ARC delegation in Haiti, to Fed at PADRU, to Fed logistics in Santo Domingo, DR, plus NHQ to backfill. See the Deployments History tab in this spreadsheet or the RAPs for list of all personnel deploying and roles. "/>
  </r>
  <r>
    <s v="FL-2009-000264-TZA"/>
    <n v="241"/>
    <x v="232"/>
    <d v="2010-01-25T00:00:00"/>
    <x v="14"/>
    <n v="14"/>
    <s v="Q3"/>
    <x v="15"/>
    <n v="2"/>
    <x v="1"/>
    <s v="Tanzania"/>
    <m/>
    <x v="2"/>
    <m/>
    <m/>
    <x v="31"/>
    <x v="1"/>
    <s v="IFRC"/>
    <x v="88"/>
    <s v="MDRTZ010"/>
    <x v="75"/>
    <n v="0.89"/>
    <s v="Y"/>
    <n v="313536"/>
    <n v="23000"/>
    <m/>
    <m/>
    <n v="1"/>
    <n v="200000"/>
    <m/>
    <m/>
    <m/>
    <n v="200000"/>
    <m/>
    <m/>
    <m/>
    <m/>
    <m/>
    <m/>
    <m/>
    <m/>
    <m/>
    <m/>
    <m/>
    <m/>
    <m/>
    <m/>
    <m/>
    <m/>
    <m/>
    <m/>
    <m/>
    <m/>
    <n v="200000"/>
    <m/>
    <m/>
    <m/>
    <x v="121"/>
    <x v="1"/>
    <m/>
    <m/>
    <m/>
    <m/>
    <n v="2869"/>
    <m/>
    <m/>
    <m/>
    <m/>
    <m/>
    <s v="Y"/>
    <m/>
    <s v="N"/>
    <m/>
    <s v="ARCT funds - $200,000"/>
    <s v="ARCT"/>
    <m/>
    <s v="CASH: Anne Ray Charitable Trust funds applied $200,000 towards water and sanitation equipment."/>
  </r>
  <r>
    <s v="EQ-2010-000034-CHL "/>
    <n v="242"/>
    <x v="233"/>
    <d v="2010-02-27T00:00:00"/>
    <x v="14"/>
    <n v="15"/>
    <s v="Q3"/>
    <x v="15"/>
    <n v="3"/>
    <x v="2"/>
    <s v="Chile"/>
    <m/>
    <x v="3"/>
    <m/>
    <m/>
    <x v="8"/>
    <x v="1"/>
    <s v="IFRC"/>
    <x v="89"/>
    <s v="MDRCL006"/>
    <x v="76"/>
    <n v="0.79"/>
    <s v="Y"/>
    <n v="279350"/>
    <n v="100000"/>
    <m/>
    <m/>
    <n v="1"/>
    <n v="500000"/>
    <m/>
    <n v="500000"/>
    <m/>
    <n v="1000000"/>
    <n v="2"/>
    <m/>
    <n v="2"/>
    <n v="6160"/>
    <s v="Y"/>
    <n v="1160"/>
    <m/>
    <n v="5000"/>
    <m/>
    <m/>
    <m/>
    <m/>
    <m/>
    <m/>
    <m/>
    <m/>
    <m/>
    <m/>
    <n v="96000"/>
    <m/>
    <n v="1096000"/>
    <n v="5304000"/>
    <m/>
    <m/>
    <x v="174"/>
    <x v="1"/>
    <m/>
    <m/>
    <m/>
    <m/>
    <n v="2896"/>
    <m/>
    <m/>
    <m/>
    <m/>
    <m/>
    <m/>
    <m/>
    <s v="N"/>
    <m/>
    <m/>
    <m/>
    <m/>
    <s v="CASH: $50,000 made available from IRF as initial response. $450,000 made available in subsequent week. SUPPLIES: 5,000 jerry cans; 1,160 hygiene kits. PEOPLE: Alvaro Garita  - Relief delegate, Gonzalo Aquino - Water and Sanitation  delegate."/>
  </r>
  <r>
    <s v="EQ-2010-000073-CHN"/>
    <n v="243"/>
    <x v="104"/>
    <d v="2010-04-10T00:00:00"/>
    <x v="14"/>
    <n v="16"/>
    <s v="Q4"/>
    <x v="15"/>
    <n v="4"/>
    <x v="3"/>
    <s v="China"/>
    <m/>
    <x v="3"/>
    <m/>
    <m/>
    <x v="60"/>
    <x v="1"/>
    <s v="NS"/>
    <x v="0"/>
    <m/>
    <x v="0"/>
    <m/>
    <m/>
    <m/>
    <s v="tbd"/>
    <m/>
    <m/>
    <m/>
    <n v="0"/>
    <m/>
    <n v="500000"/>
    <m/>
    <n v="500000"/>
    <m/>
    <m/>
    <m/>
    <m/>
    <m/>
    <m/>
    <n v="198970"/>
    <m/>
    <m/>
    <m/>
    <m/>
    <m/>
    <m/>
    <m/>
    <m/>
    <m/>
    <m/>
    <m/>
    <m/>
    <m/>
    <n v="500000"/>
    <m/>
    <n v="500000"/>
    <m/>
    <x v="175"/>
    <x v="1"/>
    <m/>
    <m/>
    <m/>
    <m/>
    <n v="2571"/>
    <m/>
    <m/>
    <m/>
    <m/>
    <m/>
    <m/>
    <m/>
    <s v="N"/>
    <m/>
    <m/>
    <m/>
    <m/>
    <s v="National Society has issued it own appeal. ARC decided to contribute $500,000 after June 30 2010.  An additional $500,000 will go to future community disaster preparedness."/>
  </r>
  <r>
    <s v="CW-2010-000010-MNG"/>
    <n v="244"/>
    <x v="234"/>
    <d v="2010-05-10T00:00:00"/>
    <x v="14"/>
    <n v="17"/>
    <s v="Q4"/>
    <x v="15"/>
    <n v="5"/>
    <x v="3"/>
    <s v="Mongolia"/>
    <m/>
    <x v="21"/>
    <m/>
    <m/>
    <x v="67"/>
    <x v="1"/>
    <s v="IFRC"/>
    <x v="90"/>
    <s v="    MDRMN004"/>
    <x v="77"/>
    <n v="0.35"/>
    <s v="Y"/>
    <n v="93924"/>
    <n v="13600"/>
    <m/>
    <m/>
    <n v="1"/>
    <n v="145000"/>
    <m/>
    <m/>
    <m/>
    <n v="145000"/>
    <m/>
    <m/>
    <m/>
    <m/>
    <m/>
    <m/>
    <m/>
    <m/>
    <m/>
    <m/>
    <m/>
    <m/>
    <m/>
    <m/>
    <m/>
    <m/>
    <m/>
    <m/>
    <m/>
    <m/>
    <n v="145000"/>
    <m/>
    <m/>
    <m/>
    <x v="176"/>
    <x v="1"/>
    <m/>
    <m/>
    <m/>
    <m/>
    <n v="2869"/>
    <m/>
    <m/>
    <m/>
    <m/>
    <m/>
    <s v="Y"/>
    <m/>
    <s v="N"/>
    <m/>
    <s v="ARCT"/>
    <s v="ARCT"/>
    <m/>
    <s v="CASH: $145,000 contribution made to Federation appeal from Anne Ray Charitable Trust (ARCT) funds"/>
  </r>
  <r>
    <m/>
    <n v="245"/>
    <x v="235"/>
    <d v="2010-05-20T00:00:00"/>
    <x v="14"/>
    <n v="18"/>
    <s v="Q4"/>
    <x v="15"/>
    <n v="6"/>
    <x v="3"/>
    <s v="Nepal"/>
    <m/>
    <x v="11"/>
    <m/>
    <m/>
    <x v="68"/>
    <x v="1"/>
    <s v="IFRC"/>
    <x v="91"/>
    <m/>
    <x v="78"/>
    <m/>
    <s v="Y"/>
    <n v="179855"/>
    <n v="189000"/>
    <m/>
    <m/>
    <n v="1"/>
    <n v="50000"/>
    <m/>
    <m/>
    <m/>
    <n v="50000"/>
    <m/>
    <m/>
    <m/>
    <m/>
    <m/>
    <m/>
    <m/>
    <m/>
    <m/>
    <m/>
    <m/>
    <m/>
    <m/>
    <m/>
    <m/>
    <m/>
    <m/>
    <m/>
    <m/>
    <m/>
    <n v="50000"/>
    <m/>
    <m/>
    <m/>
    <x v="16"/>
    <x v="2"/>
    <m/>
    <m/>
    <m/>
    <m/>
    <n v="2799"/>
    <m/>
    <m/>
    <m/>
    <m/>
    <m/>
    <m/>
    <m/>
    <s v="Y"/>
    <m/>
    <m/>
    <m/>
    <m/>
    <s v="CASH: $50,000 towards Federation appeal."/>
  </r>
  <r>
    <s v="TC-2010-000105-GTM"/>
    <n v="246"/>
    <x v="236"/>
    <d v="2010-06-01T00:00:00"/>
    <x v="14"/>
    <n v="19"/>
    <s v="Q4"/>
    <x v="15"/>
    <n v="7"/>
    <x v="2"/>
    <s v="Guatemala"/>
    <m/>
    <x v="17"/>
    <m/>
    <m/>
    <x v="69"/>
    <x v="1"/>
    <s v="IFRC"/>
    <x v="92"/>
    <s v="MDRGT002"/>
    <x v="79"/>
    <m/>
    <s v="Y"/>
    <n v="307254"/>
    <n v="7500"/>
    <m/>
    <n v="1250"/>
    <n v="1"/>
    <n v="100000"/>
    <m/>
    <m/>
    <m/>
    <n v="100000"/>
    <m/>
    <m/>
    <m/>
    <n v="9900"/>
    <s v="Y"/>
    <n v="1000"/>
    <n v="7500"/>
    <n v="900"/>
    <m/>
    <m/>
    <n v="500"/>
    <m/>
    <m/>
    <m/>
    <m/>
    <m/>
    <m/>
    <m/>
    <n v="80000"/>
    <m/>
    <n v="180000"/>
    <m/>
    <m/>
    <m/>
    <x v="177"/>
    <x v="2"/>
    <m/>
    <m/>
    <m/>
    <m/>
    <n v="2799"/>
    <m/>
    <m/>
    <m/>
    <m/>
    <m/>
    <m/>
    <m/>
    <s v="Y"/>
    <m/>
    <m/>
    <m/>
    <m/>
    <s v="CASH: $100,000 to Federation appeal. SUPPLIES: $80,000 in relief supplies from PADRU."/>
  </r>
  <r>
    <s v="OT-2010-000113-KGZ"/>
    <n v="247"/>
    <x v="237"/>
    <d v="2010-06-01T00:00:00"/>
    <x v="14"/>
    <n v="20"/>
    <s v="Q4"/>
    <x v="15"/>
    <n v="8"/>
    <x v="3"/>
    <s v="Kyrgyzstan"/>
    <m/>
    <x v="8"/>
    <m/>
    <m/>
    <x v="70"/>
    <x v="1"/>
    <s v="ICRC /IFRC"/>
    <x v="93"/>
    <s v="MDRUZ002"/>
    <x v="80"/>
    <m/>
    <s v="Y"/>
    <n v="269348"/>
    <n v="124000"/>
    <m/>
    <m/>
    <n v="1"/>
    <n v="50000"/>
    <n v="50000"/>
    <m/>
    <m/>
    <n v="100000"/>
    <m/>
    <m/>
    <m/>
    <m/>
    <m/>
    <m/>
    <m/>
    <m/>
    <m/>
    <m/>
    <m/>
    <m/>
    <m/>
    <m/>
    <m/>
    <m/>
    <m/>
    <m/>
    <m/>
    <m/>
    <n v="100000"/>
    <m/>
    <m/>
    <m/>
    <x v="5"/>
    <x v="1"/>
    <m/>
    <m/>
    <m/>
    <m/>
    <s v="2955/2799"/>
    <m/>
    <m/>
    <m/>
    <m/>
    <m/>
    <m/>
    <m/>
    <s v="Y"/>
    <m/>
    <m/>
    <m/>
    <m/>
    <s v="CASH: $50,000 to ICRC Kyrgyzstan appeal; $50,000 to IFRC Kyrgyzstan appeal; $100,000 to IFRC Uzbekistan appeal (this amount from GM donation). "/>
  </r>
  <r>
    <s v="OT-2010-000113-KGZ"/>
    <n v="247"/>
    <x v="237"/>
    <d v="2010-06-01T00:00:00"/>
    <x v="14"/>
    <n v="20"/>
    <s v="Q4"/>
    <x v="15"/>
    <n v="8"/>
    <x v="3"/>
    <s v="Uzbekistan"/>
    <m/>
    <x v="8"/>
    <m/>
    <m/>
    <x v="0"/>
    <x v="1"/>
    <s v="IFRC"/>
    <x v="94"/>
    <s v="MDRKG007"/>
    <x v="81"/>
    <m/>
    <m/>
    <m/>
    <n v="5265"/>
    <m/>
    <m/>
    <n v="1"/>
    <n v="100000"/>
    <m/>
    <m/>
    <m/>
    <n v="100000"/>
    <m/>
    <m/>
    <m/>
    <m/>
    <m/>
    <m/>
    <m/>
    <m/>
    <m/>
    <m/>
    <m/>
    <m/>
    <m/>
    <m/>
    <m/>
    <m/>
    <m/>
    <m/>
    <m/>
    <m/>
    <n v="100000"/>
    <m/>
    <m/>
    <m/>
    <x v="5"/>
    <x v="1"/>
    <m/>
    <m/>
    <m/>
    <m/>
    <s v="2955/2799"/>
    <m/>
    <m/>
    <m/>
    <m/>
    <m/>
    <m/>
    <m/>
    <s v="Y"/>
    <m/>
    <m/>
    <m/>
    <m/>
    <s v="see above"/>
  </r>
  <r>
    <s v="FL-2010-00141-PAK"/>
    <n v="248"/>
    <x v="238"/>
    <d v="2010-08-02T00:00:00"/>
    <x v="15"/>
    <n v="1"/>
    <s v="Q1"/>
    <x v="15"/>
    <n v="9"/>
    <x v="3"/>
    <s v="Pakistan"/>
    <m/>
    <x v="2"/>
    <m/>
    <m/>
    <x v="71"/>
    <x v="1"/>
    <s v="IFRC &amp; ICRC"/>
    <x v="95"/>
    <s v="MDRPK006"/>
    <x v="82"/>
    <m/>
    <s v="Y"/>
    <n v="239406"/>
    <n v="2600000"/>
    <m/>
    <m/>
    <n v="1"/>
    <n v="4100000"/>
    <m/>
    <m/>
    <m/>
    <n v="4850000"/>
    <n v="2"/>
    <m/>
    <n v="2"/>
    <n v="99900"/>
    <s v="Y"/>
    <m/>
    <n v="35000"/>
    <n v="15000"/>
    <n v="3650"/>
    <m/>
    <n v="10000"/>
    <m/>
    <n v="20000"/>
    <m/>
    <n v="10000"/>
    <m/>
    <n v="6250"/>
    <m/>
    <n v="824977"/>
    <m/>
    <n v="5674977"/>
    <n v="2525023"/>
    <m/>
    <m/>
    <x v="178"/>
    <x v="1"/>
    <m/>
    <m/>
    <m/>
    <m/>
    <n v="2799"/>
    <m/>
    <n v="2699"/>
    <m/>
    <m/>
    <m/>
    <m/>
    <m/>
    <s v="Y"/>
    <m/>
    <m/>
    <m/>
    <m/>
    <s v="CASH: $100,000 PMN to Federation Appeal from AP2799/RRF - not to be replenished; $3,000,000 ($3M) PMN to Federation Appeal from AP2699 earmarked for relief &amp; emergency shelter;  $300,000 PMN to Federation Appeal from AP 2699 earmarked for relief &amp; emergency shelter; $700,000 PMN to Federation Appeal from AP2699 earmarked for relief; $1,000,000 allocated to contribution to the Measles Initiative, recipient organization TBD._x000a_SUPPLIES: Relief supplies from both KL and Dubai warehouses - emptied both - approx $1M total including transport; PEOPLE: Robin Younger and Christophe Lobry-Boulanger deployed fro Relief coordination cell to PRCS support. Raj Zafar was used from Federation Delegation for surge support for  Federation in Islamabad._x000a_$8.2M raised - remainder put into 'early recovery' column"/>
  </r>
  <r>
    <m/>
    <n v="249"/>
    <x v="6"/>
    <d v="2010-10-01T00:00:00"/>
    <x v="15"/>
    <n v="2"/>
    <s v="Q2"/>
    <x v="15"/>
    <n v="10"/>
    <x v="2"/>
    <s v="Mexico"/>
    <m/>
    <x v="2"/>
    <m/>
    <m/>
    <x v="21"/>
    <x v="2"/>
    <m/>
    <x v="0"/>
    <m/>
    <x v="0"/>
    <m/>
    <s v="N"/>
    <m/>
    <m/>
    <s v="Y"/>
    <n v="50000"/>
    <m/>
    <m/>
    <m/>
    <n v="200000"/>
    <m/>
    <n v="200000"/>
    <m/>
    <m/>
    <m/>
    <m/>
    <m/>
    <m/>
    <m/>
    <m/>
    <m/>
    <m/>
    <m/>
    <m/>
    <m/>
    <m/>
    <m/>
    <m/>
    <m/>
    <m/>
    <m/>
    <m/>
    <n v="200000"/>
    <m/>
    <m/>
    <m/>
    <x v="121"/>
    <x v="2"/>
    <m/>
    <m/>
    <m/>
    <m/>
    <s v="2869/ARCT"/>
    <m/>
    <m/>
    <m/>
    <m/>
    <m/>
    <s v="Y"/>
    <m/>
    <s v="N"/>
    <m/>
    <s v="ARCT funds - $200,000"/>
    <s v="ARCT"/>
    <m/>
    <s v="CASH: $200,000 bilateral contribution/grant letter to Mexican Red Cross for relief - paid by ARCT funds."/>
  </r>
  <r>
    <s v="FL-2010-00194-VNM"/>
    <n v="250"/>
    <x v="21"/>
    <d v="2010-10-18T00:00:00"/>
    <x v="15"/>
    <n v="3"/>
    <s v="Q2"/>
    <x v="15"/>
    <n v="11"/>
    <x v="3"/>
    <s v="Vietnam"/>
    <m/>
    <x v="2"/>
    <m/>
    <m/>
    <x v="72"/>
    <x v="1"/>
    <s v="IFRC"/>
    <x v="96"/>
    <s v="MDRVN007"/>
    <x v="83"/>
    <m/>
    <s v="Y"/>
    <n v="160853"/>
    <n v="120000"/>
    <m/>
    <m/>
    <m/>
    <n v="30000"/>
    <m/>
    <m/>
    <m/>
    <n v="30000"/>
    <m/>
    <m/>
    <m/>
    <m/>
    <m/>
    <m/>
    <m/>
    <m/>
    <m/>
    <m/>
    <m/>
    <m/>
    <m/>
    <m/>
    <m/>
    <m/>
    <m/>
    <m/>
    <m/>
    <m/>
    <n v="30000"/>
    <m/>
    <m/>
    <m/>
    <x v="163"/>
    <x v="2"/>
    <m/>
    <m/>
    <m/>
    <m/>
    <n v="2799"/>
    <m/>
    <m/>
    <m/>
    <m/>
    <m/>
    <m/>
    <m/>
    <s v="Y"/>
    <m/>
    <m/>
    <m/>
    <m/>
    <s v="CASH: $30,000 PMN to Federation Appeal from 2799 (RRF) earmarked for relief."/>
  </r>
  <r>
    <s v="EP-2010-000210-HTI"/>
    <n v="251"/>
    <x v="239"/>
    <d v="2010-10-24T00:00:00"/>
    <x v="15"/>
    <n v="4"/>
    <s v="Q2"/>
    <x v="15"/>
    <n v="12"/>
    <x v="2"/>
    <s v="Haiti"/>
    <m/>
    <x v="11"/>
    <m/>
    <m/>
    <x v="0"/>
    <x v="1"/>
    <s v="IFRC"/>
    <x v="97"/>
    <s v="MDR49007"/>
    <x v="84"/>
    <m/>
    <s v="Y"/>
    <n v="80618"/>
    <n v="1500000"/>
    <m/>
    <m/>
    <n v="1"/>
    <n v="2166133"/>
    <m/>
    <m/>
    <m/>
    <n v="2320081"/>
    <m/>
    <m/>
    <m/>
    <m/>
    <m/>
    <m/>
    <m/>
    <m/>
    <m/>
    <m/>
    <m/>
    <m/>
    <m/>
    <m/>
    <m/>
    <m/>
    <m/>
    <m/>
    <n v="694910"/>
    <m/>
    <n v="16068357"/>
    <m/>
    <m/>
    <m/>
    <x v="179"/>
    <x v="1"/>
    <s v="P"/>
    <m/>
    <m/>
    <m/>
    <n v="2888"/>
    <m/>
    <m/>
    <m/>
    <m/>
    <m/>
    <m/>
    <m/>
    <s v="N"/>
    <m/>
    <m/>
    <m/>
    <m/>
    <s v="Spent figure directly from HAP as of May 2011. ARC committed to spend $14 million on Cholera. See HAP for additional details._x000a_CASH: $566,133 PMN to Federation Appeal: $537,500 earmarked for Haiti AP2888; $28,634 earmarked for Dominican Republic from AP2884; $1.6 million PMN for relief supplies; Funding transportation/flights of supplies for Partners in Health etc. Funding supplies, etc._x000a_SUPPLIES:Hygiene promotion, soap, oral rehydration salts, water tablets and chlorine for water purification, 5,000 Cots for medical facilities, Transport of medical supplies, vehicle for Haitian Red Cross. _x000a_PEOPLE: 6 ARC Haiti staff deployed for Red Cross Emergency Response Teams for Cholera outbreak in northern Haiti. _x000a_See latest response report and RAP for full details of items provided. "/>
  </r>
  <r>
    <s v="EP-2010-000210-HTI"/>
    <n v="251"/>
    <x v="239"/>
    <d v="2010-10-24T00:00:00"/>
    <x v="15"/>
    <n v="4"/>
    <s v="Q2"/>
    <x v="15"/>
    <n v="12"/>
    <x v="2"/>
    <s v="Dominican Republic"/>
    <m/>
    <x v="0"/>
    <m/>
    <m/>
    <x v="0"/>
    <x v="0"/>
    <m/>
    <x v="0"/>
    <m/>
    <x v="0"/>
    <m/>
    <m/>
    <m/>
    <m/>
    <m/>
    <m/>
    <m/>
    <m/>
    <m/>
    <m/>
    <m/>
    <m/>
    <m/>
    <m/>
    <m/>
    <m/>
    <m/>
    <m/>
    <m/>
    <m/>
    <m/>
    <m/>
    <m/>
    <m/>
    <m/>
    <m/>
    <m/>
    <m/>
    <m/>
    <m/>
    <m/>
    <m/>
    <m/>
    <m/>
    <m/>
    <m/>
    <x v="152"/>
    <x v="0"/>
    <m/>
    <m/>
    <m/>
    <m/>
    <m/>
    <m/>
    <m/>
    <m/>
    <m/>
    <m/>
    <m/>
    <m/>
    <m/>
    <m/>
    <m/>
    <m/>
    <m/>
    <m/>
  </r>
  <r>
    <s v="TC-2010-000205-PHL"/>
    <n v="252"/>
    <x v="240"/>
    <d v="2010-10-26T00:00:00"/>
    <x v="15"/>
    <n v="5"/>
    <s v="Q2"/>
    <x v="15"/>
    <n v="13"/>
    <x v="3"/>
    <s v="Philippines"/>
    <m/>
    <x v="17"/>
    <m/>
    <m/>
    <x v="8"/>
    <x v="1"/>
    <s v="IFRC"/>
    <x v="98"/>
    <s v="MDRPH006"/>
    <x v="85"/>
    <m/>
    <s v="Y"/>
    <n v="214855"/>
    <n v="60000"/>
    <m/>
    <m/>
    <m/>
    <n v="30000"/>
    <m/>
    <m/>
    <m/>
    <n v="30000"/>
    <m/>
    <m/>
    <m/>
    <m/>
    <m/>
    <m/>
    <m/>
    <m/>
    <m/>
    <m/>
    <m/>
    <m/>
    <m/>
    <m/>
    <m/>
    <m/>
    <m/>
    <m/>
    <m/>
    <m/>
    <n v="30000"/>
    <m/>
    <m/>
    <m/>
    <x v="163"/>
    <x v="2"/>
    <m/>
    <m/>
    <m/>
    <m/>
    <n v="2032"/>
    <n v="30000"/>
    <m/>
    <m/>
    <m/>
    <m/>
    <m/>
    <m/>
    <s v="N"/>
    <m/>
    <m/>
    <m/>
    <m/>
    <s v="CASH: $30,000 PMN to Federation Appeal from 2032 earmarked for relief distribution."/>
  </r>
  <r>
    <s v="EQ-2010-000213-IDN &amp; VO-2010-000214-IDN"/>
    <n v="253"/>
    <x v="241"/>
    <d v="2010-11-08T00:00:00"/>
    <x v="15"/>
    <n v="6"/>
    <s v="Q2"/>
    <x v="15"/>
    <n v="14"/>
    <x v="3"/>
    <s v="Indonesia"/>
    <m/>
    <x v="22"/>
    <m/>
    <m/>
    <x v="73"/>
    <x v="1"/>
    <s v="IFRC"/>
    <x v="99"/>
    <s v="MDRID006"/>
    <x v="86"/>
    <m/>
    <s v="Y"/>
    <m/>
    <n v="25000"/>
    <m/>
    <m/>
    <n v="1"/>
    <n v="50000"/>
    <m/>
    <m/>
    <m/>
    <n v="50000"/>
    <m/>
    <m/>
    <m/>
    <m/>
    <m/>
    <m/>
    <m/>
    <m/>
    <m/>
    <m/>
    <m/>
    <m/>
    <m/>
    <m/>
    <m/>
    <m/>
    <m/>
    <m/>
    <m/>
    <m/>
    <n v="50000"/>
    <m/>
    <m/>
    <m/>
    <x v="16"/>
    <x v="2"/>
    <m/>
    <m/>
    <m/>
    <m/>
    <n v="2799"/>
    <m/>
    <m/>
    <m/>
    <m/>
    <m/>
    <m/>
    <m/>
    <s v="Y"/>
    <m/>
    <m/>
    <m/>
    <m/>
    <s v="CASH: $50,000 PMN to Federation Appeal from 2799 earmarked for relief."/>
  </r>
  <r>
    <s v="TC-2010-000216-BRB/LCA/VCT"/>
    <n v="254"/>
    <x v="242"/>
    <d v="2010-11-03T00:00:00"/>
    <x v="15"/>
    <n v="7"/>
    <s v="Q2"/>
    <x v="15"/>
    <n v="15"/>
    <x v="2"/>
    <s v="Saint Lucia/ Saint Vincent and the Grenadines/ Barbados "/>
    <m/>
    <x v="17"/>
    <m/>
    <m/>
    <x v="74"/>
    <x v="1"/>
    <s v="IFRC"/>
    <x v="100"/>
    <s v="MDR49006"/>
    <x v="87"/>
    <m/>
    <m/>
    <m/>
    <n v="7500"/>
    <m/>
    <m/>
    <n v="1"/>
    <n v="145000"/>
    <m/>
    <m/>
    <m/>
    <n v="145000"/>
    <n v="6"/>
    <m/>
    <n v="6"/>
    <m/>
    <m/>
    <m/>
    <m/>
    <m/>
    <m/>
    <m/>
    <m/>
    <m/>
    <m/>
    <m/>
    <m/>
    <m/>
    <m/>
    <m/>
    <m/>
    <m/>
    <n v="145000"/>
    <m/>
    <m/>
    <m/>
    <x v="176"/>
    <x v="2"/>
    <m/>
    <m/>
    <m/>
    <m/>
    <n v="2799"/>
    <m/>
    <m/>
    <m/>
    <m/>
    <m/>
    <m/>
    <m/>
    <s v="Y"/>
    <m/>
    <m/>
    <m/>
    <m/>
    <s v="CASH: $75,000 PMN to Federation Appeal from 2799 earmarked for relief. $70,000 PMN to Federation appeal earmarked for relief supplies for St. Lucia (see RAP). PEOPLE: Six bilateral staff from ARC Haiti office deployed on Federation Emergency Response Teams."/>
  </r>
  <r>
    <m/>
    <n v="255"/>
    <x v="243"/>
    <d v="2010-11-09T00:00:00"/>
    <x v="15"/>
    <n v="8"/>
    <s v="Q2"/>
    <x v="15"/>
    <n v="16"/>
    <x v="2"/>
    <s v="Belize"/>
    <m/>
    <x v="17"/>
    <m/>
    <m/>
    <x v="0"/>
    <x v="2"/>
    <m/>
    <x v="0"/>
    <s v="MDRBZ002"/>
    <x v="0"/>
    <m/>
    <s v="Y"/>
    <n v="56303"/>
    <m/>
    <m/>
    <n v="4639"/>
    <m/>
    <m/>
    <m/>
    <n v="80000"/>
    <m/>
    <n v="80000"/>
    <n v="1"/>
    <m/>
    <n v="1"/>
    <m/>
    <m/>
    <m/>
    <m/>
    <m/>
    <m/>
    <m/>
    <m/>
    <m/>
    <m/>
    <m/>
    <m/>
    <m/>
    <m/>
    <m/>
    <m/>
    <m/>
    <n v="80000"/>
    <m/>
    <m/>
    <m/>
    <x v="9"/>
    <x v="2"/>
    <m/>
    <m/>
    <m/>
    <m/>
    <n v="2799"/>
    <m/>
    <m/>
    <m/>
    <m/>
    <m/>
    <m/>
    <m/>
    <s v="Y"/>
    <m/>
    <m/>
    <m/>
    <m/>
    <s v="CASH: $80,000 bilateral contribution by grant letter to Belize Red Cross earmarked for emergency shelter. _x000a_PEOPLE: Laura Havesi deployed for emergency shelter support and cash voucher program."/>
  </r>
  <r>
    <s v="EQ-2010-000251-CRI"/>
    <n v="256"/>
    <x v="7"/>
    <d v="2010-11-10T00:00:00"/>
    <x v="15"/>
    <n v="9"/>
    <s v="Q2"/>
    <x v="15"/>
    <n v="17"/>
    <x v="2"/>
    <s v="Costa Rica"/>
    <m/>
    <x v="2"/>
    <m/>
    <m/>
    <x v="75"/>
    <x v="2"/>
    <m/>
    <x v="0"/>
    <m/>
    <x v="0"/>
    <m/>
    <s v="Y"/>
    <n v="123611"/>
    <n v="1000"/>
    <s v="Y"/>
    <m/>
    <m/>
    <m/>
    <m/>
    <n v="322330"/>
    <m/>
    <n v="322330"/>
    <m/>
    <m/>
    <m/>
    <m/>
    <m/>
    <m/>
    <m/>
    <m/>
    <m/>
    <m/>
    <m/>
    <m/>
    <m/>
    <m/>
    <m/>
    <m/>
    <m/>
    <m/>
    <m/>
    <m/>
    <n v="322330"/>
    <m/>
    <m/>
    <m/>
    <x v="180"/>
    <x v="1"/>
    <m/>
    <m/>
    <m/>
    <m/>
    <s v="2760 OFDA "/>
    <m/>
    <m/>
    <m/>
    <m/>
    <m/>
    <m/>
    <s v="Y"/>
    <s v="N"/>
    <m/>
    <s v="OFDA"/>
    <m/>
    <m/>
    <s v="CASH: OFDA grant for $322,330 for distribution of relief supplies; small cash transfer program; disaster risk reduction workshops  "/>
  </r>
  <r>
    <s v="FL-2010-000076-COL"/>
    <n v="257"/>
    <x v="244"/>
    <d v="2010-12-16T00:00:00"/>
    <x v="15"/>
    <n v="10"/>
    <s v="Q2"/>
    <x v="15"/>
    <n v="18"/>
    <x v="2"/>
    <s v="Colombia"/>
    <m/>
    <x v="2"/>
    <m/>
    <m/>
    <x v="6"/>
    <x v="1"/>
    <s v="IFRC"/>
    <x v="101"/>
    <s v="MDRCO008"/>
    <x v="88"/>
    <m/>
    <s v="Y"/>
    <n v="64807"/>
    <n v="71500"/>
    <m/>
    <n v="1500"/>
    <n v="1"/>
    <n v="80000"/>
    <m/>
    <n v="120000"/>
    <m/>
    <n v="200000"/>
    <m/>
    <m/>
    <m/>
    <n v="6000"/>
    <s v="Y"/>
    <m/>
    <m/>
    <m/>
    <m/>
    <m/>
    <m/>
    <m/>
    <n v="6000"/>
    <m/>
    <m/>
    <m/>
    <m/>
    <m/>
    <n v="40000"/>
    <m/>
    <n v="240000"/>
    <m/>
    <m/>
    <m/>
    <x v="181"/>
    <x v="1"/>
    <s v="C"/>
    <m/>
    <m/>
    <m/>
    <n v="2799"/>
    <m/>
    <n v="2025"/>
    <n v="155000"/>
    <m/>
    <m/>
    <m/>
    <m/>
    <s v="Y"/>
    <m/>
    <s v="Dow - $120,000; Merck - $10,000; Citigroup - $25,000. "/>
    <m/>
    <m/>
    <s v="SUPPLIES: IFRC mob table contribution: 6,000 mosquito nets @ $40,000; CASH: $80,000 cash pledge to Federation appeal - MDRCO008 earmarked for NFIs for relief distribution; Bilateral $120,000 bilateral contribution for health and DRR programming. "/>
  </r>
  <r>
    <s v="FL-2010-000225-PAN"/>
    <n v="258"/>
    <x v="80"/>
    <d v="2010-11-30T00:00:00"/>
    <x v="15"/>
    <n v="11"/>
    <s v="Q2"/>
    <x v="15"/>
    <n v="19"/>
    <x v="2"/>
    <s v="Panama"/>
    <m/>
    <x v="2"/>
    <m/>
    <m/>
    <x v="76"/>
    <x v="1"/>
    <s v="IFRC"/>
    <x v="102"/>
    <s v="MDRPA007"/>
    <x v="2"/>
    <m/>
    <s v="Y"/>
    <n v="82608"/>
    <n v="10225"/>
    <m/>
    <n v="300"/>
    <m/>
    <m/>
    <m/>
    <m/>
    <m/>
    <m/>
    <m/>
    <m/>
    <m/>
    <n v="1714"/>
    <s v="Y"/>
    <n v="214"/>
    <n v="1500"/>
    <m/>
    <m/>
    <m/>
    <m/>
    <m/>
    <m/>
    <m/>
    <m/>
    <m/>
    <m/>
    <m/>
    <n v="9812"/>
    <m/>
    <n v="9812"/>
    <m/>
    <m/>
    <m/>
    <x v="182"/>
    <x v="2"/>
    <m/>
    <m/>
    <m/>
    <m/>
    <n v="2799"/>
    <m/>
    <m/>
    <m/>
    <m/>
    <m/>
    <m/>
    <m/>
    <s v="Y"/>
    <m/>
    <m/>
    <m/>
    <m/>
    <s v="SUPPPLIES: 1,500 blankets and 214 hygiene kits at $9,812 from PADRU."/>
  </r>
  <r>
    <s v="OT-2011-000025-TUN/LBY/EGY"/>
    <n v="259"/>
    <x v="245"/>
    <d v="2011-02-28T00:00:00"/>
    <x v="15"/>
    <n v="12"/>
    <s v="Q3"/>
    <x v="16"/>
    <n v="1"/>
    <x v="3"/>
    <s v="Tunisia"/>
    <m/>
    <x v="19"/>
    <m/>
    <m/>
    <x v="0"/>
    <x v="1"/>
    <s v="IFRC &amp; ICRC"/>
    <x v="103"/>
    <s v="MDR82001 &amp; REX2011/114"/>
    <x v="89"/>
    <m/>
    <s v="Y"/>
    <n v="431000"/>
    <n v="306000"/>
    <m/>
    <m/>
    <n v="1"/>
    <n v="297270"/>
    <n v="100000"/>
    <m/>
    <m/>
    <n v="397270"/>
    <n v="5"/>
    <m/>
    <m/>
    <n v="1500"/>
    <s v="Y"/>
    <m/>
    <m/>
    <m/>
    <m/>
    <m/>
    <m/>
    <m/>
    <m/>
    <m/>
    <n v="1500"/>
    <m/>
    <m/>
    <m/>
    <n v="43000"/>
    <m/>
    <n v="440270"/>
    <m/>
    <m/>
    <m/>
    <x v="183"/>
    <x v="1"/>
    <s v="P"/>
    <n v="154218"/>
    <m/>
    <m/>
    <s v="2869/ARCT"/>
    <m/>
    <n v="2010"/>
    <m/>
    <n v="2799"/>
    <s v="FACT deployment expenses"/>
    <s v="Y"/>
    <m/>
    <s v="N"/>
    <m/>
    <s v="Online designation on redcross.org.  An overwhelming majority of the $150k funds raised were through the online designation. ARCT/ 2869; AP 2010, Middle East R&amp;D – revenue;  2099, IRF – 100k to ICRC (replenished by 2010); 2799, RRF – FACT deployment expenses + PMN for Syria"/>
    <m/>
    <s v="TUNISIA: People Displaced by Conflict   Soon after violence broke out in Libya in February 2011, hundreds of thousands of people fled to neighboring countries, with the greatest number arriving in Tunisia. Along the border, Red Crescent volunteers greeted the initial droves of migrant workers and provided them with first aid, shelter, food, blankets, clean water, sanitation services, and phone calls to loved ones until they could make arrangements to return to their homelands. To support these efforts, the American Red Cross also led teams of Red Cross and Red Crescent workers from around the world to build and support a tent community in Tunisia for families escaping the violence across the border and provided $300,000 in assistance for the operation."/>
    <s v="CASH: 1) $100,000 to ICRC earmarked for Tunisia from AP2010; PMN for $162,270 earmarked for locally procured supplies by AP2869/ARCT; 2) $135,000 PMN from AP 2799 for $44,000 and AP 2831/ ARCT for $91,000 earmarked for Syria for local procurement of food parcels. SUPPLIES:1500 tarps from Dubai warehouse as of March 2011; PEOPLE: Deployed for FACT team members: Langdon Greenhalgh, FACT team leader; Marian Spivey-Estrada, FACT Info &amp; Reporting; Colin Chaperon, FACT relief coordinator; Gina Guinta, FACT Info &amp; Reporting - 2nd round; Laura Hevesi FACT relief coordinator."/>
  </r>
  <r>
    <s v="EQ-2011-000024-NZL"/>
    <n v="260"/>
    <x v="246"/>
    <d v="2011-02-23T00:00:00"/>
    <x v="15"/>
    <n v="13"/>
    <s v="Q3"/>
    <x v="16"/>
    <n v="2"/>
    <x v="3"/>
    <s v="New Zealand"/>
    <m/>
    <x v="3"/>
    <m/>
    <m/>
    <x v="0"/>
    <x v="2"/>
    <m/>
    <x v="0"/>
    <m/>
    <x v="0"/>
    <m/>
    <m/>
    <m/>
    <n v="47800"/>
    <s v="Y"/>
    <m/>
    <m/>
    <m/>
    <m/>
    <n v="826450"/>
    <m/>
    <n v="826450"/>
    <m/>
    <m/>
    <m/>
    <m/>
    <m/>
    <m/>
    <m/>
    <m/>
    <m/>
    <m/>
    <m/>
    <m/>
    <m/>
    <m/>
    <m/>
    <m/>
    <m/>
    <m/>
    <m/>
    <m/>
    <n v="826450"/>
    <m/>
    <m/>
    <m/>
    <x v="184"/>
    <x v="1"/>
    <s v="P"/>
    <n v="898367"/>
    <d v="2011-04-19T00:00:00"/>
    <d v="2011-04-19T00:00:00"/>
    <n v="2881"/>
    <m/>
    <m/>
    <m/>
    <m/>
    <m/>
    <m/>
    <m/>
    <s v="N"/>
    <m/>
    <m/>
    <m/>
    <m/>
    <s v="CASH: Two grant letters to be made - $772,000 on April 12, 2011; second one for $54,450 June 23, 2011"/>
  </r>
  <r>
    <m/>
    <n v="261"/>
    <x v="247"/>
    <d v="2011-03-01T00:00:00"/>
    <x v="15"/>
    <n v="14"/>
    <s v="Q3"/>
    <x v="16"/>
    <n v="3"/>
    <x v="2"/>
    <s v="Paraguay"/>
    <m/>
    <x v="11"/>
    <m/>
    <m/>
    <x v="0"/>
    <x v="2"/>
    <m/>
    <x v="0"/>
    <m/>
    <x v="0"/>
    <m/>
    <s v="N"/>
    <m/>
    <m/>
    <s v="Y"/>
    <n v="2000"/>
    <m/>
    <m/>
    <m/>
    <n v="56000"/>
    <m/>
    <n v="56000"/>
    <m/>
    <m/>
    <m/>
    <m/>
    <m/>
    <m/>
    <m/>
    <m/>
    <m/>
    <m/>
    <m/>
    <m/>
    <m/>
    <m/>
    <m/>
    <m/>
    <m/>
    <m/>
    <m/>
    <m/>
    <n v="56000"/>
    <m/>
    <m/>
    <m/>
    <x v="185"/>
    <x v="1"/>
    <s v="C"/>
    <n v="56000"/>
    <d v="2011-02-28T00:00:00"/>
    <d v="2011-02-28T00:00:00"/>
    <n v="2025"/>
    <m/>
    <m/>
    <m/>
    <m/>
    <m/>
    <m/>
    <m/>
    <s v="N"/>
    <m/>
    <s v="Part of GE $250,000 contribution for Brazil Floods and went to various South American disasters."/>
    <m/>
    <m/>
    <s v="CASH: $50,000 Bilateral contribution via grant letter to Paraguay Red Cross for Dengue outbreak activities."/>
  </r>
  <r>
    <s v="EQ-2011-000028-JPN"/>
    <n v="262"/>
    <x v="248"/>
    <d v="2011-03-11T00:00:00"/>
    <x v="15"/>
    <n v="15"/>
    <s v="Q3"/>
    <x v="16"/>
    <n v="4"/>
    <x v="3"/>
    <s v="Japan"/>
    <m/>
    <x v="23"/>
    <m/>
    <m/>
    <x v="5"/>
    <x v="2"/>
    <m/>
    <x v="0"/>
    <m/>
    <x v="0"/>
    <m/>
    <m/>
    <m/>
    <n v="225000"/>
    <s v="Y"/>
    <m/>
    <m/>
    <m/>
    <m/>
    <n v="256000000"/>
    <n v="1500000"/>
    <n v="259800000"/>
    <n v="3"/>
    <m/>
    <m/>
    <m/>
    <m/>
    <m/>
    <m/>
    <m/>
    <m/>
    <m/>
    <m/>
    <m/>
    <m/>
    <m/>
    <m/>
    <m/>
    <m/>
    <m/>
    <m/>
    <m/>
    <n v="259800000"/>
    <m/>
    <m/>
    <m/>
    <x v="186"/>
    <x v="1"/>
    <s v="P"/>
    <n v="307256521"/>
    <d v="2011-12-01T00:00:00"/>
    <s v="ongoing"/>
    <n v="2687"/>
    <m/>
    <n v="2841"/>
    <m/>
    <m/>
    <m/>
    <m/>
    <m/>
    <s v="N"/>
    <m/>
    <m/>
    <m/>
    <m/>
    <s v="CASH: Bilateral contribution via grant letter to Japanese Red Cross  for response activities: 1) $10M March 14, 2) $50M - April 1; 3) $40M - April 11; 4) $30M - April 29; 5) $30M - May 12; 6) $46 M - June 10; 7) $35M - July 11;  8) $15M - Aug. 28_x000a_Additional cash grants to JRCS will occur. _x000a_To other agencies: 1) $500,000 - March 21 -World Food Programme; 2) $1M total -  $3M - April 11 - IOM; Note refund from IOM due to programming - $2M October 2011. _x000a_ARC internal: $300,000 - March 21 - Service to Armed Forces; _x000a_PEOPLE: Nan Buzard on high level Fed Liaison trip; Tom Alcedo to Fed Liaison team; John Manley to Fed Liaison team."/>
  </r>
  <r>
    <s v="FL-2011-000020-BOL"/>
    <n v="263"/>
    <x v="48"/>
    <d v="2011-03-23T00:00:00"/>
    <x v="15"/>
    <n v="16"/>
    <s v="Q3"/>
    <x v="16"/>
    <n v="5"/>
    <x v="2"/>
    <s v="Bolivia"/>
    <m/>
    <x v="2"/>
    <m/>
    <m/>
    <x v="37"/>
    <x v="1"/>
    <s v="IFRC"/>
    <x v="104"/>
    <s v="MDRBO006"/>
    <x v="90"/>
    <m/>
    <m/>
    <m/>
    <n v="2500"/>
    <m/>
    <m/>
    <n v="1"/>
    <n v="182000"/>
    <m/>
    <m/>
    <m/>
    <n v="182000"/>
    <m/>
    <m/>
    <m/>
    <m/>
    <m/>
    <m/>
    <m/>
    <m/>
    <m/>
    <m/>
    <m/>
    <m/>
    <m/>
    <m/>
    <m/>
    <m/>
    <m/>
    <m/>
    <m/>
    <m/>
    <n v="182000"/>
    <m/>
    <m/>
    <m/>
    <x v="187"/>
    <x v="1"/>
    <s v="C"/>
    <n v="200000"/>
    <d v="2011-05-10T00:00:00"/>
    <d v="2011-05-10T00:00:00"/>
    <s v="2869/ARCT"/>
    <n v="100000"/>
    <n v="2025"/>
    <n v="100000"/>
    <m/>
    <m/>
    <s v="Y"/>
    <m/>
    <s v="N"/>
    <m/>
    <s v="ARCT funding - $100,000. GE corporate contribution - $100,000."/>
    <m/>
    <m/>
    <s v="CASH: 1) PMN for $91,000 from ARCT IERRF funds for appeal. 2) Second PMN for $91,000 from 2025 - South America R &amp; D"/>
  </r>
  <r>
    <s v="OT-2010-000255-CIV"/>
    <n v="264"/>
    <x v="249"/>
    <d v="2011-04-01T00:00:00"/>
    <x v="15"/>
    <n v="17"/>
    <s v="Q4"/>
    <x v="16"/>
    <n v="6"/>
    <x v="1"/>
    <s v="Liberia"/>
    <m/>
    <x v="24"/>
    <m/>
    <m/>
    <x v="0"/>
    <x v="1"/>
    <s v="IFRC"/>
    <x v="105"/>
    <s v="MDR61007"/>
    <x v="91"/>
    <m/>
    <m/>
    <m/>
    <n v="67500"/>
    <m/>
    <m/>
    <n v="1"/>
    <n v="150000"/>
    <m/>
    <m/>
    <m/>
    <n v="150000"/>
    <m/>
    <m/>
    <m/>
    <m/>
    <m/>
    <m/>
    <m/>
    <m/>
    <m/>
    <m/>
    <m/>
    <m/>
    <m/>
    <m/>
    <m/>
    <m/>
    <m/>
    <m/>
    <m/>
    <m/>
    <n v="150000"/>
    <m/>
    <m/>
    <m/>
    <x v="13"/>
    <x v="2"/>
    <m/>
    <m/>
    <m/>
    <m/>
    <n v="2799"/>
    <m/>
    <m/>
    <m/>
    <m/>
    <m/>
    <m/>
    <m/>
    <s v="Y"/>
    <m/>
    <m/>
    <m/>
    <m/>
    <s v="CASH: Contribution to Federation appeal MDR61007 for $150,000 for Liberia earmarked for relief and operations. "/>
  </r>
  <r>
    <s v="FL-2011-000007-NAM"/>
    <n v="265"/>
    <x v="215"/>
    <d v="2011-03-25T00:00:00"/>
    <x v="15"/>
    <n v="18"/>
    <s v="Q4"/>
    <x v="16"/>
    <n v="7"/>
    <x v="1"/>
    <s v="Namibia"/>
    <m/>
    <x v="2"/>
    <m/>
    <m/>
    <x v="77"/>
    <x v="1"/>
    <s v="IFRC"/>
    <x v="106"/>
    <s v="MDRNA006"/>
    <x v="92"/>
    <m/>
    <m/>
    <m/>
    <n v="37457"/>
    <m/>
    <m/>
    <n v="1"/>
    <n v="50000"/>
    <m/>
    <m/>
    <m/>
    <n v="50000"/>
    <m/>
    <m/>
    <m/>
    <m/>
    <m/>
    <m/>
    <m/>
    <m/>
    <m/>
    <m/>
    <m/>
    <m/>
    <m/>
    <m/>
    <m/>
    <m/>
    <m/>
    <m/>
    <m/>
    <m/>
    <n v="50000"/>
    <m/>
    <m/>
    <m/>
    <x v="16"/>
    <x v="2"/>
    <m/>
    <m/>
    <m/>
    <m/>
    <n v="2799"/>
    <m/>
    <m/>
    <m/>
    <m/>
    <m/>
    <m/>
    <m/>
    <s v="Y"/>
    <m/>
    <m/>
    <m/>
    <m/>
    <s v="CASH: Contribution to Namibia floods Federation appeal MDRNA006 for $50,000 earmarked for emergency shelter and watsan. "/>
  </r>
  <r>
    <s v="DR-2011-000029-KEN"/>
    <n v="266"/>
    <x v="250"/>
    <d v="2011-07-28T00:00:00"/>
    <x v="16"/>
    <n v="1"/>
    <s v="Q1"/>
    <x v="16"/>
    <n v="8"/>
    <x v="1"/>
    <s v="[rollup]"/>
    <m/>
    <x v="1"/>
    <m/>
    <m/>
    <x v="78"/>
    <x v="1"/>
    <s v="IFRC &amp; ICRC"/>
    <x v="107"/>
    <s v="Various - see RAP"/>
    <x v="93"/>
    <m/>
    <m/>
    <m/>
    <n v="2840000"/>
    <m/>
    <m/>
    <n v="4"/>
    <n v="2000000"/>
    <n v="1113000"/>
    <m/>
    <m/>
    <n v="3113000"/>
    <m/>
    <m/>
    <m/>
    <m/>
    <s v="Y"/>
    <m/>
    <m/>
    <m/>
    <n v="4900"/>
    <m/>
    <m/>
    <m/>
    <n v="20000"/>
    <m/>
    <m/>
    <m/>
    <m/>
    <m/>
    <n v="122000"/>
    <m/>
    <n v="3235000"/>
    <m/>
    <m/>
    <m/>
    <x v="188"/>
    <x v="1"/>
    <s v="P"/>
    <n v="4185949"/>
    <d v="2011-12-01T00:00:00"/>
    <s v="ongoing"/>
    <s v="2831/ARCT"/>
    <n v="200000"/>
    <n v="2836"/>
    <n v="2553000"/>
    <n v="2099"/>
    <n v="200000"/>
    <s v="Y"/>
    <m/>
    <s v="N"/>
    <s v="Y"/>
    <s v="ARCT -2831 FY12 fund - $200,000"/>
    <m/>
    <s v="HORN OF AFRICA:  People Displaced by Drought _x000a_A drought that began in 2009 in the Horn of Africa has resulted in massive crop failure, water scarcity, low food supplies, livestock deaths and the migration of people from Ethiopia, Kenya, Djibouti, Tanzania and most severely, Somalia. More than 13 million people have been affected.  Although rains have fallen in the drought areas, floods and insecurity continue to hamper humanitarian operations in Kenya and Somalia. Red Cross and Red Crescent societies in Ethiopia, Kenya, Djibouti, Tanzania and Somalia are responding to the disaster with support from partners in the global Red Cross network.  The American Red Cross has committed $3.9 million in support of Red Cross and Red Crescent response activities in the region."/>
    <s v="CASH: 1) $582,000 +$531,000 contribution to ICRC emergency appeal EA2011 for Somalia - sources:  $182,000 from ARCT/2831, $200,000 + $531,000 from 2836, and $200,000 from IRF/2099 per Sr VP; 2). PMN $1,000,000 contribution to Kenya Drought appeal MDRKE016 from 2836; 3) PMN for$600,000 contribution to Ethiopia appeal MDRE010 from 2836; 4) PMN for $100,000 for Tanzania Drought appeal MDRTZ012 from 2836. 5) Pledge letter to ICRC 2012 Somalia Emergency Appeal for $500,000; 6) PMN to IFRC Regional Framework"/>
  </r>
  <r>
    <s v="DR-2011-000029-KEN"/>
    <n v="266"/>
    <x v="250"/>
    <d v="2011-07-28T00:00:00"/>
    <x v="16"/>
    <n v="1"/>
    <s v="Q1"/>
    <x v="16"/>
    <n v="8"/>
    <x v="1"/>
    <s v="Kenya"/>
    <m/>
    <x v="0"/>
    <m/>
    <m/>
    <x v="0"/>
    <x v="0"/>
    <m/>
    <x v="0"/>
    <m/>
    <x v="0"/>
    <m/>
    <m/>
    <m/>
    <n v="1000000"/>
    <m/>
    <m/>
    <m/>
    <n v="1200000"/>
    <m/>
    <m/>
    <m/>
    <m/>
    <m/>
    <m/>
    <m/>
    <m/>
    <m/>
    <m/>
    <m/>
    <m/>
    <m/>
    <m/>
    <m/>
    <m/>
    <m/>
    <m/>
    <m/>
    <m/>
    <m/>
    <m/>
    <m/>
    <m/>
    <m/>
    <m/>
    <m/>
    <m/>
    <x v="152"/>
    <x v="0"/>
    <m/>
    <m/>
    <m/>
    <m/>
    <m/>
    <m/>
    <m/>
    <m/>
    <m/>
    <m/>
    <m/>
    <m/>
    <m/>
    <m/>
    <m/>
    <m/>
    <m/>
    <m/>
  </r>
  <r>
    <s v="DR-2011-000029-KEN"/>
    <n v="266"/>
    <x v="250"/>
    <d v="2011-07-28T00:00:00"/>
    <x v="16"/>
    <n v="1"/>
    <s v="Q1"/>
    <x v="16"/>
    <n v="8"/>
    <x v="1"/>
    <s v="Ethiopia"/>
    <m/>
    <x v="0"/>
    <m/>
    <m/>
    <x v="0"/>
    <x v="0"/>
    <m/>
    <x v="0"/>
    <m/>
    <x v="0"/>
    <m/>
    <m/>
    <m/>
    <n v="570000"/>
    <m/>
    <m/>
    <m/>
    <n v="800000"/>
    <m/>
    <m/>
    <m/>
    <m/>
    <m/>
    <m/>
    <m/>
    <m/>
    <m/>
    <m/>
    <m/>
    <m/>
    <m/>
    <m/>
    <m/>
    <m/>
    <m/>
    <m/>
    <m/>
    <m/>
    <m/>
    <m/>
    <m/>
    <m/>
    <m/>
    <m/>
    <m/>
    <m/>
    <x v="152"/>
    <x v="0"/>
    <m/>
    <m/>
    <m/>
    <m/>
    <m/>
    <m/>
    <m/>
    <m/>
    <m/>
    <m/>
    <m/>
    <m/>
    <m/>
    <m/>
    <m/>
    <m/>
    <m/>
    <m/>
  </r>
  <r>
    <s v="DR-2011-000029-KEN"/>
    <n v="266"/>
    <x v="250"/>
    <d v="2011-07-28T00:00:00"/>
    <x v="16"/>
    <n v="1"/>
    <s v="Q1"/>
    <x v="16"/>
    <n v="8"/>
    <x v="1"/>
    <s v="Somalia"/>
    <m/>
    <x v="0"/>
    <m/>
    <m/>
    <x v="0"/>
    <x v="0"/>
    <m/>
    <x v="0"/>
    <m/>
    <x v="0"/>
    <m/>
    <m/>
    <m/>
    <n v="1250000"/>
    <m/>
    <m/>
    <m/>
    <m/>
    <m/>
    <m/>
    <m/>
    <m/>
    <m/>
    <m/>
    <m/>
    <m/>
    <m/>
    <m/>
    <m/>
    <m/>
    <m/>
    <m/>
    <m/>
    <m/>
    <m/>
    <m/>
    <m/>
    <m/>
    <m/>
    <m/>
    <m/>
    <m/>
    <m/>
    <m/>
    <m/>
    <m/>
    <x v="152"/>
    <x v="0"/>
    <m/>
    <m/>
    <m/>
    <m/>
    <m/>
    <m/>
    <m/>
    <m/>
    <m/>
    <m/>
    <m/>
    <m/>
    <m/>
    <m/>
    <m/>
    <m/>
    <m/>
    <m/>
  </r>
  <r>
    <s v="DR-2011-000029-KEN"/>
    <n v="266"/>
    <x v="250"/>
    <d v="2011-07-28T00:00:00"/>
    <x v="16"/>
    <n v="1"/>
    <s v="Q1"/>
    <x v="16"/>
    <n v="8"/>
    <x v="1"/>
    <s v="Tanzania"/>
    <m/>
    <x v="0"/>
    <m/>
    <m/>
    <x v="0"/>
    <x v="0"/>
    <m/>
    <x v="0"/>
    <m/>
    <x v="0"/>
    <m/>
    <m/>
    <m/>
    <n v="20000"/>
    <m/>
    <m/>
    <m/>
    <m/>
    <m/>
    <m/>
    <m/>
    <m/>
    <m/>
    <m/>
    <m/>
    <m/>
    <m/>
    <m/>
    <m/>
    <m/>
    <m/>
    <m/>
    <m/>
    <m/>
    <m/>
    <m/>
    <m/>
    <m/>
    <m/>
    <m/>
    <m/>
    <m/>
    <m/>
    <m/>
    <m/>
    <m/>
    <x v="152"/>
    <x v="0"/>
    <m/>
    <m/>
    <m/>
    <m/>
    <m/>
    <m/>
    <m/>
    <m/>
    <m/>
    <m/>
    <m/>
    <m/>
    <m/>
    <m/>
    <m/>
    <m/>
    <m/>
    <m/>
  </r>
  <r>
    <s v="FL-2011-000096-PRK"/>
    <n v="267"/>
    <x v="251"/>
    <d v="2011-08-24T00:00:00"/>
    <x v="16"/>
    <n v="2"/>
    <s v="Q1"/>
    <x v="16"/>
    <n v="9"/>
    <x v="3"/>
    <s v="DPRK/North Korea"/>
    <m/>
    <x v="2"/>
    <m/>
    <m/>
    <x v="79"/>
    <x v="1"/>
    <s v="IFRC"/>
    <x v="108"/>
    <s v="MDRKP003"/>
    <x v="94"/>
    <m/>
    <s v="Y"/>
    <n v="575551"/>
    <n v="30000"/>
    <m/>
    <m/>
    <n v="1"/>
    <n v="50000"/>
    <m/>
    <m/>
    <m/>
    <n v="50000"/>
    <m/>
    <m/>
    <m/>
    <m/>
    <m/>
    <m/>
    <m/>
    <m/>
    <m/>
    <m/>
    <m/>
    <m/>
    <m/>
    <m/>
    <m/>
    <m/>
    <m/>
    <m/>
    <m/>
    <m/>
    <n v="50000"/>
    <m/>
    <m/>
    <m/>
    <x v="16"/>
    <x v="2"/>
    <m/>
    <m/>
    <m/>
    <m/>
    <n v="2799"/>
    <m/>
    <m/>
    <m/>
    <m/>
    <m/>
    <m/>
    <m/>
    <s v="Y"/>
    <m/>
    <m/>
    <m/>
    <m/>
    <s v="CASH: $50,000 contribution to appeal earmarked for food procurement, from 2799/RRF."/>
  </r>
  <r>
    <s v="FL-2011-000093-BGD"/>
    <n v="268"/>
    <x v="19"/>
    <d v="2011-08-31T00:00:00"/>
    <x v="16"/>
    <n v="3"/>
    <s v="Q1"/>
    <x v="16"/>
    <n v="10"/>
    <x v="3"/>
    <s v="Bangladesh"/>
    <m/>
    <x v="2"/>
    <m/>
    <m/>
    <x v="54"/>
    <x v="1"/>
    <s v="IFRC"/>
    <x v="109"/>
    <s v="MDRBD009"/>
    <x v="95"/>
    <m/>
    <s v="Y"/>
    <m/>
    <n v="50000"/>
    <m/>
    <m/>
    <n v="1"/>
    <n v="50000"/>
    <m/>
    <m/>
    <m/>
    <n v="50000"/>
    <m/>
    <m/>
    <m/>
    <m/>
    <m/>
    <m/>
    <m/>
    <m/>
    <m/>
    <m/>
    <m/>
    <m/>
    <m/>
    <m/>
    <m/>
    <m/>
    <m/>
    <m/>
    <m/>
    <m/>
    <n v="50000"/>
    <m/>
    <m/>
    <m/>
    <x v="16"/>
    <x v="2"/>
    <m/>
    <m/>
    <m/>
    <m/>
    <n v="2799"/>
    <m/>
    <m/>
    <m/>
    <m/>
    <m/>
    <m/>
    <m/>
    <s v="Y"/>
    <m/>
    <m/>
    <m/>
    <m/>
    <s v="CASH: $50,000 contribution to appeal earmarked for relilef distribution from 2799/RRF."/>
  </r>
  <r>
    <s v="FL-2011-000130-PAK"/>
    <n v="269"/>
    <x v="252"/>
    <d v="2011-09-12T00:00:00"/>
    <x v="16"/>
    <n v="4"/>
    <s v="Q1"/>
    <x v="16"/>
    <n v="11"/>
    <x v="3"/>
    <s v="Pakistan"/>
    <m/>
    <x v="2"/>
    <m/>
    <m/>
    <x v="80"/>
    <x v="1"/>
    <s v="IFRC"/>
    <x v="110"/>
    <s v="MDRPK007"/>
    <x v="96"/>
    <m/>
    <s v="Y"/>
    <m/>
    <n v="105000"/>
    <m/>
    <m/>
    <n v="1"/>
    <n v="50000"/>
    <m/>
    <m/>
    <m/>
    <n v="50000"/>
    <m/>
    <m/>
    <m/>
    <m/>
    <m/>
    <m/>
    <m/>
    <m/>
    <m/>
    <m/>
    <m/>
    <m/>
    <m/>
    <m/>
    <m/>
    <m/>
    <m/>
    <m/>
    <m/>
    <m/>
    <n v="50000"/>
    <m/>
    <m/>
    <m/>
    <x v="16"/>
    <x v="2"/>
    <m/>
    <m/>
    <m/>
    <m/>
    <n v="2799"/>
    <m/>
    <m/>
    <m/>
    <m/>
    <m/>
    <m/>
    <m/>
    <s v="Y"/>
    <m/>
    <m/>
    <m/>
    <m/>
    <s v="CASH: $50,000 contribution to appeal earmarked for relilef distribution from 2799/RRF."/>
  </r>
  <r>
    <s v="TC-2011-000147-PhL"/>
    <n v="270"/>
    <x v="163"/>
    <d v="2011-10-06T00:00:00"/>
    <x v="16"/>
    <n v="5"/>
    <s v="Q2"/>
    <x v="16"/>
    <n v="12"/>
    <x v="3"/>
    <s v="Philippines"/>
    <m/>
    <x v="17"/>
    <m/>
    <m/>
    <x v="81"/>
    <x v="1"/>
    <s v="IFRC"/>
    <x v="111"/>
    <s v="MDRPH007"/>
    <x v="97"/>
    <m/>
    <s v="Y"/>
    <m/>
    <n v="250000"/>
    <m/>
    <m/>
    <n v="1"/>
    <n v="50000"/>
    <m/>
    <m/>
    <m/>
    <n v="50000"/>
    <m/>
    <m/>
    <m/>
    <m/>
    <m/>
    <m/>
    <m/>
    <m/>
    <m/>
    <m/>
    <m/>
    <m/>
    <m/>
    <m/>
    <m/>
    <m/>
    <m/>
    <m/>
    <m/>
    <m/>
    <n v="50000"/>
    <m/>
    <m/>
    <m/>
    <x v="16"/>
    <x v="2"/>
    <m/>
    <m/>
    <m/>
    <m/>
    <n v="2799"/>
    <m/>
    <m/>
    <m/>
    <m/>
    <m/>
    <m/>
    <m/>
    <s v="Y"/>
    <m/>
    <m/>
    <m/>
    <m/>
    <s v="CASH: $50,000 contribution to appeal earmarked for relilef distribution from 2799/RRF."/>
  </r>
  <r>
    <s v="TC-2011-000157-GTM"/>
    <n v="271"/>
    <x v="205"/>
    <d v="2011-10-20T00:00:00"/>
    <x v="16"/>
    <n v="6"/>
    <s v="Q2"/>
    <x v="16"/>
    <n v="13"/>
    <x v="2"/>
    <s v="[rollup]"/>
    <m/>
    <x v="2"/>
    <m/>
    <m/>
    <x v="82"/>
    <x v="1"/>
    <s v="IFRC"/>
    <x v="112"/>
    <s v="MDRGT003 / MDRSV004"/>
    <x v="98"/>
    <m/>
    <s v="Y"/>
    <m/>
    <n v="2500"/>
    <s v="Y"/>
    <n v="9000"/>
    <n v="1"/>
    <m/>
    <m/>
    <n v="48940"/>
    <m/>
    <n v="48940"/>
    <n v="3"/>
    <m/>
    <n v="3"/>
    <n v="26000"/>
    <s v="Y"/>
    <n v="2300"/>
    <n v="11500"/>
    <n v="4600"/>
    <m/>
    <m/>
    <m/>
    <m/>
    <n v="4600"/>
    <m/>
    <n v="3000"/>
    <m/>
    <m/>
    <m/>
    <n v="255000"/>
    <m/>
    <n v="303940"/>
    <m/>
    <m/>
    <m/>
    <x v="189"/>
    <x v="1"/>
    <s v="C"/>
    <m/>
    <m/>
    <d v="2011-11-03T00:00:00"/>
    <s v="2831/ARCT"/>
    <n v="200000"/>
    <n v="2882"/>
    <n v="103940"/>
    <m/>
    <m/>
    <s v="Y"/>
    <m/>
    <s v="N"/>
    <m/>
    <s v="ARCT - 2831 FY12 fund - $200,000"/>
    <m/>
    <m/>
    <s v="CASH: $17,190 bilateral grant letter to El Salvador Red Cross for distribution costs; $18,125 bilateral grant letter to Honduras Red Cross for distribution costs; $13,625 bilateral grant letter to Nicaragua Red Cross for distribution costs._x000a_SUPPLIES: Bilateral contributions - see RAPs for detail: Supplies for 500 families  to Nicaraguan Red Cross valued at$61,000; supplies for 800 families for El Salvador Red Cross valued at$73,000; supplies for 500 families to Honduras Red Cross valued at $60,000. Multilateral contribution - supplies from Guatemala appeal mob table  for 500 families to Guatemalan Red Cross valued at $61,000. _x000a_PEOPLE:  Three Panama delegation-based ARC staff deployed as disaster management liasons: Raymundo Ortega to assist Nicaragua Red Cross; Luis Guzman to assist El Salvador Red Cross; Alvaro Garita to assist Honduras Red Cross."/>
  </r>
  <r>
    <s v="TC-2011-000157-GTM"/>
    <n v="271"/>
    <x v="205"/>
    <d v="2011-10-20T00:00:00"/>
    <x v="16"/>
    <n v="6"/>
    <s v="Q2"/>
    <x v="16"/>
    <n v="13"/>
    <x v="2"/>
    <s v="El Salvador"/>
    <m/>
    <x v="0"/>
    <m/>
    <m/>
    <x v="0"/>
    <x v="0"/>
    <m/>
    <x v="38"/>
    <s v="MDRSV004"/>
    <x v="99"/>
    <m/>
    <m/>
    <m/>
    <m/>
    <m/>
    <m/>
    <m/>
    <m/>
    <m/>
    <n v="17190"/>
    <m/>
    <m/>
    <m/>
    <m/>
    <m/>
    <m/>
    <m/>
    <n v="800"/>
    <n v="4000"/>
    <n v="1600"/>
    <m/>
    <m/>
    <m/>
    <m/>
    <n v="1600"/>
    <m/>
    <m/>
    <m/>
    <m/>
    <m/>
    <m/>
    <m/>
    <m/>
    <m/>
    <m/>
    <m/>
    <x v="152"/>
    <x v="0"/>
    <m/>
    <m/>
    <m/>
    <m/>
    <m/>
    <m/>
    <m/>
    <m/>
    <m/>
    <m/>
    <m/>
    <m/>
    <m/>
    <m/>
    <m/>
    <m/>
    <m/>
    <m/>
  </r>
  <r>
    <s v="TC-2011-000157-GTM"/>
    <n v="271"/>
    <x v="205"/>
    <d v="2011-10-20T00:00:00"/>
    <x v="16"/>
    <n v="6"/>
    <s v="Q2"/>
    <x v="16"/>
    <n v="13"/>
    <x v="2"/>
    <s v="Honduras"/>
    <m/>
    <x v="0"/>
    <m/>
    <m/>
    <x v="0"/>
    <x v="0"/>
    <m/>
    <x v="0"/>
    <m/>
    <x v="0"/>
    <m/>
    <m/>
    <m/>
    <m/>
    <m/>
    <m/>
    <m/>
    <m/>
    <m/>
    <n v="18125"/>
    <m/>
    <m/>
    <m/>
    <m/>
    <m/>
    <m/>
    <m/>
    <n v="500"/>
    <n v="2500"/>
    <n v="1000"/>
    <m/>
    <m/>
    <m/>
    <m/>
    <n v="1000"/>
    <m/>
    <n v="1000"/>
    <m/>
    <m/>
    <m/>
    <m/>
    <m/>
    <m/>
    <m/>
    <m/>
    <m/>
    <x v="152"/>
    <x v="0"/>
    <m/>
    <m/>
    <m/>
    <m/>
    <m/>
    <m/>
    <m/>
    <m/>
    <m/>
    <m/>
    <m/>
    <m/>
    <m/>
    <m/>
    <m/>
    <m/>
    <m/>
    <m/>
  </r>
  <r>
    <s v="TC-2011-000157-GTM"/>
    <n v="271"/>
    <x v="205"/>
    <d v="2011-10-20T00:00:00"/>
    <x v="16"/>
    <n v="6"/>
    <s v="Q2"/>
    <x v="16"/>
    <n v="13"/>
    <x v="2"/>
    <s v="Guatemala"/>
    <m/>
    <x v="0"/>
    <m/>
    <m/>
    <x v="0"/>
    <x v="0"/>
    <m/>
    <x v="113"/>
    <s v="MDRGT003"/>
    <x v="2"/>
    <m/>
    <m/>
    <m/>
    <m/>
    <m/>
    <m/>
    <m/>
    <m/>
    <m/>
    <m/>
    <m/>
    <m/>
    <m/>
    <m/>
    <m/>
    <m/>
    <m/>
    <n v="500"/>
    <n v="2500"/>
    <n v="1000"/>
    <m/>
    <m/>
    <m/>
    <m/>
    <n v="1000"/>
    <m/>
    <n v="1000"/>
    <m/>
    <m/>
    <m/>
    <m/>
    <m/>
    <m/>
    <m/>
    <m/>
    <m/>
    <x v="152"/>
    <x v="0"/>
    <m/>
    <m/>
    <m/>
    <m/>
    <m/>
    <m/>
    <m/>
    <m/>
    <m/>
    <m/>
    <m/>
    <m/>
    <m/>
    <m/>
    <m/>
    <m/>
    <m/>
    <m/>
  </r>
  <r>
    <s v="TC-2011-000157-GTM"/>
    <n v="271"/>
    <x v="205"/>
    <d v="2011-10-20T00:00:00"/>
    <x v="16"/>
    <n v="6"/>
    <s v="Q2"/>
    <x v="16"/>
    <n v="13"/>
    <x v="2"/>
    <s v="Nicaragua"/>
    <m/>
    <x v="0"/>
    <m/>
    <m/>
    <x v="0"/>
    <x v="0"/>
    <m/>
    <x v="0"/>
    <m/>
    <x v="0"/>
    <m/>
    <m/>
    <m/>
    <m/>
    <m/>
    <m/>
    <m/>
    <m/>
    <m/>
    <n v="13625"/>
    <m/>
    <m/>
    <m/>
    <m/>
    <m/>
    <m/>
    <m/>
    <n v="500"/>
    <n v="2500"/>
    <n v="1000"/>
    <m/>
    <m/>
    <m/>
    <m/>
    <n v="1000"/>
    <m/>
    <n v="1000"/>
    <m/>
    <m/>
    <m/>
    <m/>
    <m/>
    <m/>
    <m/>
    <m/>
    <m/>
    <x v="152"/>
    <x v="0"/>
    <m/>
    <m/>
    <m/>
    <m/>
    <m/>
    <m/>
    <m/>
    <m/>
    <m/>
    <m/>
    <m/>
    <m/>
    <m/>
    <m/>
    <m/>
    <m/>
    <m/>
    <m/>
  </r>
  <r>
    <s v="EQ-2011-000162-TUR"/>
    <n v="272"/>
    <x v="253"/>
    <d v="2011-10-26T00:00:00"/>
    <x v="16"/>
    <n v="7"/>
    <s v="Q2"/>
    <x v="16"/>
    <n v="14"/>
    <x v="3"/>
    <s v="Turkey"/>
    <m/>
    <x v="3"/>
    <m/>
    <m/>
    <x v="51"/>
    <x v="1"/>
    <s v="IFRC"/>
    <x v="114"/>
    <s v="MDRTR002"/>
    <x v="100"/>
    <m/>
    <m/>
    <m/>
    <n v="60000"/>
    <m/>
    <m/>
    <n v="1"/>
    <n v="809000"/>
    <m/>
    <m/>
    <m/>
    <n v="809000"/>
    <m/>
    <m/>
    <m/>
    <m/>
    <m/>
    <m/>
    <m/>
    <m/>
    <m/>
    <m/>
    <m/>
    <m/>
    <m/>
    <m/>
    <m/>
    <m/>
    <m/>
    <m/>
    <m/>
    <m/>
    <n v="809000"/>
    <m/>
    <m/>
    <m/>
    <x v="190"/>
    <x v="1"/>
    <s v="C"/>
    <n v="915000"/>
    <d v="2011-11-22T00:00:00"/>
    <s v="ongoing"/>
    <n v="2814"/>
    <m/>
    <m/>
    <m/>
    <m/>
    <m/>
    <m/>
    <m/>
    <s v="N"/>
    <m/>
    <s v="2814 - Turkey Relief &amp;  Development. Designated fundraising from corporations only. 2799/RRF funds were used for first $100,000, but later reimbursed by 2814 funds."/>
    <m/>
    <s v="On October 23rd, a magnitude 7.2 earthquake struck Van province in eastern Turkey, killing more than 600 people, toppling buildings and destroying infrastructure. Two additional 5.6 and 4.5 earthquakes shook Van on November 9, killing 40 people. The Turkish Red Crescent response operation provided immediate food and relief supplies longer term sheltering those left homeless by the quake. It has provided emergency shelter for 272,000 people and now is focused on providing transitional homes for 12,000 people in advance of winter. The American Red Cross has committed $897,000 to the International Federation appeal in support of the Turkish Red Crescent response."/>
    <s v="CASH: 1) Oct 26 - $100,000 PMN contribution to Federation appeal earmarked for relief - originally paid by RRF/2799, but later reimbursed by AP 2814. 2) Nov 22 - $709,000 PMN earmarked for shelter.  (Previous Nov 3 PMN contribution to Federation appeal for $500,000 earmarked for relief was nulled as relief objective filled)."/>
  </r>
  <r>
    <m/>
    <n v="273"/>
    <x v="6"/>
    <d v="2011-11-01T00:00:00"/>
    <x v="16"/>
    <n v="8"/>
    <s v="Q2"/>
    <x v="16"/>
    <n v="15"/>
    <x v="2"/>
    <s v="Mexico"/>
    <m/>
    <x v="2"/>
    <m/>
    <m/>
    <x v="83"/>
    <x v="2"/>
    <m/>
    <x v="0"/>
    <s v="bilateral request"/>
    <x v="0"/>
    <m/>
    <m/>
    <m/>
    <m/>
    <s v="Y"/>
    <n v="45000"/>
    <m/>
    <m/>
    <m/>
    <n v="270000"/>
    <m/>
    <n v="270000"/>
    <m/>
    <m/>
    <m/>
    <m/>
    <m/>
    <m/>
    <m/>
    <m/>
    <m/>
    <m/>
    <m/>
    <m/>
    <m/>
    <m/>
    <m/>
    <m/>
    <m/>
    <m/>
    <m/>
    <m/>
    <n v="270000"/>
    <m/>
    <m/>
    <m/>
    <x v="191"/>
    <x v="1"/>
    <s v="C"/>
    <n v="287000"/>
    <d v="2011-11-01T00:00:00"/>
    <d v="2011-11-01T00:00:00"/>
    <n v="2020"/>
    <m/>
    <m/>
    <m/>
    <m/>
    <m/>
    <m/>
    <m/>
    <s v="N"/>
    <m/>
    <m/>
    <m/>
    <s v="Mexico: Floods _x000a_Heavy rains caused flooding in more than 900 communities in the southeastern Mexican state of Tabasco, affecting more than 300,000 people. The Mexican Red Cross mobilized more than 1,500 volunteers to assist in evacuations, provide medical assistance and distribute food and relief supplies to those in need.  The American Red Cross committed $270,000 to support the Mexican Red Cross response._x000a_"/>
    <s v="CASH: A bilateral grant to the Mexican Red Cross for prcurement of food parcels and clean up kits for 9,000 families /45,000 people."/>
  </r>
  <r>
    <s v="FL-2011-000137-VNM"/>
    <n v="274"/>
    <x v="21"/>
    <d v="2011-11-10T00:00:00"/>
    <x v="16"/>
    <n v="9"/>
    <s v="Q2"/>
    <x v="16"/>
    <n v="16"/>
    <x v="3"/>
    <s v="Vietnam"/>
    <m/>
    <x v="2"/>
    <m/>
    <m/>
    <x v="84"/>
    <x v="1"/>
    <s v="IFRC"/>
    <x v="115"/>
    <s v="MDRVN009"/>
    <x v="101"/>
    <m/>
    <m/>
    <m/>
    <n v="42000"/>
    <m/>
    <m/>
    <n v="1"/>
    <n v="50000"/>
    <m/>
    <m/>
    <m/>
    <n v="50000"/>
    <m/>
    <m/>
    <m/>
    <m/>
    <m/>
    <m/>
    <m/>
    <m/>
    <m/>
    <m/>
    <m/>
    <m/>
    <m/>
    <m/>
    <m/>
    <m/>
    <m/>
    <m/>
    <m/>
    <m/>
    <n v="50000"/>
    <m/>
    <m/>
    <m/>
    <x v="16"/>
    <x v="2"/>
    <m/>
    <m/>
    <m/>
    <m/>
    <n v="2799"/>
    <m/>
    <m/>
    <m/>
    <m/>
    <m/>
    <m/>
    <m/>
    <s v="Y"/>
    <m/>
    <m/>
    <m/>
    <s v="Vietnam: Floods _x000a_In September 2011, floods swept through seven provinces in Vietnam’s Mekong Delta, causing significant losses to agriculture and homes. These surpassed the regular annual floods in scope and damage, extending well beyond the traditional flood plain and affecting more than 590,000 people. _x000a_In response to the disaster, the Vietnam Red Cross has performed needs assessments and provided more than 62,500 people with household relief supplies, safe water and cash grants. They are focusing on assisting an additional 42,000 people with support from the global Red Cross and Red Crescent network._x000a_The American Red Cross has committed $50,000 to the International Federation appeal in support of the Vietnam Red Cross response._x000a_"/>
    <s v="CASH: PMN contribution of $50,000 towards appeal, earmarked for relief objective."/>
  </r>
  <r>
    <s v="FL-2011-000135-THA"/>
    <n v="275"/>
    <x v="254"/>
    <d v="2011-11-10T00:00:00"/>
    <x v="16"/>
    <n v="10"/>
    <s v="Q2"/>
    <x v="16"/>
    <n v="17"/>
    <x v="3"/>
    <s v="Thailand"/>
    <m/>
    <x v="2"/>
    <m/>
    <m/>
    <x v="85"/>
    <x v="2"/>
    <m/>
    <x v="0"/>
    <s v="regional plan"/>
    <x v="0"/>
    <m/>
    <m/>
    <m/>
    <s v="n/a"/>
    <m/>
    <m/>
    <n v="1"/>
    <n v="167000"/>
    <m/>
    <m/>
    <m/>
    <n v="167000"/>
    <m/>
    <m/>
    <m/>
    <m/>
    <m/>
    <m/>
    <m/>
    <m/>
    <m/>
    <m/>
    <m/>
    <m/>
    <m/>
    <m/>
    <m/>
    <m/>
    <m/>
    <m/>
    <m/>
    <m/>
    <n v="167000"/>
    <m/>
    <m/>
    <m/>
    <x v="192"/>
    <x v="1"/>
    <s v="C"/>
    <n v="189000"/>
    <d v="2011-11-22T00:00:00"/>
    <d v="2011-11-17T00:00:00"/>
    <n v="2689"/>
    <m/>
    <m/>
    <m/>
    <m/>
    <m/>
    <m/>
    <m/>
    <s v="N"/>
    <m/>
    <s v="2689 - Southeast Asia Typhoons and Floods. Designated funding for corporate  contributions only.  $189k raised as of 11/22"/>
    <m/>
    <s v="More than 3.4 million people were affected by Thailand’s worst flooding in more than five decades. Many communities across the country were isolated for weeks, relying on local authorities and organizations like the Thai Red Cross for basic assistance. The Thai Red Cross assisted in evacuations and distributing food, water and relief supplies in affected rural and urban areas. In isolated communities, Red Cross relief and medical teams used flat-bottom boats to reach those most affected. In the urban Bangkok area, Red Cross mobile kitchens and water purification teams distributed thousands of meals and clean water daily.   The American Red Cross has committed $167,000 to the International Federation1 in support of the Thai Red Cross response."/>
    <s v="CASH: $167,000 Cash grant to Intl Federation Regional Country Plan (not appeal) due to Thai RC not wanting an appeal."/>
  </r>
  <r>
    <s v="FL-2011-000170-COL"/>
    <n v="276"/>
    <x v="157"/>
    <d v="2011-12-05T00:00:00"/>
    <x v="16"/>
    <n v="10"/>
    <s v="Q2"/>
    <x v="16"/>
    <n v="17"/>
    <x v="2"/>
    <s v="Colombia"/>
    <m/>
    <x v="2"/>
    <m/>
    <m/>
    <x v="86"/>
    <x v="2"/>
    <m/>
    <x v="0"/>
    <m/>
    <x v="0"/>
    <m/>
    <m/>
    <m/>
    <m/>
    <s v="Y"/>
    <n v="3000"/>
    <m/>
    <m/>
    <m/>
    <n v="100000"/>
    <m/>
    <n v="100000"/>
    <m/>
    <m/>
    <m/>
    <m/>
    <m/>
    <m/>
    <m/>
    <m/>
    <m/>
    <m/>
    <m/>
    <m/>
    <m/>
    <m/>
    <m/>
    <m/>
    <m/>
    <m/>
    <m/>
    <m/>
    <n v="100000"/>
    <m/>
    <m/>
    <m/>
    <x v="5"/>
    <x v="2"/>
    <m/>
    <m/>
    <m/>
    <m/>
    <n v="2799"/>
    <m/>
    <m/>
    <m/>
    <m/>
    <m/>
    <m/>
    <m/>
    <s v="Y"/>
    <m/>
    <s v="2799 Rapid Response Fund"/>
    <m/>
    <s v="A heavier than normal rainy season affected more than 410,000 people in 80 percent of Colombia. Those affected are relying on government authorities and the Colombian Red Cross for basic assistance. More than 100 people have died and 62,300 homes have been damaged. Colombian Red Cross volunteers have conducted damage assessments, provided search and rescue service and distributed food and relief supplies. They plan to provide water and sanitation services, temporary shelter, food and relief supplies as well as health and emotional support services through mobile health teams. _x000a_The American Red Cross has committed $100,000 to the Colombian Red Cross for their expanded response to reach 18,000 people._x000a_"/>
    <s v="CASH: $100,000 grant letter bilaterally to Colombian Red Cross in response to their proposal to fund part of their plan of action."/>
  </r>
  <r>
    <s v="TC-2011-000189-PHL"/>
    <n v="277"/>
    <x v="255"/>
    <d v="2011-12-21T00:00:00"/>
    <x v="16"/>
    <n v="11"/>
    <s v="Q2"/>
    <x v="16"/>
    <n v="18"/>
    <x v="3"/>
    <s v="Philippines"/>
    <m/>
    <x v="17"/>
    <m/>
    <m/>
    <x v="87"/>
    <x v="1"/>
    <s v="IFRC"/>
    <x v="116"/>
    <s v="MDRPH008"/>
    <x v="102"/>
    <m/>
    <m/>
    <m/>
    <n v="25000"/>
    <m/>
    <m/>
    <n v="1"/>
    <n v="75000"/>
    <m/>
    <m/>
    <m/>
    <n v="75000"/>
    <m/>
    <m/>
    <m/>
    <m/>
    <m/>
    <m/>
    <m/>
    <m/>
    <m/>
    <m/>
    <m/>
    <m/>
    <m/>
    <m/>
    <m/>
    <m/>
    <m/>
    <m/>
    <m/>
    <m/>
    <n v="75000"/>
    <m/>
    <m/>
    <m/>
    <x v="56"/>
    <x v="1"/>
    <s v="P"/>
    <m/>
    <m/>
    <m/>
    <n v="2799"/>
    <m/>
    <m/>
    <m/>
    <m/>
    <m/>
    <m/>
    <m/>
    <s v="Y"/>
    <m/>
    <s v="2799 Rapid Response Fund"/>
    <m/>
    <m/>
    <s v="CASH: $75,000 cash pledge to the Federation appeal earmarked for relief from AP 2799/RRF."/>
  </r>
</pivotCacheRecords>
</file>

<file path=xl/pivotCache/pivotCacheRecords14.xml><?xml version="1.0" encoding="utf-8"?>
<pivotCacheRecords xmlns="http://schemas.openxmlformats.org/spreadsheetml/2006/main" xmlns:r="http://schemas.openxmlformats.org/officeDocument/2006/relationships" count="340">
  <r>
    <m/>
    <s v="a"/>
    <x v="0"/>
    <d v="1985-09-01T00:00:00"/>
    <x v="0"/>
    <x v="0"/>
    <m/>
    <n v="1985"/>
    <m/>
    <m/>
    <x v="0"/>
    <m/>
    <x v="0"/>
    <m/>
    <m/>
    <m/>
    <m/>
    <m/>
    <m/>
    <m/>
    <s v=""/>
    <m/>
    <m/>
    <m/>
    <x v="0"/>
    <m/>
    <x v="0"/>
    <m/>
    <x v="0"/>
    <x v="0"/>
    <x v="0"/>
    <m/>
    <m/>
    <x v="0"/>
    <m/>
    <m/>
    <x v="0"/>
    <m/>
    <m/>
    <m/>
    <m/>
    <m/>
    <m/>
    <m/>
    <m/>
    <m/>
    <m/>
    <m/>
    <m/>
    <m/>
    <m/>
    <x v="0"/>
    <m/>
    <m/>
    <m/>
    <m/>
    <m/>
    <x v="0"/>
    <m/>
    <m/>
    <m/>
    <m/>
    <m/>
    <m/>
    <m/>
    <m/>
    <m/>
    <m/>
    <m/>
    <m/>
    <m/>
    <m/>
    <m/>
    <m/>
    <m/>
    <m/>
    <m/>
  </r>
  <r>
    <m/>
    <s v="b"/>
    <x v="1"/>
    <d v="1988-12-01T00:00:00"/>
    <x v="1"/>
    <x v="0"/>
    <m/>
    <n v="1988"/>
    <m/>
    <m/>
    <x v="0"/>
    <m/>
    <x v="0"/>
    <m/>
    <m/>
    <m/>
    <m/>
    <m/>
    <m/>
    <m/>
    <s v=""/>
    <m/>
    <m/>
    <m/>
    <x v="0"/>
    <m/>
    <x v="0"/>
    <m/>
    <x v="0"/>
    <x v="0"/>
    <x v="0"/>
    <m/>
    <m/>
    <x v="0"/>
    <m/>
    <m/>
    <x v="0"/>
    <m/>
    <m/>
    <m/>
    <m/>
    <m/>
    <m/>
    <m/>
    <m/>
    <m/>
    <m/>
    <m/>
    <m/>
    <m/>
    <m/>
    <x v="0"/>
    <m/>
    <m/>
    <m/>
    <m/>
    <m/>
    <x v="1"/>
    <m/>
    <m/>
    <m/>
    <m/>
    <m/>
    <m/>
    <m/>
    <m/>
    <m/>
    <m/>
    <m/>
    <m/>
    <m/>
    <m/>
    <m/>
    <m/>
    <m/>
    <m/>
    <m/>
  </r>
  <r>
    <m/>
    <s v="c"/>
    <x v="2"/>
    <d v="1994-06-01T00:00:00"/>
    <x v="2"/>
    <x v="0"/>
    <m/>
    <n v="1994"/>
    <m/>
    <m/>
    <x v="0"/>
    <m/>
    <x v="0"/>
    <m/>
    <m/>
    <m/>
    <m/>
    <m/>
    <m/>
    <m/>
    <s v=""/>
    <m/>
    <m/>
    <m/>
    <x v="0"/>
    <m/>
    <x v="0"/>
    <m/>
    <x v="0"/>
    <x v="0"/>
    <x v="0"/>
    <m/>
    <m/>
    <x v="0"/>
    <m/>
    <m/>
    <x v="0"/>
    <m/>
    <m/>
    <m/>
    <m/>
    <m/>
    <m/>
    <m/>
    <m/>
    <m/>
    <m/>
    <m/>
    <m/>
    <m/>
    <m/>
    <x v="0"/>
    <m/>
    <m/>
    <m/>
    <m/>
    <m/>
    <x v="2"/>
    <m/>
    <m/>
    <m/>
    <m/>
    <m/>
    <m/>
    <m/>
    <m/>
    <m/>
    <m/>
    <m/>
    <m/>
    <m/>
    <m/>
    <m/>
    <m/>
    <m/>
    <m/>
    <m/>
  </r>
  <r>
    <m/>
    <s v="d"/>
    <x v="3"/>
    <d v="1998-10-01T00:00:00"/>
    <x v="3"/>
    <x v="0"/>
    <m/>
    <n v="1998"/>
    <m/>
    <m/>
    <x v="0"/>
    <m/>
    <x v="0"/>
    <m/>
    <m/>
    <n v="2998214"/>
    <m/>
    <m/>
    <m/>
    <m/>
    <s v=""/>
    <m/>
    <m/>
    <m/>
    <x v="0"/>
    <m/>
    <x v="0"/>
    <m/>
    <x v="0"/>
    <x v="0"/>
    <x v="0"/>
    <m/>
    <m/>
    <x v="0"/>
    <m/>
    <m/>
    <x v="0"/>
    <m/>
    <m/>
    <m/>
    <m/>
    <m/>
    <m/>
    <m/>
    <m/>
    <m/>
    <m/>
    <m/>
    <m/>
    <m/>
    <m/>
    <x v="0"/>
    <m/>
    <m/>
    <m/>
    <m/>
    <m/>
    <x v="3"/>
    <m/>
    <m/>
    <m/>
    <m/>
    <m/>
    <m/>
    <m/>
    <m/>
    <m/>
    <m/>
    <m/>
    <m/>
    <m/>
    <m/>
    <m/>
    <m/>
    <m/>
    <m/>
    <m/>
  </r>
  <r>
    <m/>
    <s v="e"/>
    <x v="4"/>
    <d v="1999-03-01T00:00:00"/>
    <x v="3"/>
    <x v="0"/>
    <m/>
    <n v="1999"/>
    <m/>
    <m/>
    <x v="0"/>
    <m/>
    <x v="0"/>
    <m/>
    <m/>
    <m/>
    <m/>
    <m/>
    <m/>
    <m/>
    <s v=""/>
    <m/>
    <m/>
    <m/>
    <x v="0"/>
    <m/>
    <x v="0"/>
    <m/>
    <x v="0"/>
    <x v="0"/>
    <x v="0"/>
    <m/>
    <m/>
    <x v="0"/>
    <m/>
    <m/>
    <x v="0"/>
    <m/>
    <m/>
    <m/>
    <m/>
    <m/>
    <m/>
    <m/>
    <m/>
    <m/>
    <m/>
    <m/>
    <m/>
    <m/>
    <m/>
    <x v="0"/>
    <m/>
    <m/>
    <m/>
    <m/>
    <m/>
    <x v="4"/>
    <m/>
    <m/>
    <m/>
    <m/>
    <m/>
    <m/>
    <m/>
    <m/>
    <m/>
    <m/>
    <m/>
    <m/>
    <m/>
    <m/>
    <m/>
    <m/>
    <m/>
    <m/>
    <m/>
  </r>
  <r>
    <m/>
    <n v="1"/>
    <x v="5"/>
    <d v="1999-06-01T00:00:00"/>
    <x v="3"/>
    <x v="1"/>
    <m/>
    <n v="1999"/>
    <n v="1"/>
    <s v="Africa"/>
    <x v="1"/>
    <m/>
    <x v="1"/>
    <s v="Drought"/>
    <s v="Drought"/>
    <m/>
    <m/>
    <m/>
    <m/>
    <m/>
    <s v=""/>
    <m/>
    <m/>
    <m/>
    <x v="0"/>
    <m/>
    <x v="0"/>
    <n v="1"/>
    <x v="1"/>
    <x v="0"/>
    <x v="0"/>
    <m/>
    <n v="100000"/>
    <x v="1"/>
    <m/>
    <m/>
    <x v="0"/>
    <m/>
    <m/>
    <m/>
    <m/>
    <m/>
    <m/>
    <m/>
    <m/>
    <m/>
    <m/>
    <m/>
    <m/>
    <m/>
    <m/>
    <x v="0"/>
    <m/>
    <n v="100000"/>
    <m/>
    <m/>
    <n v="7159.297959242117"/>
    <x v="5"/>
    <s v="Y"/>
    <m/>
    <m/>
    <m/>
    <m/>
    <n v="2898"/>
    <m/>
    <m/>
    <m/>
    <m/>
    <m/>
    <m/>
    <m/>
    <m/>
    <m/>
    <m/>
    <m/>
    <m/>
    <s v="Region response"/>
  </r>
  <r>
    <m/>
    <n v="2"/>
    <x v="6"/>
    <d v="1999-06-01T00:00:00"/>
    <x v="3"/>
    <x v="2"/>
    <m/>
    <n v="1999"/>
    <n v="2"/>
    <s v="LAC"/>
    <x v="2"/>
    <m/>
    <x v="2"/>
    <s v="General Floods"/>
    <s v="General Floods"/>
    <m/>
    <m/>
    <m/>
    <m/>
    <m/>
    <s v=""/>
    <m/>
    <m/>
    <m/>
    <x v="0"/>
    <m/>
    <x v="0"/>
    <m/>
    <x v="0"/>
    <x v="0"/>
    <x v="1"/>
    <m/>
    <n v="100000"/>
    <x v="2"/>
    <m/>
    <m/>
    <x v="0"/>
    <m/>
    <m/>
    <m/>
    <m/>
    <m/>
    <m/>
    <m/>
    <m/>
    <m/>
    <m/>
    <m/>
    <m/>
    <m/>
    <m/>
    <x v="0"/>
    <m/>
    <n v="100000"/>
    <m/>
    <m/>
    <n v="34050"/>
    <x v="5"/>
    <s v="Y"/>
    <m/>
    <m/>
    <m/>
    <m/>
    <n v="2898"/>
    <m/>
    <m/>
    <m/>
    <m/>
    <m/>
    <m/>
    <m/>
    <m/>
    <m/>
    <m/>
    <m/>
    <m/>
    <m/>
  </r>
  <r>
    <m/>
    <n v="3"/>
    <x v="7"/>
    <d v="1999-06-01T00:00:00"/>
    <x v="3"/>
    <x v="3"/>
    <m/>
    <n v="1999"/>
    <n v="3"/>
    <s v="LAC"/>
    <x v="3"/>
    <m/>
    <x v="2"/>
    <s v="General Floods"/>
    <s v="General Floods"/>
    <m/>
    <m/>
    <m/>
    <m/>
    <m/>
    <s v=""/>
    <m/>
    <m/>
    <m/>
    <x v="0"/>
    <m/>
    <x v="0"/>
    <n v="0"/>
    <x v="2"/>
    <x v="0"/>
    <x v="0"/>
    <m/>
    <n v="10000"/>
    <x v="1"/>
    <m/>
    <m/>
    <x v="0"/>
    <m/>
    <m/>
    <m/>
    <m/>
    <m/>
    <m/>
    <m/>
    <m/>
    <m/>
    <m/>
    <m/>
    <m/>
    <m/>
    <m/>
    <x v="0"/>
    <m/>
    <n v="10000"/>
    <m/>
    <m/>
    <n v="1000"/>
    <x v="6"/>
    <s v="Y"/>
    <m/>
    <m/>
    <m/>
    <m/>
    <n v="2898"/>
    <m/>
    <m/>
    <m/>
    <m/>
    <m/>
    <m/>
    <m/>
    <m/>
    <m/>
    <m/>
    <m/>
    <m/>
    <s v="Region response"/>
  </r>
  <r>
    <m/>
    <n v="4"/>
    <x v="8"/>
    <d v="1999-08-01T00:00:00"/>
    <x v="4"/>
    <x v="1"/>
    <m/>
    <n v="1999"/>
    <n v="4"/>
    <s v="Europe/Asia"/>
    <x v="4"/>
    <m/>
    <x v="2"/>
    <s v="General Floods"/>
    <s v="General Floods"/>
    <m/>
    <m/>
    <m/>
    <m/>
    <m/>
    <s v=""/>
    <m/>
    <m/>
    <m/>
    <x v="0"/>
    <m/>
    <x v="0"/>
    <n v="1"/>
    <x v="1"/>
    <x v="0"/>
    <x v="0"/>
    <m/>
    <n v="100000"/>
    <x v="1"/>
    <m/>
    <m/>
    <x v="0"/>
    <m/>
    <m/>
    <m/>
    <m/>
    <m/>
    <m/>
    <m/>
    <m/>
    <m/>
    <m/>
    <m/>
    <m/>
    <m/>
    <m/>
    <x v="0"/>
    <m/>
    <n v="100000"/>
    <m/>
    <m/>
    <n v="15080.681646810435"/>
    <x v="5"/>
    <s v="Y"/>
    <m/>
    <m/>
    <m/>
    <m/>
    <n v="2060"/>
    <m/>
    <m/>
    <m/>
    <m/>
    <m/>
    <m/>
    <m/>
    <m/>
    <m/>
    <m/>
    <m/>
    <m/>
    <s v="Region response"/>
  </r>
  <r>
    <m/>
    <n v="5"/>
    <x v="9"/>
    <d v="1999-08-01T00:00:00"/>
    <x v="4"/>
    <x v="2"/>
    <m/>
    <n v="1999"/>
    <n v="5"/>
    <s v="Europe/Asia"/>
    <x v="5"/>
    <m/>
    <x v="3"/>
    <s v="Earthquake"/>
    <s v="Earthquake"/>
    <m/>
    <m/>
    <m/>
    <m/>
    <m/>
    <s v=""/>
    <m/>
    <m/>
    <m/>
    <x v="0"/>
    <m/>
    <x v="0"/>
    <m/>
    <x v="0"/>
    <x v="0"/>
    <x v="0"/>
    <m/>
    <n v="0"/>
    <x v="3"/>
    <m/>
    <m/>
    <x v="0"/>
    <m/>
    <m/>
    <m/>
    <m/>
    <m/>
    <m/>
    <m/>
    <m/>
    <m/>
    <m/>
    <m/>
    <m/>
    <m/>
    <m/>
    <x v="1"/>
    <n v="0"/>
    <n v="0"/>
    <m/>
    <m/>
    <m/>
    <x v="7"/>
    <s v="Y"/>
    <m/>
    <m/>
    <m/>
    <m/>
    <n v="2814"/>
    <m/>
    <m/>
    <m/>
    <m/>
    <m/>
    <m/>
    <m/>
    <m/>
    <m/>
    <m/>
    <m/>
    <m/>
    <s v="Total expenses combined with (#19, below)"/>
  </r>
  <r>
    <m/>
    <n v="6"/>
    <x v="10"/>
    <d v="1999-08-01T00:00:00"/>
    <x v="4"/>
    <x v="3"/>
    <m/>
    <n v="1999"/>
    <n v="6"/>
    <s v="LAC"/>
    <x v="6"/>
    <m/>
    <x v="4"/>
    <s v="Volcanic Eruption"/>
    <s v="Volcanic Eruption"/>
    <m/>
    <m/>
    <m/>
    <m/>
    <m/>
    <s v=""/>
    <m/>
    <m/>
    <m/>
    <x v="0"/>
    <m/>
    <x v="0"/>
    <m/>
    <x v="0"/>
    <x v="0"/>
    <x v="2"/>
    <m/>
    <n v="10000"/>
    <x v="4"/>
    <m/>
    <m/>
    <x v="0"/>
    <m/>
    <m/>
    <m/>
    <m/>
    <m/>
    <m/>
    <m/>
    <m/>
    <m/>
    <m/>
    <m/>
    <m/>
    <m/>
    <m/>
    <x v="0"/>
    <m/>
    <n v="10000"/>
    <m/>
    <m/>
    <n v="1000"/>
    <x v="6"/>
    <s v="Y"/>
    <m/>
    <m/>
    <m/>
    <m/>
    <n v="2898"/>
    <m/>
    <m/>
    <m/>
    <m/>
    <m/>
    <m/>
    <m/>
    <m/>
    <m/>
    <m/>
    <m/>
    <m/>
    <s v="Gisla Dewey and Carol Schimke sent to assist and observe"/>
  </r>
  <r>
    <m/>
    <n v="7"/>
    <x v="11"/>
    <d v="1999-08-01T00:00:00"/>
    <x v="4"/>
    <x v="4"/>
    <m/>
    <n v="1999"/>
    <n v="7"/>
    <s v="Europe/Asia"/>
    <x v="7"/>
    <m/>
    <x v="2"/>
    <s v="General Floods"/>
    <s v="General Floods"/>
    <m/>
    <m/>
    <m/>
    <m/>
    <m/>
    <s v=""/>
    <m/>
    <m/>
    <m/>
    <x v="0"/>
    <m/>
    <x v="0"/>
    <n v="0"/>
    <x v="3"/>
    <x v="0"/>
    <x v="0"/>
    <m/>
    <n v="25000"/>
    <x v="1"/>
    <m/>
    <m/>
    <x v="0"/>
    <m/>
    <m/>
    <m/>
    <m/>
    <m/>
    <m/>
    <m/>
    <m/>
    <m/>
    <m/>
    <m/>
    <m/>
    <m/>
    <m/>
    <x v="0"/>
    <m/>
    <n v="25000"/>
    <m/>
    <m/>
    <n v="1321.7075933422946"/>
    <x v="8"/>
    <s v="Y"/>
    <m/>
    <m/>
    <m/>
    <m/>
    <n v="2898"/>
    <m/>
    <m/>
    <m/>
    <m/>
    <m/>
    <m/>
    <m/>
    <m/>
    <m/>
    <m/>
    <m/>
    <m/>
    <s v="Region response"/>
  </r>
  <r>
    <m/>
    <n v="8"/>
    <x v="12"/>
    <d v="1999-09-01T00:00:00"/>
    <x v="4"/>
    <x v="5"/>
    <m/>
    <n v="1999"/>
    <n v="8"/>
    <s v="Europe/Asia"/>
    <x v="8"/>
    <m/>
    <x v="3"/>
    <s v="Earthquake"/>
    <s v="Earthquake"/>
    <m/>
    <m/>
    <m/>
    <m/>
    <m/>
    <s v=""/>
    <m/>
    <m/>
    <m/>
    <x v="0"/>
    <m/>
    <x v="0"/>
    <n v="1"/>
    <x v="4"/>
    <x v="0"/>
    <x v="0"/>
    <m/>
    <n v="80000"/>
    <x v="1"/>
    <m/>
    <m/>
    <x v="0"/>
    <m/>
    <m/>
    <m/>
    <m/>
    <m/>
    <m/>
    <m/>
    <m/>
    <m/>
    <m/>
    <m/>
    <m/>
    <m/>
    <m/>
    <x v="0"/>
    <m/>
    <n v="80000"/>
    <m/>
    <m/>
    <n v="2580.0991790124413"/>
    <x v="9"/>
    <s v="Y"/>
    <m/>
    <m/>
    <m/>
    <m/>
    <n v="2898"/>
    <m/>
    <m/>
    <m/>
    <m/>
    <m/>
    <m/>
    <m/>
    <m/>
    <m/>
    <m/>
    <m/>
    <m/>
    <m/>
  </r>
  <r>
    <m/>
    <n v="9"/>
    <x v="13"/>
    <d v="1999-09-01T00:00:00"/>
    <x v="4"/>
    <x v="6"/>
    <m/>
    <n v="1999"/>
    <n v="9"/>
    <s v="LAC"/>
    <x v="9"/>
    <m/>
    <x v="5"/>
    <s v="Tropical Cyclone"/>
    <s v="Hurricane"/>
    <m/>
    <m/>
    <m/>
    <m/>
    <m/>
    <s v=""/>
    <m/>
    <m/>
    <m/>
    <x v="0"/>
    <m/>
    <x v="0"/>
    <m/>
    <x v="0"/>
    <x v="0"/>
    <x v="3"/>
    <m/>
    <n v="25000"/>
    <x v="5"/>
    <m/>
    <m/>
    <x v="0"/>
    <m/>
    <m/>
    <m/>
    <m/>
    <m/>
    <m/>
    <m/>
    <m/>
    <m/>
    <m/>
    <m/>
    <m/>
    <m/>
    <m/>
    <x v="2"/>
    <n v="9750"/>
    <n v="132193"/>
    <m/>
    <m/>
    <n v="12383.247348462506"/>
    <x v="10"/>
    <s v="Y"/>
    <m/>
    <m/>
    <m/>
    <m/>
    <n v="2898"/>
    <m/>
    <m/>
    <m/>
    <m/>
    <m/>
    <m/>
    <m/>
    <m/>
    <m/>
    <m/>
    <m/>
    <s v="Floyd"/>
    <s v="Hygiene kits, plastic sheeting, flashlights,batteries, bedsheets, and tents"/>
  </r>
  <r>
    <m/>
    <n v="10"/>
    <x v="14"/>
    <d v="1999-09-01T00:00:00"/>
    <x v="4"/>
    <x v="7"/>
    <m/>
    <n v="1999"/>
    <n v="10"/>
    <s v="Europe/Asia"/>
    <x v="10"/>
    <m/>
    <x v="3"/>
    <s v="Earthquake"/>
    <s v="Earthquake"/>
    <m/>
    <m/>
    <m/>
    <m/>
    <m/>
    <s v=""/>
    <m/>
    <m/>
    <m/>
    <x v="0"/>
    <m/>
    <x v="0"/>
    <n v="1"/>
    <x v="5"/>
    <x v="0"/>
    <x v="0"/>
    <m/>
    <n v="1200000"/>
    <x v="1"/>
    <m/>
    <m/>
    <x v="0"/>
    <m/>
    <m/>
    <m/>
    <m/>
    <m/>
    <m/>
    <m/>
    <m/>
    <m/>
    <m/>
    <m/>
    <m/>
    <m/>
    <m/>
    <x v="0"/>
    <m/>
    <n v="1200000"/>
    <m/>
    <m/>
    <n v="54838.842352037951"/>
    <x v="11"/>
    <s v="Y"/>
    <m/>
    <m/>
    <m/>
    <m/>
    <n v="2824"/>
    <m/>
    <m/>
    <m/>
    <m/>
    <m/>
    <m/>
    <m/>
    <m/>
    <m/>
    <m/>
    <m/>
    <m/>
    <s v="Money sent to Federation"/>
  </r>
  <r>
    <m/>
    <n v="11"/>
    <x v="15"/>
    <d v="1999-09-01T00:00:00"/>
    <x v="4"/>
    <x v="8"/>
    <m/>
    <n v="1999"/>
    <n v="11"/>
    <s v="Europe/Asia"/>
    <x v="11"/>
    <m/>
    <x v="6"/>
    <s v="Radiation"/>
    <s v="Radiation"/>
    <m/>
    <m/>
    <m/>
    <m/>
    <m/>
    <s v=""/>
    <m/>
    <m/>
    <m/>
    <x v="0"/>
    <m/>
    <x v="0"/>
    <m/>
    <x v="0"/>
    <x v="0"/>
    <x v="0"/>
    <m/>
    <n v="0"/>
    <x v="1"/>
    <m/>
    <m/>
    <x v="0"/>
    <m/>
    <m/>
    <m/>
    <m/>
    <m/>
    <m/>
    <m/>
    <m/>
    <m/>
    <m/>
    <m/>
    <m/>
    <m/>
    <m/>
    <x v="3"/>
    <m/>
    <n v="200"/>
    <m/>
    <m/>
    <m/>
    <x v="12"/>
    <s v="Y"/>
    <m/>
    <m/>
    <m/>
    <m/>
    <n v="2898"/>
    <m/>
    <m/>
    <m/>
    <m/>
    <m/>
    <m/>
    <m/>
    <m/>
    <m/>
    <m/>
    <m/>
    <s v="Nuclear Power Plant"/>
    <s v="Manuals related to Nuclear disasters sent to JRCS"/>
  </r>
  <r>
    <m/>
    <n v="12"/>
    <x v="0"/>
    <d v="1999-09-01T00:00:00"/>
    <x v="4"/>
    <x v="9"/>
    <m/>
    <n v="1999"/>
    <n v="12"/>
    <s v="LAC"/>
    <x v="2"/>
    <m/>
    <x v="3"/>
    <s v="Earthquake"/>
    <s v="Earthquake"/>
    <m/>
    <m/>
    <m/>
    <m/>
    <m/>
    <s v=""/>
    <m/>
    <m/>
    <m/>
    <x v="0"/>
    <m/>
    <x v="0"/>
    <m/>
    <x v="0"/>
    <x v="0"/>
    <x v="4"/>
    <m/>
    <n v="150000"/>
    <x v="5"/>
    <m/>
    <m/>
    <x v="0"/>
    <m/>
    <m/>
    <m/>
    <m/>
    <m/>
    <m/>
    <m/>
    <m/>
    <m/>
    <m/>
    <m/>
    <m/>
    <m/>
    <m/>
    <x v="0"/>
    <m/>
    <n v="150000"/>
    <m/>
    <m/>
    <m/>
    <x v="13"/>
    <s v="Y"/>
    <m/>
    <m/>
    <m/>
    <m/>
    <n v="2020"/>
    <m/>
    <m/>
    <m/>
    <m/>
    <m/>
    <m/>
    <m/>
    <m/>
    <m/>
    <m/>
    <m/>
    <m/>
    <m/>
  </r>
  <r>
    <m/>
    <n v="13"/>
    <x v="16"/>
    <d v="1999-10-01T00:00:00"/>
    <x v="4"/>
    <x v="10"/>
    <m/>
    <n v="1999"/>
    <n v="13"/>
    <s v="LAC"/>
    <x v="2"/>
    <m/>
    <x v="7"/>
    <s v="General Floods"/>
    <s v="General Floods"/>
    <m/>
    <m/>
    <m/>
    <m/>
    <m/>
    <s v=""/>
    <m/>
    <m/>
    <m/>
    <x v="0"/>
    <m/>
    <x v="0"/>
    <m/>
    <x v="0"/>
    <x v="0"/>
    <x v="5"/>
    <m/>
    <n v="200000"/>
    <x v="6"/>
    <m/>
    <m/>
    <x v="0"/>
    <m/>
    <m/>
    <m/>
    <m/>
    <m/>
    <m/>
    <m/>
    <m/>
    <m/>
    <m/>
    <m/>
    <m/>
    <m/>
    <m/>
    <x v="0"/>
    <n v="5000"/>
    <n v="205000"/>
    <m/>
    <m/>
    <n v="12000"/>
    <x v="14"/>
    <s v="Y"/>
    <m/>
    <m/>
    <m/>
    <m/>
    <n v="2020"/>
    <m/>
    <m/>
    <m/>
    <m/>
    <m/>
    <m/>
    <m/>
    <m/>
    <m/>
    <m/>
    <m/>
    <m/>
    <m/>
  </r>
  <r>
    <m/>
    <n v="14"/>
    <x v="17"/>
    <d v="1999-10-01T00:00:00"/>
    <x v="4"/>
    <x v="11"/>
    <m/>
    <n v="1999"/>
    <n v="14"/>
    <s v="Europe/Asia"/>
    <x v="12"/>
    <m/>
    <x v="8"/>
    <s v="Conflict"/>
    <s v="Conflict"/>
    <m/>
    <m/>
    <m/>
    <m/>
    <m/>
    <s v=""/>
    <m/>
    <m/>
    <m/>
    <x v="0"/>
    <m/>
    <x v="0"/>
    <m/>
    <x v="0"/>
    <x v="0"/>
    <x v="6"/>
    <m/>
    <n v="75000"/>
    <x v="1"/>
    <m/>
    <m/>
    <x v="1"/>
    <m/>
    <n v="11200"/>
    <n v="55000"/>
    <n v="10500"/>
    <m/>
    <m/>
    <m/>
    <m/>
    <m/>
    <m/>
    <m/>
    <m/>
    <m/>
    <m/>
    <x v="4"/>
    <m/>
    <n v="610134"/>
    <m/>
    <m/>
    <n v="55000"/>
    <x v="15"/>
    <s v="Y"/>
    <m/>
    <m/>
    <m/>
    <m/>
    <n v="2045"/>
    <m/>
    <m/>
    <m/>
    <m/>
    <m/>
    <m/>
    <m/>
    <m/>
    <m/>
    <m/>
    <m/>
    <s v="Chechnya"/>
    <s v="Chechnya:  Response handled by Regional desk, winter clothing for 3,000 people, 55,000 blankets, 10,500 Jerry cans, 11,200 hygiene parcels."/>
  </r>
  <r>
    <m/>
    <n v="15"/>
    <x v="18"/>
    <d v="1999-10-01T00:00:00"/>
    <x v="4"/>
    <x v="12"/>
    <m/>
    <n v="1999"/>
    <n v="15"/>
    <s v="Europe/Asia"/>
    <x v="13"/>
    <m/>
    <x v="8"/>
    <s v="Conflict"/>
    <s v="Conflict"/>
    <m/>
    <m/>
    <m/>
    <m/>
    <m/>
    <s v=""/>
    <m/>
    <m/>
    <m/>
    <x v="0"/>
    <m/>
    <x v="0"/>
    <m/>
    <x v="0"/>
    <x v="0"/>
    <x v="2"/>
    <m/>
    <n v="10000"/>
    <x v="2"/>
    <m/>
    <m/>
    <x v="0"/>
    <m/>
    <m/>
    <m/>
    <m/>
    <m/>
    <m/>
    <m/>
    <m/>
    <m/>
    <m/>
    <m/>
    <m/>
    <m/>
    <m/>
    <x v="0"/>
    <m/>
    <n v="10000"/>
    <m/>
    <m/>
    <m/>
    <x v="6"/>
    <s v="Y"/>
    <m/>
    <m/>
    <m/>
    <m/>
    <n v="2898"/>
    <m/>
    <m/>
    <m/>
    <m/>
    <m/>
    <m/>
    <m/>
    <m/>
    <m/>
    <m/>
    <m/>
    <s v="Referendum"/>
    <s v="Kevin Kelley sent."/>
  </r>
  <r>
    <m/>
    <n v="16"/>
    <x v="19"/>
    <d v="1999-10-01T00:00:00"/>
    <x v="4"/>
    <x v="13"/>
    <m/>
    <n v="1999"/>
    <n v="16"/>
    <s v="Europe/Asia"/>
    <x v="14"/>
    <m/>
    <x v="2"/>
    <s v="General Floods"/>
    <s v="General Floods"/>
    <m/>
    <m/>
    <m/>
    <m/>
    <m/>
    <s v=""/>
    <m/>
    <m/>
    <m/>
    <x v="0"/>
    <m/>
    <x v="0"/>
    <n v="0"/>
    <x v="3"/>
    <x v="0"/>
    <x v="0"/>
    <m/>
    <n v="25000"/>
    <x v="1"/>
    <m/>
    <m/>
    <x v="0"/>
    <m/>
    <m/>
    <m/>
    <m/>
    <m/>
    <m/>
    <m/>
    <m/>
    <m/>
    <m/>
    <m/>
    <m/>
    <m/>
    <m/>
    <x v="0"/>
    <m/>
    <n v="25000"/>
    <m/>
    <m/>
    <n v="2500"/>
    <x v="8"/>
    <s v="Y"/>
    <m/>
    <m/>
    <m/>
    <m/>
    <n v="2898"/>
    <m/>
    <m/>
    <m/>
    <m/>
    <m/>
    <m/>
    <m/>
    <m/>
    <m/>
    <m/>
    <m/>
    <m/>
    <m/>
  </r>
  <r>
    <m/>
    <n v="17"/>
    <x v="20"/>
    <d v="1999-11-01T00:00:00"/>
    <x v="4"/>
    <x v="14"/>
    <m/>
    <n v="1999"/>
    <n v="17"/>
    <s v="Europe/Asia"/>
    <x v="15"/>
    <m/>
    <x v="5"/>
    <s v="Tropical Cyclone"/>
    <s v="Cyclone"/>
    <m/>
    <m/>
    <m/>
    <m/>
    <m/>
    <s v=""/>
    <m/>
    <m/>
    <m/>
    <x v="0"/>
    <m/>
    <x v="0"/>
    <n v="1"/>
    <x v="6"/>
    <x v="0"/>
    <x v="0"/>
    <m/>
    <n v="50000"/>
    <x v="1"/>
    <m/>
    <m/>
    <x v="0"/>
    <m/>
    <m/>
    <m/>
    <m/>
    <m/>
    <m/>
    <m/>
    <m/>
    <m/>
    <m/>
    <m/>
    <m/>
    <m/>
    <m/>
    <x v="0"/>
    <m/>
    <n v="50000"/>
    <m/>
    <m/>
    <n v="5000"/>
    <x v="16"/>
    <s v="Y"/>
    <m/>
    <m/>
    <m/>
    <m/>
    <n v="2898"/>
    <m/>
    <m/>
    <m/>
    <m/>
    <m/>
    <m/>
    <m/>
    <m/>
    <m/>
    <m/>
    <m/>
    <m/>
    <s v="Federation handled funds"/>
  </r>
  <r>
    <m/>
    <n v="18"/>
    <x v="21"/>
    <d v="1999-11-01T00:00:00"/>
    <x v="4"/>
    <x v="15"/>
    <m/>
    <n v="1999"/>
    <n v="18"/>
    <s v="Europe/Asia"/>
    <x v="16"/>
    <m/>
    <x v="2"/>
    <s v="General Floods"/>
    <s v="General Floods"/>
    <m/>
    <m/>
    <m/>
    <m/>
    <m/>
    <s v=""/>
    <m/>
    <m/>
    <m/>
    <x v="0"/>
    <m/>
    <x v="0"/>
    <m/>
    <x v="0"/>
    <x v="0"/>
    <x v="7"/>
    <m/>
    <n v="50000"/>
    <x v="1"/>
    <m/>
    <m/>
    <x v="0"/>
    <m/>
    <m/>
    <m/>
    <m/>
    <m/>
    <m/>
    <m/>
    <m/>
    <m/>
    <m/>
    <m/>
    <m/>
    <m/>
    <m/>
    <x v="0"/>
    <m/>
    <n v="50000"/>
    <m/>
    <m/>
    <m/>
    <x v="16"/>
    <s v="Y"/>
    <m/>
    <m/>
    <m/>
    <m/>
    <n v="2870"/>
    <m/>
    <m/>
    <m/>
    <m/>
    <m/>
    <m/>
    <m/>
    <m/>
    <m/>
    <m/>
    <m/>
    <m/>
    <s v="Reference Regional Desk information."/>
  </r>
  <r>
    <m/>
    <n v="19"/>
    <x v="9"/>
    <d v="1999-11-01T00:00:00"/>
    <x v="4"/>
    <x v="16"/>
    <m/>
    <n v="1999"/>
    <n v="19"/>
    <s v="Europe/Asia"/>
    <x v="5"/>
    <m/>
    <x v="3"/>
    <s v="Earthquake"/>
    <s v="Earthquake"/>
    <m/>
    <m/>
    <m/>
    <m/>
    <m/>
    <s v=""/>
    <m/>
    <m/>
    <m/>
    <x v="0"/>
    <m/>
    <x v="0"/>
    <n v="1"/>
    <x v="7"/>
    <x v="0"/>
    <x v="8"/>
    <m/>
    <n v="3864221.99"/>
    <x v="7"/>
    <m/>
    <m/>
    <x v="0"/>
    <m/>
    <m/>
    <m/>
    <m/>
    <m/>
    <m/>
    <m/>
    <m/>
    <m/>
    <m/>
    <m/>
    <m/>
    <m/>
    <m/>
    <x v="5"/>
    <n v="472203.99"/>
    <n v="5153184.1400000006"/>
    <m/>
    <m/>
    <n v="52000"/>
    <x v="17"/>
    <s v="Y"/>
    <m/>
    <m/>
    <m/>
    <m/>
    <n v="2814"/>
    <m/>
    <m/>
    <m/>
    <m/>
    <m/>
    <m/>
    <m/>
    <m/>
    <m/>
    <m/>
    <m/>
    <m/>
    <s v="Total expenditures based off expenses from August-Jan for both earthquakes affecting Turkey."/>
  </r>
  <r>
    <m/>
    <n v="20"/>
    <x v="22"/>
    <d v="1999-11-01T00:00:00"/>
    <x v="4"/>
    <x v="17"/>
    <m/>
    <n v="1999"/>
    <n v="20"/>
    <s v="LAC"/>
    <x v="17"/>
    <m/>
    <x v="5"/>
    <s v="Tropical Cyclone"/>
    <s v="Hurricane"/>
    <m/>
    <m/>
    <m/>
    <m/>
    <m/>
    <s v=""/>
    <m/>
    <m/>
    <m/>
    <x v="0"/>
    <m/>
    <x v="0"/>
    <m/>
    <x v="0"/>
    <x v="0"/>
    <x v="9"/>
    <m/>
    <n v="15000"/>
    <x v="2"/>
    <m/>
    <m/>
    <x v="0"/>
    <m/>
    <m/>
    <m/>
    <m/>
    <m/>
    <m/>
    <m/>
    <m/>
    <m/>
    <m/>
    <m/>
    <m/>
    <m/>
    <m/>
    <x v="0"/>
    <m/>
    <n v="15000"/>
    <m/>
    <m/>
    <n v="1500"/>
    <x v="18"/>
    <s v="Y"/>
    <m/>
    <m/>
    <m/>
    <m/>
    <n v="2898"/>
    <m/>
    <m/>
    <m/>
    <m/>
    <m/>
    <m/>
    <m/>
    <m/>
    <m/>
    <m/>
    <m/>
    <s v="Lenny"/>
    <s v="Transferred directly to DRCS for household items, supplementary food to 100 families, tents &amp; hygiene kits. "/>
  </r>
  <r>
    <m/>
    <n v="20"/>
    <x v="23"/>
    <d v="1999-11-01T00:00:00"/>
    <x v="4"/>
    <x v="17"/>
    <m/>
    <n v="1999"/>
    <n v="20"/>
    <s v="LAC"/>
    <x v="18"/>
    <m/>
    <x v="5"/>
    <s v="Tropical Cyclone"/>
    <s v="Hurricane"/>
    <m/>
    <m/>
    <m/>
    <m/>
    <m/>
    <s v=""/>
    <m/>
    <m/>
    <m/>
    <x v="0"/>
    <m/>
    <x v="0"/>
    <m/>
    <x v="0"/>
    <x v="0"/>
    <x v="9"/>
    <m/>
    <n v="15000"/>
    <x v="4"/>
    <m/>
    <m/>
    <x v="0"/>
    <m/>
    <m/>
    <m/>
    <m/>
    <m/>
    <m/>
    <m/>
    <m/>
    <m/>
    <m/>
    <m/>
    <m/>
    <m/>
    <m/>
    <x v="0"/>
    <m/>
    <n v="15000"/>
    <m/>
    <m/>
    <n v="1500"/>
    <x v="18"/>
    <s v="Y"/>
    <m/>
    <m/>
    <m/>
    <m/>
    <n v="2898"/>
    <m/>
    <m/>
    <m/>
    <m/>
    <m/>
    <m/>
    <m/>
    <m/>
    <m/>
    <m/>
    <m/>
    <s v="Lenny"/>
    <s v="Transferred directly to SKNRC for hygiene kits, food packages and bedding "/>
  </r>
  <r>
    <m/>
    <n v="20"/>
    <x v="24"/>
    <d v="1999-11-01T00:00:00"/>
    <x v="4"/>
    <x v="17"/>
    <m/>
    <n v="1999"/>
    <n v="20"/>
    <s v="LAC"/>
    <x v="19"/>
    <m/>
    <x v="5"/>
    <s v="Tropical Cyclone"/>
    <s v="Hurricane"/>
    <m/>
    <m/>
    <m/>
    <m/>
    <m/>
    <s v=""/>
    <m/>
    <m/>
    <m/>
    <x v="0"/>
    <m/>
    <x v="0"/>
    <m/>
    <x v="0"/>
    <x v="0"/>
    <x v="9"/>
    <m/>
    <n v="15000"/>
    <x v="2"/>
    <m/>
    <m/>
    <x v="0"/>
    <m/>
    <m/>
    <m/>
    <m/>
    <m/>
    <m/>
    <m/>
    <m/>
    <m/>
    <m/>
    <m/>
    <m/>
    <m/>
    <m/>
    <x v="0"/>
    <m/>
    <n v="15000"/>
    <m/>
    <m/>
    <n v="1500"/>
    <x v="18"/>
    <s v="Y"/>
    <m/>
    <m/>
    <m/>
    <m/>
    <n v="2898"/>
    <m/>
    <m/>
    <m/>
    <m/>
    <m/>
    <m/>
    <m/>
    <m/>
    <m/>
    <m/>
    <m/>
    <s v="Lenny"/>
    <s v="$15,000 for mattresses, first aid supplies, and roofing .     "/>
  </r>
  <r>
    <m/>
    <n v="20"/>
    <x v="25"/>
    <d v="1999-11-01T00:00:00"/>
    <x v="4"/>
    <x v="17"/>
    <m/>
    <n v="1999"/>
    <n v="20"/>
    <s v="LAC"/>
    <x v="20"/>
    <m/>
    <x v="5"/>
    <s v="Tropical Cyclone"/>
    <s v="Hurricane"/>
    <m/>
    <m/>
    <m/>
    <m/>
    <m/>
    <s v=""/>
    <m/>
    <m/>
    <m/>
    <x v="0"/>
    <m/>
    <x v="0"/>
    <m/>
    <x v="0"/>
    <x v="0"/>
    <x v="10"/>
    <m/>
    <n v="9000"/>
    <x v="2"/>
    <m/>
    <m/>
    <x v="0"/>
    <m/>
    <m/>
    <m/>
    <m/>
    <m/>
    <m/>
    <m/>
    <m/>
    <m/>
    <m/>
    <m/>
    <m/>
    <m/>
    <m/>
    <x v="0"/>
    <m/>
    <n v="9000"/>
    <m/>
    <m/>
    <n v="900"/>
    <x v="19"/>
    <s v="Y"/>
    <m/>
    <m/>
    <m/>
    <m/>
    <n v="2898"/>
    <m/>
    <m/>
    <m/>
    <m/>
    <m/>
    <m/>
    <m/>
    <m/>
    <m/>
    <m/>
    <m/>
    <s v="Lenny"/>
    <m/>
  </r>
  <r>
    <m/>
    <n v="20"/>
    <x v="26"/>
    <d v="1999-11-01T00:00:00"/>
    <x v="4"/>
    <x v="17"/>
    <m/>
    <n v="1999"/>
    <n v="20"/>
    <s v="LAC"/>
    <x v="21"/>
    <m/>
    <x v="5"/>
    <s v="Tropical Cyclone"/>
    <s v="Hurricane"/>
    <m/>
    <m/>
    <m/>
    <m/>
    <m/>
    <s v=""/>
    <m/>
    <m/>
    <m/>
    <x v="0"/>
    <m/>
    <x v="0"/>
    <m/>
    <x v="0"/>
    <x v="0"/>
    <x v="10"/>
    <m/>
    <n v="9000"/>
    <x v="0"/>
    <m/>
    <m/>
    <x v="0"/>
    <m/>
    <m/>
    <m/>
    <m/>
    <m/>
    <m/>
    <m/>
    <m/>
    <m/>
    <m/>
    <m/>
    <m/>
    <m/>
    <m/>
    <x v="0"/>
    <m/>
    <n v="9000"/>
    <m/>
    <m/>
    <n v="900"/>
    <x v="19"/>
    <s v="Y"/>
    <m/>
    <m/>
    <m/>
    <m/>
    <n v="2898"/>
    <m/>
    <m/>
    <m/>
    <m/>
    <m/>
    <m/>
    <m/>
    <m/>
    <m/>
    <m/>
    <m/>
    <s v="Lenny"/>
    <m/>
  </r>
  <r>
    <m/>
    <n v="21"/>
    <x v="27"/>
    <d v="1999-12-01T00:00:00"/>
    <x v="4"/>
    <x v="18"/>
    <m/>
    <n v="1999"/>
    <n v="21"/>
    <s v="LAC"/>
    <x v="22"/>
    <m/>
    <x v="2"/>
    <s v="General Floods"/>
    <s v="General Floods"/>
    <m/>
    <m/>
    <m/>
    <m/>
    <m/>
    <s v=""/>
    <m/>
    <m/>
    <m/>
    <x v="0"/>
    <m/>
    <x v="0"/>
    <m/>
    <x v="0"/>
    <x v="0"/>
    <x v="7"/>
    <m/>
    <n v="50000"/>
    <x v="8"/>
    <m/>
    <m/>
    <x v="2"/>
    <m/>
    <n v="2200"/>
    <n v="4625"/>
    <n v="2550"/>
    <m/>
    <n v="36"/>
    <m/>
    <n v="6120"/>
    <m/>
    <n v="40000"/>
    <m/>
    <n v="7"/>
    <m/>
    <m/>
    <x v="6"/>
    <n v="500000"/>
    <n v="1056000"/>
    <m/>
    <m/>
    <n v="120000"/>
    <x v="20"/>
    <s v="Y"/>
    <m/>
    <m/>
    <m/>
    <m/>
    <n v="2912"/>
    <m/>
    <m/>
    <m/>
    <m/>
    <m/>
    <m/>
    <m/>
    <m/>
    <m/>
    <m/>
    <m/>
    <m/>
    <s v="2,550 collapsible water containers. Purchased and shipped 7 Ford trucks, ($182,000),  13 MT calcium hypochloride ($30,000)"/>
  </r>
  <r>
    <m/>
    <n v="22"/>
    <x v="28"/>
    <d v="2000-02-01T00:00:00"/>
    <x v="4"/>
    <x v="19"/>
    <m/>
    <n v="2000"/>
    <n v="1"/>
    <s v="Africa"/>
    <x v="23"/>
    <m/>
    <x v="2"/>
    <s v="General Floods"/>
    <s v="General Floods"/>
    <m/>
    <m/>
    <m/>
    <m/>
    <m/>
    <s v=""/>
    <m/>
    <m/>
    <m/>
    <x v="0"/>
    <m/>
    <x v="0"/>
    <n v="0"/>
    <x v="8"/>
    <x v="0"/>
    <x v="0"/>
    <m/>
    <n v="23333.333333333332"/>
    <x v="1"/>
    <m/>
    <m/>
    <x v="0"/>
    <m/>
    <m/>
    <m/>
    <m/>
    <m/>
    <m/>
    <m/>
    <m/>
    <m/>
    <m/>
    <m/>
    <m/>
    <m/>
    <m/>
    <x v="0"/>
    <m/>
    <n v="23333.333333333332"/>
    <m/>
    <m/>
    <n v="2300"/>
    <x v="21"/>
    <s v="Y"/>
    <m/>
    <m/>
    <m/>
    <m/>
    <n v="2898"/>
    <m/>
    <m/>
    <m/>
    <m/>
    <m/>
    <m/>
    <m/>
    <m/>
    <m/>
    <m/>
    <m/>
    <m/>
    <s v="Federation handled funds ($70,000 total)"/>
  </r>
  <r>
    <m/>
    <n v="22"/>
    <x v="29"/>
    <d v="2000-02-01T00:00:00"/>
    <x v="4"/>
    <x v="19"/>
    <m/>
    <n v="2000"/>
    <n v="1"/>
    <s v="Africa"/>
    <x v="24"/>
    <m/>
    <x v="2"/>
    <s v="General Floods"/>
    <s v="General Floods"/>
    <m/>
    <m/>
    <m/>
    <m/>
    <m/>
    <s v=""/>
    <m/>
    <m/>
    <m/>
    <x v="0"/>
    <m/>
    <x v="0"/>
    <n v="0"/>
    <x v="8"/>
    <x v="0"/>
    <x v="0"/>
    <m/>
    <n v="23333.333333333332"/>
    <x v="0"/>
    <m/>
    <m/>
    <x v="0"/>
    <m/>
    <m/>
    <m/>
    <m/>
    <m/>
    <m/>
    <m/>
    <m/>
    <m/>
    <m/>
    <m/>
    <m/>
    <m/>
    <m/>
    <x v="0"/>
    <m/>
    <n v="23333.333333333332"/>
    <m/>
    <m/>
    <n v="2300"/>
    <x v="21"/>
    <s v="Y"/>
    <m/>
    <m/>
    <m/>
    <m/>
    <n v="2898"/>
    <m/>
    <m/>
    <m/>
    <m/>
    <m/>
    <m/>
    <m/>
    <m/>
    <m/>
    <m/>
    <m/>
    <m/>
    <s v="Federation handled funds ($70,000 total)"/>
  </r>
  <r>
    <m/>
    <n v="22"/>
    <x v="30"/>
    <d v="2000-02-01T00:00:00"/>
    <x v="4"/>
    <x v="19"/>
    <m/>
    <n v="2000"/>
    <n v="1"/>
    <s v="Africa"/>
    <x v="25"/>
    <m/>
    <x v="2"/>
    <s v="General Floods"/>
    <s v="General Floods"/>
    <m/>
    <m/>
    <m/>
    <m/>
    <m/>
    <s v=""/>
    <m/>
    <m/>
    <m/>
    <x v="0"/>
    <m/>
    <x v="0"/>
    <n v="0"/>
    <x v="9"/>
    <x v="0"/>
    <x v="0"/>
    <m/>
    <n v="23333.343333333331"/>
    <x v="0"/>
    <m/>
    <m/>
    <x v="0"/>
    <m/>
    <m/>
    <m/>
    <m/>
    <m/>
    <m/>
    <m/>
    <m/>
    <m/>
    <m/>
    <m/>
    <m/>
    <m/>
    <m/>
    <x v="0"/>
    <m/>
    <n v="23333.343333333331"/>
    <m/>
    <m/>
    <n v="2300"/>
    <x v="22"/>
    <s v="Y"/>
    <m/>
    <m/>
    <m/>
    <m/>
    <n v="2898"/>
    <m/>
    <m/>
    <m/>
    <m/>
    <m/>
    <m/>
    <m/>
    <m/>
    <m/>
    <m/>
    <m/>
    <m/>
    <s v="Federation handled funds ($70,000 total)"/>
  </r>
  <r>
    <m/>
    <n v="23"/>
    <x v="31"/>
    <d v="2000-03-01T00:00:00"/>
    <x v="4"/>
    <x v="20"/>
    <m/>
    <n v="2000"/>
    <n v="3"/>
    <s v="Africa"/>
    <x v="26"/>
    <m/>
    <x v="2"/>
    <s v="General Floods"/>
    <s v="General Floods"/>
    <m/>
    <m/>
    <m/>
    <m/>
    <m/>
    <s v=""/>
    <m/>
    <m/>
    <m/>
    <x v="0"/>
    <m/>
    <x v="0"/>
    <n v="0"/>
    <x v="3"/>
    <x v="0"/>
    <x v="0"/>
    <m/>
    <n v="25000"/>
    <x v="1"/>
    <m/>
    <m/>
    <x v="0"/>
    <m/>
    <m/>
    <m/>
    <m/>
    <m/>
    <m/>
    <m/>
    <m/>
    <m/>
    <m/>
    <m/>
    <m/>
    <m/>
    <m/>
    <x v="0"/>
    <m/>
    <n v="25000"/>
    <m/>
    <m/>
    <n v="2500"/>
    <x v="8"/>
    <s v="Y"/>
    <m/>
    <m/>
    <m/>
    <m/>
    <n v="2898"/>
    <m/>
    <m/>
    <m/>
    <m/>
    <m/>
    <m/>
    <m/>
    <m/>
    <m/>
    <m/>
    <m/>
    <m/>
    <s v="Federation handled funds"/>
  </r>
  <r>
    <m/>
    <n v="24"/>
    <x v="5"/>
    <d v="2000-04-01T00:00:00"/>
    <x v="4"/>
    <x v="21"/>
    <m/>
    <n v="2000"/>
    <n v="4"/>
    <s v="Africa"/>
    <x v="1"/>
    <m/>
    <x v="1"/>
    <s v="Drought"/>
    <s v="Drought"/>
    <m/>
    <m/>
    <m/>
    <m/>
    <m/>
    <s v=""/>
    <m/>
    <m/>
    <m/>
    <x v="0"/>
    <m/>
    <x v="0"/>
    <n v="1"/>
    <x v="1"/>
    <x v="0"/>
    <x v="0"/>
    <m/>
    <n v="100000"/>
    <x v="1"/>
    <m/>
    <m/>
    <x v="0"/>
    <m/>
    <m/>
    <m/>
    <m/>
    <m/>
    <m/>
    <m/>
    <m/>
    <m/>
    <m/>
    <m/>
    <m/>
    <m/>
    <m/>
    <x v="0"/>
    <m/>
    <n v="100000"/>
    <m/>
    <m/>
    <n v="2376.7346201502733"/>
    <x v="5"/>
    <s v="Y"/>
    <m/>
    <m/>
    <m/>
    <m/>
    <n v="2898"/>
    <m/>
    <m/>
    <m/>
    <m/>
    <m/>
    <m/>
    <m/>
    <m/>
    <m/>
    <m/>
    <m/>
    <m/>
    <m/>
  </r>
  <r>
    <m/>
    <n v="25"/>
    <x v="32"/>
    <d v="2000-06-01T00:00:00"/>
    <x v="4"/>
    <x v="22"/>
    <m/>
    <n v="2000"/>
    <n v="5"/>
    <s v="Europe/Asia"/>
    <x v="27"/>
    <m/>
    <x v="3"/>
    <s v="Earthquake"/>
    <s v="Earthquake"/>
    <m/>
    <m/>
    <m/>
    <m/>
    <m/>
    <s v=""/>
    <m/>
    <m/>
    <m/>
    <x v="0"/>
    <m/>
    <x v="0"/>
    <n v="1"/>
    <x v="6"/>
    <x v="0"/>
    <x v="0"/>
    <m/>
    <n v="50000"/>
    <x v="4"/>
    <m/>
    <m/>
    <x v="0"/>
    <m/>
    <m/>
    <m/>
    <m/>
    <m/>
    <m/>
    <m/>
    <m/>
    <m/>
    <m/>
    <m/>
    <m/>
    <m/>
    <m/>
    <x v="0"/>
    <m/>
    <n v="50000"/>
    <m/>
    <m/>
    <n v="3300"/>
    <x v="16"/>
    <s v="Y"/>
    <m/>
    <m/>
    <m/>
    <m/>
    <n v="2898"/>
    <m/>
    <m/>
    <m/>
    <m/>
    <m/>
    <m/>
    <m/>
    <m/>
    <m/>
    <m/>
    <m/>
    <m/>
    <s v="625 family kits"/>
  </r>
  <r>
    <m/>
    <n v="26"/>
    <x v="33"/>
    <d v="2000-08-01T00:00:00"/>
    <x v="5"/>
    <x v="1"/>
    <m/>
    <n v="2000"/>
    <n v="6"/>
    <s v="Europe/Asia"/>
    <x v="15"/>
    <m/>
    <x v="2"/>
    <s v="General Floods"/>
    <s v="General Floods"/>
    <m/>
    <m/>
    <m/>
    <m/>
    <m/>
    <s v=""/>
    <m/>
    <m/>
    <m/>
    <x v="0"/>
    <m/>
    <x v="0"/>
    <m/>
    <x v="0"/>
    <x v="0"/>
    <x v="0"/>
    <m/>
    <n v="0"/>
    <x v="9"/>
    <m/>
    <m/>
    <x v="3"/>
    <m/>
    <m/>
    <m/>
    <m/>
    <m/>
    <m/>
    <m/>
    <m/>
    <m/>
    <n v="5000"/>
    <m/>
    <n v="5"/>
    <m/>
    <m/>
    <x v="7"/>
    <n v="190065"/>
    <n v="389265"/>
    <m/>
    <m/>
    <n v="25000"/>
    <x v="23"/>
    <s v="Y"/>
    <m/>
    <m/>
    <m/>
    <m/>
    <n v="4901"/>
    <m/>
    <m/>
    <m/>
    <m/>
    <m/>
    <m/>
    <m/>
    <m/>
    <m/>
    <m/>
    <m/>
    <m/>
    <s v="5,000 relief/food parcels and 5 trucks"/>
  </r>
  <r>
    <m/>
    <n v="27"/>
    <x v="19"/>
    <d v="2000-08-01T00:00:00"/>
    <x v="5"/>
    <x v="2"/>
    <m/>
    <n v="2000"/>
    <n v="7"/>
    <s v="Europe/Asia"/>
    <x v="14"/>
    <m/>
    <x v="2"/>
    <s v="General Floods"/>
    <s v="General Floods"/>
    <m/>
    <m/>
    <m/>
    <m/>
    <m/>
    <s v=""/>
    <m/>
    <m/>
    <m/>
    <x v="0"/>
    <m/>
    <x v="0"/>
    <m/>
    <x v="0"/>
    <x v="0"/>
    <x v="3"/>
    <m/>
    <n v="25000"/>
    <x v="1"/>
    <m/>
    <m/>
    <x v="0"/>
    <m/>
    <m/>
    <m/>
    <m/>
    <m/>
    <m/>
    <m/>
    <m/>
    <m/>
    <m/>
    <m/>
    <m/>
    <m/>
    <m/>
    <x v="0"/>
    <m/>
    <n v="25000"/>
    <m/>
    <m/>
    <n v="2500"/>
    <x v="8"/>
    <s v="Y"/>
    <m/>
    <m/>
    <m/>
    <m/>
    <n v="2898"/>
    <m/>
    <m/>
    <m/>
    <m/>
    <m/>
    <m/>
    <m/>
    <m/>
    <m/>
    <m/>
    <m/>
    <m/>
    <s v="via Japanese Red Cross for relief supplies"/>
  </r>
  <r>
    <m/>
    <n v="28"/>
    <x v="11"/>
    <d v="2000-09-01T00:00:00"/>
    <x v="5"/>
    <x v="3"/>
    <m/>
    <n v="2000"/>
    <n v="8"/>
    <s v="Europe/Asia"/>
    <x v="7"/>
    <m/>
    <x v="2"/>
    <s v="Storm Surge"/>
    <s v="Storm Surge"/>
    <m/>
    <m/>
    <m/>
    <m/>
    <m/>
    <s v=""/>
    <m/>
    <m/>
    <m/>
    <x v="0"/>
    <m/>
    <x v="0"/>
    <m/>
    <x v="0"/>
    <x v="0"/>
    <x v="11"/>
    <m/>
    <n v="352704"/>
    <x v="1"/>
    <m/>
    <m/>
    <x v="0"/>
    <m/>
    <m/>
    <m/>
    <m/>
    <m/>
    <m/>
    <m/>
    <m/>
    <m/>
    <m/>
    <m/>
    <m/>
    <m/>
    <m/>
    <x v="0"/>
    <m/>
    <n v="352704"/>
    <m/>
    <m/>
    <n v="32645"/>
    <x v="24"/>
    <s v="Y"/>
    <m/>
    <m/>
    <m/>
    <m/>
    <s v="OFDA"/>
    <m/>
    <m/>
    <m/>
    <m/>
    <m/>
    <m/>
    <m/>
    <m/>
    <m/>
    <m/>
    <m/>
    <s v="TS Wukong"/>
    <s v="Three grants from OFDA (two @ $25,000 each and 1 @ $302,704) for emergency household kits"/>
  </r>
  <r>
    <m/>
    <n v="29"/>
    <x v="21"/>
    <d v="2000-09-01T00:00:00"/>
    <x v="5"/>
    <x v="4"/>
    <m/>
    <n v="2000"/>
    <n v="9"/>
    <s v="Europe/Asia"/>
    <x v="16"/>
    <m/>
    <x v="2"/>
    <s v="Storm Surge"/>
    <s v="Storm Surge"/>
    <m/>
    <m/>
    <m/>
    <m/>
    <m/>
    <s v=""/>
    <m/>
    <m/>
    <m/>
    <x v="0"/>
    <m/>
    <x v="0"/>
    <m/>
    <x v="0"/>
    <x v="0"/>
    <x v="0"/>
    <m/>
    <n v="0"/>
    <x v="1"/>
    <m/>
    <m/>
    <x v="4"/>
    <m/>
    <m/>
    <m/>
    <m/>
    <m/>
    <m/>
    <m/>
    <m/>
    <m/>
    <m/>
    <m/>
    <m/>
    <m/>
    <m/>
    <x v="8"/>
    <m/>
    <n v="20000"/>
    <m/>
    <m/>
    <n v="3500"/>
    <x v="25"/>
    <s v="Y"/>
    <m/>
    <m/>
    <m/>
    <m/>
    <n v="2898"/>
    <m/>
    <m/>
    <m/>
    <m/>
    <m/>
    <m/>
    <m/>
    <m/>
    <m/>
    <m/>
    <m/>
    <s v="TS Wukong"/>
    <s v="1,000 Relief kits. (blankets, mosquito nets and cooking sets)"/>
  </r>
  <r>
    <m/>
    <n v="30"/>
    <x v="34"/>
    <d v="2000-10-01T00:00:00"/>
    <x v="5"/>
    <x v="5"/>
    <m/>
    <n v="2000"/>
    <n v="10"/>
    <s v="LAC"/>
    <x v="28"/>
    <m/>
    <x v="5"/>
    <s v="Tropical Cyclone"/>
    <s v="Hurricane"/>
    <m/>
    <m/>
    <m/>
    <m/>
    <m/>
    <s v=""/>
    <m/>
    <m/>
    <m/>
    <x v="0"/>
    <m/>
    <x v="0"/>
    <m/>
    <x v="0"/>
    <x v="0"/>
    <x v="12"/>
    <m/>
    <n v="28500"/>
    <x v="10"/>
    <m/>
    <m/>
    <x v="0"/>
    <m/>
    <m/>
    <m/>
    <m/>
    <m/>
    <m/>
    <m/>
    <m/>
    <m/>
    <n v="2600"/>
    <m/>
    <m/>
    <m/>
    <m/>
    <x v="9"/>
    <m/>
    <n v="118500"/>
    <m/>
    <m/>
    <n v="13000"/>
    <x v="26"/>
    <s v="Y"/>
    <m/>
    <m/>
    <m/>
    <m/>
    <n v="4903"/>
    <m/>
    <m/>
    <m/>
    <m/>
    <m/>
    <m/>
    <m/>
    <m/>
    <m/>
    <m/>
    <m/>
    <s v="Keith"/>
    <s v="2,600 LDS food parcels + $30,000 for local procurement"/>
  </r>
  <r>
    <m/>
    <n v="32"/>
    <x v="35"/>
    <d v="2000-10-01T00:00:00"/>
    <x v="5"/>
    <x v="6"/>
    <m/>
    <n v="2000"/>
    <n v="11"/>
    <s v="Europe/Asia"/>
    <x v="29"/>
    <m/>
    <x v="8"/>
    <s v="Conflict"/>
    <s v="Conflict"/>
    <m/>
    <m/>
    <m/>
    <m/>
    <m/>
    <s v=""/>
    <m/>
    <m/>
    <m/>
    <x v="0"/>
    <m/>
    <x v="0"/>
    <m/>
    <x v="0"/>
    <x v="0"/>
    <x v="13"/>
    <m/>
    <n v="40000"/>
    <x v="0"/>
    <m/>
    <m/>
    <x v="0"/>
    <m/>
    <m/>
    <m/>
    <m/>
    <m/>
    <m/>
    <m/>
    <m/>
    <m/>
    <m/>
    <m/>
    <m/>
    <m/>
    <m/>
    <x v="1"/>
    <m/>
    <n v="40000"/>
    <m/>
    <m/>
    <m/>
    <x v="27"/>
    <s v="Y"/>
    <m/>
    <m/>
    <m/>
    <m/>
    <n v="2898"/>
    <m/>
    <m/>
    <m/>
    <m/>
    <m/>
    <m/>
    <m/>
    <m/>
    <m/>
    <m/>
    <m/>
    <m/>
    <s v="CASH"/>
  </r>
  <r>
    <m/>
    <n v="32"/>
    <x v="36"/>
    <d v="2000-10-01T00:00:00"/>
    <x v="5"/>
    <x v="6"/>
    <m/>
    <n v="2000"/>
    <n v="11"/>
    <s v="Europe/Asia"/>
    <x v="30"/>
    <m/>
    <x v="8"/>
    <s v="Conflict"/>
    <s v="Conflict"/>
    <m/>
    <m/>
    <m/>
    <m/>
    <m/>
    <s v=""/>
    <m/>
    <m/>
    <m/>
    <x v="0"/>
    <m/>
    <x v="0"/>
    <m/>
    <x v="0"/>
    <x v="0"/>
    <x v="0"/>
    <m/>
    <n v="0"/>
    <x v="0"/>
    <m/>
    <m/>
    <x v="0"/>
    <m/>
    <m/>
    <m/>
    <m/>
    <m/>
    <m/>
    <m/>
    <m/>
    <m/>
    <m/>
    <m/>
    <n v="1"/>
    <m/>
    <m/>
    <x v="10"/>
    <m/>
    <n v="172000"/>
    <m/>
    <m/>
    <m/>
    <x v="28"/>
    <s v="Y"/>
    <m/>
    <m/>
    <m/>
    <m/>
    <n v="2898"/>
    <m/>
    <m/>
    <m/>
    <m/>
    <m/>
    <m/>
    <m/>
    <m/>
    <m/>
    <m/>
    <m/>
    <m/>
    <s v="1 ambulance, 1 generator, various med supp/equip"/>
  </r>
  <r>
    <m/>
    <n v="32"/>
    <x v="37"/>
    <d v="2000-10-01T00:00:00"/>
    <x v="5"/>
    <x v="6"/>
    <m/>
    <n v="2000"/>
    <n v="11"/>
    <s v="Europe/Asia"/>
    <x v="31"/>
    <m/>
    <x v="8"/>
    <s v="Conflict"/>
    <s v="Conflict"/>
    <m/>
    <m/>
    <m/>
    <m/>
    <m/>
    <s v=""/>
    <m/>
    <m/>
    <m/>
    <x v="0"/>
    <m/>
    <x v="0"/>
    <m/>
    <x v="0"/>
    <x v="0"/>
    <x v="0"/>
    <m/>
    <n v="0"/>
    <x v="1"/>
    <m/>
    <m/>
    <x v="0"/>
    <m/>
    <m/>
    <m/>
    <m/>
    <m/>
    <m/>
    <m/>
    <m/>
    <m/>
    <m/>
    <m/>
    <n v="2"/>
    <m/>
    <m/>
    <x v="9"/>
    <m/>
    <n v="90000"/>
    <m/>
    <m/>
    <n v="10000"/>
    <x v="29"/>
    <s v="Y"/>
    <m/>
    <m/>
    <m/>
    <m/>
    <n v="2898"/>
    <m/>
    <m/>
    <m/>
    <m/>
    <m/>
    <m/>
    <m/>
    <m/>
    <m/>
    <m/>
    <m/>
    <m/>
    <s v="2 ambulances, 1 New Emergency Health Kit"/>
  </r>
  <r>
    <m/>
    <n v="33"/>
    <x v="38"/>
    <d v="2000-11-01T00:00:00"/>
    <x v="5"/>
    <x v="7"/>
    <m/>
    <n v="2000"/>
    <n v="12"/>
    <s v="Europe/Asia"/>
    <x v="10"/>
    <m/>
    <x v="9"/>
    <s v="Air"/>
    <s v="Air"/>
    <m/>
    <m/>
    <m/>
    <m/>
    <m/>
    <s v=""/>
    <m/>
    <m/>
    <m/>
    <x v="0"/>
    <m/>
    <x v="0"/>
    <m/>
    <x v="0"/>
    <x v="0"/>
    <x v="0"/>
    <m/>
    <n v="0"/>
    <x v="2"/>
    <m/>
    <m/>
    <x v="0"/>
    <m/>
    <m/>
    <m/>
    <m/>
    <m/>
    <m/>
    <m/>
    <m/>
    <m/>
    <m/>
    <m/>
    <m/>
    <m/>
    <m/>
    <x v="0"/>
    <n v="7500"/>
    <n v="7500"/>
    <m/>
    <m/>
    <n v="300"/>
    <x v="30"/>
    <s v="Y"/>
    <m/>
    <m/>
    <m/>
    <m/>
    <n v="2898"/>
    <m/>
    <m/>
    <m/>
    <m/>
    <m/>
    <m/>
    <m/>
    <m/>
    <m/>
    <m/>
    <m/>
    <s v="Singapore Airlines 006"/>
    <s v="liaison on AIR Team"/>
  </r>
  <r>
    <m/>
    <n v="34"/>
    <x v="39"/>
    <d v="2000-11-01T00:00:00"/>
    <x v="5"/>
    <x v="8"/>
    <m/>
    <n v="2000"/>
    <n v="13"/>
    <s v="Europe/Asia"/>
    <x v="32"/>
    <m/>
    <x v="10"/>
    <s v="Fire"/>
    <s v="Fire"/>
    <m/>
    <m/>
    <m/>
    <m/>
    <m/>
    <s v=""/>
    <m/>
    <m/>
    <m/>
    <x v="0"/>
    <m/>
    <x v="0"/>
    <m/>
    <x v="0"/>
    <x v="0"/>
    <x v="0"/>
    <m/>
    <n v="0"/>
    <x v="1"/>
    <m/>
    <m/>
    <x v="0"/>
    <m/>
    <m/>
    <m/>
    <m/>
    <m/>
    <m/>
    <m/>
    <m/>
    <m/>
    <m/>
    <m/>
    <m/>
    <m/>
    <m/>
    <x v="0"/>
    <n v="2577.8000000000002"/>
    <n v="2577.8000000000002"/>
    <m/>
    <m/>
    <n v="3"/>
    <x v="31"/>
    <s v="Y"/>
    <m/>
    <m/>
    <m/>
    <m/>
    <n v="2898"/>
    <m/>
    <m/>
    <m/>
    <m/>
    <m/>
    <m/>
    <m/>
    <m/>
    <m/>
    <m/>
    <m/>
    <s v="Cable Car Fire"/>
    <s v="plane tickets for family members via AFES"/>
  </r>
  <r>
    <m/>
    <n v="35"/>
    <x v="40"/>
    <d v="2000-11-01T00:00:00"/>
    <x v="5"/>
    <x v="9"/>
    <m/>
    <n v="2000"/>
    <n v="14"/>
    <s v="Europe/Asia"/>
    <x v="33"/>
    <m/>
    <x v="3"/>
    <s v="Earthquake"/>
    <s v="Earthquake"/>
    <m/>
    <m/>
    <m/>
    <m/>
    <m/>
    <s v=""/>
    <m/>
    <m/>
    <m/>
    <x v="0"/>
    <m/>
    <x v="0"/>
    <m/>
    <x v="0"/>
    <x v="0"/>
    <x v="0"/>
    <m/>
    <n v="0"/>
    <x v="2"/>
    <m/>
    <m/>
    <x v="0"/>
    <m/>
    <m/>
    <m/>
    <m/>
    <m/>
    <m/>
    <m/>
    <m/>
    <m/>
    <m/>
    <m/>
    <m/>
    <m/>
    <m/>
    <x v="11"/>
    <n v="5500"/>
    <n v="30500"/>
    <m/>
    <m/>
    <n v="3050"/>
    <x v="32"/>
    <s v="Y"/>
    <m/>
    <m/>
    <m/>
    <m/>
    <n v="2898"/>
    <m/>
    <m/>
    <m/>
    <m/>
    <m/>
    <m/>
    <m/>
    <m/>
    <m/>
    <m/>
    <m/>
    <m/>
    <s v="10 generators, tents &amp; cooking sets. Delegate from Armenia deployed"/>
  </r>
  <r>
    <m/>
    <n v="36"/>
    <x v="41"/>
    <d v="2000-12-01T00:00:00"/>
    <x v="5"/>
    <x v="10"/>
    <m/>
    <n v="2000"/>
    <n v="15"/>
    <s v="Europe/Asia"/>
    <x v="34"/>
    <m/>
    <x v="5"/>
    <s v="Tropical Cyclone"/>
    <s v="Cyclone"/>
    <m/>
    <m/>
    <m/>
    <m/>
    <m/>
    <s v=""/>
    <m/>
    <m/>
    <m/>
    <x v="0"/>
    <m/>
    <x v="0"/>
    <m/>
    <x v="0"/>
    <x v="0"/>
    <x v="0"/>
    <m/>
    <n v="0"/>
    <x v="1"/>
    <m/>
    <m/>
    <x v="0"/>
    <m/>
    <m/>
    <m/>
    <m/>
    <m/>
    <m/>
    <m/>
    <m/>
    <m/>
    <m/>
    <m/>
    <m/>
    <m/>
    <m/>
    <x v="8"/>
    <m/>
    <n v="20000"/>
    <m/>
    <m/>
    <n v="3000"/>
    <x v="25"/>
    <s v="Y"/>
    <m/>
    <m/>
    <m/>
    <m/>
    <n v="2898"/>
    <m/>
    <m/>
    <m/>
    <m/>
    <m/>
    <m/>
    <m/>
    <m/>
    <m/>
    <m/>
    <m/>
    <s v="Cyclone 04B"/>
    <s v="Bedsheets and kitchen sets"/>
  </r>
  <r>
    <m/>
    <n v="37"/>
    <x v="42"/>
    <d v="2001-01-01T00:00:00"/>
    <x v="5"/>
    <x v="11"/>
    <m/>
    <n v="2001"/>
    <n v="1"/>
    <s v="Africa"/>
    <x v="23"/>
    <m/>
    <x v="11"/>
    <s v="Bacterial"/>
    <s v="Bacterial"/>
    <m/>
    <m/>
    <m/>
    <m/>
    <m/>
    <s v=""/>
    <m/>
    <m/>
    <m/>
    <x v="0"/>
    <m/>
    <x v="0"/>
    <n v="0"/>
    <x v="3"/>
    <x v="0"/>
    <x v="0"/>
    <m/>
    <n v="25000"/>
    <x v="1"/>
    <m/>
    <m/>
    <x v="0"/>
    <m/>
    <m/>
    <m/>
    <m/>
    <m/>
    <m/>
    <m/>
    <m/>
    <m/>
    <m/>
    <m/>
    <m/>
    <m/>
    <m/>
    <x v="0"/>
    <m/>
    <n v="25000"/>
    <m/>
    <m/>
    <n v="5000"/>
    <x v="8"/>
    <s v="Y"/>
    <m/>
    <m/>
    <m/>
    <m/>
    <n v="2898"/>
    <m/>
    <m/>
    <m/>
    <m/>
    <m/>
    <m/>
    <m/>
    <m/>
    <m/>
    <m/>
    <m/>
    <s v="Cholera Outbreak"/>
    <s v="Federation Appeal 32/00"/>
  </r>
  <r>
    <m/>
    <n v="38"/>
    <x v="43"/>
    <d v="2001-01-01T00:00:00"/>
    <x v="5"/>
    <x v="12"/>
    <m/>
    <n v="2001"/>
    <n v="2"/>
    <s v="LAC"/>
    <x v="35"/>
    <m/>
    <x v="3"/>
    <s v="Earthquake"/>
    <s v="Earthquake"/>
    <m/>
    <m/>
    <m/>
    <m/>
    <m/>
    <s v=""/>
    <m/>
    <m/>
    <m/>
    <x v="0"/>
    <m/>
    <x v="0"/>
    <m/>
    <x v="0"/>
    <x v="0"/>
    <x v="14"/>
    <m/>
    <n v="77500"/>
    <x v="11"/>
    <m/>
    <m/>
    <x v="0"/>
    <m/>
    <m/>
    <m/>
    <m/>
    <m/>
    <m/>
    <m/>
    <m/>
    <m/>
    <m/>
    <m/>
    <m/>
    <m/>
    <m/>
    <x v="12"/>
    <m/>
    <n v="227500"/>
    <m/>
    <m/>
    <m/>
    <x v="33"/>
    <s v="Y"/>
    <m/>
    <m/>
    <m/>
    <m/>
    <n v="2953"/>
    <m/>
    <m/>
    <m/>
    <m/>
    <m/>
    <m/>
    <m/>
    <m/>
    <m/>
    <m/>
    <m/>
    <m/>
    <s v="Cash sent to ARC Delegation in region. Supplies from Regional Warehouses.   Total expenditures as of February 2001, post 2.01 expenditures were rolled into the second El Salvador earthquake."/>
  </r>
  <r>
    <m/>
    <n v="39"/>
    <x v="44"/>
    <d v="2001-01-01T00:00:00"/>
    <x v="5"/>
    <x v="13"/>
    <m/>
    <n v="2001"/>
    <n v="3"/>
    <s v="Europe/Asia"/>
    <x v="4"/>
    <m/>
    <x v="5"/>
    <s v="Winter Storm"/>
    <s v="Snowstorm"/>
    <m/>
    <m/>
    <m/>
    <m/>
    <m/>
    <s v=""/>
    <m/>
    <m/>
    <m/>
    <x v="0"/>
    <m/>
    <x v="0"/>
    <m/>
    <x v="0"/>
    <x v="0"/>
    <x v="7"/>
    <m/>
    <n v="50000"/>
    <x v="1"/>
    <m/>
    <m/>
    <x v="0"/>
    <m/>
    <m/>
    <m/>
    <m/>
    <m/>
    <m/>
    <m/>
    <m/>
    <m/>
    <m/>
    <m/>
    <m/>
    <m/>
    <m/>
    <x v="0"/>
    <m/>
    <n v="50000"/>
    <m/>
    <m/>
    <n v="5000"/>
    <x v="16"/>
    <s v="Y"/>
    <m/>
    <m/>
    <m/>
    <m/>
    <n v="2060"/>
    <m/>
    <m/>
    <m/>
    <m/>
    <m/>
    <m/>
    <m/>
    <m/>
    <m/>
    <m/>
    <m/>
    <s v="Inner Mongolia"/>
    <s v="fund to purchase food (wheat), winter clothes and cotton quilts"/>
  </r>
  <r>
    <m/>
    <n v="40"/>
    <x v="45"/>
    <d v="2001-01-01T00:00:00"/>
    <x v="5"/>
    <x v="14"/>
    <m/>
    <n v="2001"/>
    <n v="4"/>
    <s v="Europe/Asia"/>
    <x v="15"/>
    <m/>
    <x v="3"/>
    <s v="Earthquake"/>
    <s v="Earthquake"/>
    <n v="15850000"/>
    <m/>
    <m/>
    <m/>
    <m/>
    <s v=""/>
    <m/>
    <m/>
    <m/>
    <x v="0"/>
    <m/>
    <x v="0"/>
    <n v="1"/>
    <x v="1"/>
    <x v="0"/>
    <x v="3"/>
    <m/>
    <n v="125000"/>
    <x v="12"/>
    <m/>
    <m/>
    <x v="0"/>
    <m/>
    <m/>
    <m/>
    <m/>
    <m/>
    <m/>
    <m/>
    <m/>
    <m/>
    <m/>
    <m/>
    <m/>
    <m/>
    <m/>
    <x v="13"/>
    <n v="366481.13"/>
    <n v="1862960.13"/>
    <m/>
    <m/>
    <n v="324495"/>
    <x v="1"/>
    <s v="Y"/>
    <m/>
    <m/>
    <m/>
    <m/>
    <n v="2954"/>
    <m/>
    <m/>
    <m/>
    <m/>
    <m/>
    <m/>
    <m/>
    <m/>
    <m/>
    <m/>
    <m/>
    <m/>
    <s v="ARC also served an additional 190,185 beneficiaries by  distributing inputs from other NS.  Total expenditures as of May 2001."/>
  </r>
  <r>
    <m/>
    <n v="41"/>
    <x v="43"/>
    <d v="2001-02-01T00:00:00"/>
    <x v="5"/>
    <x v="15"/>
    <m/>
    <n v="2001"/>
    <n v="5"/>
    <s v="LAC"/>
    <x v="35"/>
    <m/>
    <x v="3"/>
    <s v="Earthquake"/>
    <s v="Earthquake"/>
    <m/>
    <m/>
    <m/>
    <m/>
    <m/>
    <s v=""/>
    <m/>
    <m/>
    <m/>
    <x v="0"/>
    <m/>
    <x v="0"/>
    <m/>
    <x v="0"/>
    <x v="0"/>
    <x v="15"/>
    <m/>
    <n v="70000"/>
    <x v="13"/>
    <m/>
    <m/>
    <x v="0"/>
    <m/>
    <m/>
    <m/>
    <m/>
    <m/>
    <m/>
    <m/>
    <m/>
    <m/>
    <m/>
    <m/>
    <m/>
    <m/>
    <m/>
    <x v="14"/>
    <m/>
    <n v="690000"/>
    <m/>
    <m/>
    <n v="41628.709446663277"/>
    <x v="34"/>
    <s v="Y"/>
    <m/>
    <m/>
    <m/>
    <m/>
    <n v="2953"/>
    <m/>
    <m/>
    <m/>
    <m/>
    <m/>
    <m/>
    <m/>
    <m/>
    <m/>
    <m/>
    <m/>
    <m/>
    <s v="To Purchase Warm cloths, footwear, blankets sheets and left over for food. Total expenditures for both earthquakes in El Salvador through May 2001."/>
  </r>
  <r>
    <m/>
    <n v="42"/>
    <x v="46"/>
    <d v="2001-02-01T00:00:00"/>
    <x v="5"/>
    <x v="16"/>
    <m/>
    <n v="2001"/>
    <n v="6"/>
    <s v="Africa"/>
    <x v="36"/>
    <m/>
    <x v="2"/>
    <s v="General Floods"/>
    <s v="General Floods"/>
    <m/>
    <m/>
    <m/>
    <m/>
    <m/>
    <s v=""/>
    <m/>
    <m/>
    <m/>
    <x v="0"/>
    <m/>
    <x v="0"/>
    <m/>
    <x v="0"/>
    <x v="0"/>
    <x v="0"/>
    <m/>
    <n v="0"/>
    <x v="2"/>
    <m/>
    <m/>
    <x v="0"/>
    <m/>
    <m/>
    <m/>
    <m/>
    <m/>
    <m/>
    <m/>
    <m/>
    <m/>
    <m/>
    <m/>
    <m/>
    <m/>
    <m/>
    <x v="0"/>
    <n v="250000"/>
    <n v="250000"/>
    <m/>
    <m/>
    <n v="75000"/>
    <x v="35"/>
    <s v="Y"/>
    <m/>
    <m/>
    <m/>
    <m/>
    <n v="2675"/>
    <m/>
    <m/>
    <m/>
    <m/>
    <m/>
    <m/>
    <m/>
    <m/>
    <m/>
    <m/>
    <m/>
    <m/>
    <s v="Fed Appeal 10/2001;  Includes regional supply purchase; one delegate.  Total expenditure also includes Malawi expense."/>
  </r>
  <r>
    <m/>
    <n v="43"/>
    <x v="47"/>
    <d v="2001-02-01T00:00:00"/>
    <x v="5"/>
    <x v="17"/>
    <m/>
    <n v="2001"/>
    <n v="7"/>
    <s v="Africa"/>
    <x v="37"/>
    <m/>
    <x v="2"/>
    <s v="General Floods"/>
    <s v="General Floods"/>
    <m/>
    <m/>
    <m/>
    <m/>
    <m/>
    <s v=""/>
    <m/>
    <m/>
    <m/>
    <x v="0"/>
    <m/>
    <x v="0"/>
    <m/>
    <x v="0"/>
    <x v="0"/>
    <x v="3"/>
    <m/>
    <n v="25000"/>
    <x v="4"/>
    <m/>
    <m/>
    <x v="0"/>
    <m/>
    <m/>
    <m/>
    <m/>
    <m/>
    <m/>
    <m/>
    <m/>
    <m/>
    <m/>
    <m/>
    <m/>
    <m/>
    <m/>
    <x v="15"/>
    <m/>
    <n v="174000"/>
    <m/>
    <m/>
    <n v="22452"/>
    <x v="36"/>
    <s v="Y"/>
    <m/>
    <m/>
    <m/>
    <m/>
    <n v="2675"/>
    <m/>
    <m/>
    <m/>
    <m/>
    <m/>
    <m/>
    <m/>
    <m/>
    <m/>
    <m/>
    <m/>
    <m/>
    <s v="Fed Appeal 9/2001;  49,000 from CCC seeds, tools and water supply.  See Mozambique Total Expenditure (they are combined.)"/>
  </r>
  <r>
    <m/>
    <n v="44"/>
    <x v="48"/>
    <d v="2001-03-01T00:00:00"/>
    <x v="5"/>
    <x v="18"/>
    <m/>
    <n v="2001"/>
    <n v="8"/>
    <s v="LAC"/>
    <x v="38"/>
    <m/>
    <x v="2"/>
    <s v="General Floods"/>
    <s v="General Floods"/>
    <m/>
    <m/>
    <m/>
    <m/>
    <m/>
    <s v=""/>
    <m/>
    <m/>
    <m/>
    <x v="0"/>
    <m/>
    <x v="0"/>
    <m/>
    <x v="0"/>
    <x v="0"/>
    <x v="9"/>
    <m/>
    <n v="15000"/>
    <x v="1"/>
    <m/>
    <m/>
    <x v="0"/>
    <m/>
    <m/>
    <m/>
    <m/>
    <m/>
    <m/>
    <m/>
    <m/>
    <m/>
    <m/>
    <m/>
    <m/>
    <m/>
    <m/>
    <x v="0"/>
    <m/>
    <n v="15000"/>
    <m/>
    <m/>
    <n v="1500"/>
    <x v="18"/>
    <s v="Y"/>
    <m/>
    <m/>
    <m/>
    <m/>
    <n v="2898"/>
    <m/>
    <m/>
    <m/>
    <m/>
    <m/>
    <m/>
    <m/>
    <m/>
    <m/>
    <m/>
    <m/>
    <m/>
    <s v="Fed Appeal 5/2001"/>
  </r>
  <r>
    <m/>
    <n v="45"/>
    <x v="49"/>
    <d v="2001-03-01T00:00:00"/>
    <x v="5"/>
    <x v="19"/>
    <m/>
    <n v="2001"/>
    <n v="9"/>
    <s v="LAC"/>
    <x v="39"/>
    <m/>
    <x v="2"/>
    <s v="General Floods"/>
    <s v="General Floods"/>
    <m/>
    <m/>
    <m/>
    <m/>
    <m/>
    <s v=""/>
    <m/>
    <m/>
    <m/>
    <x v="0"/>
    <m/>
    <x v="0"/>
    <m/>
    <x v="0"/>
    <x v="0"/>
    <x v="9"/>
    <m/>
    <n v="15000"/>
    <x v="1"/>
    <m/>
    <m/>
    <x v="5"/>
    <m/>
    <m/>
    <n v="5100"/>
    <m/>
    <m/>
    <n v="761"/>
    <m/>
    <m/>
    <m/>
    <m/>
    <n v="250"/>
    <m/>
    <m/>
    <m/>
    <x v="1"/>
    <n v="0"/>
    <n v="15000"/>
    <m/>
    <m/>
    <n v="24805"/>
    <x v="18"/>
    <s v="Y"/>
    <m/>
    <m/>
    <m/>
    <m/>
    <n v="2898"/>
    <m/>
    <m/>
    <m/>
    <m/>
    <m/>
    <m/>
    <m/>
    <m/>
    <m/>
    <m/>
    <m/>
    <m/>
    <m/>
  </r>
  <r>
    <m/>
    <n v="46"/>
    <x v="50"/>
    <d v="2001-04-01T00:00:00"/>
    <x v="5"/>
    <x v="23"/>
    <m/>
    <n v="2001"/>
    <n v="10"/>
    <s v="North America"/>
    <x v="40"/>
    <m/>
    <x v="9"/>
    <s v="Road"/>
    <s v="Road"/>
    <m/>
    <m/>
    <m/>
    <m/>
    <m/>
    <s v=""/>
    <m/>
    <m/>
    <m/>
    <x v="0"/>
    <m/>
    <x v="0"/>
    <m/>
    <x v="0"/>
    <x v="0"/>
    <x v="0"/>
    <m/>
    <n v="0"/>
    <x v="4"/>
    <m/>
    <m/>
    <x v="0"/>
    <m/>
    <m/>
    <m/>
    <m/>
    <m/>
    <m/>
    <m/>
    <m/>
    <m/>
    <m/>
    <m/>
    <m/>
    <m/>
    <m/>
    <x v="0"/>
    <n v="1000"/>
    <n v="1000"/>
    <m/>
    <m/>
    <m/>
    <x v="37"/>
    <s v="Y"/>
    <m/>
    <m/>
    <m/>
    <m/>
    <n v="2898"/>
    <m/>
    <m/>
    <m/>
    <m/>
    <m/>
    <m/>
    <m/>
    <m/>
    <m/>
    <m/>
    <m/>
    <s v="Bus Crash"/>
    <s v="American children survivors"/>
  </r>
  <r>
    <m/>
    <n v="47"/>
    <x v="51"/>
    <d v="2001-05-01T00:00:00"/>
    <x v="5"/>
    <x v="20"/>
    <m/>
    <n v="2001"/>
    <n v="11"/>
    <s v="Europe/Asia"/>
    <x v="12"/>
    <m/>
    <x v="2"/>
    <s v="General Floods"/>
    <s v="General Floods"/>
    <m/>
    <m/>
    <m/>
    <m/>
    <m/>
    <s v=""/>
    <m/>
    <m/>
    <m/>
    <x v="0"/>
    <m/>
    <x v="0"/>
    <m/>
    <x v="0"/>
    <x v="0"/>
    <x v="3"/>
    <m/>
    <n v="25000"/>
    <x v="1"/>
    <m/>
    <m/>
    <x v="0"/>
    <m/>
    <m/>
    <m/>
    <m/>
    <m/>
    <m/>
    <m/>
    <m/>
    <m/>
    <m/>
    <m/>
    <m/>
    <m/>
    <m/>
    <x v="0"/>
    <m/>
    <n v="25000"/>
    <m/>
    <m/>
    <n v="3000"/>
    <x v="8"/>
    <s v="Y"/>
    <m/>
    <m/>
    <m/>
    <m/>
    <n v="2898"/>
    <m/>
    <m/>
    <m/>
    <m/>
    <m/>
    <m/>
    <m/>
    <m/>
    <m/>
    <m/>
    <m/>
    <m/>
    <s v="Siberia: Procurement of warm cloths, footwear, blankets sheets &amp; food. "/>
  </r>
  <r>
    <m/>
    <n v="48"/>
    <x v="52"/>
    <d v="2001-06-01T00:00:00"/>
    <x v="5"/>
    <x v="21"/>
    <m/>
    <n v="2001"/>
    <n v="12"/>
    <s v="Europe/Asia"/>
    <x v="41"/>
    <m/>
    <x v="8"/>
    <s v="Conflict"/>
    <s v="Conflict"/>
    <m/>
    <m/>
    <m/>
    <m/>
    <m/>
    <s v=""/>
    <m/>
    <m/>
    <m/>
    <x v="0"/>
    <m/>
    <x v="0"/>
    <m/>
    <x v="0"/>
    <x v="0"/>
    <x v="0"/>
    <m/>
    <n v="0"/>
    <x v="1"/>
    <m/>
    <m/>
    <x v="6"/>
    <m/>
    <m/>
    <m/>
    <m/>
    <m/>
    <m/>
    <m/>
    <m/>
    <m/>
    <m/>
    <m/>
    <m/>
    <m/>
    <m/>
    <x v="16"/>
    <m/>
    <n v="20700"/>
    <m/>
    <m/>
    <n v="40000"/>
    <x v="38"/>
    <s v="Y"/>
    <m/>
    <m/>
    <m/>
    <m/>
    <n v="2898"/>
    <m/>
    <m/>
    <m/>
    <m/>
    <m/>
    <m/>
    <m/>
    <m/>
    <m/>
    <m/>
    <m/>
    <m/>
    <s v="10,000 family  packets (Currently only 2,300) a family is 4 persons"/>
  </r>
  <r>
    <m/>
    <n v="49"/>
    <x v="53"/>
    <d v="2001-06-01T00:00:00"/>
    <x v="5"/>
    <x v="22"/>
    <m/>
    <n v="2001"/>
    <n v="13"/>
    <s v="Europe/Asia"/>
    <x v="42"/>
    <m/>
    <x v="2"/>
    <s v="General Floods"/>
    <s v="General Floods"/>
    <m/>
    <m/>
    <m/>
    <m/>
    <m/>
    <s v=""/>
    <m/>
    <m/>
    <m/>
    <x v="0"/>
    <m/>
    <x v="0"/>
    <m/>
    <x v="0"/>
    <x v="0"/>
    <x v="0"/>
    <m/>
    <n v="0"/>
    <x v="1"/>
    <m/>
    <m/>
    <x v="7"/>
    <m/>
    <m/>
    <n v="6000"/>
    <m/>
    <m/>
    <m/>
    <m/>
    <m/>
    <m/>
    <m/>
    <m/>
    <m/>
    <m/>
    <m/>
    <x v="17"/>
    <m/>
    <n v="18000"/>
    <m/>
    <m/>
    <n v="6000"/>
    <x v="39"/>
    <s v="Y"/>
    <m/>
    <m/>
    <m/>
    <m/>
    <n v="2898"/>
    <m/>
    <m/>
    <m/>
    <m/>
    <m/>
    <m/>
    <m/>
    <m/>
    <m/>
    <m/>
    <m/>
    <m/>
    <s v="Bulgaria stocks"/>
  </r>
  <r>
    <m/>
    <n v="50"/>
    <x v="54"/>
    <d v="2001-06-01T00:00:00"/>
    <x v="5"/>
    <x v="24"/>
    <m/>
    <n v="2001"/>
    <n v="14"/>
    <s v="LAC"/>
    <x v="39"/>
    <m/>
    <x v="3"/>
    <s v="Earthquake"/>
    <s v="Earthquake"/>
    <m/>
    <m/>
    <m/>
    <m/>
    <m/>
    <s v=""/>
    <m/>
    <m/>
    <m/>
    <x v="0"/>
    <m/>
    <x v="0"/>
    <m/>
    <x v="0"/>
    <x v="0"/>
    <x v="16"/>
    <m/>
    <n v="24420"/>
    <x v="5"/>
    <m/>
    <m/>
    <x v="8"/>
    <m/>
    <m/>
    <n v="5100"/>
    <m/>
    <m/>
    <n v="757"/>
    <m/>
    <m/>
    <m/>
    <m/>
    <n v="250"/>
    <m/>
    <m/>
    <m/>
    <x v="18"/>
    <n v="313450"/>
    <n v="699130"/>
    <m/>
    <m/>
    <n v="15000"/>
    <x v="40"/>
    <s v="Y"/>
    <m/>
    <m/>
    <m/>
    <m/>
    <n v="2676"/>
    <m/>
    <m/>
    <m/>
    <m/>
    <m/>
    <m/>
    <m/>
    <m/>
    <m/>
    <m/>
    <m/>
    <m/>
    <s v="plastic sheeting ($81,250), blankets ($12,240), tents ($78,637). Total $271,627 (incl. transport).    tents ($147,706): Total $150,706 (incl. transport).  Replenishment of supplies $50,000"/>
  </r>
  <r>
    <m/>
    <n v="51"/>
    <x v="33"/>
    <d v="2001-07-01T00:00:00"/>
    <x v="6"/>
    <x v="1"/>
    <m/>
    <n v="2001"/>
    <n v="15"/>
    <s v="Europe/Asia"/>
    <x v="15"/>
    <m/>
    <x v="2"/>
    <s v="General Floods"/>
    <s v="General Floods"/>
    <n v="6000000"/>
    <m/>
    <m/>
    <m/>
    <m/>
    <s v=""/>
    <m/>
    <m/>
    <m/>
    <x v="0"/>
    <m/>
    <x v="0"/>
    <m/>
    <x v="0"/>
    <x v="0"/>
    <x v="0"/>
    <m/>
    <n v="0"/>
    <x v="1"/>
    <m/>
    <m/>
    <x v="0"/>
    <m/>
    <m/>
    <m/>
    <m/>
    <m/>
    <m/>
    <m/>
    <m/>
    <m/>
    <m/>
    <m/>
    <m/>
    <m/>
    <m/>
    <x v="19"/>
    <m/>
    <n v="100000"/>
    <m/>
    <m/>
    <n v="10000"/>
    <x v="5"/>
    <s v="Y"/>
    <m/>
    <m/>
    <m/>
    <m/>
    <n v="2954"/>
    <m/>
    <m/>
    <m/>
    <m/>
    <m/>
    <m/>
    <m/>
    <m/>
    <m/>
    <m/>
    <m/>
    <m/>
    <m/>
  </r>
  <r>
    <m/>
    <n v="52"/>
    <x v="55"/>
    <d v="2001-08-01T00:00:00"/>
    <x v="6"/>
    <x v="2"/>
    <m/>
    <n v="2001"/>
    <n v="16"/>
    <s v="LAC"/>
    <x v="35"/>
    <m/>
    <x v="1"/>
    <s v="Drought"/>
    <s v="Drought"/>
    <m/>
    <m/>
    <m/>
    <m/>
    <m/>
    <s v=""/>
    <m/>
    <m/>
    <m/>
    <x v="0"/>
    <m/>
    <x v="0"/>
    <m/>
    <x v="0"/>
    <x v="0"/>
    <x v="3"/>
    <m/>
    <n v="25000"/>
    <x v="10"/>
    <m/>
    <m/>
    <x v="0"/>
    <m/>
    <m/>
    <m/>
    <m/>
    <m/>
    <m/>
    <m/>
    <m/>
    <m/>
    <m/>
    <m/>
    <m/>
    <m/>
    <m/>
    <x v="0"/>
    <m/>
    <n v="25000"/>
    <m/>
    <m/>
    <n v="5000"/>
    <x v="8"/>
    <s v="Y"/>
    <m/>
    <m/>
    <m/>
    <m/>
    <n v="2837"/>
    <m/>
    <m/>
    <m/>
    <m/>
    <m/>
    <m/>
    <m/>
    <m/>
    <m/>
    <m/>
    <m/>
    <m/>
    <s v="$25,000 allocated to each national society to be implemented thr ARC delegations through $12,500 donation to the field delegation and $12,500 matched by the field.  Total expenditures through December 2001."/>
  </r>
  <r>
    <m/>
    <n v="52"/>
    <x v="56"/>
    <d v="2001-08-01T00:00:00"/>
    <x v="6"/>
    <x v="2"/>
    <m/>
    <n v="2001"/>
    <n v="16"/>
    <s v="LAC"/>
    <x v="43"/>
    <m/>
    <x v="1"/>
    <s v="Drought"/>
    <s v="Drought"/>
    <m/>
    <m/>
    <m/>
    <m/>
    <m/>
    <s v=""/>
    <m/>
    <m/>
    <m/>
    <x v="0"/>
    <m/>
    <x v="0"/>
    <m/>
    <x v="0"/>
    <x v="0"/>
    <x v="0"/>
    <m/>
    <n v="0"/>
    <x v="0"/>
    <m/>
    <m/>
    <x v="0"/>
    <m/>
    <m/>
    <m/>
    <m/>
    <m/>
    <m/>
    <m/>
    <m/>
    <m/>
    <m/>
    <m/>
    <m/>
    <m/>
    <m/>
    <x v="0"/>
    <m/>
    <n v="0"/>
    <m/>
    <m/>
    <m/>
    <x v="7"/>
    <s v="Y"/>
    <m/>
    <m/>
    <m/>
    <m/>
    <n v="2837"/>
    <m/>
    <m/>
    <m/>
    <m/>
    <m/>
    <m/>
    <m/>
    <m/>
    <m/>
    <m/>
    <m/>
    <m/>
    <m/>
  </r>
  <r>
    <m/>
    <n v="52"/>
    <x v="57"/>
    <d v="2001-08-01T00:00:00"/>
    <x v="6"/>
    <x v="2"/>
    <m/>
    <n v="2001"/>
    <n v="16"/>
    <s v="LAC"/>
    <x v="6"/>
    <m/>
    <x v="1"/>
    <s v="Drought"/>
    <s v="Drought"/>
    <m/>
    <m/>
    <m/>
    <m/>
    <m/>
    <s v=""/>
    <m/>
    <m/>
    <m/>
    <x v="0"/>
    <m/>
    <x v="0"/>
    <m/>
    <x v="0"/>
    <x v="0"/>
    <x v="0"/>
    <m/>
    <n v="0"/>
    <x v="0"/>
    <m/>
    <m/>
    <x v="0"/>
    <m/>
    <m/>
    <m/>
    <m/>
    <m/>
    <m/>
    <m/>
    <m/>
    <m/>
    <m/>
    <m/>
    <m/>
    <m/>
    <m/>
    <x v="0"/>
    <m/>
    <n v="0"/>
    <m/>
    <m/>
    <m/>
    <x v="7"/>
    <s v="Y"/>
    <m/>
    <m/>
    <m/>
    <m/>
    <n v="2837"/>
    <m/>
    <m/>
    <m/>
    <m/>
    <m/>
    <m/>
    <m/>
    <m/>
    <m/>
    <m/>
    <m/>
    <m/>
    <m/>
  </r>
  <r>
    <m/>
    <n v="52"/>
    <x v="58"/>
    <d v="2001-08-01T00:00:00"/>
    <x v="6"/>
    <x v="2"/>
    <m/>
    <n v="2001"/>
    <n v="16"/>
    <s v="LAC"/>
    <x v="44"/>
    <m/>
    <x v="1"/>
    <s v="Drought"/>
    <s v="Drought"/>
    <m/>
    <m/>
    <m/>
    <m/>
    <m/>
    <s v=""/>
    <m/>
    <m/>
    <m/>
    <x v="0"/>
    <m/>
    <x v="0"/>
    <m/>
    <x v="0"/>
    <x v="0"/>
    <x v="0"/>
    <m/>
    <n v="0"/>
    <x v="0"/>
    <m/>
    <m/>
    <x v="0"/>
    <m/>
    <m/>
    <m/>
    <m/>
    <m/>
    <m/>
    <m/>
    <m/>
    <m/>
    <m/>
    <m/>
    <m/>
    <m/>
    <m/>
    <x v="0"/>
    <m/>
    <n v="0"/>
    <m/>
    <m/>
    <m/>
    <x v="7"/>
    <s v="Y"/>
    <m/>
    <m/>
    <m/>
    <m/>
    <n v="2837"/>
    <m/>
    <m/>
    <m/>
    <m/>
    <m/>
    <m/>
    <m/>
    <m/>
    <m/>
    <m/>
    <m/>
    <m/>
    <m/>
  </r>
  <r>
    <m/>
    <n v="53"/>
    <x v="59"/>
    <d v="2001-09-01T00:00:00"/>
    <x v="6"/>
    <x v="3"/>
    <m/>
    <n v="2001"/>
    <n v="17"/>
    <s v="LAC"/>
    <x v="45"/>
    <m/>
    <x v="4"/>
    <s v="Volcanic Eruption"/>
    <s v="Volcanic Eruption"/>
    <m/>
    <m/>
    <m/>
    <m/>
    <m/>
    <s v=""/>
    <m/>
    <m/>
    <m/>
    <x v="0"/>
    <m/>
    <x v="0"/>
    <m/>
    <x v="0"/>
    <x v="0"/>
    <x v="2"/>
    <m/>
    <n v="10000"/>
    <x v="0"/>
    <m/>
    <m/>
    <x v="0"/>
    <m/>
    <m/>
    <m/>
    <m/>
    <m/>
    <m/>
    <m/>
    <m/>
    <m/>
    <m/>
    <m/>
    <m/>
    <m/>
    <m/>
    <x v="0"/>
    <m/>
    <n v="10000"/>
    <m/>
    <m/>
    <n v="1000"/>
    <x v="6"/>
    <s v="Y"/>
    <m/>
    <m/>
    <m/>
    <m/>
    <n v="2898"/>
    <m/>
    <m/>
    <m/>
    <m/>
    <m/>
    <m/>
    <m/>
    <m/>
    <m/>
    <m/>
    <m/>
    <m/>
    <s v="$10,000 from IDRU in addition to $10,000 from the Americas Region to the Ecuador Red Cross for the Tungurahua Volcano Ash Fall "/>
  </r>
  <r>
    <m/>
    <n v="54"/>
    <x v="60"/>
    <d v="2001-09-01T00:00:00"/>
    <x v="6"/>
    <x v="4"/>
    <m/>
    <n v="2001"/>
    <n v="18"/>
    <s v="Europe/Asia"/>
    <x v="46"/>
    <m/>
    <x v="8"/>
    <s v="Conflict"/>
    <s v="Conflict"/>
    <m/>
    <m/>
    <m/>
    <m/>
    <m/>
    <s v=""/>
    <m/>
    <m/>
    <m/>
    <x v="0"/>
    <m/>
    <x v="0"/>
    <m/>
    <x v="0"/>
    <x v="0"/>
    <x v="0"/>
    <m/>
    <n v="0"/>
    <x v="11"/>
    <m/>
    <m/>
    <x v="0"/>
    <m/>
    <m/>
    <m/>
    <m/>
    <m/>
    <m/>
    <m/>
    <m/>
    <m/>
    <m/>
    <m/>
    <m/>
    <m/>
    <m/>
    <x v="20"/>
    <n v="200000"/>
    <n v="2232231"/>
    <n v="9767769"/>
    <m/>
    <n v="380000"/>
    <x v="41"/>
    <s v="Y"/>
    <m/>
    <m/>
    <m/>
    <m/>
    <n v="2677"/>
    <m/>
    <m/>
    <m/>
    <m/>
    <m/>
    <m/>
    <m/>
    <m/>
    <m/>
    <m/>
    <m/>
    <m/>
    <s v="AFAC is a partnership with the White House.  Final report issued in August 2006."/>
  </r>
  <r>
    <m/>
    <n v="54"/>
    <x v="61"/>
    <d v="2001-09-01T00:00:00"/>
    <x v="6"/>
    <x v="4"/>
    <m/>
    <n v="2001"/>
    <n v="18"/>
    <s v="Europe/Asia"/>
    <x v="47"/>
    <m/>
    <x v="8"/>
    <s v="Conflict"/>
    <s v="Conflict"/>
    <m/>
    <m/>
    <m/>
    <m/>
    <m/>
    <s v=""/>
    <m/>
    <m/>
    <m/>
    <x v="0"/>
    <m/>
    <x v="0"/>
    <m/>
    <x v="0"/>
    <x v="0"/>
    <x v="0"/>
    <m/>
    <n v="0"/>
    <x v="0"/>
    <m/>
    <m/>
    <x v="0"/>
    <m/>
    <m/>
    <m/>
    <m/>
    <m/>
    <m/>
    <m/>
    <m/>
    <m/>
    <m/>
    <m/>
    <m/>
    <m/>
    <m/>
    <x v="0"/>
    <m/>
    <n v="0"/>
    <m/>
    <m/>
    <m/>
    <x v="7"/>
    <s v="Y"/>
    <m/>
    <m/>
    <m/>
    <m/>
    <n v="2677"/>
    <m/>
    <m/>
    <m/>
    <m/>
    <m/>
    <m/>
    <m/>
    <m/>
    <m/>
    <m/>
    <m/>
    <m/>
    <m/>
  </r>
  <r>
    <m/>
    <n v="54"/>
    <x v="62"/>
    <d v="2001-09-01T00:00:00"/>
    <x v="6"/>
    <x v="4"/>
    <m/>
    <n v="2001"/>
    <n v="18"/>
    <s v="Europe/Asia"/>
    <x v="48"/>
    <m/>
    <x v="8"/>
    <s v="Conflict"/>
    <s v="Conflict"/>
    <m/>
    <m/>
    <m/>
    <m/>
    <m/>
    <s v=""/>
    <m/>
    <m/>
    <m/>
    <x v="0"/>
    <m/>
    <x v="0"/>
    <m/>
    <x v="0"/>
    <x v="0"/>
    <x v="0"/>
    <m/>
    <n v="0"/>
    <x v="0"/>
    <m/>
    <m/>
    <x v="0"/>
    <m/>
    <m/>
    <m/>
    <m/>
    <m/>
    <m/>
    <m/>
    <m/>
    <m/>
    <m/>
    <m/>
    <m/>
    <m/>
    <m/>
    <x v="0"/>
    <m/>
    <n v="0"/>
    <m/>
    <m/>
    <m/>
    <x v="7"/>
    <s v="Y"/>
    <m/>
    <m/>
    <m/>
    <m/>
    <n v="2677"/>
    <m/>
    <m/>
    <m/>
    <m/>
    <m/>
    <m/>
    <m/>
    <m/>
    <m/>
    <m/>
    <m/>
    <m/>
    <m/>
  </r>
  <r>
    <m/>
    <n v="54"/>
    <x v="63"/>
    <d v="2001-09-01T00:00:00"/>
    <x v="6"/>
    <x v="4"/>
    <m/>
    <n v="2001"/>
    <n v="18"/>
    <s v="Europe/Asia"/>
    <x v="49"/>
    <m/>
    <x v="8"/>
    <s v="Conflict"/>
    <s v="Conflict"/>
    <m/>
    <m/>
    <m/>
    <m/>
    <m/>
    <s v=""/>
    <m/>
    <m/>
    <m/>
    <x v="0"/>
    <m/>
    <x v="0"/>
    <m/>
    <x v="0"/>
    <x v="0"/>
    <x v="0"/>
    <m/>
    <n v="0"/>
    <x v="0"/>
    <m/>
    <m/>
    <x v="0"/>
    <m/>
    <m/>
    <m/>
    <m/>
    <m/>
    <m/>
    <m/>
    <m/>
    <m/>
    <m/>
    <m/>
    <m/>
    <m/>
    <m/>
    <x v="0"/>
    <m/>
    <n v="0"/>
    <m/>
    <m/>
    <m/>
    <x v="7"/>
    <s v="Y"/>
    <m/>
    <m/>
    <m/>
    <m/>
    <n v="2677"/>
    <m/>
    <m/>
    <m/>
    <m/>
    <m/>
    <m/>
    <m/>
    <m/>
    <m/>
    <m/>
    <m/>
    <m/>
    <m/>
  </r>
  <r>
    <m/>
    <n v="54"/>
    <x v="64"/>
    <d v="2001-09-01T00:00:00"/>
    <x v="6"/>
    <x v="4"/>
    <m/>
    <n v="2001"/>
    <n v="18"/>
    <s v="Europe/Asia"/>
    <x v="50"/>
    <m/>
    <x v="8"/>
    <s v="Conflict"/>
    <s v="Conflict"/>
    <m/>
    <m/>
    <m/>
    <m/>
    <m/>
    <s v=""/>
    <m/>
    <m/>
    <m/>
    <x v="0"/>
    <m/>
    <x v="0"/>
    <m/>
    <x v="0"/>
    <x v="0"/>
    <x v="0"/>
    <m/>
    <n v="0"/>
    <x v="0"/>
    <m/>
    <m/>
    <x v="0"/>
    <m/>
    <m/>
    <m/>
    <m/>
    <m/>
    <m/>
    <m/>
    <m/>
    <m/>
    <m/>
    <m/>
    <m/>
    <m/>
    <m/>
    <x v="0"/>
    <m/>
    <n v="0"/>
    <m/>
    <m/>
    <m/>
    <x v="7"/>
    <s v="Y"/>
    <m/>
    <m/>
    <m/>
    <m/>
    <n v="2677"/>
    <m/>
    <m/>
    <m/>
    <m/>
    <m/>
    <m/>
    <m/>
    <m/>
    <m/>
    <m/>
    <m/>
    <m/>
    <m/>
  </r>
  <r>
    <m/>
    <n v="55"/>
    <x v="65"/>
    <d v="2001-09-01T00:00:00"/>
    <x v="6"/>
    <x v="5"/>
    <m/>
    <n v="2001"/>
    <n v="19"/>
    <s v="North America"/>
    <x v="51"/>
    <m/>
    <x v="12"/>
    <s v="Terrorism"/>
    <s v="Terrorism"/>
    <m/>
    <m/>
    <m/>
    <m/>
    <m/>
    <s v=""/>
    <m/>
    <m/>
    <m/>
    <x v="0"/>
    <m/>
    <x v="0"/>
    <m/>
    <x v="0"/>
    <x v="0"/>
    <x v="17"/>
    <m/>
    <n v="3257775.37"/>
    <x v="14"/>
    <m/>
    <m/>
    <x v="0"/>
    <m/>
    <m/>
    <m/>
    <m/>
    <m/>
    <m/>
    <m/>
    <m/>
    <m/>
    <m/>
    <m/>
    <m/>
    <m/>
    <m/>
    <x v="1"/>
    <n v="257704"/>
    <n v="3515479.37"/>
    <m/>
    <m/>
    <n v="2622"/>
    <x v="42"/>
    <s v="Y"/>
    <m/>
    <m/>
    <m/>
    <m/>
    <n v="4949"/>
    <m/>
    <m/>
    <m/>
    <m/>
    <m/>
    <m/>
    <m/>
    <m/>
    <m/>
    <m/>
    <m/>
    <d v="2008-09-11T00:00:00"/>
    <s v="The $3,084,914.31 distributed was to international families of victims of the terrorist attacks.   Beneficiaries: 6 members per each family assisted."/>
  </r>
  <r>
    <m/>
    <n v="56"/>
    <x v="66"/>
    <d v="2001-09-01T00:00:00"/>
    <x v="6"/>
    <x v="6"/>
    <m/>
    <n v="2001"/>
    <n v="20"/>
    <s v="LAC"/>
    <x v="2"/>
    <m/>
    <x v="9"/>
    <s v="Air"/>
    <s v="Air"/>
    <m/>
    <m/>
    <m/>
    <m/>
    <m/>
    <s v=""/>
    <m/>
    <m/>
    <m/>
    <x v="0"/>
    <m/>
    <x v="0"/>
    <m/>
    <x v="0"/>
    <x v="0"/>
    <x v="0"/>
    <m/>
    <n v="0"/>
    <x v="6"/>
    <m/>
    <m/>
    <x v="0"/>
    <m/>
    <m/>
    <m/>
    <m/>
    <m/>
    <m/>
    <m/>
    <m/>
    <m/>
    <m/>
    <m/>
    <m/>
    <m/>
    <m/>
    <x v="1"/>
    <n v="15000"/>
    <n v="15000"/>
    <m/>
    <m/>
    <n v="95"/>
    <x v="18"/>
    <s v="Y"/>
    <m/>
    <m/>
    <m/>
    <m/>
    <n v="2679"/>
    <m/>
    <m/>
    <m/>
    <m/>
    <m/>
    <m/>
    <m/>
    <m/>
    <m/>
    <m/>
    <m/>
    <s v="Plane Crash"/>
    <s v="Financial contribution made to memorial; beneficiaries: 5 members per each family assisted."/>
  </r>
  <r>
    <m/>
    <n v="57"/>
    <x v="67"/>
    <d v="2001-10-01T00:00:00"/>
    <x v="6"/>
    <x v="7"/>
    <m/>
    <n v="2001"/>
    <n v="21"/>
    <s v="LAC"/>
    <x v="2"/>
    <m/>
    <x v="5"/>
    <s v="Tropical Cyclone"/>
    <s v="Hurricane"/>
    <m/>
    <m/>
    <m/>
    <m/>
    <m/>
    <s v=""/>
    <m/>
    <m/>
    <m/>
    <x v="0"/>
    <m/>
    <x v="0"/>
    <m/>
    <x v="0"/>
    <x v="0"/>
    <x v="3"/>
    <m/>
    <n v="25000"/>
    <x v="2"/>
    <m/>
    <m/>
    <x v="0"/>
    <m/>
    <m/>
    <m/>
    <m/>
    <m/>
    <m/>
    <m/>
    <m/>
    <m/>
    <m/>
    <m/>
    <m/>
    <m/>
    <m/>
    <x v="0"/>
    <m/>
    <n v="25000"/>
    <m/>
    <m/>
    <n v="5000"/>
    <x v="8"/>
    <s v="Y"/>
    <m/>
    <m/>
    <m/>
    <m/>
    <n v="2898"/>
    <m/>
    <m/>
    <m/>
    <m/>
    <m/>
    <m/>
    <m/>
    <m/>
    <m/>
    <m/>
    <m/>
    <s v="Juliette"/>
    <s v="Financial contribution designated for relief supplies.  Beneficiaries: 5 members per each family assisted."/>
  </r>
  <r>
    <m/>
    <n v="58"/>
    <x v="68"/>
    <d v="2001-10-01T00:00:00"/>
    <x v="6"/>
    <x v="8"/>
    <m/>
    <n v="2001"/>
    <n v="22"/>
    <s v="LAC"/>
    <x v="28"/>
    <m/>
    <x v="13"/>
    <s v="Tropical Cyclone"/>
    <s v="Hurricane"/>
    <m/>
    <m/>
    <m/>
    <m/>
    <m/>
    <s v=""/>
    <m/>
    <m/>
    <m/>
    <x v="0"/>
    <m/>
    <x v="0"/>
    <m/>
    <x v="0"/>
    <x v="0"/>
    <x v="3"/>
    <m/>
    <n v="25000"/>
    <x v="5"/>
    <m/>
    <m/>
    <x v="0"/>
    <m/>
    <m/>
    <m/>
    <m/>
    <m/>
    <m/>
    <m/>
    <m/>
    <m/>
    <m/>
    <m/>
    <m/>
    <m/>
    <m/>
    <x v="21"/>
    <n v="3982"/>
    <n v="97982"/>
    <m/>
    <m/>
    <n v="5000"/>
    <x v="43"/>
    <s v="Y"/>
    <m/>
    <m/>
    <m/>
    <m/>
    <n v="2678"/>
    <m/>
    <m/>
    <m/>
    <m/>
    <m/>
    <m/>
    <m/>
    <m/>
    <m/>
    <m/>
    <m/>
    <s v="Iris"/>
    <s v="$20,000 for hygiene kits; $19,000 given to Guatemala ARC delegation for hygiene kits and $50,000 in relief supplies to BRC."/>
  </r>
  <r>
    <m/>
    <n v="59"/>
    <x v="69"/>
    <d v="2001-10-01T00:00:00"/>
    <x v="6"/>
    <x v="9"/>
    <m/>
    <n v="2001"/>
    <n v="23"/>
    <s v="LAC"/>
    <x v="28"/>
    <m/>
    <x v="9"/>
    <s v="Water"/>
    <s v="Water"/>
    <m/>
    <m/>
    <m/>
    <m/>
    <m/>
    <s v=""/>
    <m/>
    <m/>
    <m/>
    <x v="0"/>
    <m/>
    <x v="0"/>
    <m/>
    <x v="0"/>
    <x v="0"/>
    <x v="0"/>
    <m/>
    <n v="0"/>
    <x v="4"/>
    <m/>
    <m/>
    <x v="0"/>
    <m/>
    <m/>
    <m/>
    <m/>
    <m/>
    <m/>
    <m/>
    <m/>
    <m/>
    <m/>
    <m/>
    <m/>
    <m/>
    <m/>
    <x v="1"/>
    <n v="4400"/>
    <n v="4400"/>
    <m/>
    <m/>
    <n v="135"/>
    <x v="44"/>
    <s v="Y"/>
    <m/>
    <m/>
    <m/>
    <m/>
    <n v="2898"/>
    <m/>
    <m/>
    <m/>
    <m/>
    <m/>
    <m/>
    <m/>
    <m/>
    <m/>
    <m/>
    <m/>
    <s v="Boat Crash"/>
    <s v="Beneficiaries calculated at 5 family members per each 27 families assisted."/>
  </r>
  <r>
    <m/>
    <n v="60"/>
    <x v="70"/>
    <d v="2001-10-01T00:00:00"/>
    <x v="6"/>
    <x v="10"/>
    <m/>
    <n v="2001"/>
    <n v="24"/>
    <s v="LAC"/>
    <x v="43"/>
    <m/>
    <x v="5"/>
    <s v="Tropical Cyclone"/>
    <s v="Tropical Storm"/>
    <m/>
    <m/>
    <m/>
    <m/>
    <m/>
    <s v=""/>
    <m/>
    <m/>
    <m/>
    <x v="0"/>
    <m/>
    <x v="0"/>
    <m/>
    <x v="0"/>
    <x v="0"/>
    <x v="0"/>
    <m/>
    <n v="0"/>
    <x v="0"/>
    <m/>
    <m/>
    <x v="0"/>
    <m/>
    <m/>
    <m/>
    <m/>
    <m/>
    <m/>
    <m/>
    <m/>
    <m/>
    <m/>
    <m/>
    <m/>
    <m/>
    <m/>
    <x v="0"/>
    <m/>
    <n v="0"/>
    <m/>
    <m/>
    <m/>
    <x v="7"/>
    <s v="Y"/>
    <m/>
    <m/>
    <m/>
    <m/>
    <n v="2898"/>
    <m/>
    <m/>
    <m/>
    <m/>
    <m/>
    <m/>
    <m/>
    <m/>
    <m/>
    <m/>
    <m/>
    <s v="Michelle"/>
    <m/>
  </r>
  <r>
    <m/>
    <n v="60"/>
    <x v="71"/>
    <d v="2001-11-01T00:00:00"/>
    <x v="6"/>
    <x v="10"/>
    <m/>
    <n v="2001"/>
    <n v="24"/>
    <s v="LAC"/>
    <x v="6"/>
    <m/>
    <x v="5"/>
    <s v="Tropical Cyclone"/>
    <s v="Tropical Storm"/>
    <m/>
    <m/>
    <m/>
    <m/>
    <m/>
    <s v=""/>
    <m/>
    <m/>
    <m/>
    <x v="0"/>
    <m/>
    <x v="0"/>
    <m/>
    <x v="0"/>
    <x v="0"/>
    <x v="0"/>
    <m/>
    <n v="0"/>
    <x v="0"/>
    <m/>
    <m/>
    <x v="0"/>
    <m/>
    <m/>
    <m/>
    <m/>
    <m/>
    <m/>
    <m/>
    <m/>
    <m/>
    <m/>
    <m/>
    <m/>
    <m/>
    <m/>
    <x v="0"/>
    <n v="60000"/>
    <n v="60000"/>
    <m/>
    <m/>
    <n v="5000"/>
    <x v="45"/>
    <s v="Y"/>
    <m/>
    <m/>
    <m/>
    <m/>
    <n v="2898"/>
    <m/>
    <m/>
    <m/>
    <m/>
    <m/>
    <m/>
    <m/>
    <m/>
    <m/>
    <m/>
    <m/>
    <s v="Michelle"/>
    <s v="$10,000 from Nicaragua delegation for procurement of relief supplies.  $50,000 from OFDA for Honduras. (The 1,000 families assisted were in Honduras through the Emergency Food Rations) "/>
  </r>
  <r>
    <m/>
    <n v="60"/>
    <x v="72"/>
    <d v="2001-11-01T00:00:00"/>
    <x v="6"/>
    <x v="10"/>
    <m/>
    <n v="2001"/>
    <n v="24"/>
    <s v="LAC"/>
    <x v="52"/>
    <m/>
    <x v="5"/>
    <s v="Tropical Cyclone"/>
    <s v="Tropical Storm"/>
    <m/>
    <m/>
    <m/>
    <m/>
    <m/>
    <s v=""/>
    <m/>
    <m/>
    <m/>
    <x v="0"/>
    <m/>
    <x v="0"/>
    <m/>
    <x v="0"/>
    <x v="0"/>
    <x v="0"/>
    <m/>
    <n v="0"/>
    <x v="0"/>
    <m/>
    <m/>
    <x v="0"/>
    <m/>
    <m/>
    <m/>
    <m/>
    <m/>
    <m/>
    <m/>
    <m/>
    <m/>
    <m/>
    <m/>
    <m/>
    <m/>
    <m/>
    <x v="0"/>
    <m/>
    <n v="0"/>
    <m/>
    <m/>
    <m/>
    <x v="7"/>
    <s v="Y"/>
    <m/>
    <m/>
    <m/>
    <m/>
    <n v="2898"/>
    <m/>
    <m/>
    <m/>
    <m/>
    <m/>
    <m/>
    <m/>
    <m/>
    <m/>
    <m/>
    <m/>
    <s v="Michelle"/>
    <m/>
  </r>
  <r>
    <m/>
    <n v="60"/>
    <x v="73"/>
    <d v="2001-11-01T00:00:00"/>
    <x v="6"/>
    <x v="10"/>
    <m/>
    <n v="2001"/>
    <n v="24"/>
    <s v="LAC"/>
    <x v="53"/>
    <m/>
    <x v="5"/>
    <s v="Tropical Cyclone"/>
    <s v="Tropical Storm"/>
    <m/>
    <m/>
    <m/>
    <m/>
    <m/>
    <s v=""/>
    <m/>
    <m/>
    <m/>
    <x v="0"/>
    <m/>
    <x v="0"/>
    <m/>
    <x v="0"/>
    <x v="0"/>
    <x v="18"/>
    <m/>
    <n v="5000"/>
    <x v="0"/>
    <m/>
    <m/>
    <x v="0"/>
    <m/>
    <m/>
    <m/>
    <m/>
    <m/>
    <m/>
    <m/>
    <m/>
    <m/>
    <m/>
    <m/>
    <m/>
    <m/>
    <m/>
    <x v="0"/>
    <m/>
    <n v="5000"/>
    <m/>
    <m/>
    <m/>
    <x v="46"/>
    <s v="Y"/>
    <m/>
    <m/>
    <m/>
    <m/>
    <n v="2898"/>
    <m/>
    <m/>
    <m/>
    <m/>
    <m/>
    <m/>
    <m/>
    <m/>
    <m/>
    <m/>
    <m/>
    <s v="Michelle"/>
    <m/>
  </r>
  <r>
    <m/>
    <n v="61"/>
    <x v="13"/>
    <d v="2001-11-01T00:00:00"/>
    <x v="6"/>
    <x v="11"/>
    <m/>
    <n v="2001"/>
    <n v="25"/>
    <s v="LAC"/>
    <x v="9"/>
    <m/>
    <x v="5"/>
    <s v="Tropical Cyclone"/>
    <s v="Tropical Storm"/>
    <m/>
    <m/>
    <m/>
    <m/>
    <m/>
    <s v=""/>
    <m/>
    <m/>
    <m/>
    <x v="0"/>
    <m/>
    <x v="0"/>
    <m/>
    <x v="0"/>
    <x v="0"/>
    <x v="18"/>
    <m/>
    <n v="5000"/>
    <x v="1"/>
    <m/>
    <m/>
    <x v="0"/>
    <m/>
    <m/>
    <m/>
    <m/>
    <m/>
    <m/>
    <m/>
    <m/>
    <m/>
    <m/>
    <m/>
    <m/>
    <m/>
    <m/>
    <x v="0"/>
    <m/>
    <n v="5000"/>
    <m/>
    <m/>
    <m/>
    <x v="46"/>
    <s v="Y"/>
    <m/>
    <m/>
    <m/>
    <m/>
    <n v="2898"/>
    <m/>
    <m/>
    <m/>
    <m/>
    <m/>
    <m/>
    <m/>
    <m/>
    <m/>
    <m/>
    <m/>
    <s v="Michelle"/>
    <m/>
  </r>
  <r>
    <m/>
    <n v="62"/>
    <x v="74"/>
    <d v="2001-11-01T00:00:00"/>
    <x v="6"/>
    <x v="12"/>
    <m/>
    <n v="2001"/>
    <n v="26"/>
    <s v="North America"/>
    <x v="51"/>
    <m/>
    <x v="9"/>
    <s v="Air"/>
    <s v="Air"/>
    <m/>
    <m/>
    <m/>
    <m/>
    <m/>
    <s v=""/>
    <m/>
    <m/>
    <m/>
    <x v="0"/>
    <m/>
    <x v="0"/>
    <m/>
    <x v="0"/>
    <x v="0"/>
    <x v="0"/>
    <m/>
    <n v="0"/>
    <x v="10"/>
    <m/>
    <m/>
    <x v="0"/>
    <m/>
    <m/>
    <m/>
    <m/>
    <m/>
    <m/>
    <m/>
    <m/>
    <m/>
    <m/>
    <m/>
    <m/>
    <m/>
    <m/>
    <x v="1"/>
    <n v="500"/>
    <n v="500"/>
    <m/>
    <m/>
    <m/>
    <x v="47"/>
    <s v="Y"/>
    <m/>
    <m/>
    <m/>
    <m/>
    <n v="2680"/>
    <m/>
    <m/>
    <m/>
    <m/>
    <m/>
    <m/>
    <m/>
    <m/>
    <m/>
    <m/>
    <m/>
    <s v="AA #587"/>
    <s v="Crash of AA 587 to D.R.  Beneficiaries calculated at 5 family members per each 260 families assisted."/>
  </r>
  <r>
    <m/>
    <n v="63"/>
    <x v="75"/>
    <d v="2002-01-01T00:00:00"/>
    <x v="6"/>
    <x v="13"/>
    <m/>
    <n v="2002"/>
    <n v="1"/>
    <s v="Europe/Asia"/>
    <x v="7"/>
    <m/>
    <x v="10"/>
    <s v="Fire"/>
    <s v="Urban Fire"/>
    <m/>
    <m/>
    <m/>
    <m/>
    <m/>
    <s v=""/>
    <m/>
    <m/>
    <m/>
    <x v="0"/>
    <m/>
    <x v="0"/>
    <m/>
    <x v="0"/>
    <x v="0"/>
    <x v="0"/>
    <m/>
    <n v="0"/>
    <x v="0"/>
    <m/>
    <m/>
    <x v="0"/>
    <m/>
    <m/>
    <m/>
    <m/>
    <m/>
    <m/>
    <m/>
    <m/>
    <m/>
    <m/>
    <m/>
    <m/>
    <m/>
    <m/>
    <x v="22"/>
    <m/>
    <n v="10000"/>
    <m/>
    <m/>
    <n v="2079"/>
    <x v="6"/>
    <s v="Y"/>
    <m/>
    <m/>
    <m/>
    <m/>
    <n v="2898"/>
    <m/>
    <m/>
    <m/>
    <m/>
    <m/>
    <m/>
    <m/>
    <m/>
    <m/>
    <m/>
    <m/>
    <s v="Phnom Penh"/>
    <m/>
  </r>
  <r>
    <m/>
    <n v="64"/>
    <x v="76"/>
    <d v="2002-01-01T00:00:00"/>
    <x v="6"/>
    <x v="14"/>
    <m/>
    <n v="2002"/>
    <n v="2"/>
    <s v="Europe/Asia"/>
    <x v="54"/>
    <m/>
    <x v="5"/>
    <s v="Winter Emergency"/>
    <m/>
    <m/>
    <m/>
    <m/>
    <m/>
    <m/>
    <s v=""/>
    <m/>
    <m/>
    <m/>
    <x v="0"/>
    <m/>
    <x v="0"/>
    <m/>
    <x v="0"/>
    <x v="0"/>
    <x v="0"/>
    <m/>
    <n v="0"/>
    <x v="2"/>
    <m/>
    <m/>
    <x v="0"/>
    <m/>
    <m/>
    <m/>
    <m/>
    <m/>
    <m/>
    <m/>
    <m/>
    <m/>
    <m/>
    <m/>
    <m/>
    <m/>
    <m/>
    <x v="23"/>
    <m/>
    <n v="71832"/>
    <m/>
    <m/>
    <n v="20000"/>
    <x v="48"/>
    <s v="Y"/>
    <m/>
    <m/>
    <m/>
    <m/>
    <n v="2898"/>
    <m/>
    <m/>
    <m/>
    <m/>
    <m/>
    <m/>
    <m/>
    <m/>
    <m/>
    <m/>
    <m/>
    <m/>
    <s v="Beneficiaries calculated at 5 family members per the 4,000 families assisted."/>
  </r>
  <r>
    <m/>
    <n v="65"/>
    <x v="77"/>
    <d v="2002-01-01T00:00:00"/>
    <x v="6"/>
    <x v="15"/>
    <m/>
    <n v="2002"/>
    <n v="3"/>
    <s v="Africa"/>
    <x v="55"/>
    <m/>
    <x v="4"/>
    <s v="Volcanic Eruption"/>
    <s v="Volcanic Eruption"/>
    <m/>
    <m/>
    <m/>
    <m/>
    <m/>
    <s v=""/>
    <m/>
    <m/>
    <m/>
    <x v="0"/>
    <m/>
    <x v="0"/>
    <n v="0"/>
    <x v="3"/>
    <x v="0"/>
    <x v="0"/>
    <m/>
    <n v="25000"/>
    <x v="0"/>
    <m/>
    <m/>
    <x v="0"/>
    <m/>
    <m/>
    <m/>
    <m/>
    <m/>
    <m/>
    <m/>
    <m/>
    <m/>
    <m/>
    <m/>
    <m/>
    <m/>
    <m/>
    <x v="8"/>
    <m/>
    <n v="45000"/>
    <m/>
    <m/>
    <n v="30000"/>
    <x v="49"/>
    <s v="Y"/>
    <m/>
    <m/>
    <m/>
    <m/>
    <n v="2681"/>
    <m/>
    <m/>
    <m/>
    <m/>
    <m/>
    <m/>
    <m/>
    <m/>
    <m/>
    <m/>
    <m/>
    <s v="North Kivu"/>
    <s v="3 NEHK (approx. value $20,000 incl. transport) = 30,000 people for 3 months."/>
  </r>
  <r>
    <m/>
    <n v="66"/>
    <x v="78"/>
    <d v="2002-01-01T00:00:00"/>
    <x v="6"/>
    <x v="17"/>
    <m/>
    <n v="2002"/>
    <n v="5"/>
    <s v="Africa"/>
    <x v="56"/>
    <m/>
    <x v="6"/>
    <s v="Explosion"/>
    <s v="Explosion"/>
    <m/>
    <m/>
    <m/>
    <m/>
    <m/>
    <s v=""/>
    <m/>
    <m/>
    <m/>
    <x v="0"/>
    <m/>
    <x v="0"/>
    <n v="0"/>
    <x v="10"/>
    <x v="0"/>
    <x v="0"/>
    <m/>
    <n v="21612.23"/>
    <x v="0"/>
    <m/>
    <m/>
    <x v="0"/>
    <m/>
    <m/>
    <m/>
    <m/>
    <m/>
    <m/>
    <m/>
    <m/>
    <m/>
    <m/>
    <m/>
    <m/>
    <m/>
    <m/>
    <x v="0"/>
    <m/>
    <n v="21612.23"/>
    <m/>
    <m/>
    <n v="677.77942515832501"/>
    <x v="50"/>
    <s v="Y"/>
    <m/>
    <m/>
    <m/>
    <m/>
    <n v="2682"/>
    <m/>
    <m/>
    <m/>
    <m/>
    <m/>
    <m/>
    <m/>
    <m/>
    <m/>
    <m/>
    <m/>
    <s v="Munitions Explosion"/>
    <s v="$20,000 Citicorp donation; $1,612.23 PMN sent to Federation 22 August 03"/>
  </r>
  <r>
    <m/>
    <n v="67"/>
    <x v="9"/>
    <d v="2002-02-01T00:00:00"/>
    <x v="6"/>
    <x v="16"/>
    <m/>
    <n v="2002"/>
    <n v="4"/>
    <s v="Europe/Asia"/>
    <x v="5"/>
    <m/>
    <x v="3"/>
    <s v="Earthquake"/>
    <s v="Earthquake"/>
    <m/>
    <m/>
    <m/>
    <m/>
    <m/>
    <s v=""/>
    <m/>
    <m/>
    <m/>
    <x v="0"/>
    <m/>
    <x v="0"/>
    <m/>
    <x v="0"/>
    <x v="0"/>
    <x v="0"/>
    <m/>
    <n v="0"/>
    <x v="2"/>
    <m/>
    <m/>
    <x v="0"/>
    <m/>
    <m/>
    <m/>
    <m/>
    <m/>
    <m/>
    <m/>
    <m/>
    <m/>
    <m/>
    <m/>
    <m/>
    <m/>
    <m/>
    <x v="24"/>
    <m/>
    <n v="350424.24"/>
    <m/>
    <m/>
    <n v="49315"/>
    <x v="51"/>
    <s v="Y"/>
    <m/>
    <m/>
    <m/>
    <m/>
    <n v="2814"/>
    <m/>
    <m/>
    <m/>
    <m/>
    <m/>
    <m/>
    <m/>
    <m/>
    <m/>
    <m/>
    <m/>
    <m/>
    <m/>
  </r>
  <r>
    <m/>
    <n v="68"/>
    <x v="48"/>
    <d v="2002-03-01T00:00:00"/>
    <x v="6"/>
    <x v="18"/>
    <m/>
    <n v="2002"/>
    <n v="6"/>
    <s v="LAC"/>
    <x v="38"/>
    <m/>
    <x v="2"/>
    <s v="General Floods"/>
    <s v="General Floods"/>
    <m/>
    <m/>
    <m/>
    <m/>
    <m/>
    <s v=""/>
    <m/>
    <m/>
    <m/>
    <x v="0"/>
    <m/>
    <x v="0"/>
    <m/>
    <x v="0"/>
    <x v="0"/>
    <x v="19"/>
    <m/>
    <n v="11700"/>
    <x v="0"/>
    <m/>
    <m/>
    <x v="0"/>
    <m/>
    <m/>
    <m/>
    <m/>
    <m/>
    <m/>
    <m/>
    <m/>
    <m/>
    <m/>
    <m/>
    <m/>
    <m/>
    <m/>
    <x v="0"/>
    <m/>
    <n v="11700"/>
    <m/>
    <m/>
    <n v="300"/>
    <x v="52"/>
    <s v="Y"/>
    <m/>
    <m/>
    <m/>
    <m/>
    <n v="2898"/>
    <m/>
    <m/>
    <m/>
    <m/>
    <m/>
    <m/>
    <m/>
    <m/>
    <m/>
    <m/>
    <m/>
    <m/>
    <m/>
  </r>
  <r>
    <m/>
    <n v="69"/>
    <x v="79"/>
    <d v="2002-03-01T00:00:00"/>
    <x v="6"/>
    <x v="19"/>
    <m/>
    <n v="2002"/>
    <n v="7"/>
    <s v="Europe/Asia"/>
    <x v="46"/>
    <m/>
    <x v="3"/>
    <s v="Earthquake"/>
    <s v="Earthquake"/>
    <m/>
    <m/>
    <m/>
    <m/>
    <m/>
    <s v=""/>
    <m/>
    <m/>
    <m/>
    <x v="0"/>
    <m/>
    <x v="0"/>
    <m/>
    <x v="0"/>
    <x v="1"/>
    <x v="0"/>
    <m/>
    <n v="104805"/>
    <x v="4"/>
    <m/>
    <m/>
    <x v="0"/>
    <m/>
    <m/>
    <m/>
    <m/>
    <m/>
    <m/>
    <m/>
    <m/>
    <m/>
    <m/>
    <m/>
    <m/>
    <m/>
    <m/>
    <x v="0"/>
    <m/>
    <n v="104805"/>
    <m/>
    <m/>
    <n v="19678.7"/>
    <x v="53"/>
    <s v="Y"/>
    <m/>
    <m/>
    <m/>
    <m/>
    <n v="2876"/>
    <m/>
    <m/>
    <m/>
    <m/>
    <m/>
    <m/>
    <m/>
    <m/>
    <m/>
    <m/>
    <m/>
    <m/>
    <s v="NEHK for Mazar e Sharif "/>
  </r>
  <r>
    <m/>
    <n v="70"/>
    <x v="36"/>
    <d v="2002-04-01T00:00:00"/>
    <x v="6"/>
    <x v="23"/>
    <m/>
    <n v="2002"/>
    <n v="8"/>
    <s v="Europe/Asia"/>
    <x v="30"/>
    <m/>
    <x v="8"/>
    <s v="Conflict"/>
    <s v="Conflict"/>
    <m/>
    <m/>
    <m/>
    <m/>
    <m/>
    <s v=""/>
    <m/>
    <m/>
    <m/>
    <x v="0"/>
    <m/>
    <x v="0"/>
    <n v="0"/>
    <x v="3"/>
    <x v="0"/>
    <x v="5"/>
    <m/>
    <n v="225000"/>
    <x v="2"/>
    <m/>
    <m/>
    <x v="0"/>
    <m/>
    <m/>
    <m/>
    <m/>
    <m/>
    <m/>
    <m/>
    <m/>
    <m/>
    <m/>
    <m/>
    <m/>
    <m/>
    <m/>
    <x v="0"/>
    <m/>
    <n v="225000"/>
    <m/>
    <m/>
    <m/>
    <x v="54"/>
    <s v="Y"/>
    <m/>
    <m/>
    <m/>
    <m/>
    <n v="2898"/>
    <m/>
    <m/>
    <m/>
    <m/>
    <m/>
    <m/>
    <m/>
    <m/>
    <m/>
    <m/>
    <m/>
    <m/>
    <s v="Second Installment for ICU sent in Nov 2002"/>
  </r>
  <r>
    <m/>
    <n v="71"/>
    <x v="80"/>
    <d v="2002-05-01T00:00:00"/>
    <x v="6"/>
    <x v="20"/>
    <m/>
    <n v="2002"/>
    <n v="9"/>
    <s v="LAC"/>
    <x v="57"/>
    <m/>
    <x v="2"/>
    <s v="General Floods"/>
    <s v="General Floods"/>
    <m/>
    <m/>
    <m/>
    <m/>
    <m/>
    <s v=""/>
    <m/>
    <m/>
    <m/>
    <x v="0"/>
    <m/>
    <x v="0"/>
    <m/>
    <x v="0"/>
    <x v="0"/>
    <x v="20"/>
    <m/>
    <n v="2000"/>
    <x v="0"/>
    <m/>
    <m/>
    <x v="0"/>
    <m/>
    <m/>
    <m/>
    <m/>
    <m/>
    <m/>
    <m/>
    <m/>
    <m/>
    <m/>
    <m/>
    <m/>
    <m/>
    <m/>
    <x v="0"/>
    <m/>
    <n v="2000"/>
    <m/>
    <m/>
    <m/>
    <x v="55"/>
    <s v="Y"/>
    <m/>
    <m/>
    <m/>
    <m/>
    <n v="2898"/>
    <m/>
    <m/>
    <m/>
    <m/>
    <m/>
    <m/>
    <m/>
    <m/>
    <m/>
    <m/>
    <m/>
    <m/>
    <m/>
  </r>
  <r>
    <m/>
    <n v="71"/>
    <x v="7"/>
    <d v="2002-05-01T00:00:00"/>
    <x v="6"/>
    <x v="20"/>
    <m/>
    <n v="2002"/>
    <n v="9"/>
    <s v="LAC"/>
    <x v="3"/>
    <m/>
    <x v="2"/>
    <s v="General Floods"/>
    <s v="General Floods"/>
    <m/>
    <m/>
    <m/>
    <m/>
    <m/>
    <s v=""/>
    <m/>
    <m/>
    <m/>
    <x v="0"/>
    <m/>
    <x v="0"/>
    <m/>
    <x v="0"/>
    <x v="0"/>
    <x v="20"/>
    <m/>
    <n v="2000"/>
    <x v="0"/>
    <m/>
    <m/>
    <x v="0"/>
    <m/>
    <m/>
    <m/>
    <m/>
    <m/>
    <m/>
    <m/>
    <m/>
    <m/>
    <m/>
    <m/>
    <m/>
    <m/>
    <m/>
    <x v="0"/>
    <m/>
    <n v="2000"/>
    <m/>
    <m/>
    <n v="0"/>
    <x v="55"/>
    <s v="Y"/>
    <m/>
    <m/>
    <m/>
    <m/>
    <n v="2898"/>
    <m/>
    <m/>
    <m/>
    <m/>
    <m/>
    <m/>
    <m/>
    <m/>
    <m/>
    <m/>
    <m/>
    <m/>
    <m/>
  </r>
  <r>
    <m/>
    <n v="72"/>
    <x v="81"/>
    <d v="2002-05-01T00:00:00"/>
    <x v="6"/>
    <x v="21"/>
    <m/>
    <n v="2002"/>
    <n v="10"/>
    <s v="Africa"/>
    <x v="58"/>
    <m/>
    <x v="2"/>
    <s v="General Floods"/>
    <s v="General Floods"/>
    <m/>
    <m/>
    <m/>
    <m/>
    <m/>
    <s v=""/>
    <m/>
    <m/>
    <m/>
    <x v="0"/>
    <m/>
    <x v="0"/>
    <n v="0"/>
    <x v="2"/>
    <x v="0"/>
    <x v="0"/>
    <m/>
    <n v="10000"/>
    <x v="0"/>
    <m/>
    <m/>
    <x v="0"/>
    <m/>
    <m/>
    <m/>
    <m/>
    <m/>
    <m/>
    <m/>
    <m/>
    <m/>
    <m/>
    <m/>
    <m/>
    <m/>
    <m/>
    <x v="0"/>
    <m/>
    <n v="10000"/>
    <m/>
    <m/>
    <n v="1160.6960462049883"/>
    <x v="6"/>
    <s v="Y"/>
    <m/>
    <m/>
    <m/>
    <m/>
    <n v="2898"/>
    <m/>
    <m/>
    <m/>
    <m/>
    <m/>
    <m/>
    <m/>
    <m/>
    <m/>
    <m/>
    <m/>
    <m/>
    <m/>
  </r>
  <r>
    <m/>
    <n v="73"/>
    <x v="82"/>
    <d v="2002-05-01T00:00:00"/>
    <x v="6"/>
    <x v="22"/>
    <m/>
    <n v="2002"/>
    <n v="11"/>
    <s v="Africa"/>
    <x v="37"/>
    <m/>
    <x v="14"/>
    <s v="Food Insecurity"/>
    <s v="Food Insecurity"/>
    <m/>
    <m/>
    <m/>
    <m/>
    <m/>
    <s v=""/>
    <m/>
    <m/>
    <m/>
    <x v="0"/>
    <m/>
    <x v="0"/>
    <m/>
    <x v="0"/>
    <x v="0"/>
    <x v="0"/>
    <m/>
    <n v="0"/>
    <x v="5"/>
    <m/>
    <m/>
    <x v="0"/>
    <m/>
    <m/>
    <m/>
    <m/>
    <m/>
    <m/>
    <m/>
    <m/>
    <m/>
    <m/>
    <m/>
    <m/>
    <m/>
    <m/>
    <x v="0"/>
    <n v="100000"/>
    <n v="100000"/>
    <m/>
    <m/>
    <n v="96000"/>
    <x v="5"/>
    <s v="Y"/>
    <m/>
    <m/>
    <m/>
    <m/>
    <n v="2683"/>
    <m/>
    <m/>
    <m/>
    <m/>
    <m/>
    <m/>
    <m/>
    <m/>
    <m/>
    <m/>
    <m/>
    <m/>
    <m/>
  </r>
  <r>
    <m/>
    <n v="74"/>
    <x v="83"/>
    <d v="2002-06-01T00:00:00"/>
    <x v="6"/>
    <x v="24"/>
    <m/>
    <n v="2002"/>
    <n v="12"/>
    <s v="LAC"/>
    <x v="6"/>
    <m/>
    <x v="2"/>
    <s v="General Floods"/>
    <s v="General Floods"/>
    <m/>
    <m/>
    <m/>
    <m/>
    <m/>
    <s v=""/>
    <m/>
    <m/>
    <m/>
    <x v="0"/>
    <m/>
    <x v="0"/>
    <m/>
    <x v="0"/>
    <x v="0"/>
    <x v="0"/>
    <m/>
    <n v="0"/>
    <x v="2"/>
    <m/>
    <m/>
    <x v="0"/>
    <m/>
    <m/>
    <m/>
    <m/>
    <m/>
    <m/>
    <m/>
    <m/>
    <m/>
    <m/>
    <m/>
    <m/>
    <m/>
    <m/>
    <x v="0"/>
    <m/>
    <n v="0"/>
    <m/>
    <m/>
    <n v="0"/>
    <x v="7"/>
    <s v="Y"/>
    <m/>
    <m/>
    <m/>
    <m/>
    <n v="2821"/>
    <m/>
    <m/>
    <m/>
    <m/>
    <m/>
    <m/>
    <m/>
    <m/>
    <m/>
    <m/>
    <m/>
    <m/>
    <s v="supervised dist. of $50,000 of supplies given to NRC by USAID"/>
  </r>
  <r>
    <m/>
    <n v="75"/>
    <x v="84"/>
    <d v="2002-06-01T00:00:00"/>
    <x v="6"/>
    <x v="25"/>
    <m/>
    <n v="2002"/>
    <n v="13"/>
    <s v="Europe/Asia"/>
    <x v="59"/>
    <m/>
    <x v="10"/>
    <s v="Collapse"/>
    <s v="Collapse"/>
    <m/>
    <m/>
    <m/>
    <m/>
    <m/>
    <s v=""/>
    <m/>
    <m/>
    <m/>
    <x v="0"/>
    <m/>
    <x v="0"/>
    <n v="0"/>
    <x v="2"/>
    <x v="0"/>
    <x v="0"/>
    <m/>
    <n v="10000"/>
    <x v="0"/>
    <m/>
    <m/>
    <x v="0"/>
    <m/>
    <m/>
    <m/>
    <m/>
    <m/>
    <m/>
    <m/>
    <m/>
    <m/>
    <m/>
    <m/>
    <m/>
    <m/>
    <m/>
    <x v="0"/>
    <m/>
    <n v="10000"/>
    <m/>
    <m/>
    <n v="216.21621621621622"/>
    <x v="6"/>
    <s v="Y"/>
    <m/>
    <m/>
    <m/>
    <m/>
    <n v="2898"/>
    <m/>
    <m/>
    <m/>
    <m/>
    <m/>
    <m/>
    <m/>
    <m/>
    <m/>
    <m/>
    <m/>
    <s v="Dam Burst"/>
    <s v="Federation appeal15/2002 - Zeyzoun Dam Collapse"/>
  </r>
  <r>
    <m/>
    <n v="76"/>
    <x v="8"/>
    <d v="2002-06-01T00:00:00"/>
    <x v="6"/>
    <x v="26"/>
    <m/>
    <n v="2002"/>
    <n v="14"/>
    <s v="Europe/Asia"/>
    <x v="4"/>
    <m/>
    <x v="2"/>
    <s v="General Floods"/>
    <s v="General Floods"/>
    <m/>
    <m/>
    <m/>
    <m/>
    <m/>
    <s v=""/>
    <m/>
    <m/>
    <m/>
    <x v="0"/>
    <m/>
    <x v="0"/>
    <m/>
    <x v="0"/>
    <x v="0"/>
    <x v="6"/>
    <m/>
    <n v="75000"/>
    <x v="0"/>
    <m/>
    <m/>
    <x v="0"/>
    <m/>
    <m/>
    <m/>
    <m/>
    <m/>
    <m/>
    <m/>
    <m/>
    <m/>
    <m/>
    <m/>
    <m/>
    <m/>
    <m/>
    <x v="0"/>
    <m/>
    <n v="75000"/>
    <m/>
    <m/>
    <n v="2243.493867783428"/>
    <x v="56"/>
    <s v="Y"/>
    <m/>
    <m/>
    <m/>
    <m/>
    <n v="2060"/>
    <m/>
    <m/>
    <m/>
    <m/>
    <m/>
    <m/>
    <m/>
    <m/>
    <m/>
    <m/>
    <m/>
    <m/>
    <s v="Federation appeal 16/2002; $75,000 from Region"/>
  </r>
  <r>
    <m/>
    <n v="76"/>
    <x v="8"/>
    <d v="2002-06-01T00:00:00"/>
    <x v="6"/>
    <x v="26"/>
    <m/>
    <n v="2002"/>
    <n v="14"/>
    <s v="Europe/Asia"/>
    <x v="4"/>
    <m/>
    <x v="2"/>
    <s v="General Floods"/>
    <s v="General Floods"/>
    <m/>
    <m/>
    <m/>
    <m/>
    <m/>
    <s v=""/>
    <m/>
    <m/>
    <m/>
    <x v="0"/>
    <m/>
    <x v="0"/>
    <m/>
    <x v="0"/>
    <x v="0"/>
    <x v="3"/>
    <m/>
    <n v="25000"/>
    <x v="0"/>
    <m/>
    <m/>
    <x v="0"/>
    <m/>
    <m/>
    <m/>
    <m/>
    <m/>
    <m/>
    <m/>
    <m/>
    <m/>
    <m/>
    <m/>
    <m/>
    <m/>
    <m/>
    <x v="0"/>
    <m/>
    <n v="25000"/>
    <m/>
    <m/>
    <m/>
    <x v="8"/>
    <s v="Y"/>
    <m/>
    <m/>
    <m/>
    <m/>
    <n v="2898"/>
    <m/>
    <m/>
    <m/>
    <m/>
    <m/>
    <m/>
    <m/>
    <m/>
    <m/>
    <m/>
    <m/>
    <m/>
    <m/>
  </r>
  <r>
    <m/>
    <n v="76"/>
    <x v="8"/>
    <d v="2002-06-01T00:00:00"/>
    <x v="6"/>
    <x v="26"/>
    <m/>
    <n v="2002"/>
    <n v="14"/>
    <s v="Europe/Asia"/>
    <x v="4"/>
    <m/>
    <x v="2"/>
    <s v="General Floods"/>
    <s v="General Floods"/>
    <m/>
    <m/>
    <m/>
    <m/>
    <m/>
    <s v=""/>
    <m/>
    <m/>
    <m/>
    <x v="0"/>
    <m/>
    <x v="0"/>
    <m/>
    <x v="0"/>
    <x v="0"/>
    <x v="1"/>
    <m/>
    <n v="100000"/>
    <x v="0"/>
    <m/>
    <m/>
    <x v="0"/>
    <m/>
    <m/>
    <m/>
    <m/>
    <m/>
    <m/>
    <m/>
    <m/>
    <m/>
    <m/>
    <m/>
    <m/>
    <m/>
    <m/>
    <x v="0"/>
    <m/>
    <n v="100000"/>
    <m/>
    <m/>
    <m/>
    <x v="5"/>
    <s v="N"/>
    <m/>
    <m/>
    <m/>
    <m/>
    <n v="2099"/>
    <m/>
    <m/>
    <m/>
    <m/>
    <m/>
    <m/>
    <m/>
    <m/>
    <m/>
    <m/>
    <m/>
    <m/>
    <s v="$100,000 from Phillip Morris (AP 2099) in October 2002"/>
  </r>
  <r>
    <m/>
    <n v="77"/>
    <x v="51"/>
    <d v="2002-07-01T00:00:00"/>
    <x v="7"/>
    <x v="1"/>
    <m/>
    <n v="2002"/>
    <n v="15"/>
    <s v="Europe/Asia"/>
    <x v="12"/>
    <m/>
    <x v="2"/>
    <s v="General Floods"/>
    <s v="General Floods"/>
    <m/>
    <m/>
    <m/>
    <m/>
    <m/>
    <s v=""/>
    <m/>
    <m/>
    <m/>
    <x v="0"/>
    <m/>
    <x v="0"/>
    <m/>
    <x v="0"/>
    <x v="0"/>
    <x v="7"/>
    <m/>
    <n v="50000"/>
    <x v="2"/>
    <m/>
    <m/>
    <x v="0"/>
    <m/>
    <m/>
    <m/>
    <m/>
    <m/>
    <m/>
    <m/>
    <m/>
    <m/>
    <m/>
    <m/>
    <m/>
    <m/>
    <m/>
    <x v="0"/>
    <m/>
    <n v="50000"/>
    <m/>
    <m/>
    <n v="5000"/>
    <x v="16"/>
    <s v="Y"/>
    <m/>
    <m/>
    <m/>
    <m/>
    <n v="2664"/>
    <m/>
    <m/>
    <m/>
    <m/>
    <m/>
    <m/>
    <m/>
    <m/>
    <m/>
    <m/>
    <m/>
    <m/>
    <s v="Dagestan:  IRT Ramsey Rayyis; Federation Appeal 20/2002; grant from US Embassy in Moscow"/>
  </r>
  <r>
    <m/>
    <n v="78"/>
    <x v="85"/>
    <d v="2002-07-01T00:00:00"/>
    <x v="7"/>
    <x v="2"/>
    <m/>
    <n v="2002"/>
    <n v="16"/>
    <s v="Europe/Asia"/>
    <x v="60"/>
    <m/>
    <x v="5"/>
    <s v="Tropical Cyclone"/>
    <s v="Typhoon"/>
    <m/>
    <m/>
    <m/>
    <m/>
    <m/>
    <s v=""/>
    <m/>
    <m/>
    <m/>
    <x v="0"/>
    <m/>
    <x v="0"/>
    <m/>
    <x v="0"/>
    <x v="0"/>
    <x v="0"/>
    <m/>
    <n v="0"/>
    <x v="0"/>
    <m/>
    <m/>
    <x v="0"/>
    <m/>
    <m/>
    <m/>
    <m/>
    <m/>
    <m/>
    <m/>
    <m/>
    <m/>
    <m/>
    <m/>
    <m/>
    <m/>
    <m/>
    <x v="22"/>
    <m/>
    <n v="10000"/>
    <m/>
    <m/>
    <n v="1000"/>
    <x v="6"/>
    <s v="Y"/>
    <m/>
    <m/>
    <m/>
    <m/>
    <n v="2898"/>
    <m/>
    <m/>
    <m/>
    <m/>
    <m/>
    <m/>
    <m/>
    <m/>
    <m/>
    <m/>
    <m/>
    <s v="Chata'an"/>
    <s v="Replenished Supplies sent from ARC/Saipan"/>
  </r>
  <r>
    <m/>
    <n v="79"/>
    <x v="86"/>
    <d v="2002-07-01T00:00:00"/>
    <x v="7"/>
    <x v="3"/>
    <m/>
    <n v="2002"/>
    <n v="17"/>
    <s v="LAC"/>
    <x v="39"/>
    <m/>
    <x v="5"/>
    <s v="Winter Storm"/>
    <s v="Snowstorm"/>
    <m/>
    <m/>
    <m/>
    <m/>
    <m/>
    <s v=""/>
    <m/>
    <m/>
    <m/>
    <x v="0"/>
    <m/>
    <x v="0"/>
    <n v="0"/>
    <x v="11"/>
    <x v="0"/>
    <x v="0"/>
    <m/>
    <n v="5000"/>
    <x v="0"/>
    <m/>
    <m/>
    <x v="0"/>
    <m/>
    <m/>
    <m/>
    <m/>
    <m/>
    <m/>
    <m/>
    <m/>
    <m/>
    <m/>
    <m/>
    <m/>
    <m/>
    <m/>
    <x v="0"/>
    <m/>
    <n v="5000"/>
    <m/>
    <m/>
    <m/>
    <x v="46"/>
    <s v="Y"/>
    <m/>
    <m/>
    <m/>
    <m/>
    <n v="2898"/>
    <m/>
    <m/>
    <m/>
    <m/>
    <m/>
    <m/>
    <m/>
    <m/>
    <m/>
    <m/>
    <m/>
    <m/>
    <s v="DREF Replenishment"/>
  </r>
  <r>
    <m/>
    <n v="80"/>
    <x v="87"/>
    <d v="2002-07-01T00:00:00"/>
    <x v="7"/>
    <x v="4"/>
    <m/>
    <n v="2002"/>
    <n v="18"/>
    <s v="LAC"/>
    <x v="38"/>
    <m/>
    <x v="5"/>
    <s v="Winter Storm"/>
    <s v="Snowstorm"/>
    <m/>
    <m/>
    <m/>
    <m/>
    <m/>
    <s v=""/>
    <m/>
    <m/>
    <m/>
    <x v="0"/>
    <m/>
    <x v="0"/>
    <n v="0"/>
    <x v="11"/>
    <x v="0"/>
    <x v="0"/>
    <m/>
    <n v="5000"/>
    <x v="0"/>
    <m/>
    <m/>
    <x v="0"/>
    <m/>
    <m/>
    <m/>
    <m/>
    <m/>
    <m/>
    <m/>
    <m/>
    <m/>
    <m/>
    <m/>
    <m/>
    <m/>
    <m/>
    <x v="0"/>
    <m/>
    <n v="5000"/>
    <m/>
    <m/>
    <m/>
    <x v="46"/>
    <s v="Y"/>
    <m/>
    <m/>
    <m/>
    <m/>
    <n v="2898"/>
    <m/>
    <m/>
    <m/>
    <m/>
    <m/>
    <m/>
    <m/>
    <m/>
    <m/>
    <m/>
    <m/>
    <m/>
    <s v="DREF Replenishment"/>
  </r>
  <r>
    <m/>
    <n v="81"/>
    <x v="27"/>
    <d v="2002-07-01T00:00:00"/>
    <x v="7"/>
    <x v="5"/>
    <m/>
    <n v="2002"/>
    <n v="19"/>
    <s v="LAC"/>
    <x v="22"/>
    <m/>
    <x v="2"/>
    <s v="General Floods"/>
    <s v="General Floods"/>
    <m/>
    <m/>
    <m/>
    <m/>
    <m/>
    <s v=""/>
    <m/>
    <m/>
    <m/>
    <x v="0"/>
    <m/>
    <x v="0"/>
    <m/>
    <x v="0"/>
    <x v="0"/>
    <x v="7"/>
    <m/>
    <n v="50000"/>
    <x v="2"/>
    <m/>
    <m/>
    <x v="0"/>
    <m/>
    <m/>
    <m/>
    <m/>
    <m/>
    <m/>
    <m/>
    <m/>
    <m/>
    <m/>
    <m/>
    <m/>
    <m/>
    <m/>
    <x v="0"/>
    <m/>
    <n v="50000"/>
    <m/>
    <m/>
    <n v="3840"/>
    <x v="16"/>
    <s v="Y"/>
    <m/>
    <m/>
    <m/>
    <m/>
    <n v="2912"/>
    <m/>
    <m/>
    <m/>
    <m/>
    <m/>
    <m/>
    <m/>
    <m/>
    <m/>
    <m/>
    <m/>
    <m/>
    <s v="Funds provided by US Embassy; program implemented by Delegates/IRT members based in Caracas"/>
  </r>
  <r>
    <m/>
    <n v="82"/>
    <x v="33"/>
    <d v="2002-08-01T00:00:00"/>
    <x v="7"/>
    <x v="6"/>
    <m/>
    <n v="2002"/>
    <n v="20"/>
    <s v="Europe/Asia"/>
    <x v="15"/>
    <m/>
    <x v="2"/>
    <s v="General Floods"/>
    <s v="General Floods"/>
    <m/>
    <m/>
    <m/>
    <m/>
    <m/>
    <s v=""/>
    <m/>
    <m/>
    <m/>
    <x v="0"/>
    <m/>
    <x v="0"/>
    <n v="1"/>
    <x v="12"/>
    <x v="0"/>
    <x v="0"/>
    <m/>
    <n v="66918.959999999992"/>
    <x v="15"/>
    <m/>
    <m/>
    <x v="9"/>
    <m/>
    <m/>
    <m/>
    <m/>
    <m/>
    <m/>
    <m/>
    <m/>
    <m/>
    <m/>
    <m/>
    <m/>
    <m/>
    <m/>
    <x v="25"/>
    <n v="42422.75"/>
    <n v="232252.87"/>
    <m/>
    <m/>
    <n v="36500"/>
    <x v="57"/>
    <s v="Y"/>
    <m/>
    <m/>
    <m/>
    <m/>
    <n v="2954"/>
    <m/>
    <m/>
    <m/>
    <m/>
    <m/>
    <m/>
    <m/>
    <m/>
    <m/>
    <m/>
    <m/>
    <m/>
    <s v="2,900 Family Kits @ $35.88 each; 2 WHO NEHK; 2 WHO Cholera Kits; Flood Mitigation in Assam and Bihar thru Appeal."/>
  </r>
  <r>
    <m/>
    <n v="83"/>
    <x v="88"/>
    <d v="2002-08-01T00:00:00"/>
    <x v="7"/>
    <x v="7"/>
    <m/>
    <n v="2002"/>
    <n v="21"/>
    <s v="Europe/Asia"/>
    <x v="61"/>
    <m/>
    <x v="2"/>
    <s v="General Floods"/>
    <s v="General Floods"/>
    <m/>
    <m/>
    <m/>
    <m/>
    <m/>
    <s v=""/>
    <m/>
    <m/>
    <m/>
    <x v="0"/>
    <m/>
    <x v="0"/>
    <m/>
    <x v="0"/>
    <x v="0"/>
    <x v="0"/>
    <m/>
    <n v="0"/>
    <x v="5"/>
    <m/>
    <m/>
    <x v="10"/>
    <m/>
    <m/>
    <m/>
    <m/>
    <m/>
    <m/>
    <m/>
    <m/>
    <m/>
    <n v="14500"/>
    <m/>
    <m/>
    <m/>
    <m/>
    <x v="26"/>
    <n v="12189.84"/>
    <n v="115139.84"/>
    <m/>
    <m/>
    <n v="58000"/>
    <x v="58"/>
    <s v="Y"/>
    <m/>
    <m/>
    <m/>
    <m/>
    <n v="2685"/>
    <m/>
    <m/>
    <m/>
    <m/>
    <m/>
    <m/>
    <m/>
    <m/>
    <m/>
    <m/>
    <m/>
    <m/>
    <s v="ex Sofia"/>
  </r>
  <r>
    <m/>
    <n v="83"/>
    <x v="89"/>
    <d v="2002-08-01T00:00:00"/>
    <x v="7"/>
    <x v="7"/>
    <m/>
    <n v="2002"/>
    <n v="21"/>
    <s v="Europe/Asia"/>
    <x v="62"/>
    <m/>
    <x v="2"/>
    <s v="General Floods"/>
    <s v="General Floods"/>
    <m/>
    <m/>
    <m/>
    <m/>
    <m/>
    <s v=""/>
    <m/>
    <m/>
    <m/>
    <x v="0"/>
    <m/>
    <x v="0"/>
    <m/>
    <x v="0"/>
    <x v="0"/>
    <x v="6"/>
    <m/>
    <n v="75000"/>
    <x v="0"/>
    <m/>
    <m/>
    <x v="0"/>
    <m/>
    <m/>
    <m/>
    <m/>
    <m/>
    <m/>
    <m/>
    <m/>
    <m/>
    <m/>
    <m/>
    <m/>
    <m/>
    <m/>
    <x v="0"/>
    <m/>
    <n v="75000"/>
    <m/>
    <m/>
    <n v="7500"/>
    <x v="56"/>
    <s v="N"/>
    <m/>
    <m/>
    <m/>
    <m/>
    <n v="2099"/>
    <m/>
    <m/>
    <m/>
    <m/>
    <m/>
    <m/>
    <m/>
    <m/>
    <m/>
    <m/>
    <m/>
    <m/>
    <s v="Pass throughs from  Alcoa, AmEx, Citigroup, Levi Strauss"/>
  </r>
  <r>
    <m/>
    <n v="83"/>
    <x v="90"/>
    <d v="2002-08-01T00:00:00"/>
    <x v="7"/>
    <x v="7"/>
    <m/>
    <n v="2002"/>
    <n v="21"/>
    <s v="Europe/Asia"/>
    <x v="63"/>
    <m/>
    <x v="2"/>
    <s v="General Floods"/>
    <s v="General Floods"/>
    <m/>
    <m/>
    <m/>
    <m/>
    <m/>
    <s v=""/>
    <m/>
    <m/>
    <m/>
    <x v="0"/>
    <m/>
    <x v="0"/>
    <m/>
    <x v="0"/>
    <x v="0"/>
    <x v="21"/>
    <m/>
    <n v="90000"/>
    <x v="0"/>
    <m/>
    <m/>
    <x v="0"/>
    <m/>
    <m/>
    <m/>
    <m/>
    <m/>
    <m/>
    <m/>
    <m/>
    <m/>
    <m/>
    <m/>
    <m/>
    <m/>
    <m/>
    <x v="0"/>
    <m/>
    <n v="90000"/>
    <m/>
    <m/>
    <n v="9000"/>
    <x v="29"/>
    <s v="N"/>
    <m/>
    <m/>
    <m/>
    <m/>
    <n v="2099"/>
    <m/>
    <m/>
    <m/>
    <m/>
    <m/>
    <m/>
    <m/>
    <m/>
    <m/>
    <m/>
    <m/>
    <m/>
    <s v="Pass throughs from  AmEx (2099), Levi Strauss (2099) and JP Morgan (2608)"/>
  </r>
  <r>
    <m/>
    <n v="83"/>
    <x v="91"/>
    <d v="2002-08-01T00:00:00"/>
    <x v="7"/>
    <x v="7"/>
    <m/>
    <n v="2002"/>
    <n v="21"/>
    <s v="Europe/Asia"/>
    <x v="64"/>
    <m/>
    <x v="2"/>
    <s v="General Floods"/>
    <s v="General Floods"/>
    <m/>
    <m/>
    <m/>
    <m/>
    <m/>
    <s v=""/>
    <m/>
    <m/>
    <m/>
    <x v="0"/>
    <m/>
    <x v="0"/>
    <m/>
    <x v="0"/>
    <x v="0"/>
    <x v="2"/>
    <m/>
    <n v="10000"/>
    <x v="0"/>
    <m/>
    <m/>
    <x v="0"/>
    <m/>
    <m/>
    <m/>
    <m/>
    <m/>
    <m/>
    <m/>
    <m/>
    <m/>
    <m/>
    <m/>
    <m/>
    <m/>
    <m/>
    <x v="0"/>
    <m/>
    <n v="10000"/>
    <m/>
    <m/>
    <n v="1000"/>
    <x v="6"/>
    <s v="Y"/>
    <m/>
    <m/>
    <m/>
    <m/>
    <n v="2608"/>
    <m/>
    <m/>
    <m/>
    <m/>
    <m/>
    <m/>
    <m/>
    <m/>
    <m/>
    <m/>
    <m/>
    <m/>
    <s v="Pass through from JP Morgan / Chase"/>
  </r>
  <r>
    <m/>
    <n v="83"/>
    <x v="92"/>
    <d v="2002-08-01T00:00:00"/>
    <x v="7"/>
    <x v="7"/>
    <m/>
    <n v="2002"/>
    <n v="21"/>
    <s v="Europe/Asia"/>
    <x v="65"/>
    <m/>
    <x v="2"/>
    <s v="General Floods"/>
    <s v="General Floods"/>
    <m/>
    <m/>
    <m/>
    <m/>
    <m/>
    <s v=""/>
    <m/>
    <m/>
    <m/>
    <x v="0"/>
    <m/>
    <x v="0"/>
    <m/>
    <x v="0"/>
    <x v="0"/>
    <x v="22"/>
    <m/>
    <n v="35000"/>
    <x v="0"/>
    <m/>
    <m/>
    <x v="0"/>
    <m/>
    <m/>
    <m/>
    <m/>
    <m/>
    <m/>
    <m/>
    <m/>
    <m/>
    <m/>
    <m/>
    <m/>
    <m/>
    <m/>
    <x v="0"/>
    <m/>
    <n v="35000"/>
    <m/>
    <m/>
    <n v="3500"/>
    <x v="59"/>
    <s v="N"/>
    <m/>
    <m/>
    <m/>
    <m/>
    <n v="2099"/>
    <m/>
    <m/>
    <m/>
    <m/>
    <m/>
    <m/>
    <m/>
    <m/>
    <m/>
    <m/>
    <m/>
    <m/>
    <s v="Pass through from  Citigroup (2099) &amp; JP Morgan (2608)"/>
  </r>
  <r>
    <m/>
    <n v="83"/>
    <x v="93"/>
    <d v="2002-08-01T00:00:00"/>
    <x v="7"/>
    <x v="7"/>
    <m/>
    <n v="2002"/>
    <n v="21"/>
    <s v="Europe/Asia"/>
    <x v="32"/>
    <m/>
    <x v="2"/>
    <s v="General Floods"/>
    <s v="General Floods"/>
    <m/>
    <m/>
    <m/>
    <m/>
    <m/>
    <s v=""/>
    <m/>
    <m/>
    <m/>
    <x v="0"/>
    <m/>
    <x v="0"/>
    <m/>
    <x v="0"/>
    <x v="0"/>
    <x v="3"/>
    <m/>
    <n v="25000"/>
    <x v="0"/>
    <m/>
    <m/>
    <x v="0"/>
    <m/>
    <m/>
    <m/>
    <m/>
    <m/>
    <m/>
    <m/>
    <m/>
    <m/>
    <m/>
    <m/>
    <m/>
    <m/>
    <m/>
    <x v="0"/>
    <m/>
    <n v="25000"/>
    <m/>
    <m/>
    <n v="2500"/>
    <x v="8"/>
    <s v="Y"/>
    <m/>
    <m/>
    <m/>
    <m/>
    <n v="2608"/>
    <m/>
    <m/>
    <m/>
    <m/>
    <m/>
    <m/>
    <m/>
    <m/>
    <m/>
    <m/>
    <m/>
    <m/>
    <s v="AMEX re-directed funds from their ADGP"/>
  </r>
  <r>
    <m/>
    <n v="84"/>
    <x v="67"/>
    <d v="2002-09-01T00:00:00"/>
    <x v="7"/>
    <x v="8"/>
    <m/>
    <n v="2002"/>
    <n v="22"/>
    <s v="LAC"/>
    <x v="2"/>
    <m/>
    <x v="5"/>
    <s v="Tropical Cyclone"/>
    <s v="Hurricane"/>
    <m/>
    <m/>
    <m/>
    <m/>
    <m/>
    <s v=""/>
    <m/>
    <m/>
    <m/>
    <x v="0"/>
    <m/>
    <x v="0"/>
    <m/>
    <x v="0"/>
    <x v="0"/>
    <x v="0"/>
    <m/>
    <n v="0"/>
    <x v="4"/>
    <m/>
    <m/>
    <x v="0"/>
    <m/>
    <m/>
    <m/>
    <m/>
    <m/>
    <m/>
    <m/>
    <m/>
    <m/>
    <m/>
    <m/>
    <m/>
    <m/>
    <m/>
    <x v="0"/>
    <n v="60000"/>
    <n v="60000"/>
    <m/>
    <m/>
    <n v="20000"/>
    <x v="45"/>
    <s v="Y"/>
    <m/>
    <m/>
    <m/>
    <m/>
    <n v="2687"/>
    <m/>
    <m/>
    <m/>
    <m/>
    <m/>
    <m/>
    <m/>
    <m/>
    <m/>
    <m/>
    <m/>
    <s v="Isidore"/>
    <s v="$50,000 from OFDA; 4,000 hygiene parcels"/>
  </r>
  <r>
    <m/>
    <n v="85"/>
    <x v="94"/>
    <d v="2002-10-01T00:00:00"/>
    <x v="7"/>
    <x v="9"/>
    <m/>
    <n v="2002"/>
    <n v="23"/>
    <s v="LAC"/>
    <x v="66"/>
    <m/>
    <x v="1"/>
    <s v="Drought"/>
    <s v="Drought"/>
    <m/>
    <m/>
    <m/>
    <m/>
    <m/>
    <s v=""/>
    <m/>
    <m/>
    <m/>
    <x v="0"/>
    <m/>
    <x v="0"/>
    <m/>
    <x v="0"/>
    <x v="0"/>
    <x v="0"/>
    <m/>
    <n v="0"/>
    <x v="4"/>
    <m/>
    <m/>
    <x v="0"/>
    <m/>
    <m/>
    <m/>
    <m/>
    <m/>
    <m/>
    <m/>
    <m/>
    <m/>
    <m/>
    <m/>
    <m/>
    <m/>
    <m/>
    <x v="0"/>
    <m/>
    <n v="0"/>
    <m/>
    <m/>
    <n v="8165"/>
    <x v="7"/>
    <s v="Y"/>
    <m/>
    <m/>
    <m/>
    <m/>
    <n v="2898"/>
    <m/>
    <m/>
    <m/>
    <m/>
    <m/>
    <m/>
    <m/>
    <m/>
    <m/>
    <m/>
    <m/>
    <m/>
    <s v="$50,000 from OFDA money given directly to the Paraguay RC for relief food distributions"/>
  </r>
  <r>
    <m/>
    <n v="86"/>
    <x v="67"/>
    <d v="2002-10-01T00:00:00"/>
    <x v="7"/>
    <x v="10"/>
    <m/>
    <n v="2002"/>
    <n v="24"/>
    <s v="LAC"/>
    <x v="2"/>
    <m/>
    <x v="5"/>
    <s v="Tropical Cyclone"/>
    <s v="Hurricane"/>
    <m/>
    <m/>
    <m/>
    <m/>
    <m/>
    <s v=""/>
    <m/>
    <m/>
    <m/>
    <x v="0"/>
    <m/>
    <x v="0"/>
    <m/>
    <x v="0"/>
    <x v="0"/>
    <x v="0"/>
    <m/>
    <n v="0"/>
    <x v="2"/>
    <m/>
    <m/>
    <x v="0"/>
    <m/>
    <m/>
    <m/>
    <m/>
    <m/>
    <m/>
    <m/>
    <m/>
    <m/>
    <m/>
    <m/>
    <m/>
    <m/>
    <m/>
    <x v="0"/>
    <m/>
    <n v="0"/>
    <m/>
    <m/>
    <m/>
    <x v="7"/>
    <s v="Y"/>
    <m/>
    <m/>
    <m/>
    <m/>
    <n v="2688"/>
    <m/>
    <m/>
    <m/>
    <m/>
    <m/>
    <m/>
    <m/>
    <m/>
    <m/>
    <m/>
    <m/>
    <s v="Kenna"/>
    <m/>
  </r>
  <r>
    <m/>
    <n v="87"/>
    <x v="95"/>
    <d v="2002-10-01T00:00:00"/>
    <x v="7"/>
    <x v="11"/>
    <m/>
    <n v="2002"/>
    <n v="25"/>
    <s v="Europe/Asia"/>
    <x v="67"/>
    <m/>
    <x v="5"/>
    <s v="Tropical Cyclone"/>
    <s v="Typhoon"/>
    <m/>
    <m/>
    <m/>
    <m/>
    <m/>
    <s v=""/>
    <m/>
    <m/>
    <m/>
    <x v="0"/>
    <m/>
    <x v="0"/>
    <m/>
    <x v="0"/>
    <x v="0"/>
    <x v="23"/>
    <m/>
    <n v="120000"/>
    <x v="0"/>
    <m/>
    <m/>
    <x v="0"/>
    <m/>
    <m/>
    <m/>
    <m/>
    <m/>
    <m/>
    <m/>
    <m/>
    <m/>
    <m/>
    <m/>
    <m/>
    <m/>
    <m/>
    <x v="0"/>
    <n v="10000"/>
    <n v="130000"/>
    <m/>
    <m/>
    <n v="5775"/>
    <x v="60"/>
    <s v="Y"/>
    <m/>
    <m/>
    <m/>
    <m/>
    <n v="2686"/>
    <m/>
    <m/>
    <m/>
    <m/>
    <m/>
    <m/>
    <m/>
    <m/>
    <m/>
    <m/>
    <m/>
    <s v="Rusa"/>
    <s v="$10,000 from Alcoa for winter clothing in donor-specified province; $110,000 from CISCO &amp; Lucent for DPP training."/>
  </r>
  <r>
    <m/>
    <n v="88"/>
    <x v="96"/>
    <d v="2002-10-01T00:00:00"/>
    <x v="7"/>
    <x v="12"/>
    <m/>
    <n v="2002"/>
    <n v="26"/>
    <s v="Europe/Asia"/>
    <x v="68"/>
    <m/>
    <x v="3"/>
    <s v="Earthquake"/>
    <s v="Earthquake"/>
    <m/>
    <m/>
    <m/>
    <m/>
    <m/>
    <s v=""/>
    <m/>
    <m/>
    <m/>
    <x v="0"/>
    <m/>
    <x v="0"/>
    <m/>
    <x v="0"/>
    <x v="0"/>
    <x v="2"/>
    <m/>
    <n v="10000"/>
    <x v="0"/>
    <m/>
    <m/>
    <x v="0"/>
    <m/>
    <m/>
    <m/>
    <m/>
    <m/>
    <m/>
    <m/>
    <m/>
    <m/>
    <m/>
    <m/>
    <m/>
    <m/>
    <m/>
    <x v="0"/>
    <m/>
    <n v="10000"/>
    <m/>
    <m/>
    <m/>
    <x v="6"/>
    <s v="Y"/>
    <m/>
    <m/>
    <m/>
    <m/>
    <n v="2608"/>
    <m/>
    <m/>
    <m/>
    <m/>
    <m/>
    <m/>
    <m/>
    <m/>
    <m/>
    <m/>
    <m/>
    <m/>
    <s v="Verizon Pass through"/>
  </r>
  <r>
    <m/>
    <n v="89"/>
    <x v="97"/>
    <d v="2002-10-01T00:00:00"/>
    <x v="7"/>
    <x v="13"/>
    <m/>
    <n v="2002"/>
    <n v="27"/>
    <s v="Europe/Asia"/>
    <x v="27"/>
    <m/>
    <x v="12"/>
    <s v="Terrorism"/>
    <s v="Terrorism"/>
    <m/>
    <m/>
    <m/>
    <m/>
    <m/>
    <s v=""/>
    <m/>
    <m/>
    <m/>
    <x v="0"/>
    <m/>
    <x v="0"/>
    <m/>
    <x v="0"/>
    <x v="0"/>
    <x v="24"/>
    <m/>
    <n v="46670"/>
    <x v="0"/>
    <m/>
    <m/>
    <x v="0"/>
    <m/>
    <m/>
    <m/>
    <m/>
    <m/>
    <m/>
    <m/>
    <m/>
    <m/>
    <m/>
    <m/>
    <m/>
    <m/>
    <m/>
    <x v="0"/>
    <m/>
    <n v="46670"/>
    <m/>
    <m/>
    <m/>
    <x v="61"/>
    <s v="Y"/>
    <m/>
    <m/>
    <m/>
    <m/>
    <n v="2613"/>
    <m/>
    <m/>
    <m/>
    <m/>
    <m/>
    <m/>
    <m/>
    <m/>
    <m/>
    <m/>
    <m/>
    <s v="Bali"/>
    <s v="Exxon/Mobil provided  $30,000 for Indonesia (to be programmed by AusCross); Citigroup provided $10,000 (2099), G.E provided $5,000 (2898) and Assoc. of Chartered Accountants provided $1,670"/>
  </r>
  <r>
    <m/>
    <n v="89"/>
    <x v="98"/>
    <d v="2002-10-01T00:00:00"/>
    <x v="7"/>
    <x v="13"/>
    <m/>
    <n v="2002"/>
    <n v="27"/>
    <s v="Europe/Asia"/>
    <x v="69"/>
    <m/>
    <x v="12"/>
    <s v="Terrorism"/>
    <s v="Terrorism"/>
    <m/>
    <m/>
    <m/>
    <m/>
    <m/>
    <s v=""/>
    <m/>
    <m/>
    <m/>
    <x v="0"/>
    <m/>
    <x v="0"/>
    <m/>
    <x v="0"/>
    <x v="0"/>
    <x v="25"/>
    <m/>
    <n v="237898.78"/>
    <x v="2"/>
    <m/>
    <m/>
    <x v="0"/>
    <m/>
    <m/>
    <m/>
    <m/>
    <m/>
    <m/>
    <m/>
    <m/>
    <m/>
    <m/>
    <m/>
    <m/>
    <m/>
    <m/>
    <x v="0"/>
    <m/>
    <n v="237898.78"/>
    <m/>
    <m/>
    <m/>
    <x v="62"/>
    <s v="Y"/>
    <m/>
    <m/>
    <m/>
    <m/>
    <n v="2613"/>
    <m/>
    <m/>
    <m/>
    <m/>
    <m/>
    <m/>
    <m/>
    <m/>
    <m/>
    <m/>
    <m/>
    <s v="Bali"/>
    <s v="includes $151,228.89 from AP 2613 (estab. Oct 2002). Exxon/Mobil provided  $70,000; Anne Bike sent to Australia."/>
  </r>
  <r>
    <m/>
    <n v="90"/>
    <x v="99"/>
    <d v="2002-10-01T00:00:00"/>
    <x v="7"/>
    <x v="14"/>
    <m/>
    <n v="2002"/>
    <n v="28"/>
    <s v="Europe/Asia"/>
    <x v="16"/>
    <m/>
    <x v="10"/>
    <s v="Fire"/>
    <s v="Urban Fire"/>
    <m/>
    <m/>
    <m/>
    <m/>
    <m/>
    <s v=""/>
    <m/>
    <m/>
    <m/>
    <x v="0"/>
    <m/>
    <x v="0"/>
    <m/>
    <x v="0"/>
    <x v="0"/>
    <x v="1"/>
    <m/>
    <n v="100000"/>
    <x v="0"/>
    <m/>
    <m/>
    <x v="0"/>
    <m/>
    <m/>
    <m/>
    <m/>
    <m/>
    <m/>
    <m/>
    <m/>
    <m/>
    <m/>
    <m/>
    <m/>
    <m/>
    <m/>
    <x v="0"/>
    <m/>
    <n v="100000"/>
    <m/>
    <m/>
    <n v="1000"/>
    <x v="5"/>
    <s v="Y"/>
    <m/>
    <m/>
    <m/>
    <m/>
    <n v="2608"/>
    <m/>
    <m/>
    <m/>
    <m/>
    <m/>
    <m/>
    <m/>
    <m/>
    <m/>
    <m/>
    <m/>
    <s v="International Trade Center - HCM City"/>
    <s v="SDP developed for Starr Foundation contribution for $100,000"/>
  </r>
  <r>
    <m/>
    <n v="91"/>
    <x v="72"/>
    <d v="2002-10-01T00:00:00"/>
    <x v="7"/>
    <x v="15"/>
    <m/>
    <n v="2002"/>
    <n v="29"/>
    <s v="LAC"/>
    <x v="52"/>
    <m/>
    <x v="5"/>
    <s v="Tropical Cyclone"/>
    <s v="Hurricane"/>
    <m/>
    <m/>
    <m/>
    <m/>
    <m/>
    <s v=""/>
    <m/>
    <m/>
    <m/>
    <x v="0"/>
    <m/>
    <x v="0"/>
    <n v="0"/>
    <x v="2"/>
    <x v="0"/>
    <x v="0"/>
    <m/>
    <n v="10000"/>
    <x v="0"/>
    <m/>
    <m/>
    <x v="0"/>
    <m/>
    <m/>
    <m/>
    <m/>
    <m/>
    <m/>
    <m/>
    <m/>
    <m/>
    <m/>
    <m/>
    <m/>
    <m/>
    <m/>
    <x v="0"/>
    <m/>
    <n v="10000"/>
    <m/>
    <m/>
    <n v="1000"/>
    <x v="6"/>
    <s v="Y"/>
    <m/>
    <m/>
    <m/>
    <m/>
    <n v="2898"/>
    <m/>
    <m/>
    <m/>
    <m/>
    <m/>
    <m/>
    <m/>
    <m/>
    <m/>
    <m/>
    <m/>
    <s v="Isidore / Lili"/>
    <s v="Toward the Federation Appeal"/>
  </r>
  <r>
    <m/>
    <n v="92"/>
    <x v="100"/>
    <d v="2002-10-01T00:00:00"/>
    <x v="7"/>
    <x v="16"/>
    <m/>
    <n v="2002"/>
    <n v="30"/>
    <s v="Africa"/>
    <x v="70"/>
    <m/>
    <x v="14"/>
    <s v="Food Insecurity"/>
    <s v="Food Insecurity"/>
    <m/>
    <m/>
    <m/>
    <m/>
    <m/>
    <s v=""/>
    <m/>
    <m/>
    <m/>
    <x v="0"/>
    <m/>
    <x v="0"/>
    <n v="0"/>
    <x v="3"/>
    <x v="0"/>
    <x v="0"/>
    <m/>
    <n v="25000"/>
    <x v="0"/>
    <m/>
    <m/>
    <x v="0"/>
    <m/>
    <m/>
    <m/>
    <m/>
    <m/>
    <m/>
    <m/>
    <m/>
    <m/>
    <m/>
    <m/>
    <m/>
    <m/>
    <m/>
    <x v="0"/>
    <m/>
    <n v="25000"/>
    <m/>
    <m/>
    <n v="2500"/>
    <x v="8"/>
    <s v="Y"/>
    <m/>
    <m/>
    <m/>
    <m/>
    <n v="2898"/>
    <m/>
    <m/>
    <m/>
    <m/>
    <m/>
    <m/>
    <m/>
    <m/>
    <m/>
    <m/>
    <m/>
    <m/>
    <s v="Toward the Federation Appeal for Southern Africa"/>
  </r>
  <r>
    <m/>
    <n v="93"/>
    <x v="7"/>
    <d v="2002-12-01T00:00:00"/>
    <x v="7"/>
    <x v="17"/>
    <m/>
    <n v="2002"/>
    <n v="31"/>
    <s v="LAC"/>
    <x v="3"/>
    <m/>
    <x v="2"/>
    <s v="General Floods"/>
    <s v="General Floods"/>
    <m/>
    <m/>
    <m/>
    <m/>
    <m/>
    <s v=""/>
    <m/>
    <m/>
    <m/>
    <x v="0"/>
    <m/>
    <x v="0"/>
    <m/>
    <x v="0"/>
    <x v="0"/>
    <x v="26"/>
    <m/>
    <n v="1000"/>
    <x v="0"/>
    <m/>
    <m/>
    <x v="0"/>
    <m/>
    <m/>
    <m/>
    <m/>
    <m/>
    <m/>
    <m/>
    <m/>
    <m/>
    <m/>
    <m/>
    <m/>
    <m/>
    <m/>
    <x v="0"/>
    <m/>
    <n v="1000"/>
    <m/>
    <m/>
    <m/>
    <x v="37"/>
    <s v="Y"/>
    <m/>
    <m/>
    <m/>
    <m/>
    <n v="2898"/>
    <m/>
    <m/>
    <m/>
    <m/>
    <m/>
    <m/>
    <m/>
    <m/>
    <m/>
    <m/>
    <m/>
    <m/>
    <s v="Cash donation to National Society"/>
  </r>
  <r>
    <m/>
    <n v="94"/>
    <x v="80"/>
    <d v="2002-12-01T00:00:00"/>
    <x v="7"/>
    <x v="18"/>
    <m/>
    <n v="2002"/>
    <n v="32"/>
    <s v="LAC"/>
    <x v="57"/>
    <m/>
    <x v="2"/>
    <s v="General Floods"/>
    <s v="General Floods"/>
    <m/>
    <m/>
    <m/>
    <m/>
    <m/>
    <s v=""/>
    <m/>
    <m/>
    <m/>
    <x v="0"/>
    <m/>
    <x v="0"/>
    <m/>
    <x v="0"/>
    <x v="0"/>
    <x v="27"/>
    <m/>
    <n v="1345"/>
    <x v="0"/>
    <m/>
    <m/>
    <x v="11"/>
    <m/>
    <m/>
    <m/>
    <m/>
    <m/>
    <m/>
    <m/>
    <m/>
    <m/>
    <m/>
    <m/>
    <m/>
    <m/>
    <m/>
    <x v="0"/>
    <m/>
    <n v="1345"/>
    <m/>
    <m/>
    <n v="675"/>
    <x v="63"/>
    <s v="Y"/>
    <m/>
    <m/>
    <m/>
    <m/>
    <n v="2898"/>
    <m/>
    <m/>
    <m/>
    <m/>
    <m/>
    <m/>
    <m/>
    <m/>
    <m/>
    <m/>
    <m/>
    <m/>
    <s v="675 jerry cans from pre-positioned stocks"/>
  </r>
  <r>
    <m/>
    <n v="95"/>
    <x v="101"/>
    <d v="2002-12-01T00:00:00"/>
    <x v="7"/>
    <x v="19"/>
    <m/>
    <n v="2002"/>
    <n v="33"/>
    <s v="Africa"/>
    <x v="58"/>
    <m/>
    <x v="11"/>
    <s v="Parasitic"/>
    <s v="Parasitic"/>
    <m/>
    <m/>
    <m/>
    <m/>
    <m/>
    <s v=""/>
    <m/>
    <m/>
    <m/>
    <x v="0"/>
    <m/>
    <x v="0"/>
    <m/>
    <x v="0"/>
    <x v="0"/>
    <x v="18"/>
    <m/>
    <n v="5000"/>
    <x v="0"/>
    <m/>
    <m/>
    <x v="0"/>
    <m/>
    <m/>
    <m/>
    <m/>
    <m/>
    <m/>
    <m/>
    <m/>
    <m/>
    <m/>
    <m/>
    <m/>
    <m/>
    <m/>
    <x v="0"/>
    <m/>
    <n v="5000"/>
    <m/>
    <m/>
    <n v="500"/>
    <x v="46"/>
    <s v="Y"/>
    <m/>
    <m/>
    <m/>
    <m/>
    <n v="2898"/>
    <m/>
    <m/>
    <m/>
    <m/>
    <m/>
    <m/>
    <m/>
    <m/>
    <m/>
    <m/>
    <m/>
    <s v="Malaria"/>
    <s v="Africa Region also donated $5,000 to KRC for a total of $10,000"/>
  </r>
  <r>
    <m/>
    <n v="96"/>
    <x v="102"/>
    <d v="2003-01-01T00:00:00"/>
    <x v="7"/>
    <x v="23"/>
    <m/>
    <n v="2003"/>
    <n v="1"/>
    <s v="Europe/Asia"/>
    <x v="71"/>
    <m/>
    <x v="5"/>
    <s v="Tropical Cyclone"/>
    <s v="Cyclone"/>
    <m/>
    <m/>
    <m/>
    <m/>
    <m/>
    <s v=""/>
    <m/>
    <m/>
    <m/>
    <x v="0"/>
    <m/>
    <x v="0"/>
    <n v="0"/>
    <x v="13"/>
    <x v="0"/>
    <x v="0"/>
    <m/>
    <n v="7242.1372799999999"/>
    <x v="0"/>
    <m/>
    <m/>
    <x v="0"/>
    <m/>
    <m/>
    <m/>
    <m/>
    <m/>
    <m/>
    <m/>
    <m/>
    <m/>
    <m/>
    <m/>
    <m/>
    <m/>
    <m/>
    <x v="0"/>
    <m/>
    <n v="7242.1372799999999"/>
    <m/>
    <m/>
    <m/>
    <x v="64"/>
    <s v="Y"/>
    <m/>
    <m/>
    <m/>
    <m/>
    <n v="2881"/>
    <m/>
    <m/>
    <m/>
    <m/>
    <m/>
    <m/>
    <m/>
    <m/>
    <m/>
    <m/>
    <m/>
    <s v="Zoe"/>
    <s v="FJD 14,369.32 for re-stocking Solomon Islands RC"/>
  </r>
  <r>
    <m/>
    <n v="97"/>
    <x v="0"/>
    <d v="2003-01-01T00:00:00"/>
    <x v="7"/>
    <x v="20"/>
    <m/>
    <n v="2003"/>
    <n v="2"/>
    <s v="LAC"/>
    <x v="2"/>
    <m/>
    <x v="3"/>
    <s v="Earthquake"/>
    <s v="Earthquake"/>
    <m/>
    <m/>
    <m/>
    <m/>
    <m/>
    <s v=""/>
    <m/>
    <m/>
    <m/>
    <x v="0"/>
    <m/>
    <x v="0"/>
    <m/>
    <x v="0"/>
    <x v="0"/>
    <x v="28"/>
    <m/>
    <n v="350000"/>
    <x v="5"/>
    <m/>
    <m/>
    <x v="0"/>
    <m/>
    <m/>
    <m/>
    <m/>
    <m/>
    <m/>
    <m/>
    <m/>
    <m/>
    <m/>
    <m/>
    <m/>
    <m/>
    <m/>
    <x v="0"/>
    <m/>
    <n v="350000"/>
    <m/>
    <m/>
    <n v="2000"/>
    <x v="65"/>
    <s v="Y"/>
    <m/>
    <m/>
    <m/>
    <m/>
    <n v="2690"/>
    <m/>
    <m/>
    <m/>
    <m/>
    <m/>
    <m/>
    <m/>
    <m/>
    <m/>
    <m/>
    <m/>
    <m/>
    <s v="$100,000 donation from Wells Fargo was programmed by ARC in partnership with Mexican Red Cross (MRC). Steve McAndrew responded and 2 IRT members (Jerry Lisenby and M-C Brien) were subsequently deployed to manage the operation. Toyota donated $250,000 to the relief effort as a strict pass-through to the Mexican Red Cross."/>
  </r>
  <r>
    <m/>
    <n v="97"/>
    <x v="0"/>
    <d v="2003-01-01T00:00:00"/>
    <x v="7"/>
    <x v="20"/>
    <m/>
    <n v="2003"/>
    <n v="2"/>
    <s v="LAC"/>
    <x v="2"/>
    <m/>
    <x v="3"/>
    <s v="Earthquake"/>
    <s v="Earthquake"/>
    <m/>
    <m/>
    <m/>
    <m/>
    <m/>
    <s v=""/>
    <m/>
    <m/>
    <m/>
    <x v="0"/>
    <m/>
    <x v="0"/>
    <m/>
    <x v="0"/>
    <x v="0"/>
    <x v="1"/>
    <m/>
    <n v="100000"/>
    <x v="0"/>
    <m/>
    <m/>
    <x v="0"/>
    <m/>
    <m/>
    <m/>
    <m/>
    <m/>
    <m/>
    <m/>
    <m/>
    <m/>
    <m/>
    <m/>
    <m/>
    <m/>
    <m/>
    <x v="0"/>
    <m/>
    <n v="100000"/>
    <m/>
    <m/>
    <m/>
    <x v="5"/>
    <s v="Y"/>
    <m/>
    <m/>
    <m/>
    <m/>
    <n v="2642"/>
    <m/>
    <m/>
    <m/>
    <m/>
    <m/>
    <m/>
    <m/>
    <m/>
    <m/>
    <m/>
    <m/>
    <m/>
    <s v="$100,000 from OFDA was programmed by ARC in partnership with Mexican Red Cross (MRC)."/>
  </r>
  <r>
    <m/>
    <n v="98"/>
    <x v="103"/>
    <d v="2003-02-01T00:00:00"/>
    <x v="7"/>
    <x v="21"/>
    <m/>
    <n v="2003"/>
    <n v="3"/>
    <s v="Europe/Asia"/>
    <x v="67"/>
    <m/>
    <x v="9"/>
    <s v="Rail"/>
    <s v="Fire"/>
    <m/>
    <m/>
    <m/>
    <m/>
    <m/>
    <s v=""/>
    <m/>
    <m/>
    <m/>
    <x v="0"/>
    <m/>
    <x v="0"/>
    <m/>
    <x v="0"/>
    <x v="0"/>
    <x v="2"/>
    <m/>
    <n v="10000"/>
    <x v="0"/>
    <m/>
    <m/>
    <x v="0"/>
    <m/>
    <m/>
    <m/>
    <m/>
    <m/>
    <m/>
    <m/>
    <m/>
    <m/>
    <m/>
    <m/>
    <m/>
    <m/>
    <m/>
    <x v="0"/>
    <m/>
    <n v="10000"/>
    <m/>
    <m/>
    <n v="1000"/>
    <x v="6"/>
    <s v="Y"/>
    <m/>
    <m/>
    <m/>
    <m/>
    <n v="2608"/>
    <m/>
    <m/>
    <m/>
    <m/>
    <m/>
    <m/>
    <m/>
    <m/>
    <m/>
    <m/>
    <m/>
    <s v="Taegu Subway fire"/>
    <s v="Alcoa passthrough"/>
  </r>
  <r>
    <m/>
    <n v="99"/>
    <x v="104"/>
    <d v="2003-02-01T00:00:00"/>
    <x v="7"/>
    <x v="22"/>
    <m/>
    <n v="2003"/>
    <n v="4"/>
    <s v="Europe/Asia"/>
    <x v="4"/>
    <m/>
    <x v="3"/>
    <s v="Earthquake"/>
    <s v="Earthquake"/>
    <m/>
    <m/>
    <m/>
    <m/>
    <m/>
    <s v=""/>
    <m/>
    <m/>
    <m/>
    <x v="0"/>
    <m/>
    <x v="0"/>
    <m/>
    <x v="0"/>
    <x v="0"/>
    <x v="7"/>
    <m/>
    <n v="50000"/>
    <x v="0"/>
    <m/>
    <m/>
    <x v="0"/>
    <m/>
    <m/>
    <m/>
    <m/>
    <m/>
    <m/>
    <m/>
    <m/>
    <m/>
    <m/>
    <m/>
    <m/>
    <m/>
    <m/>
    <x v="0"/>
    <m/>
    <n v="50000"/>
    <m/>
    <m/>
    <n v="1350"/>
    <x v="16"/>
    <s v="Y"/>
    <m/>
    <m/>
    <m/>
    <m/>
    <s v="0000"/>
    <m/>
    <m/>
    <m/>
    <m/>
    <m/>
    <m/>
    <m/>
    <m/>
    <m/>
    <m/>
    <m/>
    <m/>
    <s v="Altria passthrough"/>
  </r>
  <r>
    <m/>
    <n v="100"/>
    <x v="105"/>
    <d v="2003-03-01T00:00:00"/>
    <x v="7"/>
    <x v="24"/>
    <m/>
    <n v="2003"/>
    <n v="5"/>
    <s v="Europe/Asia"/>
    <x v="72"/>
    <m/>
    <x v="8"/>
    <s v="Conflict"/>
    <s v="Conflict"/>
    <m/>
    <m/>
    <m/>
    <m/>
    <m/>
    <s v=""/>
    <m/>
    <m/>
    <m/>
    <x v="0"/>
    <m/>
    <x v="0"/>
    <n v="1"/>
    <x v="1"/>
    <x v="2"/>
    <x v="0"/>
    <m/>
    <n v="200000"/>
    <x v="0"/>
    <m/>
    <m/>
    <x v="12"/>
    <m/>
    <m/>
    <n v="34200"/>
    <n v="30000"/>
    <m/>
    <m/>
    <m/>
    <m/>
    <m/>
    <m/>
    <m/>
    <m/>
    <m/>
    <m/>
    <x v="27"/>
    <m/>
    <n v="421694"/>
    <m/>
    <m/>
    <n v="54200"/>
    <x v="66"/>
    <s v="Y"/>
    <m/>
    <m/>
    <m/>
    <m/>
    <n v="2689"/>
    <m/>
    <m/>
    <m/>
    <m/>
    <m/>
    <m/>
    <m/>
    <m/>
    <m/>
    <m/>
    <m/>
    <s v="Iraq"/>
    <m/>
  </r>
  <r>
    <m/>
    <n v="100"/>
    <x v="106"/>
    <d v="2003-03-01T00:00:00"/>
    <x v="7"/>
    <x v="24"/>
    <m/>
    <n v="2003"/>
    <n v="5"/>
    <s v="Europe/Asia"/>
    <x v="59"/>
    <m/>
    <x v="8"/>
    <s v="Conflict"/>
    <s v="Conflict"/>
    <m/>
    <m/>
    <m/>
    <m/>
    <m/>
    <s v=""/>
    <m/>
    <m/>
    <m/>
    <x v="0"/>
    <m/>
    <x v="0"/>
    <m/>
    <x v="0"/>
    <x v="0"/>
    <x v="9"/>
    <m/>
    <n v="15000"/>
    <x v="0"/>
    <m/>
    <m/>
    <x v="0"/>
    <m/>
    <m/>
    <m/>
    <m/>
    <m/>
    <m/>
    <m/>
    <m/>
    <m/>
    <m/>
    <m/>
    <m/>
    <m/>
    <m/>
    <x v="0"/>
    <m/>
    <n v="15000"/>
    <m/>
    <m/>
    <n v="1000"/>
    <x v="18"/>
    <s v="Y"/>
    <m/>
    <m/>
    <m/>
    <m/>
    <n v="2689"/>
    <m/>
    <m/>
    <m/>
    <m/>
    <m/>
    <m/>
    <m/>
    <m/>
    <m/>
    <m/>
    <m/>
    <s v="Iraq"/>
    <s v="PMN for SARC"/>
  </r>
  <r>
    <m/>
    <n v="100"/>
    <x v="36"/>
    <d v="2003-03-01T00:00:00"/>
    <x v="7"/>
    <x v="24"/>
    <m/>
    <n v="2003"/>
    <n v="5"/>
    <s v="Europe/Asia"/>
    <x v="30"/>
    <m/>
    <x v="8"/>
    <s v="Conflict"/>
    <s v="Conflict"/>
    <m/>
    <m/>
    <m/>
    <m/>
    <m/>
    <s v=""/>
    <m/>
    <m/>
    <m/>
    <x v="0"/>
    <m/>
    <x v="0"/>
    <m/>
    <x v="0"/>
    <x v="0"/>
    <x v="9"/>
    <m/>
    <n v="15000"/>
    <x v="4"/>
    <m/>
    <m/>
    <x v="0"/>
    <m/>
    <m/>
    <m/>
    <m/>
    <m/>
    <m/>
    <m/>
    <m/>
    <m/>
    <m/>
    <m/>
    <m/>
    <m/>
    <m/>
    <x v="0"/>
    <n v="17812"/>
    <n v="32812"/>
    <m/>
    <m/>
    <n v="1000"/>
    <x v="67"/>
    <s v="Y"/>
    <m/>
    <m/>
    <m/>
    <m/>
    <n v="2689"/>
    <m/>
    <m/>
    <m/>
    <m/>
    <m/>
    <m/>
    <m/>
    <m/>
    <m/>
    <m/>
    <m/>
    <s v="Iraq"/>
    <s v="PMN for JRCS; Jensen &amp; Dmitryuk in Amman"/>
  </r>
  <r>
    <m/>
    <n v="100"/>
    <x v="107"/>
    <d v="2003-03-01T00:00:00"/>
    <x v="7"/>
    <x v="24"/>
    <m/>
    <n v="2003"/>
    <n v="5"/>
    <s v="Europe/Asia"/>
    <x v="5"/>
    <m/>
    <x v="8"/>
    <s v="Conflict"/>
    <s v="Conflict"/>
    <m/>
    <m/>
    <m/>
    <m/>
    <m/>
    <s v=""/>
    <m/>
    <m/>
    <m/>
    <x v="0"/>
    <m/>
    <x v="0"/>
    <m/>
    <x v="0"/>
    <x v="0"/>
    <x v="0"/>
    <m/>
    <n v="0"/>
    <x v="2"/>
    <m/>
    <m/>
    <x v="0"/>
    <m/>
    <m/>
    <m/>
    <m/>
    <m/>
    <m/>
    <m/>
    <m/>
    <m/>
    <m/>
    <m/>
    <m/>
    <m/>
    <m/>
    <x v="0"/>
    <n v="17812"/>
    <n v="17812"/>
    <m/>
    <m/>
    <m/>
    <x v="68"/>
    <s v="Y"/>
    <m/>
    <m/>
    <m/>
    <m/>
    <n v="2689"/>
    <m/>
    <m/>
    <m/>
    <m/>
    <m/>
    <m/>
    <m/>
    <m/>
    <m/>
    <m/>
    <m/>
    <s v="Iraq"/>
    <s v="McAndrew in Ankara"/>
  </r>
  <r>
    <m/>
    <n v="101"/>
    <x v="108"/>
    <d v="2003-05-01T00:00:00"/>
    <x v="7"/>
    <x v="25"/>
    <m/>
    <n v="2003"/>
    <n v="6"/>
    <s v="LAC"/>
    <x v="73"/>
    <m/>
    <x v="2"/>
    <s v="General Floods"/>
    <s v="General Floods"/>
    <m/>
    <m/>
    <m/>
    <m/>
    <m/>
    <s v=""/>
    <m/>
    <m/>
    <m/>
    <x v="0"/>
    <m/>
    <x v="0"/>
    <n v="0"/>
    <x v="14"/>
    <x v="0"/>
    <x v="0"/>
    <m/>
    <n v="15000"/>
    <x v="2"/>
    <m/>
    <m/>
    <x v="0"/>
    <m/>
    <m/>
    <m/>
    <m/>
    <m/>
    <m/>
    <m/>
    <m/>
    <m/>
    <m/>
    <m/>
    <m/>
    <m/>
    <m/>
    <x v="0"/>
    <m/>
    <n v="15000"/>
    <m/>
    <m/>
    <n v="1500"/>
    <x v="18"/>
    <s v="Y"/>
    <m/>
    <m/>
    <m/>
    <m/>
    <n v="2898"/>
    <m/>
    <m/>
    <m/>
    <m/>
    <m/>
    <m/>
    <m/>
    <m/>
    <m/>
    <m/>
    <m/>
    <m/>
    <s v="Rob McKenney from PADRU"/>
  </r>
  <r>
    <m/>
    <n v="102"/>
    <x v="9"/>
    <d v="2003-05-01T00:00:00"/>
    <x v="7"/>
    <x v="26"/>
    <m/>
    <n v="2003"/>
    <n v="7"/>
    <s v="Europe/Asia"/>
    <x v="5"/>
    <m/>
    <x v="3"/>
    <s v="Earthquake"/>
    <s v="Earthquake"/>
    <m/>
    <m/>
    <m/>
    <m/>
    <m/>
    <s v=""/>
    <m/>
    <m/>
    <m/>
    <x v="0"/>
    <m/>
    <x v="0"/>
    <m/>
    <x v="0"/>
    <x v="0"/>
    <x v="0"/>
    <m/>
    <n v="0"/>
    <x v="4"/>
    <m/>
    <m/>
    <x v="13"/>
    <m/>
    <m/>
    <m/>
    <m/>
    <m/>
    <m/>
    <m/>
    <m/>
    <m/>
    <n v="9000"/>
    <m/>
    <m/>
    <m/>
    <m/>
    <x v="28"/>
    <m/>
    <n v="331380"/>
    <m/>
    <m/>
    <n v="45000"/>
    <x v="69"/>
    <s v="Y"/>
    <m/>
    <m/>
    <m/>
    <m/>
    <n v="2898"/>
    <m/>
    <m/>
    <m/>
    <m/>
    <m/>
    <m/>
    <m/>
    <m/>
    <m/>
    <m/>
    <m/>
    <s v="Bingol"/>
    <s v="Food Parcels paid for by Region; IRT Kelly Hurd sent to support TRCS distribution; IRT R. Chapman deployed to support TRCS"/>
  </r>
  <r>
    <m/>
    <n v="103"/>
    <x v="109"/>
    <d v="2003-05-01T00:00:00"/>
    <x v="7"/>
    <x v="27"/>
    <m/>
    <n v="2003"/>
    <n v="8"/>
    <s v="Europe/Asia"/>
    <x v="4"/>
    <m/>
    <x v="11"/>
    <s v="Viral"/>
    <s v="Viral"/>
    <m/>
    <m/>
    <m/>
    <m/>
    <m/>
    <s v=""/>
    <m/>
    <m/>
    <m/>
    <x v="0"/>
    <m/>
    <x v="0"/>
    <m/>
    <x v="0"/>
    <x v="0"/>
    <x v="29"/>
    <m/>
    <n v="32500"/>
    <x v="0"/>
    <m/>
    <m/>
    <x v="0"/>
    <m/>
    <m/>
    <m/>
    <m/>
    <m/>
    <m/>
    <m/>
    <m/>
    <m/>
    <m/>
    <m/>
    <m/>
    <m/>
    <m/>
    <x v="0"/>
    <m/>
    <n v="32500"/>
    <m/>
    <m/>
    <n v="59000"/>
    <x v="70"/>
    <s v="Y"/>
    <m/>
    <m/>
    <m/>
    <m/>
    <n v="2691"/>
    <m/>
    <m/>
    <m/>
    <m/>
    <m/>
    <m/>
    <m/>
    <m/>
    <m/>
    <m/>
    <m/>
    <s v="SARS"/>
    <s v="AMEX: $25,000 + $7,500"/>
  </r>
  <r>
    <m/>
    <n v="103"/>
    <x v="109"/>
    <d v="2003-05-01T00:00:00"/>
    <x v="7"/>
    <x v="27"/>
    <m/>
    <n v="2003"/>
    <n v="8"/>
    <s v="Europe/Asia"/>
    <x v="4"/>
    <m/>
    <x v="11"/>
    <s v="Viral"/>
    <s v="Viral"/>
    <m/>
    <m/>
    <m/>
    <m/>
    <m/>
    <s v=""/>
    <m/>
    <m/>
    <m/>
    <x v="0"/>
    <m/>
    <x v="0"/>
    <m/>
    <x v="0"/>
    <x v="0"/>
    <x v="30"/>
    <m/>
    <n v="370642"/>
    <x v="0"/>
    <m/>
    <m/>
    <x v="0"/>
    <m/>
    <m/>
    <m/>
    <m/>
    <m/>
    <m/>
    <m/>
    <m/>
    <m/>
    <m/>
    <m/>
    <m/>
    <m/>
    <m/>
    <x v="0"/>
    <m/>
    <n v="370642"/>
    <m/>
    <m/>
    <n v="15000"/>
    <x v="71"/>
    <s v="Y"/>
    <m/>
    <m/>
    <m/>
    <m/>
    <s v="0000"/>
    <m/>
    <m/>
    <m/>
    <m/>
    <m/>
    <m/>
    <m/>
    <m/>
    <m/>
    <m/>
    <m/>
    <s v="SARS"/>
    <s v="Pfizer: $200,000; JP Morgan/Chase: $128,000; Microsoft: $42,642"/>
  </r>
  <r>
    <m/>
    <n v="103"/>
    <x v="110"/>
    <d v="2003-05-01T00:00:00"/>
    <x v="7"/>
    <x v="27"/>
    <m/>
    <n v="2003"/>
    <n v="8"/>
    <s v="Europe/Asia"/>
    <x v="74"/>
    <m/>
    <x v="11"/>
    <s v="Viral"/>
    <s v="Viral"/>
    <m/>
    <m/>
    <m/>
    <m/>
    <m/>
    <s v=""/>
    <m/>
    <m/>
    <m/>
    <x v="0"/>
    <m/>
    <x v="0"/>
    <m/>
    <x v="0"/>
    <x v="0"/>
    <x v="31"/>
    <m/>
    <n v="60000"/>
    <x v="0"/>
    <m/>
    <m/>
    <x v="0"/>
    <m/>
    <m/>
    <m/>
    <m/>
    <m/>
    <m/>
    <m/>
    <m/>
    <m/>
    <m/>
    <m/>
    <m/>
    <m/>
    <m/>
    <x v="0"/>
    <m/>
    <n v="60000"/>
    <m/>
    <m/>
    <n v="72500"/>
    <x v="45"/>
    <s v="Y"/>
    <m/>
    <m/>
    <m/>
    <m/>
    <n v="2060"/>
    <m/>
    <m/>
    <m/>
    <m/>
    <m/>
    <m/>
    <m/>
    <m/>
    <m/>
    <m/>
    <m/>
    <s v="SARS"/>
    <s v="$25,000 from AMEX and $35,000 from JP Morgan Chase (both) programmed against total invoice of $97,923.15 for 1.2 million alcohol swabs and 435,000 surgical masks"/>
  </r>
  <r>
    <m/>
    <n v="104"/>
    <x v="111"/>
    <d v="2003-05-01T00:00:00"/>
    <x v="7"/>
    <x v="28"/>
    <m/>
    <n v="2003"/>
    <n v="9"/>
    <s v="Europe/Asia"/>
    <x v="34"/>
    <m/>
    <x v="2"/>
    <s v="General Floods"/>
    <s v="General Floods"/>
    <m/>
    <m/>
    <m/>
    <m/>
    <m/>
    <s v=""/>
    <m/>
    <m/>
    <m/>
    <x v="0"/>
    <m/>
    <x v="0"/>
    <n v="0"/>
    <x v="15"/>
    <x v="0"/>
    <x v="0"/>
    <m/>
    <n v="21400"/>
    <x v="0"/>
    <m/>
    <m/>
    <x v="0"/>
    <m/>
    <m/>
    <m/>
    <m/>
    <m/>
    <m/>
    <m/>
    <m/>
    <m/>
    <m/>
    <m/>
    <m/>
    <m/>
    <m/>
    <x v="0"/>
    <m/>
    <n v="21400"/>
    <m/>
    <m/>
    <n v="2862.1931568439049"/>
    <x v="72"/>
    <s v="Y"/>
    <m/>
    <m/>
    <m/>
    <m/>
    <n v="2692"/>
    <m/>
    <m/>
    <m/>
    <m/>
    <m/>
    <m/>
    <m/>
    <m/>
    <m/>
    <m/>
    <m/>
    <m/>
    <s v="Funds provided through Citigroup's ADGP; Federation Appeal for $934,598 / 125,000 beneficiaries / 3 months"/>
  </r>
  <r>
    <m/>
    <n v="105"/>
    <x v="80"/>
    <d v="2003-07-01T00:00:00"/>
    <x v="8"/>
    <x v="1"/>
    <m/>
    <n v="2003"/>
    <n v="10"/>
    <s v="LAC"/>
    <x v="57"/>
    <m/>
    <x v="2"/>
    <s v="General Floods"/>
    <s v="General Floods"/>
    <m/>
    <m/>
    <m/>
    <m/>
    <m/>
    <s v=""/>
    <m/>
    <m/>
    <m/>
    <x v="0"/>
    <m/>
    <x v="0"/>
    <m/>
    <x v="0"/>
    <x v="0"/>
    <x v="0"/>
    <m/>
    <n v="0"/>
    <x v="2"/>
    <m/>
    <m/>
    <x v="14"/>
    <m/>
    <n v="500"/>
    <m/>
    <m/>
    <m/>
    <m/>
    <m/>
    <n v="6000"/>
    <m/>
    <m/>
    <m/>
    <m/>
    <m/>
    <m/>
    <x v="29"/>
    <m/>
    <n v="16700"/>
    <m/>
    <m/>
    <n v="3000"/>
    <x v="73"/>
    <s v="Y"/>
    <m/>
    <m/>
    <m/>
    <m/>
    <n v="2898"/>
    <m/>
    <m/>
    <m/>
    <m/>
    <m/>
    <m/>
    <m/>
    <m/>
    <m/>
    <m/>
    <m/>
    <m/>
    <s v="hygiene kits (value $1,770) and bedsheets (500 packets of 12 at a total value of $15,000) from PADRU as part of a joint ARC/Federation/Panamanian Red Cross operation. Steve McAndrew was deployed from PADRU to oversee the distributions"/>
  </r>
  <r>
    <m/>
    <n v="106"/>
    <x v="112"/>
    <d v="2003-09-01T00:00:00"/>
    <x v="8"/>
    <x v="2"/>
    <m/>
    <n v="2003"/>
    <n v="11"/>
    <s v="North America"/>
    <x v="40"/>
    <m/>
    <x v="15"/>
    <s v="Forest Fire"/>
    <s v="Fire"/>
    <m/>
    <m/>
    <m/>
    <m/>
    <m/>
    <s v=""/>
    <m/>
    <m/>
    <m/>
    <x v="0"/>
    <m/>
    <x v="0"/>
    <m/>
    <x v="0"/>
    <x v="0"/>
    <x v="2"/>
    <m/>
    <n v="10000"/>
    <x v="0"/>
    <m/>
    <m/>
    <x v="0"/>
    <m/>
    <m/>
    <m/>
    <m/>
    <m/>
    <m/>
    <m/>
    <m/>
    <m/>
    <m/>
    <m/>
    <m/>
    <m/>
    <m/>
    <x v="0"/>
    <m/>
    <n v="10000"/>
    <m/>
    <m/>
    <n v="250"/>
    <x v="6"/>
    <s v="N"/>
    <m/>
    <m/>
    <m/>
    <m/>
    <n v="2099"/>
    <m/>
    <m/>
    <m/>
    <m/>
    <m/>
    <m/>
    <m/>
    <m/>
    <m/>
    <m/>
    <m/>
    <m/>
    <s v="$10,000 donation from Citigroup for forest fires in British Columbia (Citigroup $ kept in 2099 per a prior agreement)"/>
  </r>
  <r>
    <m/>
    <n v="107"/>
    <x v="113"/>
    <d v="2003-10-01T00:00:00"/>
    <x v="8"/>
    <x v="3"/>
    <m/>
    <n v="2003"/>
    <n v="12"/>
    <s v="LAC"/>
    <x v="75"/>
    <m/>
    <x v="3"/>
    <s v="Earthquake"/>
    <s v="Earthquake"/>
    <m/>
    <m/>
    <m/>
    <m/>
    <m/>
    <s v=""/>
    <m/>
    <m/>
    <m/>
    <x v="0"/>
    <m/>
    <x v="0"/>
    <m/>
    <x v="0"/>
    <x v="0"/>
    <x v="0"/>
    <m/>
    <n v="0"/>
    <x v="0"/>
    <m/>
    <m/>
    <x v="0"/>
    <m/>
    <m/>
    <m/>
    <m/>
    <m/>
    <m/>
    <m/>
    <m/>
    <m/>
    <m/>
    <m/>
    <m/>
    <m/>
    <m/>
    <x v="11"/>
    <m/>
    <n v="25000"/>
    <m/>
    <m/>
    <n v="100"/>
    <x v="8"/>
    <s v="Y"/>
    <m/>
    <m/>
    <m/>
    <m/>
    <n v="2694"/>
    <m/>
    <m/>
    <m/>
    <m/>
    <m/>
    <m/>
    <m/>
    <m/>
    <m/>
    <m/>
    <m/>
    <s v="Puerto Plata"/>
    <s v="$25,000 from Verizon (AP is shared with November 2003 floods in Cibao / Montecristi)"/>
  </r>
  <r>
    <m/>
    <n v="108"/>
    <x v="114"/>
    <d v="2003-05-01T00:00:00"/>
    <x v="8"/>
    <x v="4"/>
    <m/>
    <n v="2003"/>
    <n v="13"/>
    <s v="Africa"/>
    <x v="76"/>
    <m/>
    <x v="3"/>
    <s v="Earthquake"/>
    <s v="Earthquake"/>
    <m/>
    <m/>
    <m/>
    <m/>
    <m/>
    <s v=""/>
    <m/>
    <m/>
    <m/>
    <x v="0"/>
    <m/>
    <x v="0"/>
    <m/>
    <x v="0"/>
    <x v="0"/>
    <x v="0"/>
    <m/>
    <n v="0"/>
    <x v="0"/>
    <m/>
    <m/>
    <x v="6"/>
    <m/>
    <n v="10000"/>
    <m/>
    <m/>
    <m/>
    <m/>
    <m/>
    <m/>
    <m/>
    <m/>
    <m/>
    <m/>
    <m/>
    <m/>
    <x v="30"/>
    <n v="28670"/>
    <n v="65870"/>
    <m/>
    <m/>
    <n v="50000"/>
    <x v="74"/>
    <s v="Y"/>
    <m/>
    <m/>
    <m/>
    <m/>
    <n v="2693"/>
    <m/>
    <m/>
    <m/>
    <m/>
    <m/>
    <m/>
    <m/>
    <m/>
    <m/>
    <m/>
    <m/>
    <s v="RESPONSE IN FY 04"/>
    <s v="hygiene kits ($3.72 each) ex Bulgaria; $8,470 for transport, $1,200 demurrage, $19,000 to remove washing powder in Greece"/>
  </r>
  <r>
    <m/>
    <n v="109"/>
    <x v="115"/>
    <d v="2003-08-01T00:00:00"/>
    <x v="8"/>
    <x v="5"/>
    <m/>
    <n v="2003"/>
    <n v="14"/>
    <s v="Africa"/>
    <x v="77"/>
    <m/>
    <x v="8"/>
    <s v="Conflict"/>
    <s v="Conflict"/>
    <m/>
    <m/>
    <m/>
    <m/>
    <m/>
    <s v=""/>
    <m/>
    <m/>
    <m/>
    <x v="0"/>
    <m/>
    <x v="0"/>
    <n v="0"/>
    <x v="16"/>
    <x v="0"/>
    <x v="0"/>
    <m/>
    <n v="35027"/>
    <x v="0"/>
    <m/>
    <m/>
    <x v="0"/>
    <m/>
    <m/>
    <m/>
    <m/>
    <m/>
    <m/>
    <m/>
    <m/>
    <m/>
    <m/>
    <m/>
    <m/>
    <m/>
    <m/>
    <x v="0"/>
    <m/>
    <n v="35027"/>
    <m/>
    <m/>
    <n v="2500"/>
    <x v="75"/>
    <s v="Y"/>
    <m/>
    <m/>
    <m/>
    <m/>
    <n v="2631"/>
    <m/>
    <m/>
    <m/>
    <m/>
    <m/>
    <m/>
    <m/>
    <m/>
    <m/>
    <m/>
    <m/>
    <m/>
    <s v="Funds from Region's budget previously sent to Geneva re-allocated  - signed PMN returned to IDRU in October 2003"/>
  </r>
  <r>
    <m/>
    <n v="110"/>
    <x v="6"/>
    <d v="2003-09-01T00:00:00"/>
    <x v="8"/>
    <x v="6"/>
    <m/>
    <n v="2003"/>
    <n v="15"/>
    <s v="LAC"/>
    <x v="2"/>
    <m/>
    <x v="2"/>
    <s v="General Floods"/>
    <s v="General Floods"/>
    <m/>
    <m/>
    <m/>
    <m/>
    <m/>
    <s v=""/>
    <m/>
    <m/>
    <m/>
    <x v="0"/>
    <m/>
    <x v="0"/>
    <m/>
    <x v="0"/>
    <x v="0"/>
    <x v="32"/>
    <m/>
    <n v="10500"/>
    <x v="4"/>
    <m/>
    <m/>
    <x v="0"/>
    <m/>
    <m/>
    <m/>
    <m/>
    <m/>
    <m/>
    <m/>
    <m/>
    <m/>
    <m/>
    <m/>
    <m/>
    <m/>
    <m/>
    <x v="0"/>
    <m/>
    <n v="10500"/>
    <m/>
    <m/>
    <n v="3000"/>
    <x v="76"/>
    <s v="Y"/>
    <m/>
    <m/>
    <m/>
    <m/>
    <n v="2688"/>
    <m/>
    <m/>
    <m/>
    <m/>
    <m/>
    <m/>
    <m/>
    <m/>
    <m/>
    <m/>
    <m/>
    <m/>
    <s v="Hurricane Kenna funds ($11,636.16 minus 11.15%); Christine Strater and Nate Cooper deployed 5 October 2003"/>
  </r>
  <r>
    <m/>
    <n v="111"/>
    <x v="95"/>
    <d v="2003-10-01T00:00:00"/>
    <x v="8"/>
    <x v="7"/>
    <m/>
    <n v="2003"/>
    <n v="16"/>
    <s v="Europe/Asia"/>
    <x v="67"/>
    <m/>
    <x v="5"/>
    <s v="Tropical Cyclone"/>
    <s v="Typhoon"/>
    <m/>
    <m/>
    <m/>
    <m/>
    <m/>
    <s v=""/>
    <m/>
    <m/>
    <m/>
    <x v="0"/>
    <m/>
    <x v="0"/>
    <m/>
    <x v="0"/>
    <x v="0"/>
    <x v="2"/>
    <m/>
    <n v="10000"/>
    <x v="0"/>
    <m/>
    <m/>
    <x v="0"/>
    <m/>
    <m/>
    <m/>
    <m/>
    <m/>
    <m/>
    <m/>
    <m/>
    <m/>
    <m/>
    <m/>
    <m/>
    <m/>
    <m/>
    <x v="0"/>
    <m/>
    <n v="10000"/>
    <m/>
    <m/>
    <m/>
    <x v="6"/>
    <s v="Y"/>
    <m/>
    <m/>
    <m/>
    <m/>
    <n v="2647"/>
    <m/>
    <m/>
    <m/>
    <m/>
    <m/>
    <m/>
    <m/>
    <m/>
    <m/>
    <m/>
    <m/>
    <s v="Maemi"/>
    <s v="Alcoa funds for re-stocking KNRC warehouse"/>
  </r>
  <r>
    <m/>
    <n v="112"/>
    <x v="116"/>
    <d v="2003-11-01T00:00:00"/>
    <x v="8"/>
    <x v="8"/>
    <m/>
    <n v="2003"/>
    <n v="17"/>
    <s v="LAC"/>
    <x v="75"/>
    <m/>
    <x v="2"/>
    <s v="General Floods"/>
    <s v="General Floods"/>
    <m/>
    <m/>
    <m/>
    <m/>
    <m/>
    <s v=""/>
    <m/>
    <m/>
    <m/>
    <x v="0"/>
    <m/>
    <x v="0"/>
    <m/>
    <x v="0"/>
    <x v="0"/>
    <x v="0"/>
    <m/>
    <n v="0"/>
    <x v="5"/>
    <s v="Relief ERU"/>
    <m/>
    <x v="0"/>
    <m/>
    <m/>
    <m/>
    <m/>
    <m/>
    <m/>
    <m/>
    <m/>
    <m/>
    <m/>
    <m/>
    <m/>
    <m/>
    <m/>
    <x v="31"/>
    <m/>
    <n v="50000"/>
    <m/>
    <m/>
    <n v="500"/>
    <x v="16"/>
    <s v="Y"/>
    <m/>
    <m/>
    <m/>
    <m/>
    <n v="2618"/>
    <m/>
    <m/>
    <m/>
    <m/>
    <m/>
    <m/>
    <m/>
    <m/>
    <m/>
    <m/>
    <m/>
    <s v="Cibao / Montecristi"/>
    <s v="$50,000 from OFDA; Greenhalgh, McAndrew and Chapman deployed in November 2003 on Relief ERU Pilot"/>
  </r>
  <r>
    <m/>
    <n v="112"/>
    <x v="116"/>
    <d v="2003-11-01T00:00:00"/>
    <x v="8"/>
    <x v="8"/>
    <m/>
    <n v="2003"/>
    <n v="17"/>
    <s v="LAC"/>
    <x v="75"/>
    <m/>
    <x v="2"/>
    <s v="General Floods"/>
    <s v="General Floods"/>
    <m/>
    <m/>
    <m/>
    <m/>
    <m/>
    <s v=""/>
    <m/>
    <m/>
    <m/>
    <x v="0"/>
    <m/>
    <x v="0"/>
    <m/>
    <x v="0"/>
    <x v="0"/>
    <x v="0"/>
    <m/>
    <n v="0"/>
    <x v="0"/>
    <m/>
    <m/>
    <x v="0"/>
    <m/>
    <m/>
    <m/>
    <m/>
    <m/>
    <m/>
    <m/>
    <m/>
    <m/>
    <m/>
    <m/>
    <m/>
    <m/>
    <m/>
    <x v="0"/>
    <m/>
    <n v="0"/>
    <m/>
    <m/>
    <m/>
    <x v="7"/>
    <s v="Y"/>
    <m/>
    <m/>
    <m/>
    <m/>
    <n v="2694"/>
    <m/>
    <m/>
    <m/>
    <m/>
    <m/>
    <m/>
    <m/>
    <m/>
    <m/>
    <m/>
    <m/>
    <s v="Cibao / Montecristi"/>
    <s v="(AP is shared with October 2003 Earthquake in Puerto Plata)"/>
  </r>
  <r>
    <m/>
    <n v="113"/>
    <x v="117"/>
    <d v="2003-12-01T00:00:00"/>
    <x v="8"/>
    <x v="9"/>
    <m/>
    <n v="2003"/>
    <n v="18"/>
    <s v="Europe/Asia"/>
    <x v="49"/>
    <m/>
    <x v="3"/>
    <s v="Earthquake"/>
    <s v="Earthquake"/>
    <m/>
    <m/>
    <m/>
    <m/>
    <m/>
    <s v=""/>
    <m/>
    <m/>
    <m/>
    <x v="0"/>
    <m/>
    <x v="0"/>
    <n v="1"/>
    <x v="17"/>
    <x v="0"/>
    <x v="0"/>
    <m/>
    <n v="200000"/>
    <x v="16"/>
    <s v="Relief ERU"/>
    <m/>
    <x v="15"/>
    <m/>
    <n v="45000"/>
    <n v="27000"/>
    <m/>
    <m/>
    <n v="490"/>
    <m/>
    <m/>
    <m/>
    <m/>
    <m/>
    <m/>
    <m/>
    <m/>
    <x v="32"/>
    <n v="150038.97999999998"/>
    <n v="1175801.98"/>
    <m/>
    <m/>
    <n v="225000"/>
    <x v="77"/>
    <s v="Y"/>
    <m/>
    <m/>
    <m/>
    <m/>
    <n v="2019"/>
    <m/>
    <m/>
    <m/>
    <m/>
    <m/>
    <m/>
    <m/>
    <m/>
    <m/>
    <m/>
    <m/>
    <s v="Bam"/>
    <s v="Relief ERU deployed: McAndrew (TL), Stephenson, Stops, Parry, Strater &amp; Swadzka.  $200,000 PMN sent to Federation; Commodities provide: 10,000 towels and 20,000 nail clippers"/>
  </r>
  <r>
    <m/>
    <n v="113"/>
    <x v="117"/>
    <d v="2003-12-01T00:00:00"/>
    <x v="8"/>
    <x v="9"/>
    <m/>
    <n v="2003"/>
    <n v="18"/>
    <s v="Europe/Asia"/>
    <x v="49"/>
    <m/>
    <x v="3"/>
    <s v="Earthquake"/>
    <s v="Earthquake"/>
    <m/>
    <m/>
    <m/>
    <m/>
    <m/>
    <s v=""/>
    <m/>
    <m/>
    <m/>
    <x v="0"/>
    <m/>
    <x v="0"/>
    <m/>
    <x v="0"/>
    <x v="0"/>
    <x v="0"/>
    <m/>
    <n v="0"/>
    <x v="0"/>
    <m/>
    <m/>
    <x v="16"/>
    <m/>
    <m/>
    <m/>
    <m/>
    <m/>
    <n v="11"/>
    <m/>
    <m/>
    <m/>
    <m/>
    <m/>
    <m/>
    <m/>
    <m/>
    <x v="33"/>
    <m/>
    <n v="19975"/>
    <m/>
    <m/>
    <n v="440"/>
    <x v="78"/>
    <s v="Y"/>
    <m/>
    <m/>
    <m/>
    <m/>
    <n v="2616"/>
    <m/>
    <m/>
    <m/>
    <m/>
    <m/>
    <m/>
    <m/>
    <m/>
    <m/>
    <m/>
    <m/>
    <s v="Bam"/>
    <s v="Grant from Reuters / AlertNet"/>
  </r>
  <r>
    <m/>
    <n v="113"/>
    <x v="117"/>
    <d v="2003-12-01T00:00:00"/>
    <x v="8"/>
    <x v="9"/>
    <m/>
    <n v="2003"/>
    <n v="18"/>
    <s v="Europe/Asia"/>
    <x v="49"/>
    <m/>
    <x v="3"/>
    <s v="Earthquake"/>
    <s v="Earthquake"/>
    <m/>
    <m/>
    <m/>
    <m/>
    <m/>
    <s v=""/>
    <m/>
    <m/>
    <m/>
    <x v="0"/>
    <m/>
    <x v="0"/>
    <m/>
    <x v="0"/>
    <x v="0"/>
    <x v="0"/>
    <m/>
    <n v="0"/>
    <x v="0"/>
    <m/>
    <m/>
    <x v="0"/>
    <m/>
    <m/>
    <m/>
    <m/>
    <m/>
    <m/>
    <m/>
    <m/>
    <m/>
    <m/>
    <m/>
    <m/>
    <m/>
    <m/>
    <x v="34"/>
    <m/>
    <n v="60000"/>
    <m/>
    <m/>
    <m/>
    <x v="45"/>
    <s v="Y"/>
    <m/>
    <m/>
    <m/>
    <m/>
    <n v="2793"/>
    <m/>
    <m/>
    <m/>
    <m/>
    <m/>
    <m/>
    <m/>
    <m/>
    <m/>
    <m/>
    <m/>
    <s v="Bam"/>
    <s v="Grant from Semnani Foundation."/>
  </r>
  <r>
    <m/>
    <n v="114"/>
    <x v="118"/>
    <d v="2003-12-01T00:00:00"/>
    <x v="8"/>
    <x v="10"/>
    <m/>
    <n v="2003"/>
    <n v="19"/>
    <s v="LAC"/>
    <x v="57"/>
    <m/>
    <x v="3"/>
    <s v="Earthquake"/>
    <s v="Earthquake"/>
    <m/>
    <m/>
    <m/>
    <m/>
    <m/>
    <s v=""/>
    <m/>
    <m/>
    <m/>
    <x v="0"/>
    <m/>
    <x v="0"/>
    <m/>
    <x v="0"/>
    <x v="0"/>
    <x v="0"/>
    <m/>
    <n v="0"/>
    <x v="0"/>
    <m/>
    <m/>
    <x v="17"/>
    <m/>
    <m/>
    <n v="1000"/>
    <m/>
    <m/>
    <m/>
    <m/>
    <n v="1100"/>
    <m/>
    <m/>
    <m/>
    <m/>
    <m/>
    <m/>
    <x v="35"/>
    <m/>
    <n v="6178"/>
    <m/>
    <m/>
    <n v="550"/>
    <x v="79"/>
    <s v="Y"/>
    <m/>
    <m/>
    <m/>
    <m/>
    <n v="2898"/>
    <m/>
    <m/>
    <m/>
    <m/>
    <m/>
    <m/>
    <m/>
    <m/>
    <m/>
    <m/>
    <m/>
    <m/>
    <s v="Supplies to Panama RC"/>
  </r>
  <r>
    <m/>
    <n v="115"/>
    <x v="119"/>
    <d v="2004-04-01T00:00:00"/>
    <x v="8"/>
    <x v="11"/>
    <m/>
    <n v="2004"/>
    <n v="1"/>
    <s v="Europe/Asia"/>
    <x v="78"/>
    <m/>
    <x v="9"/>
    <s v="Rail"/>
    <s v="Explosion"/>
    <m/>
    <m/>
    <m/>
    <m/>
    <m/>
    <s v=""/>
    <m/>
    <m/>
    <m/>
    <x v="0"/>
    <m/>
    <x v="0"/>
    <n v="1"/>
    <x v="18"/>
    <x v="0"/>
    <x v="0"/>
    <m/>
    <n v="110000"/>
    <x v="0"/>
    <m/>
    <m/>
    <x v="0"/>
    <m/>
    <m/>
    <m/>
    <m/>
    <m/>
    <m/>
    <m/>
    <m/>
    <m/>
    <m/>
    <m/>
    <m/>
    <m/>
    <m/>
    <x v="0"/>
    <m/>
    <n v="110000"/>
    <m/>
    <m/>
    <n v="3300"/>
    <x v="80"/>
    <s v="Y"/>
    <m/>
    <m/>
    <m/>
    <m/>
    <s v="2861 / 2790"/>
    <m/>
    <m/>
    <m/>
    <m/>
    <m/>
    <m/>
    <m/>
    <m/>
    <m/>
    <m/>
    <m/>
    <s v="Ryongchon"/>
    <s v="CASH: $10,000  from 2861 funds from Asia Region ; $100,000 from OFDA / 2790;"/>
  </r>
  <r>
    <m/>
    <n v="116"/>
    <x v="116"/>
    <d v="2004-05-01T00:00:00"/>
    <x v="8"/>
    <x v="12"/>
    <m/>
    <n v="2004"/>
    <n v="2"/>
    <s v="LAC"/>
    <x v="75"/>
    <m/>
    <x v="2"/>
    <s v="General Floods"/>
    <s v="General Floods"/>
    <m/>
    <m/>
    <m/>
    <m/>
    <m/>
    <s v=""/>
    <m/>
    <m/>
    <m/>
    <x v="0"/>
    <m/>
    <x v="0"/>
    <m/>
    <x v="0"/>
    <x v="0"/>
    <x v="0"/>
    <m/>
    <n v="0"/>
    <x v="2"/>
    <m/>
    <m/>
    <x v="18"/>
    <m/>
    <m/>
    <m/>
    <n v="2350"/>
    <m/>
    <n v="150"/>
    <m/>
    <n v="5000"/>
    <m/>
    <m/>
    <n v="1000"/>
    <m/>
    <m/>
    <m/>
    <x v="36"/>
    <n v="14800"/>
    <n v="220134.81245"/>
    <m/>
    <m/>
    <n v="2500"/>
    <x v="81"/>
    <s v="Y"/>
    <m/>
    <m/>
    <m/>
    <m/>
    <n v="2694"/>
    <m/>
    <m/>
    <m/>
    <m/>
    <m/>
    <m/>
    <m/>
    <m/>
    <m/>
    <m/>
    <m/>
    <s v="Jimani &amp; Duarte"/>
    <s v="Nate Cooper deployed to DR with PADRU; stocks deployed ($74,526.50) from PADRU includes 2,430 school kits; $89,000 worth of generators"/>
  </r>
  <r>
    <m/>
    <n v="116"/>
    <x v="120"/>
    <d v="2004-05-01T00:00:00"/>
    <x v="8"/>
    <x v="12"/>
    <m/>
    <n v="2004"/>
    <n v="2"/>
    <s v="LAC"/>
    <x v="79"/>
    <m/>
    <x v="2"/>
    <s v="General Floods"/>
    <s v="General Floods"/>
    <m/>
    <m/>
    <m/>
    <m/>
    <m/>
    <s v=""/>
    <m/>
    <m/>
    <m/>
    <x v="0"/>
    <m/>
    <x v="0"/>
    <n v="0"/>
    <x v="19"/>
    <x v="0"/>
    <x v="0"/>
    <m/>
    <n v="20007"/>
    <x v="0"/>
    <m/>
    <m/>
    <x v="0"/>
    <m/>
    <m/>
    <m/>
    <m/>
    <m/>
    <m/>
    <m/>
    <m/>
    <m/>
    <m/>
    <m/>
    <n v="2"/>
    <m/>
    <m/>
    <x v="37"/>
    <n v="7665"/>
    <n v="44557.856"/>
    <m/>
    <m/>
    <n v="3000"/>
    <x v="82"/>
    <s v="Y"/>
    <m/>
    <m/>
    <m/>
    <m/>
    <n v="2614"/>
    <m/>
    <m/>
    <m/>
    <m/>
    <m/>
    <m/>
    <m/>
    <m/>
    <m/>
    <m/>
    <m/>
    <s v="Eastern"/>
    <s v="PMN 0407052 ($18,000 + PSR) dated 7 July 2004; rental of two vehicles to be used in Haiti for 3 months each"/>
  </r>
  <r>
    <m/>
    <n v="116"/>
    <x v="121"/>
    <d v="2004-05-01T00:00:00"/>
    <x v="8"/>
    <x v="13"/>
    <m/>
    <n v="2004"/>
    <n v="3"/>
    <s v="Africa"/>
    <x v="37"/>
    <m/>
    <x v="11"/>
    <s v="Viral"/>
    <s v="Viral"/>
    <m/>
    <m/>
    <m/>
    <m/>
    <m/>
    <s v=""/>
    <m/>
    <m/>
    <m/>
    <x v="0"/>
    <m/>
    <x v="0"/>
    <m/>
    <x v="0"/>
    <x v="0"/>
    <x v="0"/>
    <m/>
    <n v="0"/>
    <x v="0"/>
    <m/>
    <m/>
    <x v="19"/>
    <m/>
    <m/>
    <m/>
    <m/>
    <m/>
    <m/>
    <m/>
    <n v="12360"/>
    <m/>
    <m/>
    <n v="20"/>
    <m/>
    <m/>
    <m/>
    <x v="38"/>
    <m/>
    <n v="61220"/>
    <m/>
    <m/>
    <n v="6180"/>
    <x v="83"/>
    <s v="Y"/>
    <m/>
    <m/>
    <m/>
    <m/>
    <n v="2898"/>
    <m/>
    <m/>
    <m/>
    <m/>
    <m/>
    <m/>
    <m/>
    <m/>
    <m/>
    <m/>
    <m/>
    <s v="HIV/AIDS - Home Care"/>
    <s v="ex London"/>
  </r>
  <r>
    <m/>
    <n v="116"/>
    <x v="116"/>
    <d v="2004-07-01T00:00:00"/>
    <x v="8"/>
    <x v="12"/>
    <m/>
    <n v="2004"/>
    <n v="2"/>
    <s v="LAC"/>
    <x v="75"/>
    <m/>
    <x v="2"/>
    <s v="General Floods"/>
    <s v="General Floods"/>
    <m/>
    <m/>
    <m/>
    <m/>
    <m/>
    <s v=""/>
    <m/>
    <m/>
    <m/>
    <x v="0"/>
    <m/>
    <x v="0"/>
    <m/>
    <x v="0"/>
    <x v="0"/>
    <x v="0"/>
    <m/>
    <n v="0"/>
    <x v="2"/>
    <m/>
    <m/>
    <x v="0"/>
    <m/>
    <m/>
    <m/>
    <m/>
    <m/>
    <m/>
    <m/>
    <m/>
    <m/>
    <m/>
    <m/>
    <m/>
    <m/>
    <m/>
    <x v="39"/>
    <m/>
    <n v="110266.26"/>
    <m/>
    <m/>
    <n v="2500"/>
    <x v="84"/>
    <s v="Y"/>
    <m/>
    <m/>
    <m/>
    <m/>
    <n v="2788"/>
    <m/>
    <m/>
    <m/>
    <m/>
    <m/>
    <m/>
    <m/>
    <m/>
    <m/>
    <m/>
    <m/>
    <s v="Jimani &amp; Duarte"/>
    <s v="Ricardo Caivano - Gates Foundation funds ($233,780 - 11.15% = $207,713.53 available - - 60% for DR)"/>
  </r>
  <r>
    <m/>
    <n v="116"/>
    <x v="120"/>
    <d v="2004-07-01T00:00:00"/>
    <x v="8"/>
    <x v="12"/>
    <m/>
    <n v="2004"/>
    <n v="2"/>
    <s v="LAC"/>
    <x v="79"/>
    <m/>
    <x v="2"/>
    <s v="General Floods"/>
    <s v="General Floods"/>
    <m/>
    <m/>
    <m/>
    <m/>
    <m/>
    <s v=""/>
    <m/>
    <m/>
    <m/>
    <x v="0"/>
    <m/>
    <x v="0"/>
    <m/>
    <x v="0"/>
    <x v="0"/>
    <x v="0"/>
    <m/>
    <n v="0"/>
    <x v="0"/>
    <m/>
    <m/>
    <x v="0"/>
    <m/>
    <m/>
    <m/>
    <m/>
    <m/>
    <m/>
    <m/>
    <m/>
    <m/>
    <m/>
    <m/>
    <m/>
    <m/>
    <m/>
    <x v="40"/>
    <m/>
    <n v="97442.48"/>
    <m/>
    <m/>
    <n v="3000"/>
    <x v="85"/>
    <s v="Y"/>
    <m/>
    <m/>
    <m/>
    <m/>
    <n v="2788"/>
    <m/>
    <m/>
    <m/>
    <m/>
    <m/>
    <m/>
    <m/>
    <m/>
    <m/>
    <m/>
    <m/>
    <s v="Eastern"/>
    <s v="Ricardo Caivano - Gates Foundation funds ($233,780 - 11.15% = $207,713.53 available - - 40% for Haiti)"/>
  </r>
  <r>
    <m/>
    <n v="117"/>
    <x v="122"/>
    <d v="2004-05-01T00:00:00"/>
    <x v="8"/>
    <x v="14"/>
    <m/>
    <n v="2004"/>
    <n v="4"/>
    <s v="LAC"/>
    <x v="53"/>
    <m/>
    <x v="8"/>
    <s v="Conflict"/>
    <s v="Conflict"/>
    <m/>
    <m/>
    <m/>
    <m/>
    <m/>
    <s v=""/>
    <m/>
    <m/>
    <m/>
    <x v="0"/>
    <m/>
    <x v="0"/>
    <m/>
    <x v="0"/>
    <x v="0"/>
    <x v="0"/>
    <m/>
    <n v="0"/>
    <x v="1"/>
    <m/>
    <m/>
    <x v="4"/>
    <m/>
    <n v="500"/>
    <m/>
    <m/>
    <m/>
    <m/>
    <m/>
    <n v="500"/>
    <m/>
    <m/>
    <m/>
    <m/>
    <m/>
    <m/>
    <x v="41"/>
    <m/>
    <n v="3000"/>
    <m/>
    <m/>
    <n v="500"/>
    <x v="86"/>
    <s v="Y"/>
    <m/>
    <m/>
    <m/>
    <m/>
    <n v="2898"/>
    <m/>
    <m/>
    <m/>
    <m/>
    <m/>
    <m/>
    <m/>
    <m/>
    <m/>
    <m/>
    <m/>
    <s v="Haiti - Refugee"/>
    <s v="PADRU stocks"/>
  </r>
  <r>
    <m/>
    <n v="119"/>
    <x v="123"/>
    <d v="2004-08-01T00:00:00"/>
    <x v="9"/>
    <x v="1"/>
    <m/>
    <n v="2004"/>
    <n v="5"/>
    <s v="LAC"/>
    <x v="66"/>
    <m/>
    <x v="10"/>
    <s v="Fire"/>
    <s v="Urban Fire"/>
    <m/>
    <m/>
    <m/>
    <m/>
    <m/>
    <s v=""/>
    <m/>
    <m/>
    <m/>
    <x v="0"/>
    <m/>
    <x v="0"/>
    <m/>
    <x v="0"/>
    <x v="0"/>
    <x v="33"/>
    <m/>
    <n v="18675"/>
    <x v="0"/>
    <m/>
    <m/>
    <x v="0"/>
    <m/>
    <m/>
    <m/>
    <m/>
    <m/>
    <m/>
    <m/>
    <m/>
    <m/>
    <m/>
    <m/>
    <m/>
    <m/>
    <m/>
    <x v="0"/>
    <m/>
    <n v="18675"/>
    <m/>
    <m/>
    <m/>
    <x v="87"/>
    <s v="Y"/>
    <m/>
    <m/>
    <m/>
    <m/>
    <n v="2816"/>
    <m/>
    <m/>
    <m/>
    <m/>
    <m/>
    <m/>
    <m/>
    <m/>
    <m/>
    <m/>
    <m/>
    <s v="Asuncion Supermarket"/>
    <s v="World Bank Employees; money arrived Oct 2004"/>
  </r>
  <r>
    <m/>
    <n v="120"/>
    <x v="124"/>
    <d v="2004-08-01T00:00:00"/>
    <x v="9"/>
    <x v="2"/>
    <m/>
    <n v="2004"/>
    <n v="6"/>
    <s v="Africa"/>
    <x v="80"/>
    <m/>
    <x v="8"/>
    <s v="Conflict"/>
    <s v="Conflict"/>
    <m/>
    <m/>
    <m/>
    <m/>
    <m/>
    <s v=""/>
    <m/>
    <m/>
    <m/>
    <x v="0"/>
    <m/>
    <x v="0"/>
    <n v="1"/>
    <x v="1"/>
    <x v="0"/>
    <x v="0"/>
    <m/>
    <n v="100000"/>
    <x v="0"/>
    <m/>
    <m/>
    <x v="0"/>
    <m/>
    <m/>
    <m/>
    <m/>
    <m/>
    <m/>
    <m/>
    <m/>
    <m/>
    <m/>
    <m/>
    <m/>
    <m/>
    <m/>
    <x v="0"/>
    <m/>
    <n v="100000"/>
    <m/>
    <m/>
    <m/>
    <x v="5"/>
    <s v="Y"/>
    <m/>
    <m/>
    <m/>
    <m/>
    <n v="9306"/>
    <m/>
    <m/>
    <m/>
    <m/>
    <m/>
    <m/>
    <m/>
    <m/>
    <m/>
    <m/>
    <m/>
    <s v="Darfur / Sudan"/>
    <s v="PMN Contribution to support Fed Appeal - Chad: Sudanese Refugees (from LDS)"/>
  </r>
  <r>
    <m/>
    <n v="120"/>
    <x v="125"/>
    <d v="2004-08-01T00:00:00"/>
    <x v="9"/>
    <x v="2"/>
    <m/>
    <n v="2004"/>
    <n v="6"/>
    <s v="Africa"/>
    <x v="81"/>
    <m/>
    <x v="8"/>
    <s v="Conflict"/>
    <s v="Conflict"/>
    <m/>
    <m/>
    <m/>
    <m/>
    <m/>
    <s v=""/>
    <m/>
    <m/>
    <m/>
    <x v="0"/>
    <m/>
    <x v="0"/>
    <m/>
    <x v="0"/>
    <x v="3"/>
    <x v="0"/>
    <m/>
    <n v="242000"/>
    <x v="2"/>
    <m/>
    <m/>
    <x v="0"/>
    <m/>
    <m/>
    <m/>
    <m/>
    <m/>
    <m/>
    <m/>
    <m/>
    <m/>
    <m/>
    <m/>
    <m/>
    <m/>
    <m/>
    <x v="0"/>
    <n v="5400"/>
    <n v="247400"/>
    <m/>
    <m/>
    <m/>
    <x v="88"/>
    <s v="Y"/>
    <m/>
    <m/>
    <m/>
    <m/>
    <n v="2802"/>
    <m/>
    <m/>
    <m/>
    <m/>
    <m/>
    <m/>
    <m/>
    <m/>
    <m/>
    <m/>
    <m/>
    <s v="Darfur / Sudan"/>
    <s v="1. 2004 - L. Greenhalgh seconded to Fed, expenses $5400 2. 2006 - Pledge to ICRC Sudan Appeal, $242,000"/>
  </r>
  <r>
    <m/>
    <n v="121"/>
    <x v="19"/>
    <d v="2004-08-01T00:00:00"/>
    <x v="9"/>
    <x v="3"/>
    <m/>
    <n v="2004"/>
    <n v="7"/>
    <s v="Europe/Asia"/>
    <x v="14"/>
    <m/>
    <x v="2"/>
    <s v="General Floods"/>
    <s v="General Floods"/>
    <m/>
    <m/>
    <m/>
    <m/>
    <m/>
    <s v=""/>
    <m/>
    <m/>
    <m/>
    <x v="0"/>
    <m/>
    <x v="0"/>
    <n v="0"/>
    <x v="20"/>
    <x v="0"/>
    <x v="0"/>
    <m/>
    <n v="35975"/>
    <x v="0"/>
    <m/>
    <m/>
    <x v="0"/>
    <m/>
    <m/>
    <m/>
    <m/>
    <m/>
    <m/>
    <m/>
    <m/>
    <m/>
    <m/>
    <m/>
    <m/>
    <m/>
    <m/>
    <x v="0"/>
    <m/>
    <n v="35975"/>
    <m/>
    <m/>
    <m/>
    <x v="89"/>
    <s v="Y"/>
    <m/>
    <m/>
    <m/>
    <m/>
    <n v="2017"/>
    <m/>
    <m/>
    <m/>
    <m/>
    <m/>
    <m/>
    <m/>
    <m/>
    <m/>
    <m/>
    <m/>
    <s v="Country-wide"/>
    <s v="PMN: $15,975 from Citigroup and $20,000 from AMEX"/>
  </r>
  <r>
    <m/>
    <n v="122"/>
    <x v="126"/>
    <d v="2004-08-01T00:00:00"/>
    <x v="9"/>
    <x v="4"/>
    <m/>
    <n v="2004"/>
    <n v="8"/>
    <s v="Europe/Asia"/>
    <x v="10"/>
    <m/>
    <x v="5"/>
    <s v="Tropical Cyclone"/>
    <s v="Typhoon"/>
    <m/>
    <m/>
    <m/>
    <m/>
    <m/>
    <s v=""/>
    <m/>
    <m/>
    <m/>
    <x v="0"/>
    <m/>
    <x v="0"/>
    <m/>
    <x v="0"/>
    <x v="0"/>
    <x v="34"/>
    <m/>
    <n v="59896.536212325685"/>
    <x v="0"/>
    <m/>
    <m/>
    <x v="0"/>
    <m/>
    <m/>
    <m/>
    <m/>
    <m/>
    <m/>
    <m/>
    <m/>
    <m/>
    <m/>
    <m/>
    <m/>
    <m/>
    <m/>
    <x v="0"/>
    <m/>
    <n v="59896.536212325685"/>
    <m/>
    <m/>
    <m/>
    <x v="90"/>
    <s v="Y"/>
    <m/>
    <m/>
    <m/>
    <m/>
    <n v="2824"/>
    <m/>
    <m/>
    <m/>
    <m/>
    <m/>
    <m/>
    <m/>
    <m/>
    <m/>
    <m/>
    <m/>
    <s v="Mindulle"/>
    <s v="Pass through from Intel ($50,000), Synopsys Community Foundation ($10,000 - 11.15%) and San Gabriel Valley Chapter ($1,000 - 11.15%)"/>
  </r>
  <r>
    <m/>
    <n v="123"/>
    <x v="25"/>
    <d v="2004-09-01T00:00:00"/>
    <x v="9"/>
    <x v="5"/>
    <m/>
    <n v="2004"/>
    <n v="9"/>
    <s v="LAC"/>
    <x v="20"/>
    <m/>
    <x v="5"/>
    <s v="Tropical Cyclone"/>
    <s v="Hurricane"/>
    <m/>
    <m/>
    <m/>
    <m/>
    <m/>
    <s v=""/>
    <m/>
    <m/>
    <m/>
    <x v="0"/>
    <m/>
    <x v="0"/>
    <n v="1"/>
    <x v="21"/>
    <x v="0"/>
    <x v="0"/>
    <m/>
    <n v="300000"/>
    <x v="4"/>
    <m/>
    <m/>
    <x v="20"/>
    <m/>
    <m/>
    <m/>
    <n v="481"/>
    <m/>
    <n v="5"/>
    <m/>
    <m/>
    <m/>
    <m/>
    <m/>
    <m/>
    <m/>
    <m/>
    <x v="42"/>
    <m/>
    <n v="302452.19"/>
    <m/>
    <m/>
    <m/>
    <x v="91"/>
    <s v="Y"/>
    <m/>
    <m/>
    <m/>
    <m/>
    <n v="2024"/>
    <m/>
    <m/>
    <m/>
    <m/>
    <m/>
    <m/>
    <m/>
    <m/>
    <m/>
    <m/>
    <m/>
    <s v="Ivan"/>
    <s v="PMN - March 05; N. Cooper deployed to Grenada and Bahamas w/ PADRU; T. Reines deployed to Grenada.  5 Tents @ $299 each; Jerry Cans @ $1.99 each"/>
  </r>
  <r>
    <m/>
    <n v="123"/>
    <x v="73"/>
    <d v="2004-09-01T00:00:00"/>
    <x v="9"/>
    <x v="5"/>
    <m/>
    <n v="2004"/>
    <n v="9"/>
    <s v="LAC"/>
    <x v="53"/>
    <m/>
    <x v="5"/>
    <s v="Tropical Cyclone"/>
    <s v="Hurricane"/>
    <m/>
    <m/>
    <m/>
    <m/>
    <m/>
    <s v=""/>
    <m/>
    <m/>
    <m/>
    <x v="0"/>
    <m/>
    <x v="0"/>
    <n v="1"/>
    <x v="1"/>
    <x v="0"/>
    <x v="0"/>
    <m/>
    <n v="100000"/>
    <x v="2"/>
    <m/>
    <m/>
    <x v="21"/>
    <m/>
    <m/>
    <n v="5000"/>
    <n v="802"/>
    <m/>
    <m/>
    <m/>
    <m/>
    <m/>
    <m/>
    <n v="1105"/>
    <m/>
    <m/>
    <m/>
    <x v="43"/>
    <m/>
    <n v="131046.88"/>
    <m/>
    <m/>
    <m/>
    <x v="92"/>
    <s v="Y"/>
    <m/>
    <m/>
    <m/>
    <m/>
    <n v="2024"/>
    <m/>
    <m/>
    <m/>
    <m/>
    <m/>
    <m/>
    <m/>
    <m/>
    <m/>
    <m/>
    <m/>
    <s v="Ivan"/>
    <s v="PMN - March 05; M. Parry deployed with FACT; Jerry Cans @ $1.99 each, blankets @ $3.03 each, 407 flashlights @ $1.20 each,  tarpaulins @ $12.50 each"/>
  </r>
  <r>
    <m/>
    <n v="123"/>
    <x v="127"/>
    <d v="2004-09-01T00:00:00"/>
    <x v="9"/>
    <x v="5"/>
    <m/>
    <n v="2004"/>
    <n v="9"/>
    <s v="LAC"/>
    <x v="82"/>
    <m/>
    <x v="5"/>
    <s v="Tropical Cyclone"/>
    <s v="Hurricane"/>
    <m/>
    <m/>
    <m/>
    <m/>
    <m/>
    <s v=""/>
    <m/>
    <m/>
    <m/>
    <x v="0"/>
    <m/>
    <x v="0"/>
    <n v="1"/>
    <x v="1"/>
    <x v="0"/>
    <x v="0"/>
    <m/>
    <n v="100000"/>
    <x v="2"/>
    <m/>
    <m/>
    <x v="22"/>
    <m/>
    <n v="1000"/>
    <m/>
    <n v="321"/>
    <m/>
    <n v="25"/>
    <m/>
    <m/>
    <m/>
    <m/>
    <m/>
    <m/>
    <m/>
    <m/>
    <x v="44"/>
    <m/>
    <n v="112853.79000000001"/>
    <m/>
    <m/>
    <m/>
    <x v="93"/>
    <s v="Y"/>
    <m/>
    <m/>
    <m/>
    <m/>
    <n v="2024"/>
    <m/>
    <m/>
    <m/>
    <m/>
    <m/>
    <m/>
    <m/>
    <m/>
    <m/>
    <m/>
    <m/>
    <s v="Ivan"/>
    <s v="PMN - March 05; tents @ $299 each; Jerrry Cans @$1.99 each; 1,000 flashlights @ $1.20 each; Hygiene Kits @ $3.54 loaned to British Red Cross"/>
  </r>
  <r>
    <m/>
    <n v="123"/>
    <x v="13"/>
    <d v="2004-09-01T00:00:00"/>
    <x v="9"/>
    <x v="5"/>
    <m/>
    <n v="2004"/>
    <n v="9"/>
    <s v="LAC"/>
    <x v="83"/>
    <m/>
    <x v="5"/>
    <s v="Tropical Cyclone"/>
    <s v="Hurricane"/>
    <m/>
    <m/>
    <m/>
    <m/>
    <m/>
    <s v=""/>
    <m/>
    <m/>
    <m/>
    <x v="0"/>
    <m/>
    <x v="0"/>
    <n v="1"/>
    <x v="1"/>
    <x v="0"/>
    <x v="0"/>
    <m/>
    <n v="100000"/>
    <x v="6"/>
    <m/>
    <m/>
    <x v="0"/>
    <m/>
    <m/>
    <m/>
    <m/>
    <m/>
    <m/>
    <m/>
    <m/>
    <m/>
    <m/>
    <m/>
    <m/>
    <m/>
    <m/>
    <x v="0"/>
    <m/>
    <n v="100000"/>
    <m/>
    <m/>
    <m/>
    <x v="5"/>
    <s v="Y"/>
    <m/>
    <m/>
    <m/>
    <m/>
    <n v="2024"/>
    <m/>
    <m/>
    <m/>
    <m/>
    <m/>
    <m/>
    <m/>
    <m/>
    <m/>
    <m/>
    <m/>
    <s v="Ivan"/>
    <s v="PMN - Jan 05; C. Garrison, S. Schaefer deployed 1 month; N. Cooper deployed several times"/>
  </r>
  <r>
    <m/>
    <n v="124"/>
    <x v="120"/>
    <d v="2004-09-01T00:00:00"/>
    <x v="9"/>
    <x v="6"/>
    <m/>
    <n v="2004"/>
    <n v="10"/>
    <s v="LAC"/>
    <x v="79"/>
    <m/>
    <x v="2"/>
    <s v="Storm Surge"/>
    <s v="Storm Surge"/>
    <m/>
    <m/>
    <m/>
    <m/>
    <m/>
    <s v=""/>
    <m/>
    <m/>
    <m/>
    <x v="0"/>
    <m/>
    <x v="0"/>
    <n v="1"/>
    <x v="22"/>
    <x v="0"/>
    <x v="0"/>
    <m/>
    <n v="400000"/>
    <x v="2"/>
    <m/>
    <m/>
    <x v="23"/>
    <m/>
    <m/>
    <m/>
    <m/>
    <m/>
    <m/>
    <m/>
    <m/>
    <m/>
    <m/>
    <n v="110"/>
    <m/>
    <m/>
    <m/>
    <x v="45"/>
    <m/>
    <n v="401375"/>
    <m/>
    <m/>
    <m/>
    <x v="94"/>
    <s v="Y"/>
    <m/>
    <m/>
    <m/>
    <m/>
    <n v="2614"/>
    <m/>
    <m/>
    <m/>
    <m/>
    <m/>
    <m/>
    <m/>
    <m/>
    <m/>
    <m/>
    <m/>
    <s v="TS Jeanne"/>
    <s v="Brigitte Gallis deployed; tarpaulins @ $12.50 each; PMN 400K out of AP 2024 Jan 05"/>
  </r>
  <r>
    <m/>
    <n v="125"/>
    <x v="7"/>
    <d v="2004-11-01T00:00:00"/>
    <x v="9"/>
    <x v="7"/>
    <m/>
    <n v="2004"/>
    <n v="11"/>
    <s v="LAC"/>
    <x v="3"/>
    <m/>
    <x v="2"/>
    <s v="General Floods"/>
    <s v="General Floods"/>
    <m/>
    <m/>
    <m/>
    <m/>
    <m/>
    <s v=""/>
    <m/>
    <m/>
    <m/>
    <x v="0"/>
    <m/>
    <x v="0"/>
    <m/>
    <x v="0"/>
    <x v="0"/>
    <x v="0"/>
    <m/>
    <n v="0"/>
    <x v="0"/>
    <m/>
    <m/>
    <x v="24"/>
    <m/>
    <n v="750"/>
    <m/>
    <m/>
    <m/>
    <m/>
    <m/>
    <m/>
    <m/>
    <m/>
    <m/>
    <m/>
    <m/>
    <m/>
    <x v="46"/>
    <m/>
    <n v="2655"/>
    <m/>
    <m/>
    <m/>
    <x v="95"/>
    <s v="Y"/>
    <m/>
    <m/>
    <m/>
    <m/>
    <n v="2898"/>
    <m/>
    <m/>
    <m/>
    <m/>
    <m/>
    <m/>
    <m/>
    <m/>
    <m/>
    <m/>
    <m/>
    <m/>
    <s v="from PADRU @ $3.54 each"/>
  </r>
  <r>
    <m/>
    <n v="126"/>
    <x v="80"/>
    <d v="2004-12-01T00:00:00"/>
    <x v="9"/>
    <x v="8"/>
    <m/>
    <n v="2004"/>
    <n v="12"/>
    <s v="LAC"/>
    <x v="57"/>
    <s v="Hydrometerological"/>
    <x v="2"/>
    <s v="General Floods"/>
    <s v="General Floods"/>
    <m/>
    <m/>
    <m/>
    <m/>
    <m/>
    <s v=""/>
    <m/>
    <m/>
    <m/>
    <x v="0"/>
    <m/>
    <x v="0"/>
    <m/>
    <x v="0"/>
    <x v="0"/>
    <x v="0"/>
    <m/>
    <n v="0"/>
    <x v="0"/>
    <m/>
    <m/>
    <x v="0"/>
    <m/>
    <m/>
    <m/>
    <m/>
    <m/>
    <m/>
    <m/>
    <m/>
    <m/>
    <m/>
    <m/>
    <m/>
    <m/>
    <m/>
    <x v="0"/>
    <m/>
    <n v="0"/>
    <m/>
    <m/>
    <m/>
    <x v="7"/>
    <s v="Y"/>
    <m/>
    <m/>
    <m/>
    <m/>
    <n v="2898"/>
    <m/>
    <m/>
    <m/>
    <m/>
    <m/>
    <m/>
    <m/>
    <m/>
    <m/>
    <m/>
    <m/>
    <s v="Darien"/>
    <s v="CANCELLED: 100 cases of laundry soap (5,000 bars = $7,200) and 5,000 bars of bath soap ($1,475)"/>
  </r>
  <r>
    <m/>
    <n v="127"/>
    <x v="128"/>
    <d v="2004-12-01T00:00:00"/>
    <x v="9"/>
    <x v="9"/>
    <m/>
    <n v="2004"/>
    <n v="13"/>
    <s v="Europe/Asia"/>
    <x v="34"/>
    <s v="Hydrometerological"/>
    <x v="16"/>
    <s v="Tsunami"/>
    <s v="Tsunami"/>
    <m/>
    <m/>
    <m/>
    <m/>
    <m/>
    <s v=""/>
    <m/>
    <m/>
    <m/>
    <x v="0"/>
    <m/>
    <x v="0"/>
    <n v="1"/>
    <x v="23"/>
    <x v="0"/>
    <x v="0"/>
    <m/>
    <n v="1837066.6666666667"/>
    <x v="17"/>
    <s v="Relief ERU"/>
    <m/>
    <x v="0"/>
    <m/>
    <m/>
    <m/>
    <m/>
    <m/>
    <m/>
    <m/>
    <m/>
    <m/>
    <m/>
    <m/>
    <m/>
    <m/>
    <m/>
    <x v="47"/>
    <n v="100000000"/>
    <n v="103848909.52666667"/>
    <m/>
    <m/>
    <m/>
    <x v="96"/>
    <s v="Y"/>
    <m/>
    <m/>
    <m/>
    <m/>
    <n v="2695"/>
    <m/>
    <m/>
    <m/>
    <m/>
    <m/>
    <m/>
    <m/>
    <m/>
    <m/>
    <m/>
    <m/>
    <s v="S &amp; E Provinces"/>
    <s v="Parry, Ragan, Courville, Matthews, Caivano, Blake, Garrison, Szwadzka, Hurd, Chinn, Gaver, Brien, Reines, Thornton, Cummings, deployed with Relief ERU. Stephenson and Cooper deployed with British RC; Hagos deployed for 2 weeks in Feb 2005; L. Wilkinson (DP)   $5 million PMN sent to Federation for Appeal / 100K for emerg phase"/>
  </r>
  <r>
    <m/>
    <n v="127"/>
    <x v="129"/>
    <d v="2004-12-01T00:00:00"/>
    <x v="9"/>
    <x v="9"/>
    <m/>
    <n v="2004"/>
    <n v="13"/>
    <s v="Europe/Asia"/>
    <x v="27"/>
    <s v="Hydrometerological"/>
    <x v="16"/>
    <s v="Tsunami"/>
    <s v="Tsunami"/>
    <m/>
    <m/>
    <m/>
    <m/>
    <m/>
    <s v=""/>
    <m/>
    <m/>
    <m/>
    <x v="0"/>
    <m/>
    <x v="0"/>
    <n v="1"/>
    <x v="24"/>
    <x v="0"/>
    <x v="0"/>
    <m/>
    <n v="1666666.6666666667"/>
    <x v="10"/>
    <s v="Relief ERU"/>
    <m/>
    <x v="0"/>
    <m/>
    <m/>
    <m/>
    <m/>
    <m/>
    <m/>
    <m/>
    <m/>
    <m/>
    <m/>
    <m/>
    <m/>
    <m/>
    <m/>
    <x v="48"/>
    <m/>
    <n v="3967173.0666666664"/>
    <m/>
    <m/>
    <m/>
    <x v="97"/>
    <s v="Y"/>
    <m/>
    <m/>
    <m/>
    <m/>
    <n v="2695"/>
    <m/>
    <m/>
    <m/>
    <m/>
    <m/>
    <m/>
    <m/>
    <m/>
    <m/>
    <m/>
    <m/>
    <s v="N. Sumatra"/>
    <s v="O'Donnell, Michaud and Card deployed as w/ Relief ERU in Northern Sumatra; Greenhalgh on FACT.   $5 million PMN sent to Federation for Appeal; Caivano transferred from Sri Lanka to Indo; Karnes deployed as IRT (logs/ops) "/>
  </r>
  <r>
    <m/>
    <n v="127"/>
    <x v="130"/>
    <d v="2004-12-01T00:00:00"/>
    <x v="9"/>
    <x v="9"/>
    <m/>
    <n v="2004"/>
    <n v="13"/>
    <s v="Europe/Asia"/>
    <x v="84"/>
    <s v="Hydrometerological"/>
    <x v="16"/>
    <s v="Tsunami"/>
    <s v="Tsunami"/>
    <m/>
    <m/>
    <m/>
    <m/>
    <m/>
    <s v=""/>
    <m/>
    <m/>
    <m/>
    <x v="0"/>
    <m/>
    <x v="0"/>
    <n v="1"/>
    <x v="24"/>
    <x v="0"/>
    <x v="0"/>
    <m/>
    <n v="1666666.6666666667"/>
    <x v="4"/>
    <m/>
    <m/>
    <x v="0"/>
    <m/>
    <m/>
    <m/>
    <m/>
    <m/>
    <m/>
    <m/>
    <m/>
    <m/>
    <m/>
    <m/>
    <m/>
    <m/>
    <m/>
    <x v="49"/>
    <m/>
    <n v="1822266.6666666667"/>
    <m/>
    <m/>
    <m/>
    <x v="98"/>
    <s v="Y"/>
    <m/>
    <m/>
    <m/>
    <m/>
    <n v="2695"/>
    <m/>
    <m/>
    <m/>
    <m/>
    <m/>
    <m/>
    <m/>
    <m/>
    <m/>
    <m/>
    <m/>
    <s v="Country-wide"/>
    <s v="Hagos on FACT; $5 million PMN sent to Federation for Appeal; Gould wat/san IRT"/>
  </r>
  <r>
    <m/>
    <n v="128"/>
    <x v="131"/>
    <d v="2005-01-01T00:00:00"/>
    <x v="9"/>
    <x v="10"/>
    <m/>
    <n v="2005"/>
    <n v="1"/>
    <s v="LAC"/>
    <x v="85"/>
    <s v="Hydrometerological"/>
    <x v="2"/>
    <s v="General Floods"/>
    <s v="General Floods"/>
    <m/>
    <m/>
    <m/>
    <m/>
    <m/>
    <s v=""/>
    <m/>
    <m/>
    <m/>
    <x v="0"/>
    <m/>
    <x v="0"/>
    <m/>
    <x v="0"/>
    <x v="0"/>
    <x v="0"/>
    <m/>
    <n v="0"/>
    <x v="4"/>
    <m/>
    <m/>
    <x v="0"/>
    <m/>
    <m/>
    <m/>
    <m/>
    <m/>
    <m/>
    <m/>
    <m/>
    <m/>
    <m/>
    <m/>
    <m/>
    <m/>
    <m/>
    <x v="22"/>
    <n v="3100"/>
    <n v="13100"/>
    <m/>
    <m/>
    <m/>
    <x v="99"/>
    <s v="Y"/>
    <m/>
    <m/>
    <m/>
    <m/>
    <n v="2774"/>
    <m/>
    <m/>
    <m/>
    <m/>
    <m/>
    <m/>
    <m/>
    <m/>
    <m/>
    <m/>
    <m/>
    <s v="Georgetown"/>
    <s v="Jim Gould and Jeffery Weiss deployed and purchased and shipped to the GRC $10,000 worth of individual and family First Aid Kits."/>
  </r>
  <r>
    <m/>
    <n v="129"/>
    <x v="132"/>
    <d v="2005-06-01T00:00:00"/>
    <x v="9"/>
    <x v="11"/>
    <m/>
    <n v="2005"/>
    <n v="2"/>
    <s v="North America"/>
    <x v="40"/>
    <s v="Hydrometerological"/>
    <x v="2"/>
    <s v="General Floods"/>
    <s v="General Floods"/>
    <m/>
    <m/>
    <m/>
    <m/>
    <m/>
    <s v=""/>
    <m/>
    <m/>
    <m/>
    <x v="0"/>
    <m/>
    <x v="0"/>
    <m/>
    <x v="0"/>
    <x v="0"/>
    <x v="18"/>
    <m/>
    <n v="5000"/>
    <x v="0"/>
    <m/>
    <m/>
    <x v="0"/>
    <m/>
    <m/>
    <m/>
    <m/>
    <m/>
    <m/>
    <m/>
    <m/>
    <m/>
    <m/>
    <m/>
    <m/>
    <m/>
    <m/>
    <x v="0"/>
    <m/>
    <n v="5000"/>
    <m/>
    <m/>
    <m/>
    <x v="46"/>
    <s v="Y"/>
    <m/>
    <m/>
    <m/>
    <m/>
    <s v="N/A"/>
    <m/>
    <m/>
    <m/>
    <m/>
    <m/>
    <m/>
    <m/>
    <m/>
    <m/>
    <m/>
    <m/>
    <s v="Alberta Floods"/>
    <s v="Contribution from AmEx for the Alberta Floods (GID direct to CRC)."/>
  </r>
  <r>
    <m/>
    <n v="130"/>
    <x v="133"/>
    <d v="2005-07-01T00:00:00"/>
    <x v="10"/>
    <x v="1"/>
    <m/>
    <n v="2005"/>
    <n v="3"/>
    <s v="LAC"/>
    <x v="53"/>
    <s v="Hydrometerological"/>
    <x v="5"/>
    <s v="Tropical Cyclone"/>
    <s v="Hurricane"/>
    <m/>
    <s v="Y"/>
    <s v="IFRC"/>
    <n v="587000"/>
    <s v="05EA14"/>
    <n v="4.2589437819420782E-2"/>
    <m/>
    <m/>
    <m/>
    <x v="1"/>
    <m/>
    <x v="0"/>
    <n v="0"/>
    <x v="3"/>
    <x v="0"/>
    <x v="0"/>
    <m/>
    <n v="25000"/>
    <x v="0"/>
    <m/>
    <m/>
    <x v="25"/>
    <m/>
    <m/>
    <m/>
    <m/>
    <m/>
    <n v="25"/>
    <m/>
    <m/>
    <m/>
    <m/>
    <m/>
    <m/>
    <m/>
    <m/>
    <x v="50"/>
    <m/>
    <n v="32475"/>
    <m/>
    <m/>
    <n v="100"/>
    <x v="100"/>
    <s v="Y"/>
    <m/>
    <m/>
    <m/>
    <m/>
    <n v="2024"/>
    <m/>
    <m/>
    <m/>
    <m/>
    <m/>
    <m/>
    <m/>
    <m/>
    <m/>
    <m/>
    <m/>
    <s v="Dennis / Emily"/>
    <s v="Ex PADRU"/>
  </r>
  <r>
    <m/>
    <n v="130"/>
    <x v="134"/>
    <d v="2005-07-01T00:00:00"/>
    <x v="10"/>
    <x v="1"/>
    <m/>
    <n v="2005"/>
    <n v="3"/>
    <s v="LAC"/>
    <x v="20"/>
    <s v="Hydrometerological"/>
    <x v="5"/>
    <s v="Tropical Cyclone"/>
    <s v="Hurricane"/>
    <m/>
    <m/>
    <m/>
    <m/>
    <m/>
    <s v=""/>
    <m/>
    <m/>
    <m/>
    <x v="0"/>
    <m/>
    <x v="0"/>
    <n v="1"/>
    <x v="25"/>
    <x v="0"/>
    <x v="0"/>
    <m/>
    <n v="75000"/>
    <x v="0"/>
    <m/>
    <m/>
    <x v="0"/>
    <m/>
    <m/>
    <m/>
    <m/>
    <m/>
    <m/>
    <m/>
    <m/>
    <m/>
    <m/>
    <m/>
    <m/>
    <m/>
    <m/>
    <x v="0"/>
    <m/>
    <n v="75000"/>
    <m/>
    <m/>
    <m/>
    <x v="56"/>
    <s v="Y"/>
    <m/>
    <m/>
    <m/>
    <m/>
    <n v="2024"/>
    <m/>
    <m/>
    <m/>
    <m/>
    <m/>
    <m/>
    <m/>
    <m/>
    <m/>
    <m/>
    <m/>
    <s v="Dennis / Emily"/>
    <s v="$200,000 PMN sent: $100,000 to be divided between Jamaica and Grenada at Federation's discretion."/>
  </r>
  <r>
    <m/>
    <n v="130"/>
    <x v="135"/>
    <d v="2005-07-01T00:00:00"/>
    <x v="10"/>
    <x v="1"/>
    <m/>
    <n v="2005"/>
    <n v="3"/>
    <s v="LAC"/>
    <x v="79"/>
    <s v="Hydrometerological"/>
    <x v="5"/>
    <s v="Tropical Cyclone"/>
    <s v="Hurricane"/>
    <m/>
    <m/>
    <m/>
    <m/>
    <m/>
    <s v=""/>
    <m/>
    <m/>
    <m/>
    <x v="0"/>
    <m/>
    <x v="0"/>
    <n v="1"/>
    <x v="1"/>
    <x v="0"/>
    <x v="0"/>
    <m/>
    <n v="100000"/>
    <x v="0"/>
    <m/>
    <m/>
    <x v="26"/>
    <m/>
    <m/>
    <m/>
    <m/>
    <m/>
    <m/>
    <m/>
    <m/>
    <m/>
    <m/>
    <m/>
    <m/>
    <m/>
    <m/>
    <x v="51"/>
    <m/>
    <n v="108693"/>
    <m/>
    <m/>
    <m/>
    <x v="101"/>
    <s v="Y"/>
    <m/>
    <m/>
    <m/>
    <m/>
    <n v="2614"/>
    <m/>
    <m/>
    <m/>
    <m/>
    <m/>
    <m/>
    <m/>
    <m/>
    <m/>
    <m/>
    <m/>
    <s v="Dennis / Emily"/>
    <s v="4,995 pcs laundry soap &amp; 5,000 pcs bath soap sent from PADRU; $200,000 PMN sent with $100,000 for Haiti"/>
  </r>
  <r>
    <m/>
    <n v="131"/>
    <x v="136"/>
    <d v="2005-07-01T00:00:00"/>
    <x v="10"/>
    <x v="2"/>
    <m/>
    <n v="2005"/>
    <n v="4"/>
    <s v="Africa"/>
    <x v="86"/>
    <s v="Human Related"/>
    <x v="14"/>
    <s v="Food Insecurity"/>
    <s v="Food Insecurity"/>
    <m/>
    <s v="Y"/>
    <s v="IFRC"/>
    <n v="14211607"/>
    <s v="05EA015"/>
    <n v="0"/>
    <m/>
    <m/>
    <m/>
    <x v="2"/>
    <m/>
    <x v="0"/>
    <m/>
    <x v="0"/>
    <x v="0"/>
    <x v="0"/>
    <m/>
    <n v="0"/>
    <x v="5"/>
    <m/>
    <m/>
    <x v="0"/>
    <m/>
    <m/>
    <m/>
    <m/>
    <m/>
    <m/>
    <m/>
    <m/>
    <m/>
    <m/>
    <m/>
    <m/>
    <m/>
    <m/>
    <x v="0"/>
    <n v="36200"/>
    <n v="36200"/>
    <m/>
    <m/>
    <m/>
    <x v="102"/>
    <s v="Y"/>
    <m/>
    <m/>
    <m/>
    <m/>
    <n v="2949"/>
    <m/>
    <m/>
    <m/>
    <m/>
    <m/>
    <m/>
    <m/>
    <m/>
    <m/>
    <m/>
    <m/>
    <s v="Sahel"/>
    <s v="Paying for secondments of Langdon Greenhalgh, Brigitte Gaillis and Tim Cummings to IFRC"/>
  </r>
  <r>
    <m/>
    <n v="132"/>
    <x v="137"/>
    <d v="2005-08-01T00:00:00"/>
    <x v="10"/>
    <x v="3"/>
    <m/>
    <n v="2005"/>
    <n v="5"/>
    <s v="North America"/>
    <x v="51"/>
    <s v="Hydrometerological"/>
    <x v="17"/>
    <s v="Tropical Cyclone"/>
    <s v="Hurricane"/>
    <m/>
    <m/>
    <m/>
    <m/>
    <m/>
    <s v=""/>
    <m/>
    <m/>
    <m/>
    <x v="0"/>
    <m/>
    <x v="0"/>
    <m/>
    <x v="0"/>
    <x v="0"/>
    <x v="0"/>
    <m/>
    <n v="0"/>
    <x v="5"/>
    <m/>
    <m/>
    <x v="0"/>
    <m/>
    <m/>
    <m/>
    <m/>
    <m/>
    <m/>
    <m/>
    <m/>
    <m/>
    <m/>
    <m/>
    <m/>
    <m/>
    <m/>
    <x v="0"/>
    <m/>
    <n v="0"/>
    <m/>
    <m/>
    <m/>
    <x v="7"/>
    <s v="Y"/>
    <m/>
    <m/>
    <m/>
    <m/>
    <m/>
    <m/>
    <m/>
    <m/>
    <m/>
    <m/>
    <m/>
    <m/>
    <m/>
    <m/>
    <m/>
    <m/>
    <s v="Katrina"/>
    <s v="Nate Cooper, Mark Smith and Lance Leverenz deployed to Mississippi, Lousiana and Alabama."/>
  </r>
  <r>
    <m/>
    <n v="133"/>
    <x v="138"/>
    <d v="2005-10-01T00:00:00"/>
    <x v="10"/>
    <x v="4"/>
    <m/>
    <n v="2005"/>
    <n v="6"/>
    <s v="Europe/Asia"/>
    <x v="47"/>
    <s v="Geophysical"/>
    <x v="3"/>
    <s v="Earthquake"/>
    <s v="Earthquake"/>
    <n v="3500000"/>
    <s v="Y"/>
    <s v="IFRC"/>
    <n v="117000000"/>
    <s v="05EA022"/>
    <n v="6.623931623931624E-2"/>
    <m/>
    <m/>
    <m/>
    <x v="3"/>
    <m/>
    <x v="0"/>
    <n v="1"/>
    <x v="26"/>
    <x v="4"/>
    <x v="0"/>
    <m/>
    <n v="7750000"/>
    <x v="6"/>
    <m/>
    <m/>
    <x v="27"/>
    <m/>
    <n v="18000"/>
    <n v="222900"/>
    <m/>
    <n v="28000"/>
    <n v="5200"/>
    <n v="18000"/>
    <n v="30518"/>
    <m/>
    <m/>
    <n v="3000"/>
    <m/>
    <m/>
    <m/>
    <x v="52"/>
    <m/>
    <n v="12558310"/>
    <m/>
    <m/>
    <n v="120000"/>
    <x v="103"/>
    <s v="Y"/>
    <m/>
    <m/>
    <m/>
    <m/>
    <s v="2897/2771/2769"/>
    <m/>
    <m/>
    <m/>
    <m/>
    <m/>
    <m/>
    <m/>
    <m/>
    <m/>
    <m/>
    <s v="y"/>
    <s v="North West Frontier Province (NWFP) and Pakistan Administered Kashmir (PAK)"/>
    <s v="CASH: Non-designated PMN to the Fed $1,850,000; PMN to the Fed designated for one month cost of helicopter relief operations for $400,000; PMN to the Fed designated for corrugated iron sheeting (~73,000 pc) for $1,500,000. SUPPLIES:  Shawls at $50,000. (Cost includes all inspection costs/ transporation costs as well as commodity cost); PEOPLE: Seconded John Manley to FACT team and Jim Stephenson to Fed relief/logistics team.(Cost includes all inspection costs/ transporation costs as well as commodity cost). ICRC - $1M 2006 - Winter Prep - PMN for 1.5 million (500k to household repair kits, 300k to CGI);   (Cost includes all inspection costs/ transporation costs as well as commodity cost); seconded C. Chaperon and N. Cooper to Fed for monitoring."/>
  </r>
  <r>
    <m/>
    <n v="134"/>
    <x v="139"/>
    <d v="2005-10-01T00:00:00"/>
    <x v="10"/>
    <x v="5"/>
    <m/>
    <n v="2005"/>
    <n v="7"/>
    <s v="LAC"/>
    <x v="44"/>
    <s v="Hydrometerological"/>
    <x v="17"/>
    <s v="Tropical Cyclone"/>
    <s v="Hurricane"/>
    <m/>
    <m/>
    <m/>
    <m/>
    <m/>
    <s v=""/>
    <m/>
    <m/>
    <m/>
    <x v="0"/>
    <m/>
    <x v="0"/>
    <n v="0"/>
    <x v="27"/>
    <x v="0"/>
    <x v="0"/>
    <m/>
    <n v="47581"/>
    <x v="0"/>
    <m/>
    <m/>
    <x v="0"/>
    <m/>
    <m/>
    <m/>
    <m/>
    <m/>
    <m/>
    <m/>
    <m/>
    <m/>
    <m/>
    <m/>
    <m/>
    <m/>
    <m/>
    <x v="0"/>
    <m/>
    <n v="47581"/>
    <m/>
    <m/>
    <m/>
    <x v="104"/>
    <s v="Y"/>
    <m/>
    <m/>
    <m/>
    <m/>
    <n v="2759"/>
    <m/>
    <m/>
    <m/>
    <m/>
    <m/>
    <m/>
    <m/>
    <m/>
    <m/>
    <m/>
    <m/>
    <s v="Stan"/>
    <s v="PMN contribution to support Federation's appeal relief operations."/>
  </r>
  <r>
    <m/>
    <n v="134"/>
    <x v="140"/>
    <d v="2005-10-01T00:00:00"/>
    <x v="10"/>
    <x v="5"/>
    <m/>
    <n v="2005"/>
    <n v="7"/>
    <s v="LAC"/>
    <x v="2"/>
    <s v="Hydrometerological"/>
    <x v="17"/>
    <s v="Tropical Cyclone"/>
    <s v="Hurricane"/>
    <m/>
    <m/>
    <m/>
    <m/>
    <m/>
    <s v=""/>
    <m/>
    <m/>
    <m/>
    <x v="0"/>
    <m/>
    <x v="0"/>
    <n v="1"/>
    <x v="28"/>
    <x v="0"/>
    <x v="35"/>
    <m/>
    <n v="342378"/>
    <x v="0"/>
    <m/>
    <m/>
    <x v="0"/>
    <m/>
    <m/>
    <m/>
    <m/>
    <m/>
    <m/>
    <m/>
    <m/>
    <m/>
    <m/>
    <m/>
    <m/>
    <m/>
    <m/>
    <x v="0"/>
    <m/>
    <n v="342378"/>
    <m/>
    <m/>
    <m/>
    <x v="105"/>
    <s v="Y"/>
    <m/>
    <m/>
    <m/>
    <m/>
    <n v="2020"/>
    <m/>
    <m/>
    <m/>
    <m/>
    <m/>
    <m/>
    <m/>
    <m/>
    <m/>
    <m/>
    <m/>
    <s v="Stan"/>
    <s v="CASH: Initial PMN contribution for $25,000 from IRF 2099 for Federation's Hurricane Stan Appeal.Additional PMN contribution for $83,568 from AP2760 for Federation's Hurricane Stan Appeal relief operations. Additional $124,453 PMN contribution from AP 2020 for Federation's Hurricane Stan Appeal relief operations in Mexico. $49,357 PMN contribution from AP2882  to support Federation's appeal relief operations.Cash to Mex RC: $35,000 from AP2760 for Initial direct contribution to the MRC to support their relief operation. Additional contribution of $50,000 from AP2020 to the MexRC to support their relief operation gift from Exxon Mobil and G&amp;E."/>
  </r>
  <r>
    <s v="TC-2005-000173-SLV"/>
    <n v="135"/>
    <x v="141"/>
    <d v="2005-10-01T00:00:00"/>
    <x v="10"/>
    <x v="6"/>
    <m/>
    <n v="2005"/>
    <n v="8"/>
    <s v="LAC"/>
    <x v="35"/>
    <s v="Geophysical"/>
    <x v="4"/>
    <s v="Volcanic Eruption"/>
    <s v="Volcanic Eruption"/>
    <m/>
    <m/>
    <m/>
    <n v="1098045"/>
    <s v="05EA020"/>
    <n v="6.405930540187333E-3"/>
    <m/>
    <m/>
    <m/>
    <x v="4"/>
    <m/>
    <x v="0"/>
    <n v="0"/>
    <x v="29"/>
    <x v="0"/>
    <x v="0"/>
    <m/>
    <n v="7034"/>
    <x v="2"/>
    <m/>
    <m/>
    <x v="0"/>
    <m/>
    <m/>
    <m/>
    <m/>
    <m/>
    <m/>
    <m/>
    <m/>
    <m/>
    <m/>
    <m/>
    <m/>
    <m/>
    <m/>
    <x v="0"/>
    <m/>
    <n v="7034"/>
    <m/>
    <m/>
    <m/>
    <x v="106"/>
    <s v="Y"/>
    <m/>
    <m/>
    <m/>
    <m/>
    <n v="2690"/>
    <m/>
    <m/>
    <m/>
    <m/>
    <m/>
    <m/>
    <m/>
    <m/>
    <m/>
    <m/>
    <m/>
    <s v="Also: Floods"/>
    <s v="Nate Cooper deployed on PADRU team and PMN contribution to support Federation's appeal  relief operation in response of floods and volcanic eruption in El Salvador."/>
  </r>
  <r>
    <s v="TC-2005-000178-BHS"/>
    <n v="136"/>
    <x v="142"/>
    <d v="2005-10-01T00:00:00"/>
    <x v="10"/>
    <x v="7"/>
    <m/>
    <n v="2005"/>
    <n v="9"/>
    <s v="LAC"/>
    <x v="9"/>
    <s v="Hydrometerological"/>
    <x v="5"/>
    <s v="Tropical Cyclone"/>
    <s v="Hurricane"/>
    <m/>
    <m/>
    <m/>
    <n v="1634707"/>
    <s v="05EA024"/>
    <n v="0"/>
    <m/>
    <m/>
    <m/>
    <x v="0"/>
    <m/>
    <x v="0"/>
    <m/>
    <x v="0"/>
    <x v="0"/>
    <x v="0"/>
    <m/>
    <n v="0"/>
    <x v="0"/>
    <m/>
    <m/>
    <x v="28"/>
    <m/>
    <n v="2372"/>
    <m/>
    <m/>
    <m/>
    <m/>
    <m/>
    <m/>
    <m/>
    <m/>
    <m/>
    <m/>
    <m/>
    <m/>
    <x v="53"/>
    <m/>
    <n v="20597"/>
    <m/>
    <m/>
    <n v="4000"/>
    <x v="107"/>
    <s v="Y"/>
    <m/>
    <m/>
    <m/>
    <m/>
    <n v="2024"/>
    <m/>
    <m/>
    <m/>
    <m/>
    <m/>
    <m/>
    <m/>
    <m/>
    <m/>
    <m/>
    <m/>
    <s v="Wilma"/>
    <s v="$3.54 each + 6,200 (transport) = $14,596.88  plus shipping and handling"/>
  </r>
  <r>
    <s v="TC-2005-000178-MEX"/>
    <n v="136"/>
    <x v="143"/>
    <d v="2005-10-01T00:00:00"/>
    <x v="10"/>
    <x v="7"/>
    <m/>
    <n v="2005"/>
    <n v="9"/>
    <s v="LAC"/>
    <x v="2"/>
    <s v="Hydrometerological"/>
    <x v="5"/>
    <s v="Tropical Cyclone"/>
    <s v="Hurricane"/>
    <n v="300000"/>
    <m/>
    <m/>
    <n v="1918000"/>
    <s v="05EA024"/>
    <n v="0.23663660062565173"/>
    <m/>
    <m/>
    <m/>
    <x v="0"/>
    <m/>
    <x v="0"/>
    <n v="1"/>
    <x v="30"/>
    <x v="0"/>
    <x v="36"/>
    <m/>
    <n v="453869"/>
    <x v="0"/>
    <m/>
    <m/>
    <x v="29"/>
    <m/>
    <n v="4500"/>
    <m/>
    <m/>
    <m/>
    <m/>
    <m/>
    <m/>
    <m/>
    <m/>
    <m/>
    <m/>
    <m/>
    <m/>
    <x v="54"/>
    <m/>
    <n v="497744"/>
    <m/>
    <m/>
    <m/>
    <x v="108"/>
    <s v="Y"/>
    <m/>
    <m/>
    <m/>
    <m/>
    <n v="2757"/>
    <m/>
    <m/>
    <m/>
    <m/>
    <m/>
    <m/>
    <m/>
    <m/>
    <m/>
    <m/>
    <m/>
    <s v="Wilma"/>
    <s v="CASH: $250,000 -Initital direct contribution from AP 2757 to the MexRC to support their relief operation in Cozumel, gift from Carnival Cruise Lines. 2) $75,000 additional direct contribution from AP 2020 to the MexRC to support their relief operations, gift from AmEx;.3) $100,000 PMN contribution from AP2758 to support Federation's appeal relief operations, 1. 62000 2. 38000 (10.06); 4) $28,869 PMN contribution from AP2757 to support Federation's appeal relief operations;    SUPPLIES: PADRU stocks valued at $43,875;"/>
  </r>
  <r>
    <m/>
    <n v="137"/>
    <x v="144"/>
    <d v="2005-10-01T00:00:00"/>
    <x v="10"/>
    <x v="8"/>
    <m/>
    <n v="2005"/>
    <n v="10"/>
    <s v="Europe/Asia"/>
    <x v="16"/>
    <s v="Hydrometerological"/>
    <x v="5"/>
    <s v="Tropical Cyclone"/>
    <s v="Typhoon"/>
    <m/>
    <s v="Y"/>
    <s v="IFRC"/>
    <n v="628813"/>
    <s v="05EA019"/>
    <n v="3.3504396378573595E-2"/>
    <m/>
    <m/>
    <m/>
    <x v="5"/>
    <m/>
    <x v="0"/>
    <n v="0"/>
    <x v="31"/>
    <x v="0"/>
    <x v="0"/>
    <m/>
    <n v="21068"/>
    <x v="0"/>
    <m/>
    <m/>
    <x v="0"/>
    <m/>
    <m/>
    <m/>
    <m/>
    <m/>
    <m/>
    <m/>
    <m/>
    <m/>
    <m/>
    <m/>
    <m/>
    <m/>
    <m/>
    <x v="0"/>
    <m/>
    <n v="21068"/>
    <m/>
    <m/>
    <m/>
    <x v="109"/>
    <s v="Y"/>
    <m/>
    <m/>
    <m/>
    <m/>
    <n v="2870"/>
    <m/>
    <m/>
    <m/>
    <m/>
    <m/>
    <m/>
    <m/>
    <m/>
    <m/>
    <m/>
    <m/>
    <s v="Central Vietnam"/>
    <s v="PMN to the Federtion to support Vietnam: Typhoon Damrey Emergency Appeal. The funds were from Boejing and the PMN was handled by the region."/>
  </r>
  <r>
    <m/>
    <n v="138"/>
    <x v="145"/>
    <d v="2005-11-01T00:00:00"/>
    <x v="10"/>
    <x v="9"/>
    <m/>
    <n v="2005"/>
    <n v="11"/>
    <s v="LAC"/>
    <x v="87"/>
    <s v="Geophysical"/>
    <x v="4"/>
    <s v="Volcanic Eruption"/>
    <s v="Volcanic Eruption"/>
    <m/>
    <m/>
    <m/>
    <m/>
    <m/>
    <s v=""/>
    <m/>
    <m/>
    <m/>
    <x v="0"/>
    <m/>
    <x v="0"/>
    <m/>
    <x v="0"/>
    <x v="0"/>
    <x v="0"/>
    <m/>
    <n v="0"/>
    <x v="0"/>
    <m/>
    <m/>
    <x v="30"/>
    <m/>
    <m/>
    <m/>
    <m/>
    <m/>
    <n v="45"/>
    <m/>
    <m/>
    <m/>
    <m/>
    <m/>
    <m/>
    <m/>
    <m/>
    <x v="55"/>
    <m/>
    <n v="17402"/>
    <m/>
    <m/>
    <m/>
    <x v="110"/>
    <s v="Y"/>
    <m/>
    <m/>
    <m/>
    <m/>
    <n v="2898"/>
    <m/>
    <m/>
    <m/>
    <m/>
    <m/>
    <m/>
    <m/>
    <m/>
    <m/>
    <m/>
    <m/>
    <s v="Galeras Volcano"/>
    <s v="tents to the CRC - cost of shipping charged to 2099."/>
  </r>
  <r>
    <m/>
    <n v="139"/>
    <x v="146"/>
    <d v="2006-01-01T00:00:00"/>
    <x v="10"/>
    <x v="10"/>
    <m/>
    <n v="2006"/>
    <n v="1"/>
    <s v="Africa"/>
    <x v="70"/>
    <s v="Hydrometerological"/>
    <x v="1"/>
    <s v="Drought"/>
    <s v="Drought"/>
    <m/>
    <s v="Y"/>
    <s v="IFRC"/>
    <m/>
    <s v="05EA023"/>
    <s v=""/>
    <m/>
    <m/>
    <m/>
    <x v="6"/>
    <m/>
    <x v="0"/>
    <n v="1"/>
    <x v="1"/>
    <x v="0"/>
    <x v="0"/>
    <m/>
    <n v="100000"/>
    <x v="5"/>
    <m/>
    <m/>
    <x v="0"/>
    <m/>
    <m/>
    <m/>
    <m/>
    <m/>
    <m/>
    <m/>
    <m/>
    <m/>
    <m/>
    <m/>
    <m/>
    <m/>
    <m/>
    <x v="0"/>
    <m/>
    <n v="100000"/>
    <m/>
    <m/>
    <m/>
    <x v="5"/>
    <s v="N"/>
    <m/>
    <m/>
    <m/>
    <m/>
    <n v="2099"/>
    <m/>
    <m/>
    <m/>
    <m/>
    <m/>
    <m/>
    <m/>
    <m/>
    <m/>
    <m/>
    <m/>
    <s v="Food Crisis"/>
    <s v="PMN contribution to support Federation's appeal relief operations in Lesotho."/>
  </r>
  <r>
    <m/>
    <n v="139"/>
    <x v="147"/>
    <d v="2006-01-01T00:00:00"/>
    <x v="10"/>
    <x v="10"/>
    <m/>
    <n v="2006"/>
    <n v="1"/>
    <s v="Africa"/>
    <x v="37"/>
    <s v="Hydrometerological"/>
    <x v="1"/>
    <s v="Drought"/>
    <s v="Drought"/>
    <m/>
    <m/>
    <m/>
    <m/>
    <s v="05EA023"/>
    <s v=""/>
    <m/>
    <m/>
    <m/>
    <x v="0"/>
    <m/>
    <x v="0"/>
    <n v="1"/>
    <x v="32"/>
    <x v="0"/>
    <x v="0"/>
    <m/>
    <n v="150000"/>
    <x v="0"/>
    <m/>
    <m/>
    <x v="0"/>
    <m/>
    <m/>
    <m/>
    <m/>
    <m/>
    <m/>
    <m/>
    <m/>
    <m/>
    <m/>
    <m/>
    <m/>
    <m/>
    <m/>
    <x v="0"/>
    <m/>
    <n v="150000"/>
    <m/>
    <m/>
    <m/>
    <x v="13"/>
    <s v="N"/>
    <m/>
    <m/>
    <m/>
    <m/>
    <n v="2099"/>
    <m/>
    <m/>
    <m/>
    <m/>
    <m/>
    <m/>
    <m/>
    <m/>
    <m/>
    <m/>
    <m/>
    <s v="Food Crisis"/>
    <s v="PMN contribution to support Federation's appeal earmarked for Community Base Health Care Program to leverage NLRC funding."/>
  </r>
  <r>
    <m/>
    <n v="139"/>
    <x v="148"/>
    <d v="2006-01-01T00:00:00"/>
    <x v="10"/>
    <x v="10"/>
    <m/>
    <n v="2006"/>
    <n v="1"/>
    <s v="Africa"/>
    <x v="25"/>
    <s v="Hydrometerological"/>
    <x v="1"/>
    <s v="Drought"/>
    <s v="Drought"/>
    <m/>
    <m/>
    <m/>
    <m/>
    <s v="05EA023"/>
    <s v=""/>
    <m/>
    <m/>
    <m/>
    <x v="0"/>
    <m/>
    <x v="0"/>
    <n v="1"/>
    <x v="33"/>
    <x v="0"/>
    <x v="0"/>
    <m/>
    <n v="250000"/>
    <x v="0"/>
    <m/>
    <m/>
    <x v="0"/>
    <m/>
    <m/>
    <m/>
    <m/>
    <m/>
    <m/>
    <m/>
    <m/>
    <m/>
    <m/>
    <m/>
    <m/>
    <m/>
    <m/>
    <x v="0"/>
    <m/>
    <n v="250000"/>
    <m/>
    <m/>
    <m/>
    <x v="35"/>
    <s v="N"/>
    <m/>
    <m/>
    <m/>
    <m/>
    <n v="2099"/>
    <m/>
    <m/>
    <m/>
    <m/>
    <m/>
    <m/>
    <m/>
    <m/>
    <m/>
    <m/>
    <m/>
    <s v="Food Crisis"/>
    <s v="PMN contribution to support Federation's appeal relief operations in Zimbabwe."/>
  </r>
  <r>
    <m/>
    <n v="139"/>
    <x v="149"/>
    <d v="2006-01-01T00:00:00"/>
    <x v="10"/>
    <x v="10"/>
    <m/>
    <n v="2006"/>
    <n v="1"/>
    <s v="Africa"/>
    <x v="88"/>
    <s v="Hydrometerological"/>
    <x v="1"/>
    <s v="Drought"/>
    <s v="Drought"/>
    <m/>
    <m/>
    <m/>
    <s v="`"/>
    <s v="05EA023"/>
    <s v=""/>
    <m/>
    <m/>
    <m/>
    <x v="0"/>
    <m/>
    <x v="0"/>
    <n v="1"/>
    <x v="22"/>
    <x v="0"/>
    <x v="0"/>
    <m/>
    <n v="400000"/>
    <x v="0"/>
    <m/>
    <m/>
    <x v="0"/>
    <m/>
    <m/>
    <m/>
    <m/>
    <m/>
    <m/>
    <m/>
    <m/>
    <m/>
    <m/>
    <m/>
    <m/>
    <m/>
    <m/>
    <x v="0"/>
    <m/>
    <n v="400000"/>
    <m/>
    <m/>
    <m/>
    <x v="111"/>
    <s v="N"/>
    <m/>
    <m/>
    <m/>
    <m/>
    <n v="2099"/>
    <m/>
    <m/>
    <m/>
    <m/>
    <m/>
    <m/>
    <m/>
    <m/>
    <m/>
    <m/>
    <m/>
    <s v="Food Crisis"/>
    <s v="$400K &amp; $100K PMN contribution to support Federation's appeal relief operations in Zambia."/>
  </r>
  <r>
    <m/>
    <n v="140"/>
    <x v="150"/>
    <d v="2006-03-01T00:00:00"/>
    <x v="10"/>
    <x v="11"/>
    <m/>
    <n v="2006"/>
    <n v="2"/>
    <s v="Africa"/>
    <x v="58"/>
    <s v="Hydrometerological"/>
    <x v="1"/>
    <s v="Drought"/>
    <s v="Drought"/>
    <m/>
    <s v="Y"/>
    <s v="IFRC"/>
    <n v="10500000"/>
    <s v="MDRKE001"/>
    <n v="1.4285714285714285E-2"/>
    <m/>
    <m/>
    <m/>
    <x v="7"/>
    <m/>
    <x v="0"/>
    <n v="1"/>
    <x v="32"/>
    <x v="0"/>
    <x v="0"/>
    <m/>
    <n v="150000"/>
    <x v="0"/>
    <m/>
    <m/>
    <x v="0"/>
    <m/>
    <m/>
    <m/>
    <m/>
    <m/>
    <m/>
    <m/>
    <m/>
    <m/>
    <m/>
    <m/>
    <m/>
    <m/>
    <m/>
    <x v="0"/>
    <m/>
    <n v="150000"/>
    <m/>
    <m/>
    <m/>
    <x v="13"/>
    <s v="N"/>
    <m/>
    <m/>
    <m/>
    <m/>
    <n v="2099"/>
    <m/>
    <m/>
    <m/>
    <m/>
    <m/>
    <m/>
    <m/>
    <m/>
    <m/>
    <m/>
    <m/>
    <s v="E. Africa Appeal"/>
    <s v="PMN contribution to support Federation's appeal relief operations."/>
  </r>
  <r>
    <m/>
    <n v="141"/>
    <x v="151"/>
    <d v="2006-03-01T00:00:00"/>
    <x v="10"/>
    <x v="12"/>
    <m/>
    <n v="2006"/>
    <n v="3"/>
    <s v="Europe/Asia"/>
    <x v="72"/>
    <s v="Human Related"/>
    <x v="8"/>
    <s v="Conflict"/>
    <s v="Conflict"/>
    <m/>
    <s v="Y"/>
    <s v="IFRC/ ICRC"/>
    <m/>
    <s v="MDRIQ001 / 05EA026 / REX 07/346"/>
    <s v=""/>
    <m/>
    <m/>
    <m/>
    <x v="8"/>
    <m/>
    <x v="0"/>
    <n v="1"/>
    <x v="34"/>
    <x v="2"/>
    <x v="0"/>
    <m/>
    <n v="188443"/>
    <x v="0"/>
    <m/>
    <m/>
    <x v="0"/>
    <m/>
    <m/>
    <m/>
    <m/>
    <m/>
    <m/>
    <m/>
    <m/>
    <m/>
    <m/>
    <m/>
    <m/>
    <m/>
    <m/>
    <x v="0"/>
    <m/>
    <n v="188443"/>
    <m/>
    <m/>
    <n v="455000"/>
    <x v="112"/>
    <s v="Y"/>
    <m/>
    <m/>
    <m/>
    <m/>
    <n v="2689"/>
    <m/>
    <m/>
    <m/>
    <m/>
    <m/>
    <m/>
    <m/>
    <m/>
    <m/>
    <m/>
    <m/>
    <s v="Humanitarian Emergency"/>
    <s v="19,170 PMN to IFRC Iraq: Floods Appeal No. MDRIQ001 for 25,000 beneficiaries; 69,272.96 PMN to IFRC Iraq: Humanitarian Emergency Appeal No. 05 EA026 for 350,000 beneficiaries; 100,000 Cash Contribution to ICRC's emergency appeal for Iraq activities related to wat/san for 80,000 beneficiaries."/>
  </r>
  <r>
    <s v="-2006-000022-TMP"/>
    <n v="142"/>
    <x v="152"/>
    <d v="2006-02-01T00:00:00"/>
    <x v="10"/>
    <x v="13"/>
    <m/>
    <n v="2006"/>
    <n v="4"/>
    <s v="Europe/Asia"/>
    <x v="13"/>
    <s v="Hydrometerological"/>
    <x v="2"/>
    <s v="General Floods"/>
    <s v="General Floods"/>
    <m/>
    <s v="Y"/>
    <s v="IFRC"/>
    <n v="485000"/>
    <s v="MDRTP001"/>
    <n v="0.10309278350515463"/>
    <m/>
    <m/>
    <m/>
    <x v="9"/>
    <m/>
    <x v="0"/>
    <n v="1"/>
    <x v="6"/>
    <x v="0"/>
    <x v="0"/>
    <m/>
    <n v="50000"/>
    <x v="0"/>
    <m/>
    <m/>
    <x v="0"/>
    <m/>
    <m/>
    <m/>
    <m/>
    <m/>
    <m/>
    <m/>
    <m/>
    <m/>
    <m/>
    <m/>
    <m/>
    <m/>
    <m/>
    <x v="0"/>
    <m/>
    <n v="50000"/>
    <m/>
    <m/>
    <n v="8400"/>
    <x v="16"/>
    <s v="N"/>
    <m/>
    <m/>
    <m/>
    <m/>
    <n v="2799"/>
    <m/>
    <m/>
    <m/>
    <m/>
    <m/>
    <m/>
    <m/>
    <m/>
    <m/>
    <m/>
    <m/>
    <s v="Oecusse, Ainaro, Viqueque, Bobonaro and Baucau Districts"/>
    <s v="PMN contribution to support the Federation's operation in response to the Timor-Leste: Storms and Floods Emergency Appeal No. MDRTP001."/>
  </r>
  <r>
    <s v="MS-2006-000179-PHL"/>
    <n v="143"/>
    <x v="153"/>
    <d v="2006-02-01T00:00:00"/>
    <x v="10"/>
    <x v="14"/>
    <m/>
    <n v="2006"/>
    <n v="5"/>
    <s v="Europe/Asia"/>
    <x v="89"/>
    <s v="Hydrometerological"/>
    <x v="18"/>
    <s v="Landslide"/>
    <s v="Mudslide"/>
    <m/>
    <s v="Y"/>
    <s v="IFRC"/>
    <n v="2000000"/>
    <s v="MDRPH001"/>
    <n v="2.75E-2"/>
    <m/>
    <m/>
    <m/>
    <x v="10"/>
    <m/>
    <x v="0"/>
    <n v="1"/>
    <x v="6"/>
    <x v="0"/>
    <x v="18"/>
    <m/>
    <n v="55000"/>
    <x v="0"/>
    <m/>
    <m/>
    <x v="0"/>
    <m/>
    <m/>
    <m/>
    <m/>
    <m/>
    <m/>
    <m/>
    <m/>
    <m/>
    <m/>
    <m/>
    <m/>
    <m/>
    <m/>
    <x v="0"/>
    <m/>
    <n v="55000"/>
    <m/>
    <m/>
    <n v="8000"/>
    <x v="113"/>
    <s v="Y"/>
    <m/>
    <m/>
    <m/>
    <m/>
    <n v="2032"/>
    <m/>
    <m/>
    <m/>
    <m/>
    <m/>
    <m/>
    <m/>
    <m/>
    <m/>
    <m/>
    <m/>
    <s v="Southern Leyte"/>
    <s v="PMN contribution to support the Federation's operation in the Philippines: Landslides and Floods Emergency Appeal No. MDRPH001 in the amount of 50,000 USD; Amex donation to Philippines National Red Cross for their emergency operations in the amount of 5,000 USD."/>
  </r>
  <r>
    <m/>
    <n v="144"/>
    <x v="154"/>
    <d v="2006-05-01T00:00:00"/>
    <x v="10"/>
    <x v="15"/>
    <m/>
    <n v="2006"/>
    <n v="6"/>
    <s v="Africa"/>
    <x v="90"/>
    <s v="Biological"/>
    <x v="11"/>
    <s v="Bacterial"/>
    <s v="Bacterial"/>
    <m/>
    <m/>
    <m/>
    <m/>
    <m/>
    <s v=""/>
    <m/>
    <m/>
    <m/>
    <x v="0"/>
    <m/>
    <x v="0"/>
    <m/>
    <x v="0"/>
    <x v="0"/>
    <x v="0"/>
    <m/>
    <n v="0"/>
    <x v="2"/>
    <m/>
    <m/>
    <x v="0"/>
    <m/>
    <m/>
    <m/>
    <m/>
    <m/>
    <m/>
    <m/>
    <m/>
    <m/>
    <m/>
    <m/>
    <m/>
    <m/>
    <m/>
    <x v="0"/>
    <n v="5000"/>
    <n v="5000"/>
    <m/>
    <m/>
    <m/>
    <x v="46"/>
    <s v="N"/>
    <m/>
    <m/>
    <m/>
    <m/>
    <n v="2799"/>
    <m/>
    <m/>
    <m/>
    <m/>
    <m/>
    <m/>
    <m/>
    <m/>
    <m/>
    <m/>
    <m/>
    <s v="Cholera Outbreak"/>
    <s v="J. Koepsell as FACT Health"/>
  </r>
  <r>
    <m/>
    <n v="145"/>
    <x v="5"/>
    <d v="2006-04-01T00:00:00"/>
    <x v="10"/>
    <x v="16"/>
    <m/>
    <n v="2006"/>
    <n v="7"/>
    <s v="Africa"/>
    <x v="1"/>
    <s v="Hydrometerological"/>
    <x v="1"/>
    <s v="Drought"/>
    <s v="Drought"/>
    <m/>
    <s v="Y"/>
    <s v="IFRC"/>
    <n v="1129750"/>
    <s v="MDRET001"/>
    <n v="8.3612303606992691E-2"/>
    <m/>
    <m/>
    <m/>
    <x v="11"/>
    <m/>
    <x v="0"/>
    <n v="1"/>
    <x v="35"/>
    <x v="0"/>
    <x v="0"/>
    <m/>
    <n v="94461"/>
    <x v="0"/>
    <m/>
    <m/>
    <x v="0"/>
    <m/>
    <m/>
    <m/>
    <m/>
    <m/>
    <m/>
    <m/>
    <m/>
    <m/>
    <m/>
    <m/>
    <m/>
    <m/>
    <m/>
    <x v="0"/>
    <m/>
    <n v="94461"/>
    <m/>
    <m/>
    <m/>
    <x v="114"/>
    <s v="N"/>
    <m/>
    <m/>
    <m/>
    <m/>
    <n v="2099"/>
    <m/>
    <m/>
    <m/>
    <m/>
    <m/>
    <m/>
    <m/>
    <m/>
    <m/>
    <m/>
    <m/>
    <m/>
    <s v="PMN contribution to support Ethiopa: Drought Appeal"/>
  </r>
  <r>
    <m/>
    <n v="146"/>
    <x v="155"/>
    <d v="2006-04-01T00:00:00"/>
    <x v="10"/>
    <x v="17"/>
    <m/>
    <n v="2006"/>
    <n v="8"/>
    <s v="Africa"/>
    <x v="91"/>
    <s v="Hydrometerological"/>
    <x v="1"/>
    <s v="Drought"/>
    <s v="Drought"/>
    <m/>
    <s v="Y"/>
    <s v="ICRC"/>
    <m/>
    <m/>
    <s v=""/>
    <m/>
    <m/>
    <m/>
    <x v="0"/>
    <m/>
    <x v="0"/>
    <n v="1"/>
    <x v="0"/>
    <x v="5"/>
    <x v="0"/>
    <m/>
    <n v="250000"/>
    <x v="0"/>
    <m/>
    <m/>
    <x v="0"/>
    <m/>
    <m/>
    <m/>
    <m/>
    <m/>
    <m/>
    <m/>
    <m/>
    <m/>
    <m/>
    <m/>
    <m/>
    <m/>
    <m/>
    <x v="0"/>
    <m/>
    <n v="250000"/>
    <m/>
    <m/>
    <m/>
    <x v="35"/>
    <s v="N"/>
    <m/>
    <m/>
    <m/>
    <m/>
    <n v="2099"/>
    <m/>
    <m/>
    <m/>
    <m/>
    <m/>
    <m/>
    <m/>
    <m/>
    <m/>
    <m/>
    <m/>
    <m/>
    <s v="Pledge Letter to ICRC for Somalia Emergency Appeal"/>
  </r>
  <r>
    <m/>
    <n v="147"/>
    <x v="156"/>
    <d v="2006-04-01T00:00:00"/>
    <x v="10"/>
    <x v="18"/>
    <m/>
    <n v="2006"/>
    <n v="9"/>
    <s v="Europe/Asia"/>
    <x v="92"/>
    <s v="Human Related"/>
    <x v="12"/>
    <s v="Terrorism"/>
    <s v="Terrorism"/>
    <m/>
    <m/>
    <m/>
    <m/>
    <m/>
    <s v=""/>
    <m/>
    <m/>
    <m/>
    <x v="0"/>
    <m/>
    <x v="0"/>
    <m/>
    <x v="0"/>
    <x v="0"/>
    <x v="37"/>
    <m/>
    <n v="20000"/>
    <x v="0"/>
    <m/>
    <m/>
    <x v="0"/>
    <m/>
    <m/>
    <m/>
    <m/>
    <m/>
    <m/>
    <m/>
    <m/>
    <m/>
    <m/>
    <m/>
    <m/>
    <m/>
    <m/>
    <x v="0"/>
    <m/>
    <n v="20000"/>
    <m/>
    <m/>
    <m/>
    <x v="25"/>
    <s v="Y"/>
    <m/>
    <m/>
    <m/>
    <m/>
    <n v="2903"/>
    <m/>
    <m/>
    <m/>
    <m/>
    <m/>
    <m/>
    <m/>
    <m/>
    <m/>
    <m/>
    <m/>
    <s v="April 2004 MadridTrain Bombing"/>
    <s v="Suspense acct contribution following April 2004 bombing. Grant to Spain RC for DPP"/>
  </r>
  <r>
    <m/>
    <n v="148"/>
    <x v="157"/>
    <d v="2006-05-01T00:00:00"/>
    <x v="10"/>
    <x v="19"/>
    <m/>
    <n v="2006"/>
    <n v="10"/>
    <s v="LAC"/>
    <x v="87"/>
    <s v="Hydrometerological"/>
    <x v="2"/>
    <s v="General Floods"/>
    <m/>
    <m/>
    <m/>
    <m/>
    <m/>
    <m/>
    <s v=""/>
    <m/>
    <m/>
    <m/>
    <x v="0"/>
    <m/>
    <x v="1"/>
    <m/>
    <x v="0"/>
    <x v="0"/>
    <x v="7"/>
    <m/>
    <n v="50000"/>
    <x v="0"/>
    <m/>
    <m/>
    <x v="0"/>
    <m/>
    <m/>
    <m/>
    <m/>
    <m/>
    <m/>
    <m/>
    <m/>
    <m/>
    <m/>
    <m/>
    <m/>
    <m/>
    <m/>
    <x v="0"/>
    <m/>
    <n v="50000"/>
    <m/>
    <m/>
    <m/>
    <x v="16"/>
    <s v="N"/>
    <m/>
    <m/>
    <m/>
    <m/>
    <n v="2799"/>
    <m/>
    <m/>
    <m/>
    <m/>
    <m/>
    <m/>
    <m/>
    <m/>
    <m/>
    <m/>
    <m/>
    <m/>
    <s v="OFDA award in support of ARC's proposal &quot;Colombia Floods 2006&quot; to support CRC emergency relief response."/>
  </r>
  <r>
    <s v="EQ-2006-000064-IDN"/>
    <n v="149"/>
    <x v="158"/>
    <d v="2006-05-01T00:00:00"/>
    <x v="10"/>
    <x v="23"/>
    <m/>
    <n v="2006"/>
    <n v="11"/>
    <s v="Europe/Asia"/>
    <x v="27"/>
    <s v="Geophysical"/>
    <x v="3"/>
    <s v="Earthquake"/>
    <s v="Earthquake"/>
    <m/>
    <s v="Y"/>
    <s v="IFRC"/>
    <n v="31000000"/>
    <s v="MDRID001"/>
    <n v="4.5104838709677422E-2"/>
    <m/>
    <m/>
    <m/>
    <x v="12"/>
    <m/>
    <x v="0"/>
    <n v="1"/>
    <x v="36"/>
    <x v="0"/>
    <x v="0"/>
    <m/>
    <n v="1398250"/>
    <x v="15"/>
    <s v="Relief ERU"/>
    <m/>
    <x v="0"/>
    <m/>
    <m/>
    <m/>
    <m/>
    <m/>
    <m/>
    <m/>
    <m/>
    <m/>
    <m/>
    <m/>
    <m/>
    <m/>
    <m/>
    <x v="0"/>
    <n v="87500"/>
    <n v="1485750"/>
    <m/>
    <m/>
    <n v="13000"/>
    <x v="115"/>
    <s v="Y"/>
    <m/>
    <m/>
    <m/>
    <m/>
    <s v="2930 / 2799"/>
    <m/>
    <m/>
    <m/>
    <m/>
    <m/>
    <m/>
    <m/>
    <m/>
    <m/>
    <m/>
    <m/>
    <s v="Yogyakarta"/>
    <s v="CASH: 1. PMN to Fed 119,000 from AP2930  2. PMN to Fed 179,250 from AP2930 earmarked for 80K sleeping mats 3. PMN from AP2930 to Fed 1 million earmarked for tarps (600K), PSP (100K), DM (300K); PMN contribution to support Fed appeal relief operations - joint w/ 119,000 from AP 2930 4. PEOPLE: Relief ERU deployed with N. Cooper, C. Blake, S. Rahman, B. Riester, T. Betz, C. Chaperon. PA B. Gillespie, Health S. Shetty, PSP team"/>
  </r>
  <r>
    <m/>
    <n v="150"/>
    <x v="88"/>
    <d v="2006-07-01T00:00:00"/>
    <x v="11"/>
    <x v="1"/>
    <m/>
    <n v="2006"/>
    <n v="12"/>
    <s v="Europe/Asia"/>
    <x v="61"/>
    <s v="Hydrometerological"/>
    <x v="2"/>
    <s v="General Floods"/>
    <s v="General Floods"/>
    <m/>
    <s v="Y"/>
    <s v="IFRC"/>
    <n v="1900000"/>
    <s v="MDRRO001"/>
    <n v="2.631578947368421E-3"/>
    <m/>
    <m/>
    <m/>
    <x v="13"/>
    <m/>
    <x v="0"/>
    <n v="0"/>
    <x v="11"/>
    <x v="0"/>
    <x v="0"/>
    <m/>
    <n v="5000"/>
    <x v="0"/>
    <m/>
    <m/>
    <x v="0"/>
    <m/>
    <m/>
    <m/>
    <m/>
    <m/>
    <m/>
    <m/>
    <m/>
    <m/>
    <m/>
    <m/>
    <m/>
    <m/>
    <m/>
    <x v="0"/>
    <m/>
    <n v="5000"/>
    <m/>
    <m/>
    <m/>
    <x v="46"/>
    <s v="Y"/>
    <m/>
    <m/>
    <m/>
    <m/>
    <n v="2685"/>
    <m/>
    <m/>
    <m/>
    <m/>
    <m/>
    <m/>
    <m/>
    <m/>
    <m/>
    <m/>
    <m/>
    <s v="Country-Wide"/>
    <s v="PMN contribution to support Federation's Emergency Appeal - AmEx contribution - from suspense acct"/>
  </r>
  <r>
    <m/>
    <n v="151"/>
    <x v="159"/>
    <d v="2006-07-01T00:00:00"/>
    <x v="11"/>
    <x v="2"/>
    <m/>
    <n v="2006"/>
    <n v="13"/>
    <s v="Europe/Asia"/>
    <x v="93"/>
    <s v="Human Related"/>
    <x v="8"/>
    <s v="Conflict"/>
    <s v="Conflict"/>
    <m/>
    <s v="Y"/>
    <s v="IFRC/ICRC"/>
    <n v="83131000"/>
    <s v="MDR81001 /REX 06/575"/>
    <n v="2.2730389385427818E-2"/>
    <m/>
    <m/>
    <m/>
    <x v="14"/>
    <m/>
    <x v="0"/>
    <n v="1"/>
    <x v="37"/>
    <x v="6"/>
    <x v="38"/>
    <m/>
    <n v="1889600"/>
    <x v="0"/>
    <m/>
    <m/>
    <x v="0"/>
    <m/>
    <m/>
    <m/>
    <m/>
    <m/>
    <m/>
    <m/>
    <m/>
    <m/>
    <m/>
    <m/>
    <m/>
    <m/>
    <m/>
    <x v="0"/>
    <m/>
    <n v="1889600"/>
    <m/>
    <m/>
    <m/>
    <x v="116"/>
    <s v="Y"/>
    <m/>
    <m/>
    <m/>
    <m/>
    <s v="2099 /2649"/>
    <m/>
    <m/>
    <m/>
    <m/>
    <m/>
    <m/>
    <m/>
    <m/>
    <m/>
    <m/>
    <m/>
    <s v="Humanitarian Crisis"/>
    <s v="CASH: Contributions to ICRC - 1. $500,000 2. $150,000 3. $211,136 to MDA specifically from AP2099; Contributions to ICRC - 1. $150,000 2. 47,500 (Dow Chemical Com from AP2649 pany), Contribution to Fed $475,000 (Coca Cola) from AP2649; $200,000 grant to Palestinian Red Crescent for southern Lebanon; $156,000 grant to Lebanese Red Cross for ambulances"/>
  </r>
  <r>
    <m/>
    <n v="152"/>
    <x v="8"/>
    <d v="2006-08-01T00:00:00"/>
    <x v="11"/>
    <x v="3"/>
    <m/>
    <n v="2006"/>
    <n v="14"/>
    <s v="Europe/Asia"/>
    <x v="4"/>
    <s v="Hydrometerological"/>
    <x v="2"/>
    <s v="General Floods"/>
    <s v="General Floods"/>
    <m/>
    <s v="Y"/>
    <s v="IFRC"/>
    <n v="4825791"/>
    <s v="MDRCN001"/>
    <n v="1.036099574142353E-2"/>
    <m/>
    <m/>
    <m/>
    <x v="15"/>
    <m/>
    <x v="0"/>
    <n v="1"/>
    <x v="6"/>
    <x v="0"/>
    <x v="0"/>
    <m/>
    <n v="50000"/>
    <x v="0"/>
    <m/>
    <m/>
    <x v="0"/>
    <m/>
    <m/>
    <m/>
    <m/>
    <m/>
    <m/>
    <m/>
    <m/>
    <m/>
    <m/>
    <m/>
    <m/>
    <m/>
    <m/>
    <x v="0"/>
    <m/>
    <n v="50000"/>
    <m/>
    <m/>
    <m/>
    <x v="16"/>
    <s v="N"/>
    <m/>
    <m/>
    <m/>
    <m/>
    <n v="2799"/>
    <m/>
    <m/>
    <m/>
    <m/>
    <m/>
    <m/>
    <m/>
    <m/>
    <m/>
    <m/>
    <m/>
    <m/>
    <s v="PMN contribution earmarked for procurement of rice to support Fed's China: Floods Appeal"/>
  </r>
  <r>
    <s v="VO-2006-"/>
    <n v="153"/>
    <x v="160"/>
    <d v="2006-08-01T00:00:00"/>
    <x v="11"/>
    <x v="4"/>
    <m/>
    <n v="2006"/>
    <n v="15"/>
    <s v="LAC"/>
    <x v="45"/>
    <s v="Geophysical"/>
    <x v="4"/>
    <s v="Volcanic Eruption"/>
    <s v="Volcanic Eruption"/>
    <m/>
    <s v="Y"/>
    <s v="IFRC"/>
    <n v="514753"/>
    <s v="MDREC002"/>
    <n v="9.7133965222155089E-2"/>
    <n v="1"/>
    <m/>
    <m/>
    <x v="16"/>
    <m/>
    <x v="0"/>
    <m/>
    <x v="0"/>
    <x v="0"/>
    <x v="7"/>
    <m/>
    <n v="50000"/>
    <x v="0"/>
    <m/>
    <m/>
    <x v="0"/>
    <m/>
    <m/>
    <m/>
    <m/>
    <m/>
    <m/>
    <m/>
    <m/>
    <m/>
    <m/>
    <m/>
    <m/>
    <m/>
    <m/>
    <x v="0"/>
    <m/>
    <n v="50000"/>
    <m/>
    <m/>
    <m/>
    <x v="16"/>
    <s v="N"/>
    <m/>
    <m/>
    <m/>
    <m/>
    <n v="2799"/>
    <m/>
    <m/>
    <m/>
    <m/>
    <m/>
    <m/>
    <m/>
    <m/>
    <m/>
    <m/>
    <m/>
    <s v="Tungurahua"/>
    <s v="OFDA award in support of ARC's proposal &quot;Tungurahua Volcano eruption&quot; to support the ERC emergency relief response."/>
  </r>
  <r>
    <s v="FL-2006-000122-ETH"/>
    <n v="154"/>
    <x v="161"/>
    <d v="2006-08-01T00:00:00"/>
    <x v="11"/>
    <x v="5"/>
    <m/>
    <n v="2006"/>
    <n v="16"/>
    <s v="Africa"/>
    <x v="1"/>
    <s v="Hydrometerological"/>
    <x v="2"/>
    <s v="General Floods"/>
    <s v="General Floods"/>
    <m/>
    <s v="Y"/>
    <s v="IFRC"/>
    <n v="4225070"/>
    <s v="MDRET003"/>
    <n v="2.0118009879126264E-2"/>
    <m/>
    <m/>
    <m/>
    <x v="5"/>
    <m/>
    <x v="0"/>
    <n v="1"/>
    <x v="38"/>
    <x v="0"/>
    <x v="0"/>
    <m/>
    <n v="85000"/>
    <x v="4"/>
    <m/>
    <m/>
    <x v="0"/>
    <m/>
    <m/>
    <m/>
    <m/>
    <m/>
    <m/>
    <m/>
    <m/>
    <m/>
    <m/>
    <m/>
    <m/>
    <m/>
    <m/>
    <x v="0"/>
    <m/>
    <n v="85000"/>
    <m/>
    <m/>
    <m/>
    <x v="117"/>
    <s v="Y"/>
    <m/>
    <m/>
    <m/>
    <m/>
    <s v="2099 / 2648"/>
    <m/>
    <m/>
    <m/>
    <m/>
    <m/>
    <m/>
    <m/>
    <m/>
    <m/>
    <m/>
    <m/>
    <s v="Amhara"/>
    <s v="CASH: PMN from 2099 contribution to Fed Appeal earmarked for tarps, blankets, sleeping mats PEOPLE: Deployed J. Manley, Prog Coordinator, 2 mo. AND K.White, Prog Delegate, 2 mo. From AP 2648."/>
  </r>
  <r>
    <s v="FL-2006-000123-SDN"/>
    <n v="155"/>
    <x v="162"/>
    <d v="2006-09-01T00:00:00"/>
    <x v="11"/>
    <x v="6"/>
    <m/>
    <n v="2006"/>
    <n v="17"/>
    <s v="Africa"/>
    <x v="81"/>
    <s v="Hydrometerological"/>
    <x v="2"/>
    <s v="General Floods"/>
    <s v="General Floods"/>
    <m/>
    <s v="Y"/>
    <s v="IFRC"/>
    <n v="492625"/>
    <s v="MDRSD002"/>
    <n v="2.0299416391778735E-2"/>
    <m/>
    <m/>
    <m/>
    <x v="17"/>
    <m/>
    <x v="0"/>
    <n v="0"/>
    <x v="2"/>
    <x v="0"/>
    <x v="0"/>
    <m/>
    <n v="10000"/>
    <x v="0"/>
    <m/>
    <m/>
    <x v="6"/>
    <m/>
    <m/>
    <m/>
    <m/>
    <m/>
    <m/>
    <m/>
    <m/>
    <n v="10000"/>
    <m/>
    <m/>
    <m/>
    <m/>
    <m/>
    <x v="56"/>
    <m/>
    <n v="46900"/>
    <m/>
    <m/>
    <m/>
    <x v="118"/>
    <s v="Y"/>
    <m/>
    <m/>
    <m/>
    <m/>
    <n v="2802"/>
    <m/>
    <m/>
    <m/>
    <m/>
    <m/>
    <m/>
    <m/>
    <s v="N"/>
    <m/>
    <m/>
    <m/>
    <m/>
    <s v="Nets @ $3.69 each + $10,000 (transport) = $46,900"/>
  </r>
  <r>
    <s v="TC-2006-000175-PHL"/>
    <n v="156"/>
    <x v="163"/>
    <d v="2006-10-01T00:00:00"/>
    <x v="11"/>
    <x v="7"/>
    <m/>
    <n v="2006"/>
    <n v="18"/>
    <s v="Europe/Asia"/>
    <x v="89"/>
    <s v="Hydrometerological"/>
    <x v="5"/>
    <s v="Tropical Cyclone"/>
    <s v="Typhoon"/>
    <m/>
    <s v="Y"/>
    <s v="IFRC"/>
    <n v="8637057"/>
    <s v="MDRPH002"/>
    <n v="9.1119000372464828E-2"/>
    <m/>
    <m/>
    <m/>
    <x v="18"/>
    <m/>
    <x v="0"/>
    <n v="1"/>
    <x v="39"/>
    <x v="0"/>
    <x v="0"/>
    <m/>
    <n v="787000"/>
    <x v="4"/>
    <m/>
    <m/>
    <x v="0"/>
    <m/>
    <m/>
    <m/>
    <m/>
    <m/>
    <m/>
    <m/>
    <m/>
    <m/>
    <m/>
    <m/>
    <m/>
    <m/>
    <m/>
    <x v="0"/>
    <n v="6500"/>
    <n v="793500"/>
    <m/>
    <m/>
    <m/>
    <x v="119"/>
    <s v="Y"/>
    <m/>
    <m/>
    <m/>
    <m/>
    <n v="2032"/>
    <m/>
    <m/>
    <m/>
    <m/>
    <m/>
    <m/>
    <m/>
    <s v="N"/>
    <m/>
    <m/>
    <m/>
    <s v="Xangsane / Durian"/>
    <s v="PEOPLE: Deployed B. Gaillis, Ops Coordinator, 5 wks; Deployed C. Blake, FACT Relief, 3 wks. CASH: 2. PMN Fed Philippines: Typhoons $237,000 from AP2032; PMN Fed Philippines: Typhoon Xangsane Appeal $200,000 from AP2099;  3. PMN Fed Philippines: Typhoons $350K earmarked for CGI from AP2032;"/>
  </r>
  <r>
    <s v="TC-2006-000144-VNM; TC-2006-000175-VNM"/>
    <n v="157"/>
    <x v="164"/>
    <d v="2006-10-01T00:00:00"/>
    <x v="11"/>
    <x v="8"/>
    <m/>
    <n v="2006"/>
    <n v="19"/>
    <s v="Europe/Asia"/>
    <x v="16"/>
    <s v="Hydrometerological"/>
    <x v="5"/>
    <s v="Tropical Cyclone"/>
    <s v="Typhoon"/>
    <m/>
    <s v="Y"/>
    <s v="IFRC"/>
    <n v="1340000"/>
    <s v="MDRVN001"/>
    <n v="4.7014925373134328E-2"/>
    <m/>
    <m/>
    <m/>
    <x v="19"/>
    <m/>
    <x v="0"/>
    <n v="1"/>
    <x v="40"/>
    <x v="0"/>
    <x v="0"/>
    <m/>
    <n v="63000"/>
    <x v="0"/>
    <m/>
    <m/>
    <x v="0"/>
    <m/>
    <m/>
    <m/>
    <m/>
    <m/>
    <m/>
    <m/>
    <m/>
    <m/>
    <m/>
    <m/>
    <m/>
    <m/>
    <m/>
    <x v="0"/>
    <m/>
    <n v="63000"/>
    <m/>
    <m/>
    <m/>
    <x v="120"/>
    <s v="N"/>
    <m/>
    <m/>
    <m/>
    <m/>
    <n v="2799"/>
    <m/>
    <m/>
    <m/>
    <m/>
    <m/>
    <m/>
    <m/>
    <s v="Y"/>
    <m/>
    <m/>
    <m/>
    <s v="Xangsane"/>
    <s v="PMN Fed Vietnam from AP2799: Typhoon Xangsane Appeal $25,000; PMN Fed Vietnam from AP2870: Typhoon Xangsane $38,000"/>
  </r>
  <r>
    <m/>
    <n v="158"/>
    <x v="165"/>
    <d v="2006-11-01T00:00:00"/>
    <x v="11"/>
    <x v="9"/>
    <m/>
    <n v="2006"/>
    <n v="20"/>
    <s v="Africa"/>
    <x v="91"/>
    <s v="Human Related"/>
    <x v="8"/>
    <s v="Conflict"/>
    <s v="Conflict"/>
    <m/>
    <m/>
    <m/>
    <m/>
    <m/>
    <s v=""/>
    <m/>
    <m/>
    <m/>
    <x v="0"/>
    <m/>
    <x v="0"/>
    <m/>
    <x v="0"/>
    <x v="7"/>
    <x v="0"/>
    <m/>
    <n v="50000"/>
    <x v="0"/>
    <m/>
    <m/>
    <x v="0"/>
    <m/>
    <m/>
    <m/>
    <m/>
    <m/>
    <m/>
    <m/>
    <m/>
    <m/>
    <m/>
    <m/>
    <m/>
    <m/>
    <m/>
    <x v="0"/>
    <m/>
    <n v="50000"/>
    <m/>
    <m/>
    <m/>
    <x v="16"/>
    <s v="N"/>
    <m/>
    <m/>
    <m/>
    <m/>
    <n v="2799"/>
    <m/>
    <m/>
    <m/>
    <m/>
    <m/>
    <m/>
    <m/>
    <s v="Y"/>
    <m/>
    <m/>
    <m/>
    <s v="IDP"/>
    <s v="Contribution to ICRC 2006 Somalia Emergency Appeal - spec IDPs"/>
  </r>
  <r>
    <s v="FL-2006-000159-KEN"/>
    <n v="159"/>
    <x v="81"/>
    <d v="2006-11-01T00:00:00"/>
    <x v="11"/>
    <x v="10"/>
    <m/>
    <n v="2006"/>
    <n v="21"/>
    <s v="Africa"/>
    <x v="58"/>
    <s v="Hydrometerological"/>
    <x v="2"/>
    <s v="General Floods"/>
    <s v="General Floods"/>
    <m/>
    <s v="Y"/>
    <s v="IFRC"/>
    <n v="21832647"/>
    <s v="MDRKE003"/>
    <n v="3.6642373231244017E-3"/>
    <m/>
    <m/>
    <m/>
    <x v="20"/>
    <m/>
    <x v="0"/>
    <n v="1"/>
    <x v="6"/>
    <x v="0"/>
    <x v="39"/>
    <m/>
    <n v="80000"/>
    <x v="0"/>
    <m/>
    <m/>
    <x v="31"/>
    <m/>
    <m/>
    <m/>
    <m/>
    <m/>
    <m/>
    <m/>
    <m/>
    <n v="20000"/>
    <m/>
    <m/>
    <m/>
    <m/>
    <m/>
    <x v="57"/>
    <m/>
    <n v="200000"/>
    <m/>
    <m/>
    <m/>
    <x v="121"/>
    <s v="Y"/>
    <m/>
    <m/>
    <m/>
    <m/>
    <s v="2925 / 2099"/>
    <m/>
    <m/>
    <m/>
    <m/>
    <m/>
    <m/>
    <m/>
    <s v="N"/>
    <m/>
    <m/>
    <m/>
    <m/>
    <s v="CASH: From AP2925: 30K - IDR/IP grant directly to Kenya Red Cross; PMN to Fed - 50k from LDS; SUPPLIES: 20,000 (mosquito nets) @ $4.44 each + PSR, etc + $20,000 (transport) = $120,000 from AP2099"/>
  </r>
  <r>
    <m/>
    <n v="160"/>
    <x v="166"/>
    <d v="2006-11-01T00:00:00"/>
    <x v="11"/>
    <x v="11"/>
    <m/>
    <n v="2006"/>
    <n v="22"/>
    <s v="Africa"/>
    <x v="91"/>
    <s v="Hydrometerological"/>
    <x v="2"/>
    <s v="General Floods"/>
    <s v="General Floods"/>
    <m/>
    <s v="Y"/>
    <s v="ICRC"/>
    <n v="33508000"/>
    <s v="REX 06/813"/>
    <n v="2.9843619434164977E-3"/>
    <m/>
    <m/>
    <m/>
    <x v="21"/>
    <m/>
    <x v="0"/>
    <m/>
    <x v="0"/>
    <x v="2"/>
    <x v="0"/>
    <m/>
    <n v="100000"/>
    <x v="0"/>
    <m/>
    <m/>
    <x v="0"/>
    <m/>
    <m/>
    <m/>
    <m/>
    <m/>
    <m/>
    <m/>
    <m/>
    <m/>
    <m/>
    <m/>
    <m/>
    <m/>
    <m/>
    <x v="0"/>
    <m/>
    <n v="100000"/>
    <m/>
    <m/>
    <m/>
    <x v="5"/>
    <s v="N"/>
    <m/>
    <m/>
    <m/>
    <m/>
    <n v="2099"/>
    <m/>
    <m/>
    <m/>
    <m/>
    <m/>
    <m/>
    <m/>
    <s v="N"/>
    <m/>
    <m/>
    <m/>
    <m/>
    <s v="Contribution to ICRC 2006 Somalia Emergency Appeal - spec those affected by floods"/>
  </r>
  <r>
    <s v="FL-2006-000198-MOZ"/>
    <n v="161"/>
    <x v="46"/>
    <d v="2007-02-01T00:00:00"/>
    <x v="11"/>
    <x v="12"/>
    <m/>
    <n v="2007"/>
    <n v="1"/>
    <s v="Africa"/>
    <x v="36"/>
    <s v="Hydrometerological"/>
    <x v="2"/>
    <s v="General Floods"/>
    <s v="General Floods"/>
    <m/>
    <s v="Y"/>
    <s v="IFRC"/>
    <n v="5971938"/>
    <s v="MDRMZ002"/>
    <n v="0"/>
    <m/>
    <m/>
    <m/>
    <x v="22"/>
    <m/>
    <x v="0"/>
    <m/>
    <x v="0"/>
    <x v="0"/>
    <x v="0"/>
    <m/>
    <n v="0"/>
    <x v="4"/>
    <s v="Relief ERU"/>
    <m/>
    <x v="32"/>
    <m/>
    <m/>
    <n v="7050"/>
    <m/>
    <m/>
    <m/>
    <m/>
    <m/>
    <m/>
    <m/>
    <n v="3900"/>
    <m/>
    <m/>
    <m/>
    <x v="58"/>
    <n v="45000"/>
    <n v="245000"/>
    <m/>
    <m/>
    <m/>
    <x v="122"/>
    <s v="Y"/>
    <m/>
    <m/>
    <m/>
    <m/>
    <s v="2099 /2936"/>
    <m/>
    <m/>
    <m/>
    <m/>
    <m/>
    <m/>
    <m/>
    <s v="N"/>
    <m/>
    <m/>
    <m/>
    <s v="Caia"/>
    <s v="SUPPLIES: 7050 blankets @ $3.75, 3900 tarps @ $14.20, 16,000 sleeping mats @ $1.70; PEOPLE: Relief ERU deployment - T. Reines, G. Guinta, 1 month, 2nd team rotation from  AP2936"/>
  </r>
  <r>
    <s v="FL-2007-000012-BOL"/>
    <n v="162"/>
    <x v="48"/>
    <d v="2007-02-01T00:00:00"/>
    <x v="11"/>
    <x v="13"/>
    <m/>
    <n v="2007"/>
    <n v="2"/>
    <s v="LAC"/>
    <x v="38"/>
    <s v="Hydrometerological"/>
    <x v="2"/>
    <s v="General Floods"/>
    <s v="General Floods"/>
    <m/>
    <s v="Y"/>
    <s v="IFRC"/>
    <n v="484360"/>
    <s v="MDRBO002"/>
    <n v="0.30968700966223472"/>
    <m/>
    <m/>
    <m/>
    <x v="23"/>
    <m/>
    <x v="0"/>
    <n v="1"/>
    <x v="32"/>
    <x v="0"/>
    <x v="0"/>
    <m/>
    <n v="150000"/>
    <x v="0"/>
    <m/>
    <m/>
    <x v="0"/>
    <m/>
    <m/>
    <m/>
    <m/>
    <m/>
    <m/>
    <m/>
    <m/>
    <m/>
    <m/>
    <m/>
    <m/>
    <m/>
    <m/>
    <x v="0"/>
    <m/>
    <n v="150000"/>
    <m/>
    <m/>
    <m/>
    <x v="13"/>
    <s v="Y"/>
    <m/>
    <m/>
    <m/>
    <m/>
    <s v="2099 / 2666"/>
    <m/>
    <m/>
    <m/>
    <m/>
    <m/>
    <m/>
    <m/>
    <s v="N"/>
    <m/>
    <m/>
    <m/>
    <m/>
    <s v="$50,000 PMN to Fed - unearmarked from 2099; $100,000  from 2666 - OFDA grant to Fed via PMN. Earmarked for 1500 food parcels, 1500 tool kits and remaining goes to transport costs."/>
  </r>
  <r>
    <m/>
    <n v="163"/>
    <x v="167"/>
    <d v="2007-03-01T00:00:00"/>
    <x v="11"/>
    <x v="14"/>
    <m/>
    <n v="2007"/>
    <n v="3"/>
    <s v="Europe/Asia"/>
    <x v="34"/>
    <s v="Human Related"/>
    <x v="8"/>
    <s v="Conflict"/>
    <s v="Conflict"/>
    <m/>
    <s v="Y"/>
    <s v="ICRC"/>
    <n v="32018000"/>
    <s v="REX 07/376"/>
    <n v="6.2464863514273224E-2"/>
    <m/>
    <m/>
    <m/>
    <x v="24"/>
    <m/>
    <x v="0"/>
    <m/>
    <x v="0"/>
    <x v="8"/>
    <x v="0"/>
    <m/>
    <n v="2000000"/>
    <x v="0"/>
    <m/>
    <m/>
    <x v="0"/>
    <m/>
    <m/>
    <m/>
    <m/>
    <m/>
    <m/>
    <m/>
    <m/>
    <m/>
    <m/>
    <m/>
    <m/>
    <m/>
    <m/>
    <x v="0"/>
    <m/>
    <n v="2000000"/>
    <m/>
    <m/>
    <m/>
    <x v="123"/>
    <s v="Y"/>
    <m/>
    <m/>
    <m/>
    <m/>
    <s v="2695 /2692"/>
    <m/>
    <m/>
    <m/>
    <m/>
    <m/>
    <m/>
    <m/>
    <s v="N"/>
    <m/>
    <m/>
    <m/>
    <m/>
    <s v="Contribution to ICRC 2007 Sri Lanka Emergency Appeal - to build the capacity of the SLRCS in disaster relief, IHL and overall cooperation. $320K earmarked to support ICRC HQ ops"/>
  </r>
  <r>
    <m/>
    <n v="164"/>
    <x v="168"/>
    <d v="2007-03-01T00:00:00"/>
    <x v="11"/>
    <x v="15"/>
    <m/>
    <n v="2007"/>
    <n v="4"/>
    <s v="Africa"/>
    <x v="26"/>
    <s v="Hydrometerological"/>
    <x v="5"/>
    <s v="Tropical Cyclone"/>
    <s v="Cyclone"/>
    <m/>
    <s v="Y"/>
    <s v="IFRC"/>
    <n v="1649430"/>
    <s v="MDRMG002"/>
    <n v="0"/>
    <m/>
    <m/>
    <m/>
    <x v="25"/>
    <m/>
    <x v="0"/>
    <m/>
    <x v="0"/>
    <x v="0"/>
    <x v="0"/>
    <m/>
    <n v="0"/>
    <x v="10"/>
    <s v="Relief ERU"/>
    <m/>
    <x v="6"/>
    <m/>
    <m/>
    <m/>
    <m/>
    <m/>
    <m/>
    <m/>
    <m/>
    <n v="1000"/>
    <m/>
    <m/>
    <m/>
    <m/>
    <m/>
    <x v="59"/>
    <n v="28000"/>
    <n v="102000"/>
    <m/>
    <m/>
    <m/>
    <x v="124"/>
    <s v="Y"/>
    <m/>
    <m/>
    <m/>
    <m/>
    <s v="2936 / 2799"/>
    <m/>
    <m/>
    <m/>
    <m/>
    <m/>
    <m/>
    <m/>
    <s v="N"/>
    <m/>
    <m/>
    <m/>
    <s v="Indlala / Jaya"/>
    <s v="SUPPLIES: 1000 Mosquito Nets - $74,000 from 2799; PEOPLE: Deployed B. Gaillis, FACT, 3 wks; Deployed Relief ERU - C. Chaperon, G. Matthews 4 wks; Deployed 2nd rotation of Relief ERU - J. Manley, S. Hagerich, 4 wks - $18,000 cost from 2936"/>
  </r>
  <r>
    <s v="TS-2007-000042-SLB"/>
    <n v="165"/>
    <x v="169"/>
    <d v="2007-04-01T00:00:00"/>
    <x v="11"/>
    <x v="16"/>
    <m/>
    <n v="2007"/>
    <n v="5"/>
    <s v="Europe/Asia"/>
    <x v="71"/>
    <s v="Geophysical"/>
    <x v="3"/>
    <s v="Tsunami"/>
    <s v="Tsunami"/>
    <m/>
    <s v="Y"/>
    <s v="IFRC"/>
    <n v="1405645"/>
    <s v="MDRSB001"/>
    <n v="3.5570858929530574E-2"/>
    <m/>
    <m/>
    <m/>
    <x v="26"/>
    <m/>
    <x v="0"/>
    <n v="1"/>
    <x v="6"/>
    <x v="0"/>
    <x v="0"/>
    <m/>
    <n v="50000"/>
    <x v="0"/>
    <m/>
    <m/>
    <x v="0"/>
    <m/>
    <m/>
    <m/>
    <m/>
    <m/>
    <m/>
    <m/>
    <m/>
    <m/>
    <m/>
    <m/>
    <m/>
    <m/>
    <m/>
    <x v="0"/>
    <m/>
    <n v="50000"/>
    <m/>
    <m/>
    <m/>
    <x v="16"/>
    <s v="Y"/>
    <m/>
    <m/>
    <m/>
    <m/>
    <n v="2881"/>
    <m/>
    <m/>
    <m/>
    <m/>
    <m/>
    <m/>
    <m/>
    <s v="N"/>
    <m/>
    <m/>
    <m/>
    <m/>
    <s v="PMN to Fed - unearmarked"/>
  </r>
  <r>
    <m/>
    <n v="166"/>
    <x v="170"/>
    <d v="2007-05-01T00:00:00"/>
    <x v="11"/>
    <x v="17"/>
    <m/>
    <n v="2007"/>
    <n v="6"/>
    <s v="LAC"/>
    <x v="87"/>
    <s v="Hydrometerological"/>
    <x v="2"/>
    <s v="General Floods"/>
    <s v="General Floods"/>
    <m/>
    <m/>
    <m/>
    <m/>
    <m/>
    <s v=""/>
    <m/>
    <m/>
    <m/>
    <x v="0"/>
    <m/>
    <x v="2"/>
    <m/>
    <x v="0"/>
    <x v="0"/>
    <x v="18"/>
    <m/>
    <n v="5000"/>
    <x v="0"/>
    <m/>
    <m/>
    <x v="0"/>
    <m/>
    <m/>
    <m/>
    <m/>
    <m/>
    <m/>
    <m/>
    <m/>
    <m/>
    <m/>
    <m/>
    <m/>
    <m/>
    <m/>
    <x v="0"/>
    <m/>
    <n v="5000"/>
    <m/>
    <m/>
    <m/>
    <x v="46"/>
    <s v="N"/>
    <m/>
    <m/>
    <m/>
    <m/>
    <n v="2799"/>
    <m/>
    <m/>
    <m/>
    <m/>
    <m/>
    <m/>
    <m/>
    <s v="Y"/>
    <m/>
    <m/>
    <m/>
    <s v="Tolima"/>
    <s v="Grant to NS for NFIs, health team visits, general admin costs"/>
  </r>
  <r>
    <m/>
    <n v="167"/>
    <x v="171"/>
    <d v="2007-05-01T00:00:00"/>
    <x v="11"/>
    <x v="18"/>
    <m/>
    <n v="2007"/>
    <n v="7"/>
    <s v="LAC"/>
    <x v="2"/>
    <s v="Hydrometerological"/>
    <x v="5"/>
    <s v="Local Storm"/>
    <s v="Tornado"/>
    <m/>
    <m/>
    <s v="NS"/>
    <m/>
    <m/>
    <s v=""/>
    <m/>
    <m/>
    <m/>
    <x v="0"/>
    <m/>
    <x v="3"/>
    <m/>
    <x v="0"/>
    <x v="0"/>
    <x v="37"/>
    <m/>
    <n v="20000"/>
    <x v="0"/>
    <m/>
    <m/>
    <x v="0"/>
    <m/>
    <m/>
    <m/>
    <m/>
    <m/>
    <m/>
    <m/>
    <m/>
    <m/>
    <m/>
    <m/>
    <m/>
    <m/>
    <m/>
    <x v="0"/>
    <m/>
    <n v="20000"/>
    <m/>
    <m/>
    <m/>
    <x v="25"/>
    <s v="Y"/>
    <m/>
    <m/>
    <m/>
    <m/>
    <n v="2690"/>
    <m/>
    <m/>
    <m/>
    <m/>
    <m/>
    <m/>
    <m/>
    <s v="N"/>
    <m/>
    <m/>
    <m/>
    <s v="Coahuila"/>
    <s v="Grant to NS for NFIs - kitchen, hygiene, baby kits; laterns w/ radios"/>
  </r>
  <r>
    <m/>
    <n v="168"/>
    <x v="165"/>
    <d v="2007-06-01T00:00:00"/>
    <x v="11"/>
    <x v="19"/>
    <m/>
    <n v="2007"/>
    <n v="8"/>
    <s v="Africa"/>
    <x v="91"/>
    <s v="Human Related"/>
    <x v="8"/>
    <s v="Conflict"/>
    <s v="Conflict"/>
    <m/>
    <s v="Y"/>
    <s v="ICRC"/>
    <n v="38292000"/>
    <s v="REX 07/347"/>
    <n v="2.6115115428810196E-3"/>
    <m/>
    <m/>
    <m/>
    <x v="27"/>
    <m/>
    <x v="0"/>
    <n v="1"/>
    <x v="0"/>
    <x v="2"/>
    <x v="0"/>
    <m/>
    <n v="100000"/>
    <x v="0"/>
    <m/>
    <m/>
    <x v="0"/>
    <m/>
    <m/>
    <m/>
    <m/>
    <m/>
    <m/>
    <m/>
    <m/>
    <m/>
    <m/>
    <m/>
    <m/>
    <m/>
    <m/>
    <x v="0"/>
    <m/>
    <n v="100000"/>
    <m/>
    <m/>
    <m/>
    <x v="5"/>
    <s v="Y"/>
    <m/>
    <m/>
    <m/>
    <m/>
    <n v="2817"/>
    <m/>
    <m/>
    <m/>
    <m/>
    <m/>
    <m/>
    <m/>
    <s v="N"/>
    <m/>
    <m/>
    <m/>
    <m/>
    <s v="Contribution to ICRC 2007 Somalia Emergency Appeal: Budget Extension - support for capacity bldg."/>
  </r>
  <r>
    <m/>
    <n v="169"/>
    <x v="125"/>
    <d v="2007-06-01T00:00:00"/>
    <x v="11"/>
    <x v="23"/>
    <m/>
    <n v="2007"/>
    <n v="9"/>
    <s v="Africa"/>
    <x v="81"/>
    <s v="Human Related"/>
    <x v="8"/>
    <s v="Conflict"/>
    <s v="Conflict"/>
    <m/>
    <s v="Y"/>
    <s v="ICRC"/>
    <n v="86239000"/>
    <s v="REX 07/207"/>
    <n v="2.3191363536219111E-3"/>
    <m/>
    <m/>
    <m/>
    <x v="28"/>
    <m/>
    <x v="0"/>
    <m/>
    <x v="0"/>
    <x v="9"/>
    <x v="0"/>
    <m/>
    <n v="200000"/>
    <x v="0"/>
    <m/>
    <m/>
    <x v="0"/>
    <m/>
    <m/>
    <m/>
    <m/>
    <m/>
    <m/>
    <m/>
    <m/>
    <m/>
    <m/>
    <m/>
    <m/>
    <m/>
    <m/>
    <x v="0"/>
    <m/>
    <n v="200000"/>
    <m/>
    <m/>
    <m/>
    <x v="121"/>
    <s v="Y"/>
    <m/>
    <m/>
    <m/>
    <m/>
    <n v="2661"/>
    <m/>
    <m/>
    <m/>
    <m/>
    <m/>
    <m/>
    <m/>
    <s v="N"/>
    <m/>
    <m/>
    <m/>
    <m/>
    <s v="Contribution to ICRC 2007 Sudan Emergency Appeal: Budget Extension - support for capacity bldg."/>
  </r>
  <r>
    <s v="FF-2007-000082-PAK; and TC-2007-000084-PAK"/>
    <n v="170"/>
    <x v="172"/>
    <d v="2007-07-01T00:00:00"/>
    <x v="12"/>
    <x v="1"/>
    <m/>
    <n v="2007"/>
    <n v="10"/>
    <s v="Europe/Asia"/>
    <x v="47"/>
    <s v="Hydrometerological"/>
    <x v="5"/>
    <s v="Tropical Cyclone"/>
    <s v="Cyclone"/>
    <n v="1500000"/>
    <s v="Y"/>
    <s v="IFRC"/>
    <n v="17000000"/>
    <s v="MDRPK001"/>
    <n v="1.6764705882352942E-2"/>
    <m/>
    <m/>
    <m/>
    <x v="29"/>
    <m/>
    <x v="0"/>
    <n v="1"/>
    <x v="41"/>
    <x v="0"/>
    <x v="0"/>
    <m/>
    <n v="285000"/>
    <x v="2"/>
    <m/>
    <m/>
    <x v="0"/>
    <m/>
    <m/>
    <m/>
    <m/>
    <m/>
    <m/>
    <m/>
    <m/>
    <m/>
    <m/>
    <m/>
    <m/>
    <m/>
    <m/>
    <x v="0"/>
    <n v="10000"/>
    <n v="295000"/>
    <m/>
    <m/>
    <m/>
    <x v="125"/>
    <s v="Y"/>
    <m/>
    <m/>
    <m/>
    <m/>
    <s v="2099/2897"/>
    <m/>
    <m/>
    <m/>
    <m/>
    <m/>
    <m/>
    <m/>
    <s v="N"/>
    <m/>
    <m/>
    <m/>
    <s v="Yemyin"/>
    <s v="CASH: PMN to Fed - unearmarked; PEOPLE: T. Betz deployed on FACT as Relief/Logs Ap2897"/>
  </r>
  <r>
    <s v="FF-2007-000080-BGD"/>
    <n v="171"/>
    <x v="19"/>
    <d v="2007-07-01T00:00:00"/>
    <x v="12"/>
    <x v="2"/>
    <m/>
    <n v="2007"/>
    <n v="11"/>
    <s v="Europe/Asia"/>
    <x v="14"/>
    <s v="Hydrometerological"/>
    <x v="2"/>
    <s v="General Floods"/>
    <s v="General Floods"/>
    <n v="2300000"/>
    <s v="Y"/>
    <s v="IFRC"/>
    <n v="4850000"/>
    <s v="MDRBD002"/>
    <n v="2.5670103092783506E-2"/>
    <n v="0.95"/>
    <m/>
    <m/>
    <x v="30"/>
    <m/>
    <x v="0"/>
    <n v="1"/>
    <x v="42"/>
    <x v="0"/>
    <x v="0"/>
    <m/>
    <n v="124500"/>
    <x v="0"/>
    <m/>
    <m/>
    <x v="0"/>
    <m/>
    <m/>
    <m/>
    <m/>
    <m/>
    <m/>
    <m/>
    <m/>
    <m/>
    <m/>
    <m/>
    <m/>
    <m/>
    <m/>
    <x v="0"/>
    <m/>
    <n v="124500"/>
    <m/>
    <m/>
    <m/>
    <x v="126"/>
    <s v="Y"/>
    <m/>
    <m/>
    <m/>
    <m/>
    <s v="2017 / 2099"/>
    <m/>
    <m/>
    <m/>
    <m/>
    <m/>
    <m/>
    <m/>
    <s v="N"/>
    <m/>
    <m/>
    <m/>
    <m/>
    <s v="CASH: $24,500 PMN to Fed - unearmarked from 2017; $100,000 PMN to Fed - unearmarked from 2099;"/>
  </r>
  <r>
    <m/>
    <n v="172"/>
    <x v="105"/>
    <d v="2007-07-01T00:00:00"/>
    <x v="12"/>
    <x v="3"/>
    <m/>
    <n v="2007"/>
    <n v="12"/>
    <s v="Europe/Asia"/>
    <x v="72"/>
    <s v="Human Related"/>
    <x v="8"/>
    <s v="Conflict"/>
    <s v="Conflict"/>
    <n v="2000000"/>
    <s v="Y"/>
    <s v="IFRC"/>
    <n v="15000000"/>
    <s v="MDR81002"/>
    <n v="1.6666666666666666E-2"/>
    <m/>
    <m/>
    <m/>
    <x v="31"/>
    <m/>
    <x v="0"/>
    <n v="1"/>
    <x v="33"/>
    <x v="0"/>
    <x v="0"/>
    <m/>
    <n v="250000"/>
    <x v="0"/>
    <m/>
    <m/>
    <x v="0"/>
    <m/>
    <m/>
    <m/>
    <m/>
    <m/>
    <m/>
    <m/>
    <m/>
    <m/>
    <m/>
    <m/>
    <m/>
    <m/>
    <m/>
    <x v="0"/>
    <m/>
    <n v="250000"/>
    <m/>
    <m/>
    <m/>
    <x v="35"/>
    <s v="N"/>
    <m/>
    <m/>
    <m/>
    <m/>
    <n v="2099"/>
    <m/>
    <m/>
    <m/>
    <m/>
    <m/>
    <m/>
    <m/>
    <s v="N"/>
    <m/>
    <m/>
    <m/>
    <s v="Refugees from Iraq in Syria and Jordan"/>
    <s v="PMN to Fed - unearmarked"/>
  </r>
  <r>
    <s v="FL-2007-00093-SDN"/>
    <n v="173"/>
    <x v="162"/>
    <d v="2007-07-01T00:00:00"/>
    <x v="12"/>
    <x v="4"/>
    <m/>
    <n v="2007"/>
    <n v="13"/>
    <s v="Africa"/>
    <x v="81"/>
    <s v="Hydrometerological"/>
    <x v="2"/>
    <s v="General Floods"/>
    <s v="General Floods"/>
    <n v="365000"/>
    <s v="Y"/>
    <s v="IFRC"/>
    <n v="6800000"/>
    <s v="MDRSD004"/>
    <n v="1.4705882352941176E-2"/>
    <m/>
    <m/>
    <m/>
    <x v="32"/>
    <m/>
    <x v="0"/>
    <n v="1"/>
    <x v="1"/>
    <x v="0"/>
    <x v="0"/>
    <m/>
    <n v="100000"/>
    <x v="2"/>
    <m/>
    <m/>
    <x v="6"/>
    <m/>
    <m/>
    <m/>
    <m/>
    <m/>
    <m/>
    <m/>
    <m/>
    <n v="10000"/>
    <m/>
    <m/>
    <m/>
    <m/>
    <m/>
    <x v="60"/>
    <n v="9000"/>
    <n v="153400"/>
    <m/>
    <m/>
    <m/>
    <x v="127"/>
    <s v="Y"/>
    <m/>
    <m/>
    <m/>
    <m/>
    <s v="2802 /2099"/>
    <m/>
    <m/>
    <m/>
    <m/>
    <m/>
    <m/>
    <m/>
    <s v="N"/>
    <m/>
    <m/>
    <m/>
    <m/>
    <s v="CASH: $100,000 PMN to Fed earmarked for improved emergency shelters (Appeal obj 1) and tree saplings (obj 4) for 500 families from AP 2099; PEOPLE: N.Cooper deployed on FACT as Relief/Shelter"/>
  </r>
  <r>
    <s v="FL-2007-000111-GBR"/>
    <n v="174"/>
    <x v="173"/>
    <d v="2007-07-01T00:00:00"/>
    <x v="12"/>
    <x v="5"/>
    <m/>
    <n v="2007"/>
    <n v="15"/>
    <s v="Europe/Asia"/>
    <x v="94"/>
    <s v="Hydrometerological"/>
    <x v="2"/>
    <s v="General Floods"/>
    <s v="General Floods"/>
    <n v="1000000"/>
    <m/>
    <m/>
    <m/>
    <m/>
    <s v=""/>
    <m/>
    <m/>
    <m/>
    <x v="0"/>
    <m/>
    <x v="0"/>
    <m/>
    <x v="0"/>
    <x v="0"/>
    <x v="40"/>
    <m/>
    <n v="20188"/>
    <x v="0"/>
    <m/>
    <m/>
    <x v="0"/>
    <m/>
    <m/>
    <m/>
    <m/>
    <m/>
    <m/>
    <m/>
    <m/>
    <m/>
    <m/>
    <m/>
    <m/>
    <m/>
    <m/>
    <x v="0"/>
    <m/>
    <n v="20188"/>
    <m/>
    <m/>
    <m/>
    <x v="128"/>
    <s v="Y"/>
    <m/>
    <m/>
    <m/>
    <m/>
    <n v="2605"/>
    <m/>
    <m/>
    <m/>
    <m/>
    <m/>
    <m/>
    <m/>
    <s v="N"/>
    <m/>
    <m/>
    <m/>
    <m/>
    <s v="Grant letter to British Red Cross; 10,000 GBP donation from Cargill + individual donations"/>
  </r>
  <r>
    <s v="FF-2007-000117-NPL"/>
    <n v="175"/>
    <x v="174"/>
    <d v="2007-08-01T00:00:00"/>
    <x v="12"/>
    <x v="6"/>
    <m/>
    <n v="2007"/>
    <n v="16"/>
    <s v="Europe/Asia"/>
    <x v="95"/>
    <s v="Hydrometerological"/>
    <x v="2"/>
    <s v="General Floods"/>
    <s v="General Floods"/>
    <n v="645000"/>
    <s v="Y"/>
    <s v="IFRC"/>
    <n v="2340000"/>
    <m/>
    <n v="2.1367521367521368E-2"/>
    <m/>
    <s v="Y"/>
    <m/>
    <x v="24"/>
    <m/>
    <x v="0"/>
    <n v="1"/>
    <x v="6"/>
    <x v="0"/>
    <x v="0"/>
    <m/>
    <n v="50000"/>
    <x v="0"/>
    <m/>
    <m/>
    <x v="0"/>
    <m/>
    <m/>
    <m/>
    <m/>
    <m/>
    <m/>
    <m/>
    <m/>
    <m/>
    <m/>
    <m/>
    <m/>
    <m/>
    <m/>
    <x v="0"/>
    <m/>
    <n v="50000"/>
    <m/>
    <m/>
    <m/>
    <x v="16"/>
    <s v="N"/>
    <m/>
    <m/>
    <m/>
    <m/>
    <n v="2099"/>
    <m/>
    <m/>
    <m/>
    <m/>
    <m/>
    <m/>
    <m/>
    <s v="N"/>
    <m/>
    <m/>
    <m/>
    <m/>
    <s v="PMN to Fed - unearmarked"/>
  </r>
  <r>
    <s v="EQ-2007-000133-PER"/>
    <n v="176"/>
    <x v="54"/>
    <d v="2007-08-01T00:00:00"/>
    <x v="12"/>
    <x v="7"/>
    <m/>
    <n v="2007"/>
    <n v="17"/>
    <s v="LAC"/>
    <x v="39"/>
    <s v="Geophysical"/>
    <x v="3"/>
    <s v="Earthquake"/>
    <s v="Earthquake"/>
    <n v="655000"/>
    <s v="Y"/>
    <s v="IFRC"/>
    <n v="9600000"/>
    <s v="MDRPE003"/>
    <n v="3.125E-2"/>
    <n v="0.93"/>
    <m/>
    <m/>
    <x v="33"/>
    <m/>
    <x v="0"/>
    <n v="1"/>
    <x v="21"/>
    <x v="0"/>
    <x v="0"/>
    <m/>
    <n v="300000"/>
    <x v="16"/>
    <m/>
    <m/>
    <x v="33"/>
    <m/>
    <n v="3500"/>
    <m/>
    <m/>
    <m/>
    <m/>
    <n v="2000"/>
    <m/>
    <m/>
    <m/>
    <n v="11000"/>
    <m/>
    <m/>
    <m/>
    <x v="61"/>
    <n v="5000"/>
    <n v="519800"/>
    <m/>
    <m/>
    <m/>
    <x v="129"/>
    <s v="Y"/>
    <m/>
    <m/>
    <m/>
    <m/>
    <n v="2816"/>
    <m/>
    <m/>
    <m/>
    <m/>
    <m/>
    <m/>
    <m/>
    <s v="N"/>
    <m/>
    <m/>
    <s v="y"/>
    <m/>
    <s v="CASH: 100K PMN Unearmarked, 200K PMN earmarked for hygiene kits, jerry cans and shelter kits + ops costs; SUPPLIES: hygiene kits @ $13.55; tarps @ $11.30; kitchen sets @ $14.55 + PSR; PEOPLE: C Michaud deployed on Relief ERU (2 days) replaced by L Aceves for 1 month; C Chaperon sent to deliver equipment; Roberto Brito and Richard Urrutia (early recovery assmt); Shelley Cheatham (Admin/Ops), Lee Malany (shelter) and Jessica (PSP early recovery delegate)"/>
  </r>
  <r>
    <s v="TC-2007-000135"/>
    <n v="177"/>
    <x v="175"/>
    <d v="2007-08-01T00:00:00"/>
    <x v="12"/>
    <x v="8"/>
    <m/>
    <n v="2007"/>
    <n v="18"/>
    <s v="LAC"/>
    <x v="53"/>
    <s v="Hydrometerological"/>
    <x v="5"/>
    <s v="Tropical Cyclone"/>
    <s v="Hurricane"/>
    <n v="210000"/>
    <s v="Y"/>
    <s v="IFRC"/>
    <n v="2927000"/>
    <s v="MDR49001"/>
    <n v="0"/>
    <m/>
    <m/>
    <m/>
    <x v="34"/>
    <m/>
    <x v="4"/>
    <m/>
    <x v="0"/>
    <x v="0"/>
    <x v="0"/>
    <m/>
    <n v="0"/>
    <x v="0"/>
    <m/>
    <m/>
    <x v="34"/>
    <m/>
    <n v="1000"/>
    <m/>
    <m/>
    <m/>
    <m/>
    <n v="1000"/>
    <m/>
    <m/>
    <m/>
    <n v="350"/>
    <m/>
    <m/>
    <m/>
    <x v="62"/>
    <m/>
    <n v="34565"/>
    <m/>
    <m/>
    <m/>
    <x v="130"/>
    <s v="Y"/>
    <m/>
    <m/>
    <m/>
    <m/>
    <n v="2837"/>
    <m/>
    <m/>
    <m/>
    <m/>
    <m/>
    <m/>
    <m/>
    <s v="N"/>
    <m/>
    <m/>
    <m/>
    <s v="Dean"/>
    <m/>
  </r>
  <r>
    <s v="TC-2007-000135"/>
    <n v="177"/>
    <x v="175"/>
    <d v="2007-08-01T00:00:00"/>
    <x v="12"/>
    <x v="8"/>
    <m/>
    <n v="2007"/>
    <n v="18"/>
    <s v="LAC"/>
    <x v="2"/>
    <s v="Hydrometerological"/>
    <x v="5"/>
    <s v="Tropical Cyclone"/>
    <s v="Hurricane"/>
    <m/>
    <m/>
    <m/>
    <m/>
    <m/>
    <s v=""/>
    <m/>
    <m/>
    <m/>
    <x v="0"/>
    <m/>
    <x v="5"/>
    <m/>
    <x v="0"/>
    <x v="0"/>
    <x v="41"/>
    <m/>
    <n v="298680"/>
    <x v="2"/>
    <m/>
    <m/>
    <x v="0"/>
    <m/>
    <m/>
    <m/>
    <m/>
    <m/>
    <m/>
    <m/>
    <m/>
    <m/>
    <m/>
    <m/>
    <m/>
    <m/>
    <m/>
    <x v="0"/>
    <m/>
    <n v="298680"/>
    <m/>
    <m/>
    <m/>
    <x v="131"/>
    <s v="Y"/>
    <m/>
    <m/>
    <m/>
    <m/>
    <s v="2868 / 2099"/>
    <m/>
    <m/>
    <m/>
    <m/>
    <m/>
    <m/>
    <m/>
    <s v="N"/>
    <m/>
    <m/>
    <m/>
    <s v="Dean"/>
    <s v="CASH:  ARC grant ($76k) to MRC for hygiene kits, kitchen sets, and roofing materials for 670 families; ARC/OFDA subgrant to MRC ($222k) for 1,830 families; PEOPLE: Shelley Cheatham (Monitoring)"/>
  </r>
  <r>
    <s v="TC-2007-000135"/>
    <n v="177"/>
    <x v="175"/>
    <d v="2007-08-01T00:00:00"/>
    <x v="12"/>
    <x v="8"/>
    <m/>
    <n v="2007"/>
    <n v="18"/>
    <s v="LAC"/>
    <x v="79"/>
    <s v="Hydrometerological"/>
    <x v="5"/>
    <s v="Tropical Cyclone"/>
    <s v="Hurricane"/>
    <m/>
    <m/>
    <m/>
    <m/>
    <m/>
    <s v=""/>
    <m/>
    <m/>
    <m/>
    <x v="0"/>
    <m/>
    <x v="0"/>
    <m/>
    <x v="0"/>
    <x v="0"/>
    <x v="42"/>
    <m/>
    <n v="2500"/>
    <x v="2"/>
    <m/>
    <m/>
    <x v="0"/>
    <m/>
    <m/>
    <m/>
    <m/>
    <m/>
    <m/>
    <m/>
    <m/>
    <m/>
    <m/>
    <m/>
    <m/>
    <m/>
    <m/>
    <x v="0"/>
    <m/>
    <n v="2500"/>
    <m/>
    <m/>
    <m/>
    <x v="132"/>
    <s v="Y"/>
    <m/>
    <m/>
    <m/>
    <m/>
    <n v="2837"/>
    <m/>
    <m/>
    <m/>
    <m/>
    <m/>
    <m/>
    <m/>
    <s v="N"/>
    <m/>
    <m/>
    <m/>
    <s v="Dean"/>
    <s v="CASH: Grant to Haitian Red Cross - restock relief supplies; PEOPLE: Brigitte Gaillis (Contingency Planning)"/>
  </r>
  <r>
    <s v="WF-2007-000148-GRC"/>
    <n v="178"/>
    <x v="176"/>
    <d v="2007-09-01T00:00:00"/>
    <x v="12"/>
    <x v="9"/>
    <m/>
    <n v="2007"/>
    <n v="19"/>
    <s v="Europe/Asia"/>
    <x v="8"/>
    <s v="Hydrometerological"/>
    <x v="15"/>
    <s v="Forest Fire"/>
    <s v="Fire"/>
    <m/>
    <m/>
    <m/>
    <m/>
    <m/>
    <s v=""/>
    <m/>
    <m/>
    <m/>
    <x v="0"/>
    <m/>
    <x v="0"/>
    <m/>
    <x v="0"/>
    <x v="0"/>
    <x v="13"/>
    <m/>
    <n v="40000"/>
    <x v="0"/>
    <m/>
    <m/>
    <x v="0"/>
    <m/>
    <m/>
    <m/>
    <m/>
    <m/>
    <m/>
    <m/>
    <m/>
    <m/>
    <m/>
    <m/>
    <m/>
    <m/>
    <m/>
    <x v="0"/>
    <m/>
    <n v="40000"/>
    <m/>
    <m/>
    <m/>
    <x v="27"/>
    <s v="N"/>
    <m/>
    <m/>
    <m/>
    <m/>
    <n v="2099"/>
    <m/>
    <m/>
    <m/>
    <m/>
    <m/>
    <m/>
    <m/>
    <s v="N"/>
    <m/>
    <m/>
    <m/>
    <m/>
    <s v="UPS 25k, Gen Mills 15k - Grant letter"/>
  </r>
  <r>
    <s v="TC-2007-000157"/>
    <n v="179"/>
    <x v="177"/>
    <d v="2007-09-01T00:00:00"/>
    <x v="12"/>
    <x v="10"/>
    <m/>
    <n v="2007"/>
    <n v="20"/>
    <s v="LAC"/>
    <x v="6"/>
    <s v="Hydrometerological"/>
    <x v="5"/>
    <s v="Tropical Cyclone"/>
    <s v="Hurricane"/>
    <n v="175000"/>
    <s v="Y"/>
    <s v="IFRC"/>
    <n v="1300000"/>
    <s v="MDR43002"/>
    <n v="3.8461538461538464E-2"/>
    <m/>
    <m/>
    <m/>
    <x v="35"/>
    <m/>
    <x v="0"/>
    <n v="1"/>
    <x v="6"/>
    <x v="0"/>
    <x v="0"/>
    <m/>
    <n v="50000"/>
    <x v="0"/>
    <m/>
    <m/>
    <x v="0"/>
    <m/>
    <m/>
    <m/>
    <m/>
    <m/>
    <m/>
    <m/>
    <m/>
    <m/>
    <m/>
    <m/>
    <m/>
    <m/>
    <m/>
    <x v="0"/>
    <m/>
    <n v="50000"/>
    <m/>
    <m/>
    <m/>
    <x v="16"/>
    <s v="N"/>
    <m/>
    <m/>
    <m/>
    <m/>
    <n v="2099"/>
    <m/>
    <m/>
    <m/>
    <m/>
    <m/>
    <m/>
    <m/>
    <s v="N"/>
    <m/>
    <m/>
    <m/>
    <s v="Felix"/>
    <s v="PMN to Fed - earmarked $50,000 for Nicaragua and $22,500 for Honduras (includes $25,000 from Exxon for Honduras); "/>
  </r>
  <r>
    <s v="TC-2007-000157"/>
    <n v="179"/>
    <x v="177"/>
    <d v="2007-09-01T00:00:00"/>
    <x v="12"/>
    <x v="10"/>
    <m/>
    <n v="2007"/>
    <n v="20"/>
    <s v="LAC"/>
    <x v="43"/>
    <s v="Hydrometerological"/>
    <x v="5"/>
    <s v="Tropical Cyclone"/>
    <s v="Hurricane"/>
    <m/>
    <m/>
    <m/>
    <m/>
    <m/>
    <s v=""/>
    <m/>
    <m/>
    <m/>
    <x v="0"/>
    <m/>
    <x v="0"/>
    <n v="0"/>
    <x v="43"/>
    <x v="0"/>
    <x v="0"/>
    <m/>
    <n v="22500"/>
    <x v="0"/>
    <m/>
    <m/>
    <x v="0"/>
    <m/>
    <m/>
    <m/>
    <m/>
    <m/>
    <m/>
    <m/>
    <m/>
    <m/>
    <m/>
    <m/>
    <m/>
    <m/>
    <m/>
    <x v="0"/>
    <m/>
    <n v="22500"/>
    <m/>
    <m/>
    <m/>
    <x v="133"/>
    <s v="N"/>
    <m/>
    <m/>
    <m/>
    <m/>
    <n v="2099"/>
    <m/>
    <m/>
    <m/>
    <m/>
    <m/>
    <m/>
    <m/>
    <s v="N"/>
    <m/>
    <m/>
    <m/>
    <s v="Felix"/>
    <m/>
  </r>
  <r>
    <s v="TC-2007-000157"/>
    <n v="179"/>
    <x v="177"/>
    <d v="2007-09-01T00:00:00"/>
    <x v="12"/>
    <x v="10"/>
    <m/>
    <n v="2007"/>
    <n v="20"/>
    <s v="LAC"/>
    <x v="43"/>
    <s v="Hydrometerological"/>
    <x v="5"/>
    <s v="Tropical Cyclone"/>
    <s v="Hurricane"/>
    <m/>
    <m/>
    <m/>
    <m/>
    <m/>
    <s v=""/>
    <m/>
    <m/>
    <m/>
    <x v="0"/>
    <m/>
    <x v="0"/>
    <n v="0"/>
    <x v="44"/>
    <x v="0"/>
    <x v="0"/>
    <m/>
    <n v="47500"/>
    <x v="0"/>
    <m/>
    <m/>
    <x v="0"/>
    <m/>
    <m/>
    <m/>
    <m/>
    <m/>
    <m/>
    <m/>
    <m/>
    <m/>
    <m/>
    <m/>
    <m/>
    <m/>
    <m/>
    <x v="0"/>
    <m/>
    <n v="47500"/>
    <m/>
    <m/>
    <m/>
    <x v="134"/>
    <s v="Y"/>
    <m/>
    <m/>
    <m/>
    <m/>
    <n v="2696"/>
    <m/>
    <m/>
    <m/>
    <m/>
    <m/>
    <m/>
    <m/>
    <s v="N"/>
    <m/>
    <m/>
    <m/>
    <s v="Felix"/>
    <s v="CASH: PMN to Fed - unearmarked"/>
  </r>
  <r>
    <s v="EQ-2007-000157-IDN"/>
    <n v="180"/>
    <x v="178"/>
    <d v="2007-09-01T00:00:00"/>
    <x v="12"/>
    <x v="11"/>
    <m/>
    <n v="2007"/>
    <n v="21"/>
    <s v="Europe/Asia"/>
    <x v="27"/>
    <s v="Geophysical"/>
    <x v="3"/>
    <s v="Earthquake"/>
    <s v="Earthquake"/>
    <m/>
    <m/>
    <m/>
    <m/>
    <m/>
    <s v=""/>
    <m/>
    <m/>
    <m/>
    <x v="0"/>
    <m/>
    <x v="0"/>
    <m/>
    <x v="0"/>
    <x v="0"/>
    <x v="43"/>
    <m/>
    <n v="3000"/>
    <x v="0"/>
    <m/>
    <m/>
    <x v="0"/>
    <m/>
    <m/>
    <m/>
    <m/>
    <m/>
    <m/>
    <m/>
    <m/>
    <m/>
    <m/>
    <m/>
    <m/>
    <m/>
    <m/>
    <x v="0"/>
    <m/>
    <n v="3000"/>
    <m/>
    <m/>
    <m/>
    <x v="86"/>
    <s v="N"/>
    <m/>
    <m/>
    <m/>
    <m/>
    <n v="2799"/>
    <m/>
    <m/>
    <m/>
    <m/>
    <m/>
    <m/>
    <m/>
    <s v="Y"/>
    <m/>
    <m/>
    <m/>
    <s v="Bengkulu"/>
    <s v="Per diem for PMI response team"/>
  </r>
  <r>
    <s v="FL-2007-000138-UGA"/>
    <n v="181"/>
    <x v="179"/>
    <d v="2007-09-01T00:00:00"/>
    <x v="12"/>
    <x v="12"/>
    <m/>
    <n v="2007"/>
    <n v="22"/>
    <s v="Africa"/>
    <x v="96"/>
    <s v="Hydrometerological"/>
    <x v="2"/>
    <s v="General Floods"/>
    <s v="General Floods"/>
    <n v="450000"/>
    <s v="Y"/>
    <s v="IFRC"/>
    <n v="9511366"/>
    <s v="MDRUG006"/>
    <n v="0"/>
    <n v="0.64"/>
    <m/>
    <m/>
    <x v="28"/>
    <m/>
    <x v="0"/>
    <m/>
    <x v="0"/>
    <x v="0"/>
    <x v="0"/>
    <m/>
    <n v="0"/>
    <x v="5"/>
    <s v="IT/Telecoms"/>
    <m/>
    <x v="0"/>
    <m/>
    <m/>
    <m/>
    <m/>
    <m/>
    <m/>
    <m/>
    <m/>
    <m/>
    <m/>
    <m/>
    <m/>
    <m/>
    <m/>
    <x v="0"/>
    <n v="17400"/>
    <n v="17400"/>
    <m/>
    <m/>
    <m/>
    <x v="135"/>
    <s v="N"/>
    <m/>
    <m/>
    <m/>
    <m/>
    <n v="2799"/>
    <m/>
    <m/>
    <m/>
    <m/>
    <m/>
    <m/>
    <m/>
    <s v="Y"/>
    <m/>
    <m/>
    <m/>
    <m/>
    <s v="C Chaperon (relief) and B Nandiga (wat/san) deployed on FACT.  M Million deployed on joint Danish-American IT/Telecom ERU."/>
  </r>
  <r>
    <s v="FL-2007-000158-TGO; FL-2007-000132-BFA;FL-2007-000153-GHA"/>
    <n v="182"/>
    <x v="180"/>
    <d v="2007-09-01T00:00:00"/>
    <x v="12"/>
    <x v="13"/>
    <m/>
    <n v="2007"/>
    <n v="23"/>
    <s v="Africa"/>
    <x v="97"/>
    <s v="Hydrometerological"/>
    <x v="2"/>
    <s v="General Floods"/>
    <s v="General Floods"/>
    <n v="185000"/>
    <s v="Y"/>
    <s v="IFRC"/>
    <n v="3200000"/>
    <s v="MDR61002"/>
    <n v="6.2406249999999996E-3"/>
    <n v="0.95"/>
    <m/>
    <m/>
    <x v="36"/>
    <m/>
    <x v="0"/>
    <n v="0"/>
    <x v="45"/>
    <x v="0"/>
    <x v="0"/>
    <m/>
    <n v="19970"/>
    <x v="0"/>
    <m/>
    <m/>
    <x v="0"/>
    <m/>
    <m/>
    <m/>
    <m/>
    <m/>
    <m/>
    <m/>
    <m/>
    <m/>
    <m/>
    <m/>
    <m/>
    <m/>
    <m/>
    <x v="0"/>
    <m/>
    <n v="19970"/>
    <m/>
    <m/>
    <m/>
    <x v="136"/>
    <s v="N"/>
    <m/>
    <m/>
    <m/>
    <m/>
    <n v="2799"/>
    <m/>
    <m/>
    <m/>
    <m/>
    <m/>
    <m/>
    <m/>
    <s v="Y"/>
    <m/>
    <m/>
    <m/>
    <m/>
    <s v="PMN (CHF 10,300) to cover delegate costs for Youssouff Langui on FACT to Togo.  PMN (CHF 13,102) to cover costs for 3 RDRTs for one month."/>
  </r>
  <r>
    <s v="TC-000198-DOM/HTI;"/>
    <n v="183"/>
    <x v="181"/>
    <d v="2007-10-01T00:00:00"/>
    <x v="12"/>
    <x v="14"/>
    <m/>
    <n v="2007"/>
    <n v="24"/>
    <s v="LAC"/>
    <x v="75"/>
    <s v="Hydrometerological"/>
    <x v="5"/>
    <s v="Tropical Cyclone"/>
    <s v="Tropical Storm"/>
    <n v="200000"/>
    <s v="Y"/>
    <s v="IFRC"/>
    <n v="1544000"/>
    <s v="MDR49002"/>
    <n v="2.266839378238342E-2"/>
    <m/>
    <m/>
    <m/>
    <x v="37"/>
    <m/>
    <x v="0"/>
    <n v="0"/>
    <x v="46"/>
    <x v="0"/>
    <x v="0"/>
    <m/>
    <n v="35000"/>
    <x v="0"/>
    <m/>
    <m/>
    <x v="35"/>
    <m/>
    <n v="1000"/>
    <m/>
    <m/>
    <m/>
    <m/>
    <n v="1000"/>
    <m/>
    <m/>
    <m/>
    <n v="2000"/>
    <m/>
    <m/>
    <m/>
    <x v="63"/>
    <m/>
    <n v="104055"/>
    <m/>
    <m/>
    <m/>
    <x v="137"/>
    <s v="Y"/>
    <m/>
    <m/>
    <m/>
    <m/>
    <n v="2694"/>
    <m/>
    <m/>
    <m/>
    <m/>
    <m/>
    <m/>
    <m/>
    <s v="N"/>
    <m/>
    <m/>
    <m/>
    <s v="Noel"/>
    <s v="PSR"/>
  </r>
  <r>
    <s v="TC-000198-DOM/HTI;"/>
    <n v="183"/>
    <x v="181"/>
    <d v="2007-11-01T00:00:00"/>
    <x v="12"/>
    <x v="14"/>
    <m/>
    <n v="2007"/>
    <n v="24"/>
    <s v="LAC"/>
    <x v="79"/>
    <s v="Hydrometerological"/>
    <x v="5"/>
    <s v="Tropical Cyclone"/>
    <s v="Tropical Storm"/>
    <m/>
    <m/>
    <m/>
    <m/>
    <s v="MDR49002"/>
    <s v=""/>
    <m/>
    <m/>
    <m/>
    <x v="0"/>
    <m/>
    <x v="0"/>
    <n v="1"/>
    <x v="6"/>
    <x v="0"/>
    <x v="0"/>
    <m/>
    <n v="50000"/>
    <x v="0"/>
    <m/>
    <m/>
    <x v="36"/>
    <m/>
    <m/>
    <n v="2000"/>
    <m/>
    <m/>
    <m/>
    <m/>
    <m/>
    <m/>
    <m/>
    <m/>
    <m/>
    <m/>
    <m/>
    <x v="64"/>
    <m/>
    <n v="58073"/>
    <m/>
    <m/>
    <m/>
    <x v="138"/>
    <s v="Y"/>
    <m/>
    <m/>
    <m/>
    <m/>
    <n v="2024"/>
    <m/>
    <m/>
    <m/>
    <m/>
    <m/>
    <m/>
    <m/>
    <s v="N"/>
    <m/>
    <m/>
    <m/>
    <s v="Noel"/>
    <s v="PSR"/>
  </r>
  <r>
    <s v="TC-000198-DOM/HTI;"/>
    <n v="183"/>
    <x v="181"/>
    <d v="2007-11-01T00:00:00"/>
    <x v="12"/>
    <x v="14"/>
    <m/>
    <n v="2007"/>
    <n v="24"/>
    <s v="LAC"/>
    <x v="9"/>
    <s v="Hydrometerological"/>
    <x v="5"/>
    <s v="Tropical Cyclone"/>
    <s v="Tropical Storm"/>
    <m/>
    <m/>
    <m/>
    <m/>
    <s v="MDR49002"/>
    <s v=""/>
    <m/>
    <m/>
    <m/>
    <x v="0"/>
    <m/>
    <x v="0"/>
    <n v="0"/>
    <x v="47"/>
    <x v="0"/>
    <x v="0"/>
    <m/>
    <n v="30000"/>
    <x v="4"/>
    <m/>
    <m/>
    <x v="0"/>
    <m/>
    <m/>
    <m/>
    <m/>
    <m/>
    <m/>
    <m/>
    <m/>
    <m/>
    <m/>
    <m/>
    <m/>
    <m/>
    <m/>
    <x v="0"/>
    <n v="7440"/>
    <n v="37440"/>
    <m/>
    <m/>
    <m/>
    <x v="139"/>
    <s v="Y"/>
    <m/>
    <m/>
    <m/>
    <m/>
    <n v="2024"/>
    <m/>
    <m/>
    <m/>
    <m/>
    <m/>
    <m/>
    <m/>
    <s v="N"/>
    <m/>
    <m/>
    <m/>
    <s v="Noel"/>
    <s v="PEOPLE: O Abou-Samra, J Ferguson (cash/livelihoods); CASH: PMN to Fed ($10k for cash distribution project, $20k operational costs)"/>
  </r>
  <r>
    <s v="FL-2007-000200-MEX"/>
    <n v="184"/>
    <x v="6"/>
    <d v="2007-11-01T00:00:00"/>
    <x v="12"/>
    <x v="15"/>
    <m/>
    <n v="2007"/>
    <n v="25"/>
    <s v="LAC"/>
    <x v="2"/>
    <s v="Hydrometerological"/>
    <x v="2"/>
    <s v="General Floods"/>
    <s v="General Floods"/>
    <n v="1000000"/>
    <s v="Y"/>
    <s v="IFRC"/>
    <n v="1800000"/>
    <s v="MDRMX002"/>
    <n v="0.28726499999999999"/>
    <n v="1"/>
    <m/>
    <m/>
    <x v="38"/>
    <m/>
    <x v="6"/>
    <n v="1"/>
    <x v="48"/>
    <x v="0"/>
    <x v="28"/>
    <m/>
    <n v="517077"/>
    <x v="2"/>
    <m/>
    <m/>
    <x v="37"/>
    <m/>
    <n v="3500"/>
    <m/>
    <m/>
    <m/>
    <m/>
    <n v="2000"/>
    <m/>
    <n v="10000"/>
    <m/>
    <m/>
    <m/>
    <m/>
    <m/>
    <x v="65"/>
    <n v="357"/>
    <n v="660849"/>
    <m/>
    <m/>
    <m/>
    <x v="140"/>
    <s v="Y"/>
    <m/>
    <m/>
    <m/>
    <m/>
    <s v="2690/OFDA/2799 "/>
    <m/>
    <m/>
    <m/>
    <m/>
    <m/>
    <m/>
    <m/>
    <s v="N"/>
    <m/>
    <m/>
    <m/>
    <s v="Tabasco"/>
    <s v="CASH: Grants to MxRC ($50k from 2799 + $300k from 2690), PMN to Fed $167k (earmarked for 4,000 hygiene kits, 4,000 jerry cans, 4,000 buckets);  OFDA Grant; PEOPLE: W Romeril (info)"/>
  </r>
  <r>
    <s v="TC-2007-00178-VNM"/>
    <n v="185"/>
    <x v="182"/>
    <d v="2007-11-01T00:00:00"/>
    <x v="12"/>
    <x v="16"/>
    <m/>
    <n v="2007"/>
    <n v="26"/>
    <s v="Europe/Asia"/>
    <x v="16"/>
    <s v="Hydrometerological"/>
    <x v="5"/>
    <s v="Tropical Cyclone"/>
    <s v="Typhoon"/>
    <n v="600000"/>
    <s v="Y"/>
    <s v="IFRC"/>
    <n v="2700000"/>
    <s v="MDRVN002"/>
    <n v="4.2592592592592592E-2"/>
    <n v="0.77"/>
    <m/>
    <m/>
    <x v="39"/>
    <m/>
    <x v="0"/>
    <n v="1"/>
    <x v="49"/>
    <x v="0"/>
    <x v="0"/>
    <m/>
    <n v="115000"/>
    <x v="0"/>
    <m/>
    <m/>
    <x v="0"/>
    <m/>
    <m/>
    <m/>
    <m/>
    <m/>
    <m/>
    <m/>
    <m/>
    <m/>
    <m/>
    <m/>
    <m/>
    <m/>
    <m/>
    <x v="0"/>
    <m/>
    <n v="115000"/>
    <m/>
    <m/>
    <m/>
    <x v="141"/>
    <s v="Y"/>
    <m/>
    <m/>
    <m/>
    <m/>
    <s v="2099/ 2869"/>
    <m/>
    <m/>
    <m/>
    <m/>
    <m/>
    <m/>
    <m/>
    <s v="N"/>
    <m/>
    <s v="ARCT"/>
    <m/>
    <s v="Lekima"/>
    <s v="CASH: PMN  from AP 2099 to Fed unearmarked; PMN from AP 2869 to Fed earmarked purchase/dist household kits;  $100,000 from ARCT for shelter to Federation"/>
  </r>
  <r>
    <s v="FF-2007-000080-BGD"/>
    <n v="186"/>
    <x v="183"/>
    <d v="2007-11-01T00:00:00"/>
    <x v="12"/>
    <x v="17"/>
    <m/>
    <n v="2007"/>
    <n v="27"/>
    <s v="Europe/Asia"/>
    <x v="14"/>
    <s v="Hydrometerological"/>
    <x v="5"/>
    <s v="Tropical Cyclone"/>
    <s v="Cyclone"/>
    <n v="8500000"/>
    <s v="Y"/>
    <s v="IFRC"/>
    <n v="22000000"/>
    <s v="MDRBD002"/>
    <n v="4.926618181818182E-2"/>
    <n v="0.66"/>
    <m/>
    <m/>
    <x v="40"/>
    <m/>
    <x v="0"/>
    <n v="1"/>
    <x v="50"/>
    <x v="0"/>
    <x v="0"/>
    <m/>
    <n v="1083856"/>
    <x v="5"/>
    <m/>
    <m/>
    <x v="38"/>
    <m/>
    <n v="4000"/>
    <n v="25000"/>
    <m/>
    <m/>
    <m/>
    <m/>
    <m/>
    <m/>
    <m/>
    <n v="10000"/>
    <m/>
    <m/>
    <m/>
    <x v="66"/>
    <n v="12000"/>
    <n v="1356654"/>
    <m/>
    <m/>
    <m/>
    <x v="142"/>
    <s v="Y"/>
    <m/>
    <m/>
    <m/>
    <m/>
    <s v="2017/OFDA"/>
    <m/>
    <m/>
    <m/>
    <m/>
    <m/>
    <m/>
    <m/>
    <s v="N"/>
    <m/>
    <m/>
    <m/>
    <s v="Sidr"/>
    <s v="CASH:  1st PMN ($100k unearmarked from AP 2099), 2nd PMN ($100k earmarked to tsunami affected areas from AP 2546), 3rd PMN ($300k earmarked for shelter and wat/san from OFDA), 4th PMN ($583k earmarked for shelter and wat/san from OFDA); SUPPLIES: + PSR; PEOPLE: Nek Alam (wat/san); S Wiseman (wat/san), L Malany (shelter)"/>
  </r>
  <r>
    <s v="FL-2007-000209-PNG"/>
    <n v="187"/>
    <x v="184"/>
    <d v="2007-11-01T00:00:00"/>
    <x v="12"/>
    <x v="18"/>
    <m/>
    <n v="2007"/>
    <n v="28"/>
    <s v="Europe/Asia"/>
    <x v="98"/>
    <s v="Hydrometerological"/>
    <x v="5"/>
    <s v="Tropical Cyclone"/>
    <s v="Cyclone"/>
    <n v="162000"/>
    <s v="Y"/>
    <s v="IFRC"/>
    <n v="672000"/>
    <s v="MDRPG002"/>
    <n v="3.5342261904761904E-2"/>
    <n v="0.76"/>
    <m/>
    <m/>
    <x v="13"/>
    <m/>
    <x v="0"/>
    <n v="0"/>
    <x v="51"/>
    <x v="0"/>
    <x v="0"/>
    <m/>
    <n v="23750"/>
    <x v="0"/>
    <m/>
    <m/>
    <x v="0"/>
    <m/>
    <m/>
    <m/>
    <m/>
    <m/>
    <m/>
    <m/>
    <m/>
    <m/>
    <m/>
    <m/>
    <m/>
    <m/>
    <m/>
    <x v="0"/>
    <m/>
    <n v="23750"/>
    <m/>
    <m/>
    <m/>
    <x v="143"/>
    <s v="Y"/>
    <m/>
    <m/>
    <m/>
    <m/>
    <n v="2881"/>
    <m/>
    <m/>
    <m/>
    <m/>
    <m/>
    <m/>
    <m/>
    <s v="N"/>
    <m/>
    <m/>
    <m/>
    <s v="Guba"/>
    <s v="CASH: PMN to Fed unearmarked"/>
  </r>
  <r>
    <m/>
    <n v="188"/>
    <x v="185"/>
    <d v="2008-01-01T00:00:00"/>
    <x v="12"/>
    <x v="19"/>
    <m/>
    <n v="2008"/>
    <n v="1"/>
    <s v="Africa"/>
    <x v="58"/>
    <s v="Human Related"/>
    <x v="19"/>
    <s v="Civil Unrest"/>
    <s v="Civil Unrest"/>
    <n v="500000"/>
    <s v="Y"/>
    <s v="ICRC"/>
    <n v="14200000"/>
    <m/>
    <n v="2.1126760563380281E-2"/>
    <m/>
    <m/>
    <m/>
    <x v="41"/>
    <m/>
    <x v="0"/>
    <n v="1"/>
    <x v="0"/>
    <x v="5"/>
    <x v="7"/>
    <m/>
    <n v="300000"/>
    <x v="0"/>
    <m/>
    <m/>
    <x v="0"/>
    <m/>
    <m/>
    <m/>
    <m/>
    <m/>
    <m/>
    <m/>
    <m/>
    <m/>
    <m/>
    <m/>
    <m/>
    <m/>
    <m/>
    <x v="0"/>
    <m/>
    <n v="300000"/>
    <m/>
    <m/>
    <m/>
    <x v="144"/>
    <s v="Y"/>
    <m/>
    <m/>
    <m/>
    <m/>
    <s v="2002 / 2099"/>
    <m/>
    <m/>
    <m/>
    <m/>
    <m/>
    <m/>
    <m/>
    <s v="N"/>
    <m/>
    <m/>
    <m/>
    <s v="Elections"/>
    <s v="CASH: 50k to KRCS  from 2799 and 50k to ICRC from 2002; CASH from 2099: 200k to ICRC"/>
  </r>
  <r>
    <s v="CW-2008-000013-CHN"/>
    <n v="189"/>
    <x v="186"/>
    <d v="2008-02-01T00:00:00"/>
    <x v="12"/>
    <x v="23"/>
    <m/>
    <n v="2008"/>
    <n v="2"/>
    <s v="Europe/Asia"/>
    <x v="4"/>
    <s v="Hydrometerological"/>
    <x v="5"/>
    <s v="Winter Storm"/>
    <s v="Snowstorm"/>
    <n v="7800000"/>
    <m/>
    <m/>
    <s v="n/a"/>
    <m/>
    <s v=""/>
    <m/>
    <m/>
    <m/>
    <x v="42"/>
    <m/>
    <x v="7"/>
    <m/>
    <x v="0"/>
    <x v="0"/>
    <x v="44"/>
    <m/>
    <n v="867000"/>
    <x v="0"/>
    <m/>
    <m/>
    <x v="0"/>
    <m/>
    <m/>
    <m/>
    <m/>
    <m/>
    <m/>
    <m/>
    <m/>
    <m/>
    <m/>
    <m/>
    <m/>
    <m/>
    <m/>
    <x v="0"/>
    <m/>
    <n v="867000"/>
    <m/>
    <m/>
    <m/>
    <x v="145"/>
    <s v="Y"/>
    <m/>
    <m/>
    <m/>
    <m/>
    <n v="2060"/>
    <m/>
    <m/>
    <m/>
    <m/>
    <m/>
    <m/>
    <m/>
    <s v="N"/>
    <m/>
    <m/>
    <s v="y"/>
    <m/>
    <s v="CASH: Bilateral to RCSC"/>
  </r>
  <r>
    <m/>
    <n v="190"/>
    <x v="187"/>
    <d v="2008-02-01T00:00:00"/>
    <x v="12"/>
    <x v="20"/>
    <m/>
    <n v="2008"/>
    <n v="3"/>
    <s v="Africa"/>
    <x v="85"/>
    <s v="Human Related"/>
    <x v="19"/>
    <s v="Civil Unrest"/>
    <s v="Civil Unrest"/>
    <m/>
    <m/>
    <m/>
    <s v="n/a"/>
    <m/>
    <s v=""/>
    <m/>
    <m/>
    <m/>
    <x v="43"/>
    <m/>
    <x v="8"/>
    <m/>
    <x v="0"/>
    <x v="0"/>
    <x v="45"/>
    <m/>
    <n v="2400"/>
    <x v="4"/>
    <m/>
    <m/>
    <x v="0"/>
    <m/>
    <m/>
    <m/>
    <m/>
    <m/>
    <m/>
    <m/>
    <m/>
    <m/>
    <m/>
    <m/>
    <m/>
    <m/>
    <m/>
    <x v="0"/>
    <n v="10000"/>
    <n v="12400"/>
    <m/>
    <m/>
    <m/>
    <x v="146"/>
    <s v="N"/>
    <m/>
    <m/>
    <m/>
    <m/>
    <n v="2799"/>
    <m/>
    <m/>
    <m/>
    <m/>
    <m/>
    <m/>
    <m/>
    <s v="Y"/>
    <m/>
    <m/>
    <m/>
    <s v="Violence"/>
    <s v="PEOPLE: G. Dodge, V. Vibhakar to Guyana for PSP ($10k) CASH: cash to NS $2,400 - total both $12,400"/>
  </r>
  <r>
    <m/>
    <n v="191"/>
    <x v="125"/>
    <d v="2008-02-01T00:00:00"/>
    <x v="12"/>
    <x v="21"/>
    <m/>
    <n v="2008"/>
    <n v="4"/>
    <s v="Africa"/>
    <x v="81"/>
    <s v="Human Related"/>
    <x v="8"/>
    <s v="Conflict"/>
    <s v="Conflict"/>
    <n v="2000000"/>
    <s v="Y"/>
    <s v="ICRC"/>
    <n v="94000000"/>
    <m/>
    <n v="7.5957446808510637E-3"/>
    <m/>
    <m/>
    <m/>
    <x v="44"/>
    <m/>
    <x v="0"/>
    <n v="1"/>
    <x v="0"/>
    <x v="10"/>
    <x v="0"/>
    <m/>
    <n v="714000"/>
    <x v="0"/>
    <m/>
    <m/>
    <x v="0"/>
    <m/>
    <m/>
    <m/>
    <m/>
    <m/>
    <m/>
    <m/>
    <m/>
    <m/>
    <m/>
    <m/>
    <m/>
    <m/>
    <m/>
    <x v="0"/>
    <m/>
    <n v="714000"/>
    <m/>
    <m/>
    <m/>
    <x v="147"/>
    <s v="Y"/>
    <m/>
    <m/>
    <m/>
    <m/>
    <n v="2661"/>
    <m/>
    <m/>
    <m/>
    <m/>
    <m/>
    <m/>
    <m/>
    <s v="N"/>
    <m/>
    <m/>
    <m/>
    <m/>
    <s v="CASH: 714k to ICRC from Coca Cola"/>
  </r>
  <r>
    <s v="FL-2008-000018-ECU"/>
    <n v="192"/>
    <x v="188"/>
    <d v="2008-02-01T00:00:00"/>
    <x v="12"/>
    <x v="22"/>
    <m/>
    <n v="2008"/>
    <n v="5"/>
    <s v="LAC"/>
    <x v="45"/>
    <s v="Hydrometerological"/>
    <x v="2"/>
    <s v="General Floods"/>
    <s v="General Floods"/>
    <n v="315000"/>
    <m/>
    <s v="?"/>
    <n v="700000"/>
    <m/>
    <n v="0.35"/>
    <m/>
    <m/>
    <m/>
    <x v="45"/>
    <m/>
    <x v="9"/>
    <m/>
    <x v="0"/>
    <x v="0"/>
    <x v="46"/>
    <m/>
    <n v="245000"/>
    <x v="0"/>
    <m/>
    <m/>
    <x v="0"/>
    <m/>
    <m/>
    <m/>
    <m/>
    <m/>
    <m/>
    <m/>
    <m/>
    <m/>
    <m/>
    <m/>
    <m/>
    <m/>
    <m/>
    <x v="0"/>
    <m/>
    <n v="245000"/>
    <m/>
    <m/>
    <m/>
    <x v="122"/>
    <s v="Y"/>
    <m/>
    <m/>
    <m/>
    <m/>
    <s v="2597 / 2099"/>
    <m/>
    <m/>
    <m/>
    <m/>
    <m/>
    <m/>
    <m/>
    <s v="N"/>
    <m/>
    <m/>
    <m/>
    <s v="Pacific Coast"/>
    <s v="CASH from 2597: OFDA grant for procurement of NFIs - nets, clean-up kits, kitchen sets;  CASH from 2099: To ERC for purchase of food parcels "/>
  </r>
  <r>
    <m/>
    <n v="193"/>
    <x v="105"/>
    <d v="2008-03-08T00:00:00"/>
    <x v="12"/>
    <x v="24"/>
    <m/>
    <n v="2008"/>
    <n v="6"/>
    <s v="Europe/Asia"/>
    <x v="72"/>
    <s v="Human Related"/>
    <x v="8"/>
    <s v="Conflict"/>
    <s v="Conflict"/>
    <n v="4000000"/>
    <s v="Y"/>
    <s v="IFRC"/>
    <n v="18900000"/>
    <m/>
    <n v="1.4232804232804232E-2"/>
    <m/>
    <m/>
    <m/>
    <x v="46"/>
    <m/>
    <x v="0"/>
    <n v="1"/>
    <x v="52"/>
    <x v="0"/>
    <x v="0"/>
    <m/>
    <n v="269000"/>
    <x v="0"/>
    <m/>
    <m/>
    <x v="0"/>
    <m/>
    <m/>
    <m/>
    <m/>
    <m/>
    <m/>
    <m/>
    <m/>
    <m/>
    <m/>
    <m/>
    <m/>
    <m/>
    <m/>
    <x v="0"/>
    <m/>
    <n v="269000"/>
    <m/>
    <m/>
    <m/>
    <x v="148"/>
    <s v="Y"/>
    <m/>
    <m/>
    <m/>
    <m/>
    <s v="2099/2689"/>
    <m/>
    <m/>
    <m/>
    <m/>
    <m/>
    <m/>
    <m/>
    <s v="N"/>
    <m/>
    <m/>
    <m/>
    <s v="Country-wide"/>
    <s v="CASH from 2099: $250k Earmarked for OD and M&amp;E; CASH from 2689: $19k Earmarked for OD and M&amp;E;"/>
  </r>
  <r>
    <s v="TC-2008-000023-MDG"/>
    <n v="194"/>
    <x v="189"/>
    <d v="2008-03-08T00:00:00"/>
    <x v="12"/>
    <x v="25"/>
    <m/>
    <n v="2008"/>
    <n v="7"/>
    <s v="Africa"/>
    <x v="26"/>
    <s v="Hydrometerological"/>
    <x v="5"/>
    <s v="Tropical Cyclone"/>
    <s v="Cyclone"/>
    <n v="322000"/>
    <s v="Y"/>
    <s v="IFRC"/>
    <n v="1000000"/>
    <s v="MDRMG003"/>
    <n v="0"/>
    <m/>
    <m/>
    <m/>
    <x v="47"/>
    <m/>
    <x v="0"/>
    <m/>
    <x v="0"/>
    <x v="0"/>
    <x v="0"/>
    <m/>
    <n v="0"/>
    <x v="0"/>
    <m/>
    <m/>
    <x v="6"/>
    <m/>
    <m/>
    <m/>
    <m/>
    <m/>
    <m/>
    <m/>
    <m/>
    <n v="10000"/>
    <m/>
    <m/>
    <m/>
    <m/>
    <m/>
    <x v="31"/>
    <m/>
    <n v="50000"/>
    <m/>
    <m/>
    <m/>
    <x v="16"/>
    <s v="N"/>
    <m/>
    <m/>
    <m/>
    <m/>
    <n v="2799"/>
    <m/>
    <m/>
    <m/>
    <m/>
    <m/>
    <m/>
    <m/>
    <s v="Y"/>
    <m/>
    <m/>
    <m/>
    <s v="Ivan"/>
    <m/>
  </r>
  <r>
    <s v="TC-2008-000033-MOZ"/>
    <n v="195"/>
    <x v="190"/>
    <d v="2008-03-08T00:00:00"/>
    <x v="12"/>
    <x v="26"/>
    <m/>
    <n v="2008"/>
    <n v="8"/>
    <s v="Africa"/>
    <x v="36"/>
    <s v="Hydrometerological"/>
    <x v="2"/>
    <s v="General Floods"/>
    <s v="General Floods"/>
    <n v="400000"/>
    <s v="Y"/>
    <m/>
    <n v="8400000"/>
    <m/>
    <n v="3.5714285714285712E-2"/>
    <m/>
    <m/>
    <m/>
    <x v="48"/>
    <m/>
    <x v="10"/>
    <n v="1"/>
    <x v="21"/>
    <x v="0"/>
    <x v="0"/>
    <m/>
    <n v="300000"/>
    <x v="0"/>
    <m/>
    <m/>
    <x v="0"/>
    <m/>
    <m/>
    <m/>
    <m/>
    <m/>
    <m/>
    <m/>
    <m/>
    <m/>
    <m/>
    <m/>
    <m/>
    <m/>
    <m/>
    <x v="0"/>
    <m/>
    <n v="300000"/>
    <m/>
    <m/>
    <m/>
    <x v="144"/>
    <s v="Y"/>
    <m/>
    <m/>
    <m/>
    <m/>
    <s v="2099/($200k)/2869 ($100k)"/>
    <m/>
    <m/>
    <m/>
    <m/>
    <m/>
    <m/>
    <m/>
    <s v="N"/>
    <m/>
    <s v="ARCT"/>
    <m/>
    <s v="Southern Africa"/>
    <s v="CASH: 285k earmarked shelter/relief activities, 15k earmarked for RDRT costs x3; 2099 = $200k/ 2869 = $100k. Note ARCT funds used - $100,000 to Federation for shelter, see ARCT 2008 report."/>
  </r>
  <r>
    <s v="TC-2008-000033-MOZ"/>
    <n v="196"/>
    <x v="190"/>
    <d v="2008-03-08T00:00:00"/>
    <x v="12"/>
    <x v="27"/>
    <m/>
    <n v="2008"/>
    <n v="9"/>
    <s v="Africa"/>
    <x v="99"/>
    <s v="Hydrometerological"/>
    <x v="2"/>
    <s v="General Floods"/>
    <s v="General Floods"/>
    <n v="2700"/>
    <m/>
    <m/>
    <s v="n/a"/>
    <m/>
    <s v=""/>
    <m/>
    <m/>
    <m/>
    <x v="49"/>
    <m/>
    <x v="0"/>
    <m/>
    <x v="0"/>
    <x v="0"/>
    <x v="47"/>
    <m/>
    <n v="48500"/>
    <x v="0"/>
    <m/>
    <m/>
    <x v="0"/>
    <m/>
    <m/>
    <m/>
    <m/>
    <m/>
    <m/>
    <m/>
    <m/>
    <m/>
    <m/>
    <m/>
    <m/>
    <m/>
    <m/>
    <x v="0"/>
    <m/>
    <n v="48500"/>
    <m/>
    <m/>
    <m/>
    <x v="149"/>
    <s v="Y"/>
    <m/>
    <m/>
    <m/>
    <m/>
    <n v="2002"/>
    <m/>
    <m/>
    <m/>
    <m/>
    <m/>
    <m/>
    <m/>
    <s v="N"/>
    <m/>
    <m/>
    <m/>
    <s v="Flood/Mine"/>
    <s v="CASH: Grant letter to TRCS, relief/shelter"/>
  </r>
  <r>
    <s v="TC-2008-000057-MMR"/>
    <n v="197"/>
    <x v="191"/>
    <d v="2008-05-08T00:00:00"/>
    <x v="12"/>
    <x v="28"/>
    <m/>
    <n v="2008"/>
    <n v="10"/>
    <s v="Europe/Asia"/>
    <x v="100"/>
    <s v="Hydrometerological"/>
    <x v="5"/>
    <s v="Tropical Cyclone"/>
    <s v="Cyclone"/>
    <n v="2400000"/>
    <s v="Y"/>
    <s v="IFRC"/>
    <n v="72537164"/>
    <s v="MDRMM002"/>
    <n v="3.446509157705697E-3"/>
    <n v="0.9"/>
    <m/>
    <m/>
    <x v="41"/>
    <m/>
    <x v="0"/>
    <n v="1"/>
    <x v="33"/>
    <x v="0"/>
    <x v="0"/>
    <m/>
    <n v="250000"/>
    <x v="2"/>
    <m/>
    <n v="1"/>
    <x v="39"/>
    <m/>
    <m/>
    <n v="25000"/>
    <m/>
    <m/>
    <m/>
    <n v="5000"/>
    <m/>
    <n v="20000"/>
    <m/>
    <n v="9995"/>
    <m/>
    <m/>
    <m/>
    <x v="67"/>
    <m/>
    <n v="1150000"/>
    <m/>
    <m/>
    <m/>
    <x v="129"/>
    <s v="Y"/>
    <m/>
    <m/>
    <m/>
    <m/>
    <s v="2594 / 2875"/>
    <m/>
    <m/>
    <m/>
    <m/>
    <m/>
    <m/>
    <m/>
    <s v="N"/>
    <m/>
    <m/>
    <s v="y"/>
    <s v="Nargis"/>
    <s v="SUPPLIES from 2594: OFDA  jerry cans, plus roughly 60k transport and associated costs; SUPPLIES from 2875: $1,150,000 plus transport"/>
  </r>
  <r>
    <s v="EQ-2008-000062-CHN"/>
    <n v="198"/>
    <x v="192"/>
    <d v="2008-05-08T00:00:00"/>
    <x v="12"/>
    <x v="29"/>
    <m/>
    <n v="2008"/>
    <n v="11"/>
    <s v="Europe/Asia"/>
    <x v="4"/>
    <s v="Geophysical"/>
    <x v="3"/>
    <s v="Earthquake"/>
    <s v="Earthquake"/>
    <n v="10000000"/>
    <s v="Y"/>
    <s v="IFRC"/>
    <n v="92700000"/>
    <s v="MDRCN003"/>
    <n v="0.10787486515641856"/>
    <n v="0.65"/>
    <m/>
    <m/>
    <x v="41"/>
    <m/>
    <x v="0"/>
    <n v="1"/>
    <x v="53"/>
    <x v="0"/>
    <x v="0"/>
    <m/>
    <n v="10000000"/>
    <x v="5"/>
    <m/>
    <m/>
    <x v="0"/>
    <m/>
    <m/>
    <m/>
    <m/>
    <m/>
    <m/>
    <m/>
    <m/>
    <m/>
    <m/>
    <m/>
    <m/>
    <m/>
    <m/>
    <x v="0"/>
    <m/>
    <n v="10000000"/>
    <m/>
    <m/>
    <m/>
    <x v="150"/>
    <s v="Y"/>
    <m/>
    <m/>
    <m/>
    <m/>
    <n v="2060"/>
    <m/>
    <m/>
    <m/>
    <m/>
    <m/>
    <m/>
    <m/>
    <s v="N"/>
    <m/>
    <m/>
    <s v="y"/>
    <s v="Sichuan"/>
    <s v="CASH: Unearmarked PMN; PEOPLE: R. Rayyis 1 wk info gathering, T. Betz 3 wk relief/logs/monitoring del; S. Thornton 6 mo relief del"/>
  </r>
  <r>
    <s v="DR-2008-000043-ETH"/>
    <n v="199"/>
    <x v="193"/>
    <d v="2008-06-08T00:00:00"/>
    <x v="12"/>
    <x v="30"/>
    <m/>
    <n v="2008"/>
    <n v="14"/>
    <s v="Africa"/>
    <x v="1"/>
    <s v="Human Related"/>
    <x v="14"/>
    <s v="Food Insecurity"/>
    <s v="Food Insecurity"/>
    <n v="4500000"/>
    <s v="Y"/>
    <s v="IFRC"/>
    <n v="7920006"/>
    <s v="MDRET005"/>
    <n v="1.2626253060919398E-2"/>
    <m/>
    <m/>
    <m/>
    <x v="50"/>
    <m/>
    <x v="0"/>
    <n v="1"/>
    <x v="1"/>
    <x v="0"/>
    <x v="0"/>
    <m/>
    <n v="100000"/>
    <x v="0"/>
    <m/>
    <m/>
    <x v="0"/>
    <m/>
    <m/>
    <m/>
    <m/>
    <m/>
    <m/>
    <m/>
    <m/>
    <m/>
    <m/>
    <m/>
    <m/>
    <m/>
    <m/>
    <x v="0"/>
    <m/>
    <n v="100000"/>
    <m/>
    <m/>
    <m/>
    <x v="5"/>
    <s v="Y"/>
    <m/>
    <m/>
    <m/>
    <m/>
    <n v="2949"/>
    <m/>
    <m/>
    <m/>
    <m/>
    <m/>
    <m/>
    <m/>
    <s v="N"/>
    <m/>
    <m/>
    <m/>
    <m/>
    <s v="CASH: PMN earmarked for procurement, transport, distribution of food"/>
  </r>
  <r>
    <m/>
    <n v="200"/>
    <x v="194"/>
    <d v="2008-06-08T00:00:00"/>
    <x v="12"/>
    <x v="31"/>
    <m/>
    <n v="2008"/>
    <n v="12"/>
    <s v="Africa"/>
    <x v="23"/>
    <s v="Human Related"/>
    <x v="19"/>
    <s v="Civil Unrest"/>
    <s v="Civil Unrest"/>
    <n v="50000"/>
    <m/>
    <m/>
    <s v="n/a"/>
    <m/>
    <s v=""/>
    <m/>
    <m/>
    <m/>
    <x v="51"/>
    <m/>
    <x v="8"/>
    <m/>
    <x v="0"/>
    <x v="0"/>
    <x v="0"/>
    <m/>
    <n v="0"/>
    <x v="2"/>
    <m/>
    <m/>
    <x v="0"/>
    <m/>
    <m/>
    <m/>
    <m/>
    <m/>
    <m/>
    <m/>
    <m/>
    <m/>
    <m/>
    <m/>
    <m/>
    <m/>
    <m/>
    <x v="0"/>
    <n v="10000"/>
    <n v="10000"/>
    <m/>
    <m/>
    <m/>
    <x v="6"/>
    <s v="N"/>
    <m/>
    <m/>
    <m/>
    <m/>
    <n v="2799"/>
    <m/>
    <m/>
    <m/>
    <m/>
    <m/>
    <m/>
    <m/>
    <s v="Y"/>
    <m/>
    <m/>
    <m/>
    <s v="Urban Violence"/>
    <s v="PEOPLE: C. Bell bilateral - dev systems/tracking"/>
  </r>
  <r>
    <s v="FL-2008-000069-CHL"/>
    <n v="201"/>
    <x v="195"/>
    <d v="2008-06-08T00:00:00"/>
    <x v="12"/>
    <x v="32"/>
    <m/>
    <n v="2008"/>
    <n v="13"/>
    <s v="LAC"/>
    <x v="101"/>
    <s v="Hydrometerological"/>
    <x v="2"/>
    <s v="General Floods"/>
    <s v="General Floods"/>
    <n v="50000"/>
    <m/>
    <m/>
    <s v="n/a"/>
    <m/>
    <s v=""/>
    <m/>
    <m/>
    <m/>
    <x v="52"/>
    <m/>
    <x v="11"/>
    <n v="0"/>
    <x v="54"/>
    <x v="0"/>
    <x v="0"/>
    <m/>
    <n v="2000"/>
    <x v="2"/>
    <m/>
    <m/>
    <x v="0"/>
    <m/>
    <m/>
    <m/>
    <m/>
    <m/>
    <m/>
    <m/>
    <m/>
    <m/>
    <m/>
    <m/>
    <m/>
    <m/>
    <m/>
    <x v="0"/>
    <m/>
    <n v="2000"/>
    <m/>
    <m/>
    <m/>
    <x v="55"/>
    <s v="N"/>
    <m/>
    <m/>
    <m/>
    <m/>
    <n v="2799"/>
    <m/>
    <m/>
    <m/>
    <m/>
    <m/>
    <m/>
    <m/>
    <s v="Y"/>
    <m/>
    <m/>
    <m/>
    <m/>
    <s v="PEOPLE: S. DiPretoro, w/RIT, cash voucher/market assessment"/>
  </r>
  <r>
    <s v="TC-2008-000093-PHL"/>
    <n v="202"/>
    <x v="196"/>
    <d v="2008-06-08T00:00:00"/>
    <x v="12"/>
    <x v="33"/>
    <m/>
    <n v="2008"/>
    <n v="15"/>
    <s v="Europe/Asia"/>
    <x v="89"/>
    <s v="Hydrometerological"/>
    <x v="5"/>
    <s v="Tropical Cyclone"/>
    <s v="Typhoon"/>
    <n v="4800000"/>
    <s v="Y"/>
    <s v="IFRC"/>
    <n v="8000000"/>
    <s v="MDRPH004"/>
    <n v="2.3125E-2"/>
    <n v="1"/>
    <m/>
    <m/>
    <x v="51"/>
    <m/>
    <x v="0"/>
    <n v="1"/>
    <x v="55"/>
    <x v="0"/>
    <x v="0"/>
    <m/>
    <n v="185000"/>
    <x v="2"/>
    <m/>
    <m/>
    <x v="0"/>
    <m/>
    <m/>
    <m/>
    <m/>
    <m/>
    <m/>
    <m/>
    <m/>
    <m/>
    <m/>
    <m/>
    <m/>
    <m/>
    <m/>
    <x v="0"/>
    <m/>
    <n v="185000"/>
    <m/>
    <m/>
    <m/>
    <x v="151"/>
    <s v="Y"/>
    <m/>
    <m/>
    <m/>
    <m/>
    <s v="2032/2799/2869"/>
    <m/>
    <m/>
    <m/>
    <m/>
    <m/>
    <m/>
    <m/>
    <s v="N"/>
    <m/>
    <s v="ARCT"/>
    <m/>
    <s v="Fengshen"/>
    <s v="CASH: 1st PMN (135K)earmarked for typhoon-resistant shelter construction, and DP programs, 2nd (50k) earmarked for shelters after IFRC reported severe underfunding; 1st PMN: AP 2869 - $80,938.17, AP 2799 - $45,211.83. AP 2032 - $8,850.00 / 2nd PMN: AP 2799 - $50,000 PEOPLE: G. Bicego, wat/san assessment team, Fed will pay all expenses. Note: ARCT Funds $100,000 used for shelter to Federation as noted in ARCT report for 2008."/>
  </r>
  <r>
    <m/>
    <n v="203"/>
    <x v="197"/>
    <d v="2008-07-08T00:00:00"/>
    <x v="13"/>
    <x v="1"/>
    <m/>
    <n v="2008"/>
    <n v="16"/>
    <s v="Europe/Asia"/>
    <x v="102"/>
    <s v="Human Related"/>
    <x v="8"/>
    <s v="Conflict"/>
    <s v="Conflict"/>
    <n v="77000"/>
    <s v="Y"/>
    <s v="ICRC"/>
    <n v="13707000"/>
    <m/>
    <n v="3.6477712117895965E-3"/>
    <m/>
    <m/>
    <m/>
    <x v="53"/>
    <m/>
    <x v="0"/>
    <n v="1"/>
    <x v="0"/>
    <x v="7"/>
    <x v="0"/>
    <m/>
    <n v="50000"/>
    <x v="0"/>
    <m/>
    <m/>
    <x v="40"/>
    <m/>
    <m/>
    <m/>
    <m/>
    <m/>
    <m/>
    <m/>
    <m/>
    <m/>
    <m/>
    <m/>
    <m/>
    <m/>
    <m/>
    <x v="0"/>
    <m/>
    <n v="50000"/>
    <m/>
    <m/>
    <m/>
    <x v="16"/>
    <s v="N"/>
    <m/>
    <m/>
    <m/>
    <m/>
    <n v="2799"/>
    <m/>
    <m/>
    <m/>
    <m/>
    <m/>
    <m/>
    <m/>
    <s v="Y"/>
    <m/>
    <m/>
    <m/>
    <s v="Believing Youth"/>
    <s v="CASH: $50,000 Pledge Letter to ICRC"/>
  </r>
  <r>
    <s v="FL-2008-000095-SUR"/>
    <n v="204"/>
    <x v="198"/>
    <d v="2008-07-01T00:00:00"/>
    <x v="13"/>
    <x v="2"/>
    <m/>
    <n v="2008"/>
    <n v="17"/>
    <s v="LAC"/>
    <x v="103"/>
    <s v="Hydrometerological"/>
    <x v="2"/>
    <s v="General Floods"/>
    <s v="General Floods"/>
    <n v="49090"/>
    <s v="Y"/>
    <s v="IFRC"/>
    <n v="861000"/>
    <s v="MDRSR002"/>
    <n v="0"/>
    <m/>
    <m/>
    <m/>
    <x v="54"/>
    <m/>
    <x v="0"/>
    <m/>
    <x v="0"/>
    <x v="0"/>
    <x v="0"/>
    <m/>
    <s v="-"/>
    <x v="4"/>
    <s v="IT/Telecoms"/>
    <n v="2"/>
    <x v="40"/>
    <m/>
    <m/>
    <m/>
    <m/>
    <m/>
    <m/>
    <m/>
    <m/>
    <m/>
    <m/>
    <m/>
    <m/>
    <m/>
    <m/>
    <x v="68"/>
    <s v="-"/>
    <m/>
    <m/>
    <m/>
    <m/>
    <x v="152"/>
    <s v="N"/>
    <m/>
    <m/>
    <m/>
    <m/>
    <n v="2799"/>
    <m/>
    <m/>
    <m/>
    <m/>
    <m/>
    <m/>
    <m/>
    <s v="Y"/>
    <m/>
    <m/>
    <m/>
    <m/>
    <s v="PEOPLE: M. Million, R. Palmer IT capacity bldg"/>
  </r>
  <r>
    <s v="FL-2008-000122-UKR/MDA"/>
    <n v="205"/>
    <x v="199"/>
    <d v="2008-08-01T00:00:00"/>
    <x v="13"/>
    <x v="3"/>
    <m/>
    <n v="2008"/>
    <n v="18"/>
    <s v="Europe/Asia"/>
    <x v="104"/>
    <s v="Hydrometerological"/>
    <x v="2"/>
    <s v="General Floods"/>
    <s v="General Floods"/>
    <n v="30000"/>
    <s v="Y"/>
    <s v="IFRC"/>
    <n v="1193000"/>
    <s v="MDR67003"/>
    <n v="3.7091366303436714E-2"/>
    <n v="0.54"/>
    <m/>
    <m/>
    <x v="25"/>
    <m/>
    <x v="0"/>
    <n v="1"/>
    <x v="56"/>
    <x v="0"/>
    <x v="0"/>
    <m/>
    <n v="44250"/>
    <x v="0"/>
    <m/>
    <m/>
    <x v="40"/>
    <m/>
    <m/>
    <m/>
    <m/>
    <m/>
    <m/>
    <m/>
    <m/>
    <m/>
    <m/>
    <m/>
    <m/>
    <m/>
    <m/>
    <x v="0"/>
    <m/>
    <n v="44250"/>
    <m/>
    <m/>
    <m/>
    <x v="153"/>
    <s v="Y"/>
    <m/>
    <m/>
    <m/>
    <m/>
    <n v="2048"/>
    <m/>
    <m/>
    <m/>
    <m/>
    <m/>
    <m/>
    <m/>
    <s v="N"/>
    <m/>
    <m/>
    <m/>
    <m/>
    <s v="CASH: $44,280 PMN unearmarked, Boeing donation"/>
  </r>
  <r>
    <m/>
    <n v="206"/>
    <x v="200"/>
    <d v="2008-08-01T00:00:00"/>
    <x v="13"/>
    <x v="4"/>
    <m/>
    <n v="2008"/>
    <n v="19"/>
    <s v="Europe/Asia"/>
    <x v="105"/>
    <s v="Human Related"/>
    <x v="8"/>
    <s v="Conflict"/>
    <s v="Conflict"/>
    <n v="72000"/>
    <s v="Y"/>
    <s v="ICRC"/>
    <n v="7395000"/>
    <s v="REX08/555"/>
    <n v="1.3522650439486139E-2"/>
    <m/>
    <m/>
    <m/>
    <x v="47"/>
    <m/>
    <x v="0"/>
    <n v="1"/>
    <x v="0"/>
    <x v="2"/>
    <x v="0"/>
    <m/>
    <n v="100000"/>
    <x v="0"/>
    <m/>
    <m/>
    <x v="40"/>
    <m/>
    <m/>
    <m/>
    <m/>
    <m/>
    <m/>
    <m/>
    <m/>
    <m/>
    <m/>
    <m/>
    <m/>
    <m/>
    <m/>
    <x v="0"/>
    <m/>
    <n v="100000"/>
    <m/>
    <m/>
    <m/>
    <x v="5"/>
    <s v="N"/>
    <m/>
    <m/>
    <m/>
    <m/>
    <n v="2799"/>
    <m/>
    <m/>
    <m/>
    <m/>
    <m/>
    <m/>
    <m/>
    <s v="Y"/>
    <m/>
    <m/>
    <m/>
    <s v="S. Ossetia"/>
    <s v="CASH: $100,000 Pledge Letter to ICRC"/>
  </r>
  <r>
    <s v="FL-2008-000104-NPL"/>
    <n v="207"/>
    <x v="174"/>
    <d v="2008-09-08T00:00:00"/>
    <x v="13"/>
    <x v="5"/>
    <m/>
    <n v="2008"/>
    <n v="20"/>
    <s v="Europe/Asia"/>
    <x v="95"/>
    <s v="Hydrometerological"/>
    <x v="2"/>
    <s v="General Floods"/>
    <s v="General Floods"/>
    <n v="70000"/>
    <s v="Y"/>
    <s v="IFRC"/>
    <n v="2647699"/>
    <s v="MDRNP002"/>
    <n v="1.8884321820569483E-2"/>
    <n v="0.72"/>
    <m/>
    <m/>
    <x v="24"/>
    <m/>
    <x v="0"/>
    <n v="1"/>
    <x v="6"/>
    <x v="0"/>
    <x v="0"/>
    <m/>
    <n v="50000"/>
    <x v="0"/>
    <m/>
    <m/>
    <x v="40"/>
    <m/>
    <m/>
    <m/>
    <m/>
    <m/>
    <m/>
    <m/>
    <m/>
    <m/>
    <m/>
    <m/>
    <m/>
    <m/>
    <m/>
    <x v="0"/>
    <m/>
    <n v="50000"/>
    <m/>
    <m/>
    <m/>
    <x v="16"/>
    <s v="N"/>
    <m/>
    <m/>
    <m/>
    <m/>
    <n v="2799"/>
    <m/>
    <m/>
    <m/>
    <m/>
    <m/>
    <m/>
    <m/>
    <s v="Y"/>
    <m/>
    <m/>
    <m/>
    <s v="Koshi River Embankment Breach"/>
    <s v="CASH: PMN $50,000 unearmarked to Fed"/>
  </r>
  <r>
    <s v="TC-2008-000147-HTI"/>
    <n v="208"/>
    <x v="201"/>
    <d v="2008-09-08T00:00:00"/>
    <x v="13"/>
    <x v="6"/>
    <m/>
    <n v="2008"/>
    <n v="21"/>
    <s v="LAC"/>
    <x v="79"/>
    <s v="Hydrometerological"/>
    <x v="5"/>
    <s v="Tropical Cyclone"/>
    <s v="Hurricane"/>
    <n v="800000"/>
    <s v="Y"/>
    <s v="IFRC"/>
    <n v="7600000"/>
    <s v="MDRHT005"/>
    <n v="3.7326578947368419E-2"/>
    <n v="1.04"/>
    <m/>
    <m/>
    <x v="47"/>
    <m/>
    <x v="0"/>
    <n v="1"/>
    <x v="57"/>
    <x v="0"/>
    <x v="0"/>
    <m/>
    <n v="283682"/>
    <x v="10"/>
    <s v="Relief ERU"/>
    <n v="5"/>
    <x v="41"/>
    <m/>
    <n v="4000"/>
    <m/>
    <m/>
    <n v="4800"/>
    <m/>
    <n v="3000"/>
    <m/>
    <n v="6000"/>
    <m/>
    <n v="1300"/>
    <m/>
    <m/>
    <m/>
    <x v="69"/>
    <m/>
    <n v="1532876"/>
    <m/>
    <m/>
    <m/>
    <x v="154"/>
    <s v="Y"/>
    <m/>
    <m/>
    <m/>
    <m/>
    <s v="2869/2885/ 2591"/>
    <m/>
    <m/>
    <m/>
    <m/>
    <m/>
    <m/>
    <m/>
    <s v="N"/>
    <m/>
    <s v="OFDA grant for $500,000; ARCT funds used - $100,000"/>
    <s v="y"/>
    <s v="Gustav, Hanna, Ike"/>
    <s v="CASH: $100K PMN from AP 2885 earmarked for shelter kits from ARCT; PEOPLE: B. Gaillis (FACT TL), Relief ERU - C. Chaperon (TL), M. Marek, 2nd round - M. Marek (TL), J. Manley, G. Matthews, value at 50k to Fed;  OFDA grant for $500,000. SUPPLIES plus transport/PSR"/>
  </r>
  <r>
    <s v="TC-2008-000143"/>
    <n v="209"/>
    <x v="202"/>
    <d v="2008-09-08T00:00:00"/>
    <x v="13"/>
    <x v="7"/>
    <m/>
    <n v="2008"/>
    <n v="22"/>
    <s v="LAC"/>
    <x v="9"/>
    <s v="Hydrometerological"/>
    <x v="5"/>
    <s v="Tropical Cyclone"/>
    <s v="Hurricane"/>
    <n v="9750"/>
    <s v="Y"/>
    <s v="IFRC"/>
    <n v="1638300"/>
    <s v="MDR49003"/>
    <n v="7.3883904046877863E-2"/>
    <n v="0.77"/>
    <m/>
    <m/>
    <x v="55"/>
    <m/>
    <x v="0"/>
    <n v="1"/>
    <x v="58"/>
    <x v="0"/>
    <x v="0"/>
    <m/>
    <n v="121044"/>
    <x v="2"/>
    <m/>
    <n v="1"/>
    <x v="40"/>
    <m/>
    <m/>
    <m/>
    <m/>
    <m/>
    <m/>
    <m/>
    <m/>
    <m/>
    <m/>
    <m/>
    <m/>
    <m/>
    <m/>
    <x v="0"/>
    <m/>
    <n v="121044"/>
    <m/>
    <m/>
    <m/>
    <x v="155"/>
    <s v="N"/>
    <m/>
    <m/>
    <m/>
    <m/>
    <n v="2799"/>
    <m/>
    <m/>
    <m/>
    <m/>
    <m/>
    <m/>
    <m/>
    <s v="Y"/>
    <m/>
    <m/>
    <s v="y"/>
    <s v="Bahamas, Jamaica"/>
    <s v="CASH: PMN $100,000 earmarked for Bahamas and Jamaica; PEOPLE: C. Hammond (RIT)"/>
  </r>
  <r>
    <s v="TC-2008-000143"/>
    <n v="209"/>
    <x v="203"/>
    <d v="2008-09-08T00:00:00"/>
    <x v="13"/>
    <x v="7"/>
    <m/>
    <n v="2008"/>
    <n v="22"/>
    <s v="LAC"/>
    <x v="53"/>
    <s v="Hydrometerological"/>
    <x v="5"/>
    <s v="Tropical Cyclone"/>
    <s v="Hurricane"/>
    <n v="4000"/>
    <m/>
    <m/>
    <s v="-"/>
    <s v="MDR49003"/>
    <s v=""/>
    <m/>
    <m/>
    <m/>
    <x v="56"/>
    <m/>
    <x v="12"/>
    <m/>
    <x v="0"/>
    <x v="0"/>
    <x v="0"/>
    <m/>
    <m/>
    <x v="0"/>
    <m/>
    <m/>
    <x v="40"/>
    <m/>
    <m/>
    <m/>
    <m/>
    <m/>
    <m/>
    <m/>
    <m/>
    <m/>
    <m/>
    <m/>
    <m/>
    <m/>
    <m/>
    <x v="0"/>
    <m/>
    <s v="-"/>
    <m/>
    <m/>
    <m/>
    <x v="156"/>
    <s v="Y"/>
    <m/>
    <m/>
    <m/>
    <m/>
    <m/>
    <m/>
    <m/>
    <m/>
    <m/>
    <m/>
    <m/>
    <m/>
    <s v="N"/>
    <m/>
    <m/>
    <s v="y"/>
    <s v="Bahamas, Jamaica"/>
    <s v="CASH: PMN earmarked for Bahamas and Jamaica"/>
  </r>
  <r>
    <s v="TC-2008-000143"/>
    <n v="210"/>
    <x v="204"/>
    <d v="2008-09-08T00:00:00"/>
    <x v="13"/>
    <x v="8"/>
    <m/>
    <n v="2008"/>
    <n v="23"/>
    <s v="LAC"/>
    <x v="52"/>
    <s v="Hydrometerological"/>
    <x v="5"/>
    <s v="Tropical Cyclone"/>
    <s v="Hurricane"/>
    <n v="2900000"/>
    <s v="Y"/>
    <s v="IFRC"/>
    <n v="8811345"/>
    <s v="MDRCU001"/>
    <n v="0.12823728953979216"/>
    <n v="0.66"/>
    <m/>
    <m/>
    <x v="25"/>
    <m/>
    <x v="13"/>
    <n v="1"/>
    <x v="59"/>
    <x v="0"/>
    <x v="0"/>
    <m/>
    <n v="1129943"/>
    <x v="0"/>
    <m/>
    <m/>
    <x v="40"/>
    <m/>
    <m/>
    <m/>
    <m/>
    <m/>
    <m/>
    <m/>
    <m/>
    <m/>
    <m/>
    <m/>
    <m/>
    <m/>
    <m/>
    <x v="0"/>
    <m/>
    <n v="1129943"/>
    <m/>
    <m/>
    <m/>
    <x v="157"/>
    <s v="N"/>
    <m/>
    <m/>
    <m/>
    <m/>
    <n v="2099"/>
    <m/>
    <m/>
    <m/>
    <m/>
    <m/>
    <m/>
    <m/>
    <s v="N"/>
    <m/>
    <m/>
    <s v="y"/>
    <s v="Gustav, Ike"/>
    <s v="CASH: PMN unearmarked - OFAC license received"/>
  </r>
  <r>
    <s v="FL-2008-000198"/>
    <n v="211"/>
    <x v="205"/>
    <d v="2008-10-01T00:00:00"/>
    <x v="13"/>
    <x v="9"/>
    <m/>
    <n v="2008"/>
    <n v="24"/>
    <s v="LAC"/>
    <x v="6"/>
    <s v="Hydrometerological"/>
    <x v="2"/>
    <s v="Storm Surge"/>
    <s v="Storm Surge"/>
    <s v="-"/>
    <m/>
    <m/>
    <s v="-"/>
    <m/>
    <s v=""/>
    <m/>
    <m/>
    <m/>
    <x v="56"/>
    <m/>
    <x v="12"/>
    <m/>
    <x v="0"/>
    <x v="0"/>
    <x v="0"/>
    <m/>
    <m/>
    <x v="0"/>
    <m/>
    <m/>
    <x v="40"/>
    <m/>
    <m/>
    <m/>
    <m/>
    <m/>
    <m/>
    <m/>
    <m/>
    <m/>
    <m/>
    <m/>
    <m/>
    <m/>
    <m/>
    <x v="0"/>
    <m/>
    <s v="-"/>
    <m/>
    <m/>
    <m/>
    <x v="156"/>
    <s v="Y"/>
    <m/>
    <m/>
    <m/>
    <m/>
    <m/>
    <m/>
    <m/>
    <m/>
    <m/>
    <m/>
    <m/>
    <m/>
    <s v="N"/>
    <m/>
    <m/>
    <s v="y"/>
    <m/>
    <m/>
  </r>
  <r>
    <s v="FL-2008-000198"/>
    <n v="211"/>
    <x v="205"/>
    <d v="2008-10-01T00:00:00"/>
    <x v="13"/>
    <x v="9"/>
    <m/>
    <n v="2008"/>
    <n v="24"/>
    <s v="LAC"/>
    <x v="43"/>
    <s v="Hydrometerological"/>
    <x v="2"/>
    <s v="Storm Surge"/>
    <s v="Storm Surge"/>
    <s v="-"/>
    <m/>
    <m/>
    <s v="-"/>
    <m/>
    <s v=""/>
    <m/>
    <m/>
    <m/>
    <x v="56"/>
    <m/>
    <x v="12"/>
    <n v="0"/>
    <x v="3"/>
    <x v="0"/>
    <x v="0"/>
    <m/>
    <m/>
    <x v="0"/>
    <m/>
    <m/>
    <x v="40"/>
    <m/>
    <m/>
    <m/>
    <m/>
    <m/>
    <m/>
    <m/>
    <m/>
    <m/>
    <m/>
    <m/>
    <m/>
    <m/>
    <m/>
    <x v="0"/>
    <m/>
    <s v="-"/>
    <m/>
    <m/>
    <m/>
    <x v="156"/>
    <s v="Y"/>
    <m/>
    <m/>
    <m/>
    <m/>
    <n v="2882"/>
    <m/>
    <m/>
    <m/>
    <m/>
    <m/>
    <m/>
    <m/>
    <s v="N"/>
    <m/>
    <m/>
    <s v="y"/>
    <m/>
    <s v="CASH: PMN 25k earmarked to Honduras from 2882"/>
  </r>
  <r>
    <s v="FL-2008-000198"/>
    <n v="211"/>
    <x v="205"/>
    <d v="2008-10-01T00:00:00"/>
    <x v="13"/>
    <x v="9"/>
    <m/>
    <n v="2008"/>
    <n v="24"/>
    <s v="LAC"/>
    <x v="106"/>
    <s v="Hydrometerological"/>
    <x v="2"/>
    <s v="Storm Surge"/>
    <s v="Storm Surge"/>
    <n v="328000"/>
    <s v="Y"/>
    <s v="IFRC"/>
    <n v="1388924"/>
    <s v="MDR43004"/>
    <n v="0.17760727008821217"/>
    <n v="0.67"/>
    <m/>
    <m/>
    <x v="57"/>
    <m/>
    <x v="0"/>
    <n v="1"/>
    <x v="60"/>
    <x v="0"/>
    <x v="0"/>
    <m/>
    <n v="246683"/>
    <x v="0"/>
    <m/>
    <m/>
    <x v="40"/>
    <m/>
    <m/>
    <m/>
    <m/>
    <m/>
    <m/>
    <m/>
    <m/>
    <m/>
    <m/>
    <m/>
    <m/>
    <m/>
    <m/>
    <x v="0"/>
    <m/>
    <n v="246683"/>
    <m/>
    <m/>
    <m/>
    <x v="158"/>
    <s v="Y"/>
    <m/>
    <m/>
    <m/>
    <m/>
    <s v="2799 /2882 /2869"/>
    <m/>
    <m/>
    <m/>
    <m/>
    <m/>
    <m/>
    <m/>
    <s v="N"/>
    <m/>
    <s v="ARCT funds used - $100,000"/>
    <s v="y"/>
    <m/>
    <s v="CASH: PMN 100k from 2799 unearmarked; PMN 91k - ( $88,500 from 2869 ARCT and $2,500 from 2799); $25,000 from 2882 earmarked for Honduras"/>
  </r>
  <r>
    <s v="FL-2008-000198"/>
    <n v="211"/>
    <x v="205"/>
    <d v="2008-10-01T00:00:00"/>
    <x v="13"/>
    <x v="9"/>
    <m/>
    <n v="2008"/>
    <n v="24"/>
    <s v="LAC"/>
    <x v="44"/>
    <s v="Hydrometerological"/>
    <x v="2"/>
    <s v="Storm Surge"/>
    <s v="Storm Surge"/>
    <m/>
    <m/>
    <m/>
    <m/>
    <m/>
    <s v=""/>
    <m/>
    <m/>
    <m/>
    <x v="0"/>
    <m/>
    <x v="0"/>
    <m/>
    <x v="0"/>
    <x v="0"/>
    <x v="0"/>
    <m/>
    <m/>
    <x v="0"/>
    <m/>
    <m/>
    <x v="40"/>
    <m/>
    <m/>
    <m/>
    <m/>
    <m/>
    <m/>
    <m/>
    <m/>
    <m/>
    <m/>
    <m/>
    <m/>
    <m/>
    <m/>
    <x v="0"/>
    <m/>
    <m/>
    <m/>
    <m/>
    <m/>
    <x v="7"/>
    <s v="Y"/>
    <m/>
    <m/>
    <m/>
    <m/>
    <m/>
    <m/>
    <m/>
    <m/>
    <m/>
    <m/>
    <m/>
    <m/>
    <s v="N"/>
    <m/>
    <m/>
    <s v="y"/>
    <m/>
    <m/>
  </r>
  <r>
    <s v="EQ-2008-000206-PAK"/>
    <n v="212"/>
    <x v="206"/>
    <d v="2008-11-08T00:00:00"/>
    <x v="13"/>
    <x v="10"/>
    <m/>
    <n v="2008"/>
    <n v="25"/>
    <s v="Europe/Asia"/>
    <x v="47"/>
    <s v="Geophysical"/>
    <x v="3"/>
    <s v="Earthquake"/>
    <s v="Earthquake"/>
    <n v="366000"/>
    <s v="Y"/>
    <s v="ICRC &amp; IFRC"/>
    <n v="9880000"/>
    <s v="REX08/722 &amp; MDRPK002"/>
    <n v="1.0121457489878543E-2"/>
    <m/>
    <m/>
    <m/>
    <x v="58"/>
    <m/>
    <x v="0"/>
    <m/>
    <x v="0"/>
    <x v="0"/>
    <x v="1"/>
    <m/>
    <n v="100000"/>
    <x v="0"/>
    <m/>
    <m/>
    <x v="40"/>
    <m/>
    <m/>
    <m/>
    <m/>
    <m/>
    <m/>
    <m/>
    <m/>
    <m/>
    <m/>
    <m/>
    <m/>
    <m/>
    <m/>
    <x v="0"/>
    <m/>
    <n v="100000"/>
    <m/>
    <m/>
    <n v="37930"/>
    <x v="5"/>
    <s v="N"/>
    <m/>
    <m/>
    <m/>
    <m/>
    <n v="2799"/>
    <m/>
    <m/>
    <m/>
    <m/>
    <m/>
    <m/>
    <m/>
    <s v="Y"/>
    <m/>
    <m/>
    <m/>
    <s v="Baluchistan"/>
    <s v="CASH: $100,000 to purchase relief supplies."/>
  </r>
  <r>
    <s v="FF-2008-000211-VNM"/>
    <n v="213"/>
    <x v="21"/>
    <d v="2008-11-08T00:00:00"/>
    <x v="13"/>
    <x v="11"/>
    <m/>
    <n v="2008"/>
    <n v="26"/>
    <s v="Europe/Asia"/>
    <x v="16"/>
    <s v="Hydrometerological"/>
    <x v="2"/>
    <s v="General Floods"/>
    <s v="General Floods"/>
    <n v="600000"/>
    <s v="Y"/>
    <s v="IFRC"/>
    <n v="4000000"/>
    <s v="MDRVN005"/>
    <n v="1.2500000000000001E-2"/>
    <n v="0.47"/>
    <m/>
    <m/>
    <x v="59"/>
    <m/>
    <x v="0"/>
    <n v="1"/>
    <x v="6"/>
    <x v="0"/>
    <x v="0"/>
    <m/>
    <n v="50000"/>
    <x v="0"/>
    <m/>
    <m/>
    <x v="40"/>
    <m/>
    <m/>
    <m/>
    <m/>
    <m/>
    <m/>
    <m/>
    <m/>
    <m/>
    <m/>
    <m/>
    <m/>
    <m/>
    <m/>
    <x v="0"/>
    <m/>
    <n v="50000"/>
    <m/>
    <m/>
    <m/>
    <x v="16"/>
    <s v="N"/>
    <m/>
    <m/>
    <m/>
    <m/>
    <n v="2799"/>
    <m/>
    <m/>
    <m/>
    <m/>
    <m/>
    <m/>
    <m/>
    <s v="Y"/>
    <m/>
    <m/>
    <m/>
    <s v="North and Central Regions"/>
    <s v="CASH: PMN 50k unearmarked "/>
  </r>
  <r>
    <s v="FL-2008-000232-CRI"/>
    <n v="214"/>
    <x v="207"/>
    <d v="2008-12-09T00:00:00"/>
    <x v="13"/>
    <x v="12"/>
    <m/>
    <n v="2008"/>
    <n v="27"/>
    <s v="LAC"/>
    <x v="3"/>
    <s v="Hydrometerological"/>
    <x v="2"/>
    <s v="General Floods"/>
    <m/>
    <s v="-"/>
    <m/>
    <m/>
    <s v="-"/>
    <m/>
    <s v=""/>
    <m/>
    <m/>
    <m/>
    <x v="56"/>
    <m/>
    <x v="12"/>
    <m/>
    <x v="0"/>
    <x v="0"/>
    <x v="0"/>
    <m/>
    <m/>
    <x v="0"/>
    <m/>
    <m/>
    <x v="40"/>
    <m/>
    <m/>
    <m/>
    <m/>
    <m/>
    <m/>
    <m/>
    <m/>
    <m/>
    <m/>
    <m/>
    <m/>
    <m/>
    <m/>
    <x v="0"/>
    <m/>
    <s v="-"/>
    <m/>
    <m/>
    <m/>
    <x v="156"/>
    <s v="Y"/>
    <m/>
    <m/>
    <m/>
    <m/>
    <m/>
    <m/>
    <m/>
    <m/>
    <m/>
    <m/>
    <m/>
    <m/>
    <s v="N"/>
    <m/>
    <m/>
    <m/>
    <m/>
    <m/>
  </r>
  <r>
    <s v="FL-2008-000158-PAN"/>
    <n v="214"/>
    <x v="207"/>
    <d v="2008-12-08T00:00:00"/>
    <x v="13"/>
    <x v="12"/>
    <m/>
    <n v="2008"/>
    <n v="27"/>
    <s v="LAC"/>
    <x v="57"/>
    <s v="Hydrometerological"/>
    <x v="2"/>
    <s v="General Floods"/>
    <m/>
    <n v="40158"/>
    <s v="Y"/>
    <s v="IFRC"/>
    <n v="571953"/>
    <s v="MDR43005"/>
    <n v="0.17483954101123694"/>
    <n v="0.39"/>
    <m/>
    <m/>
    <x v="17"/>
    <m/>
    <x v="0"/>
    <n v="1"/>
    <x v="1"/>
    <x v="0"/>
    <x v="0"/>
    <m/>
    <n v="100000"/>
    <x v="0"/>
    <m/>
    <m/>
    <x v="40"/>
    <m/>
    <m/>
    <m/>
    <m/>
    <m/>
    <m/>
    <m/>
    <m/>
    <m/>
    <m/>
    <m/>
    <m/>
    <m/>
    <m/>
    <x v="0"/>
    <m/>
    <n v="100000"/>
    <m/>
    <m/>
    <m/>
    <x v="5"/>
    <s v="N"/>
    <m/>
    <m/>
    <m/>
    <m/>
    <n v="2799"/>
    <m/>
    <m/>
    <m/>
    <m/>
    <m/>
    <m/>
    <m/>
    <s v="Y"/>
    <m/>
    <m/>
    <m/>
    <m/>
    <s v="CASH: PMN $100,000 for Fed Appeal"/>
  </r>
  <r>
    <m/>
    <n v="215"/>
    <x v="208"/>
    <d v="2008-12-11T00:00:00"/>
    <x v="13"/>
    <x v="13"/>
    <m/>
    <n v="2008"/>
    <n v="28"/>
    <s v="Africa"/>
    <x v="1"/>
    <s v="Human Related"/>
    <x v="14"/>
    <s v="Food Insecurity"/>
    <m/>
    <s v="-"/>
    <m/>
    <m/>
    <s v="-"/>
    <m/>
    <s v=""/>
    <m/>
    <m/>
    <m/>
    <x v="56"/>
    <m/>
    <x v="12"/>
    <m/>
    <x v="0"/>
    <x v="0"/>
    <x v="0"/>
    <m/>
    <m/>
    <x v="0"/>
    <m/>
    <m/>
    <x v="40"/>
    <m/>
    <m/>
    <m/>
    <m/>
    <m/>
    <m/>
    <m/>
    <m/>
    <m/>
    <m/>
    <m/>
    <m/>
    <m/>
    <m/>
    <x v="0"/>
    <m/>
    <s v="-"/>
    <m/>
    <m/>
    <m/>
    <x v="156"/>
    <s v="Y"/>
    <m/>
    <m/>
    <m/>
    <m/>
    <m/>
    <m/>
    <m/>
    <m/>
    <m/>
    <m/>
    <m/>
    <m/>
    <s v="N"/>
    <m/>
    <m/>
    <m/>
    <m/>
    <m/>
  </r>
  <r>
    <m/>
    <n v="215"/>
    <x v="208"/>
    <d v="2008-12-12T00:00:00"/>
    <x v="13"/>
    <x v="13"/>
    <m/>
    <n v="2008"/>
    <n v="28"/>
    <s v="Africa"/>
    <x v="58"/>
    <s v="Human Related"/>
    <x v="14"/>
    <s v="Food Insecurity"/>
    <m/>
    <s v="-"/>
    <m/>
    <m/>
    <s v="-"/>
    <m/>
    <s v=""/>
    <m/>
    <m/>
    <m/>
    <x v="56"/>
    <m/>
    <x v="12"/>
    <m/>
    <x v="0"/>
    <x v="0"/>
    <x v="0"/>
    <m/>
    <m/>
    <x v="0"/>
    <m/>
    <m/>
    <x v="40"/>
    <m/>
    <m/>
    <m/>
    <m/>
    <m/>
    <m/>
    <m/>
    <m/>
    <m/>
    <m/>
    <m/>
    <m/>
    <m/>
    <m/>
    <x v="0"/>
    <m/>
    <s v="-"/>
    <m/>
    <m/>
    <m/>
    <x v="156"/>
    <s v="Y"/>
    <m/>
    <m/>
    <m/>
    <m/>
    <m/>
    <m/>
    <m/>
    <m/>
    <m/>
    <m/>
    <m/>
    <m/>
    <s v="N"/>
    <m/>
    <m/>
    <m/>
    <m/>
    <m/>
  </r>
  <r>
    <m/>
    <n v="215"/>
    <x v="208"/>
    <d v="2008-12-13T00:00:00"/>
    <x v="13"/>
    <x v="13"/>
    <m/>
    <n v="2008"/>
    <n v="28"/>
    <s v="Africa"/>
    <x v="91"/>
    <s v="Human Related"/>
    <x v="14"/>
    <s v="Food Insecurity"/>
    <m/>
    <s v="-"/>
    <m/>
    <m/>
    <s v="-"/>
    <m/>
    <s v=""/>
    <m/>
    <m/>
    <m/>
    <x v="56"/>
    <m/>
    <x v="12"/>
    <m/>
    <x v="0"/>
    <x v="0"/>
    <x v="0"/>
    <m/>
    <m/>
    <x v="0"/>
    <m/>
    <m/>
    <x v="40"/>
    <m/>
    <m/>
    <m/>
    <m/>
    <m/>
    <m/>
    <m/>
    <m/>
    <m/>
    <m/>
    <m/>
    <m/>
    <m/>
    <m/>
    <x v="0"/>
    <m/>
    <s v="-"/>
    <m/>
    <m/>
    <m/>
    <x v="156"/>
    <s v="Y"/>
    <m/>
    <m/>
    <m/>
    <m/>
    <m/>
    <m/>
    <m/>
    <m/>
    <m/>
    <m/>
    <m/>
    <m/>
    <s v="N"/>
    <m/>
    <m/>
    <m/>
    <m/>
    <m/>
  </r>
  <r>
    <s v="OT-2008-000196-DJI/ERI/ETH/KEN/SOM"/>
    <n v="215"/>
    <x v="208"/>
    <d v="2008-12-10T00:00:00"/>
    <x v="13"/>
    <x v="13"/>
    <m/>
    <n v="2008"/>
    <n v="28"/>
    <s v="Africa"/>
    <x v="107"/>
    <s v="Human Related"/>
    <x v="14"/>
    <s v="Food Insecurity"/>
    <m/>
    <n v="16800000"/>
    <s v="Y"/>
    <s v="IFRC"/>
    <n v="66586679"/>
    <s v="MDR64003"/>
    <n v="7.5090094221398245E-3"/>
    <n v="0.09"/>
    <s v="Y"/>
    <n v="118830"/>
    <x v="60"/>
    <m/>
    <x v="0"/>
    <m/>
    <x v="0"/>
    <x v="0"/>
    <x v="48"/>
    <m/>
    <m/>
    <x v="2"/>
    <m/>
    <n v="1"/>
    <x v="40"/>
    <m/>
    <m/>
    <m/>
    <m/>
    <m/>
    <m/>
    <m/>
    <m/>
    <m/>
    <m/>
    <m/>
    <m/>
    <m/>
    <m/>
    <x v="0"/>
    <m/>
    <n v="0"/>
    <m/>
    <m/>
    <m/>
    <x v="7"/>
    <s v="N"/>
    <m/>
    <m/>
    <m/>
    <m/>
    <n v="2799"/>
    <m/>
    <m/>
    <m/>
    <m/>
    <m/>
    <m/>
    <m/>
    <s v="Y"/>
    <m/>
    <m/>
    <m/>
    <m/>
    <s v="PEOPLE: T. Reines, relief del on Fed assessment team x3 wks (entire Horn of Africa); CASH: Intially $500,000 was approved but issues related to the programming and the appeal kept these funds from being disbursed to IFRC appeal. Eventually appeal was cancelled. Instead, ARC provided the resources to a British Red Cross led effort in Djibouti around livelihoods that was consistent with the appeal and recognized by the Federation as such."/>
  </r>
  <r>
    <m/>
    <n v="216"/>
    <x v="209"/>
    <d v="2008-12-14T00:00:00"/>
    <x v="13"/>
    <x v="14"/>
    <m/>
    <n v="2008"/>
    <n v="29"/>
    <s v="Africa"/>
    <x v="96"/>
    <s v="Human Related"/>
    <x v="8"/>
    <s v="Conflict"/>
    <s v="Conflict"/>
    <n v="280000"/>
    <s v="Y"/>
    <s v="IFRC"/>
    <n v="1437632"/>
    <s v="MDR64004"/>
    <n v="3.4779415038062589E-2"/>
    <n v="0.62"/>
    <s v="Y"/>
    <n v="201571"/>
    <x v="25"/>
    <m/>
    <x v="0"/>
    <n v="1"/>
    <x v="6"/>
    <x v="0"/>
    <x v="0"/>
    <m/>
    <n v="50000"/>
    <x v="2"/>
    <m/>
    <n v="1"/>
    <x v="40"/>
    <m/>
    <m/>
    <m/>
    <m/>
    <m/>
    <m/>
    <m/>
    <m/>
    <m/>
    <m/>
    <m/>
    <m/>
    <m/>
    <m/>
    <x v="0"/>
    <m/>
    <n v="50000"/>
    <m/>
    <m/>
    <m/>
    <x v="16"/>
    <s v="N"/>
    <m/>
    <m/>
    <m/>
    <m/>
    <n v="2799"/>
    <m/>
    <m/>
    <m/>
    <m/>
    <m/>
    <m/>
    <m/>
    <s v="Y"/>
    <m/>
    <m/>
    <m/>
    <m/>
    <s v="CASH: $50,000 PMN to Appeal earmarked to Uganda. PEOPLE: B. Banks, seconded to NBO as backfill DM coordinator deployed to Uganda on Fed assessment"/>
  </r>
  <r>
    <s v="EP-2008-000218-ZWE"/>
    <n v="217"/>
    <x v="210"/>
    <d v="2008-12-17T00:00:00"/>
    <x v="13"/>
    <x v="15"/>
    <m/>
    <n v="2008"/>
    <n v="30"/>
    <s v="Africa"/>
    <x v="25"/>
    <s v="Biological"/>
    <x v="11"/>
    <s v="Disease"/>
    <s v="Cholera"/>
    <n v="50000"/>
    <s v="Y"/>
    <s v="IFRC"/>
    <n v="9200000"/>
    <s v="MDRZW004"/>
    <n v="1.0869565217391304E-2"/>
    <n v="0.64"/>
    <s v="Y"/>
    <n v="359374"/>
    <x v="6"/>
    <m/>
    <x v="0"/>
    <n v="1"/>
    <x v="1"/>
    <x v="0"/>
    <x v="0"/>
    <m/>
    <n v="100000"/>
    <x v="0"/>
    <m/>
    <m/>
    <x v="40"/>
    <m/>
    <m/>
    <m/>
    <m/>
    <m/>
    <m/>
    <m/>
    <m/>
    <m/>
    <m/>
    <m/>
    <m/>
    <m/>
    <m/>
    <x v="0"/>
    <m/>
    <n v="100000"/>
    <m/>
    <m/>
    <m/>
    <x v="5"/>
    <s v="N"/>
    <m/>
    <m/>
    <m/>
    <m/>
    <n v="2799"/>
    <m/>
    <m/>
    <m/>
    <m/>
    <m/>
    <m/>
    <m/>
    <s v="Y"/>
    <m/>
    <m/>
    <m/>
    <m/>
    <s v="CASH: PMN $100k to IFRC from 2799 - 75% operational needs, 25% support costs."/>
  </r>
  <r>
    <m/>
    <n v="218"/>
    <x v="211"/>
    <d v="2008-12-17T00:00:00"/>
    <x v="13"/>
    <x v="16"/>
    <m/>
    <n v="2008"/>
    <n v="31"/>
    <s v="Europe/Asia"/>
    <x v="29"/>
    <s v="Human Related"/>
    <x v="8"/>
    <s v="Conflict"/>
    <s v="Conflict"/>
    <s v="-"/>
    <s v="Y"/>
    <s v="ICRC/Ntl Socs"/>
    <s v="-"/>
    <m/>
    <s v=""/>
    <m/>
    <m/>
    <m/>
    <x v="56"/>
    <m/>
    <x v="12"/>
    <m/>
    <x v="0"/>
    <x v="11"/>
    <x v="5"/>
    <m/>
    <m/>
    <x v="0"/>
    <m/>
    <m/>
    <x v="40"/>
    <m/>
    <m/>
    <m/>
    <m/>
    <m/>
    <m/>
    <m/>
    <m/>
    <m/>
    <m/>
    <m/>
    <m/>
    <m/>
    <m/>
    <x v="0"/>
    <m/>
    <s v="-"/>
    <m/>
    <m/>
    <m/>
    <x v="156"/>
    <s v="N"/>
    <m/>
    <m/>
    <m/>
    <m/>
    <n v="2099"/>
    <m/>
    <m/>
    <m/>
    <m/>
    <m/>
    <m/>
    <m/>
    <s v="N"/>
    <m/>
    <m/>
    <m/>
    <m/>
    <s v="CASH: 5 Jan 09 - $250,000 from 2799 RRF to ICRC;  9 Jan 09 $250,000 from 2799 RRF, to PRCS;  30 Jan 09 $200,000 from 2099 IRF to MDA;  5 Feb 09: $110,625 from 2010 Middle East, to PRCS appeal, and $110,625, 2010 Middle East to ICRC appeal."/>
  </r>
  <r>
    <m/>
    <n v="218"/>
    <x v="212"/>
    <d v="2008-12-17T00:00:00"/>
    <x v="13"/>
    <x v="16"/>
    <m/>
    <n v="2008"/>
    <n v="31"/>
    <s v="Europe/Asia"/>
    <x v="31"/>
    <s v="Human Related"/>
    <x v="8"/>
    <s v="Conflict"/>
    <s v="Conflict"/>
    <n v="90000"/>
    <s v="Y"/>
    <s v="ICRC/Ntl Socs"/>
    <m/>
    <m/>
    <s v=""/>
    <m/>
    <s v="Y"/>
    <n v="310244"/>
    <x v="47"/>
    <m/>
    <x v="0"/>
    <n v="1"/>
    <x v="0"/>
    <x v="12"/>
    <x v="49"/>
    <m/>
    <n v="921250"/>
    <x v="0"/>
    <m/>
    <m/>
    <x v="40"/>
    <m/>
    <m/>
    <m/>
    <m/>
    <m/>
    <m/>
    <m/>
    <m/>
    <m/>
    <m/>
    <m/>
    <m/>
    <m/>
    <m/>
    <x v="0"/>
    <m/>
    <n v="921250"/>
    <m/>
    <m/>
    <m/>
    <x v="159"/>
    <s v="Y"/>
    <m/>
    <m/>
    <m/>
    <m/>
    <s v="2799/2099/2010"/>
    <m/>
    <m/>
    <m/>
    <m/>
    <m/>
    <m/>
    <m/>
    <s v="N"/>
    <m/>
    <m/>
    <m/>
    <m/>
    <s v="CASH: 5 Jan 09 - $250,000 from 2799 RRF to ICRC;  9 Jan 09 $250,000 from 2799 RRF, to PRCS;  30 Jan 09 $200,000 from 2099 IRF to MDA;  5 Feb 09: $110,625 from 2010 Middle East, to PRCS appeal, and $110,625, 2010 Middle East to ICRC appeal."/>
  </r>
  <r>
    <s v="EQ-2009-000009-CRI"/>
    <n v="219"/>
    <x v="213"/>
    <d v="2009-01-08T00:00:00"/>
    <x v="13"/>
    <x v="17"/>
    <s v="Q3"/>
    <n v="2009"/>
    <n v="2"/>
    <s v="LAC"/>
    <x v="3"/>
    <s v="Geophysical"/>
    <x v="3"/>
    <s v="Earthquake"/>
    <s v="Earthquake"/>
    <n v="2943"/>
    <s v="N"/>
    <m/>
    <s v="-"/>
    <m/>
    <s v=""/>
    <m/>
    <s v="Y"/>
    <n v="49273"/>
    <x v="56"/>
    <s v="Y"/>
    <x v="14"/>
    <m/>
    <x v="0"/>
    <x v="0"/>
    <x v="50"/>
    <m/>
    <n v="62250"/>
    <x v="4"/>
    <m/>
    <n v="2"/>
    <x v="0"/>
    <m/>
    <m/>
    <m/>
    <m/>
    <m/>
    <m/>
    <m/>
    <m/>
    <m/>
    <m/>
    <m/>
    <m/>
    <m/>
    <m/>
    <x v="0"/>
    <n v="11950"/>
    <n v="74200"/>
    <m/>
    <m/>
    <m/>
    <x v="160"/>
    <s v="Y"/>
    <m/>
    <m/>
    <m/>
    <m/>
    <n v="2882"/>
    <m/>
    <m/>
    <m/>
    <m/>
    <m/>
    <m/>
    <m/>
    <s v="N"/>
    <m/>
    <m/>
    <m/>
    <s v="Earthquake"/>
    <s v="CASH: Bilateral to CRRC; PEOPLE: S. DiPretoro, A. Vargas"/>
  </r>
  <r>
    <s v="WF-2009-000035-AUS"/>
    <n v="220"/>
    <x v="214"/>
    <d v="2009-02-07T00:00:00"/>
    <x v="13"/>
    <x v="18"/>
    <s v="Q3"/>
    <n v="2009"/>
    <n v="3"/>
    <s v="Europe/Asia"/>
    <x v="69"/>
    <s v="Hydrometerological"/>
    <x v="15"/>
    <m/>
    <m/>
    <n v="22000"/>
    <s v="N"/>
    <m/>
    <m/>
    <m/>
    <s v=""/>
    <m/>
    <m/>
    <m/>
    <x v="0"/>
    <s v="Y"/>
    <x v="0"/>
    <m/>
    <x v="0"/>
    <x v="0"/>
    <x v="51"/>
    <m/>
    <n v="1520000"/>
    <x v="0"/>
    <m/>
    <m/>
    <x v="0"/>
    <m/>
    <m/>
    <m/>
    <m/>
    <m/>
    <m/>
    <m/>
    <m/>
    <m/>
    <m/>
    <m/>
    <m/>
    <m/>
    <m/>
    <x v="0"/>
    <m/>
    <n v="1520000"/>
    <m/>
    <m/>
    <m/>
    <x v="161"/>
    <s v="Y"/>
    <m/>
    <m/>
    <m/>
    <m/>
    <n v="2881"/>
    <m/>
    <m/>
    <m/>
    <m/>
    <m/>
    <m/>
    <m/>
    <s v="N"/>
    <m/>
    <m/>
    <m/>
    <m/>
    <s v="CASH: ARC coordinated US corporate donations to joint domestic AusRC &amp; Ntl Govt appeal -  totaled $1,250,000 - sent August 2009"/>
  </r>
  <r>
    <m/>
    <n v="221"/>
    <x v="167"/>
    <d v="2009-03-05T00:00:00"/>
    <x v="13"/>
    <x v="19"/>
    <s v="Q3"/>
    <n v="2009"/>
    <n v="4"/>
    <s v="Europe/Asia"/>
    <x v="34"/>
    <s v="Human Related"/>
    <x v="8"/>
    <m/>
    <m/>
    <n v="250000"/>
    <s v="Y"/>
    <s v="ICRC"/>
    <m/>
    <m/>
    <s v=""/>
    <m/>
    <m/>
    <m/>
    <x v="0"/>
    <m/>
    <x v="15"/>
    <n v="1"/>
    <x v="0"/>
    <x v="13"/>
    <x v="0"/>
    <m/>
    <n v="500000"/>
    <x v="2"/>
    <m/>
    <n v="1"/>
    <x v="0"/>
    <m/>
    <m/>
    <m/>
    <m/>
    <m/>
    <m/>
    <m/>
    <m/>
    <m/>
    <m/>
    <m/>
    <m/>
    <m/>
    <m/>
    <x v="0"/>
    <m/>
    <n v="500000"/>
    <m/>
    <m/>
    <m/>
    <x v="162"/>
    <s v="Y"/>
    <m/>
    <m/>
    <m/>
    <m/>
    <s v="TRP"/>
    <m/>
    <m/>
    <m/>
    <m/>
    <m/>
    <m/>
    <m/>
    <s v="N"/>
    <m/>
    <m/>
    <m/>
    <s v="Sri Lanka Conflict"/>
    <s v="CASH: $500,000 to ICRC for baby kits to IDPs in camps. PEOPLE: Gina Guinta ICRC volunteer to work in IDP camps doing relief distribution, 30 days."/>
  </r>
  <r>
    <s v="FL-2009-000052-COL"/>
    <n v="222"/>
    <x v="157"/>
    <d v="2009-03-19T00:00:00"/>
    <x v="13"/>
    <x v="23"/>
    <s v="Q3"/>
    <n v="2009"/>
    <n v="5"/>
    <s v="LAC"/>
    <x v="87"/>
    <s v="Hydrometerological"/>
    <x v="2"/>
    <m/>
    <m/>
    <n v="31250"/>
    <s v="Y"/>
    <s v="IFRC"/>
    <n v="957924"/>
    <s v="MDRCO006"/>
    <n v="0"/>
    <n v="0.99"/>
    <s v="Y"/>
    <n v="152369"/>
    <x v="5"/>
    <m/>
    <x v="0"/>
    <m/>
    <x v="0"/>
    <x v="0"/>
    <x v="0"/>
    <m/>
    <m/>
    <x v="0"/>
    <m/>
    <m/>
    <x v="42"/>
    <m/>
    <m/>
    <m/>
    <n v="8000"/>
    <m/>
    <m/>
    <m/>
    <m/>
    <m/>
    <m/>
    <m/>
    <m/>
    <m/>
    <m/>
    <x v="70"/>
    <m/>
    <n v="30000"/>
    <m/>
    <m/>
    <m/>
    <x v="163"/>
    <s v="N"/>
    <m/>
    <m/>
    <m/>
    <m/>
    <n v="2799"/>
    <m/>
    <m/>
    <m/>
    <m/>
    <m/>
    <m/>
    <m/>
    <s v="Y"/>
    <m/>
    <m/>
    <m/>
    <s v="Colombia Floods"/>
    <s v="SUPPLIES: 8,000 ARC Jerry Cans from stock at PADRU shipped to IFRC in Colombia."/>
  </r>
  <r>
    <s v="EQ-2009-000072-ITA"/>
    <n v="223"/>
    <x v="96"/>
    <d v="2009-04-07T00:00:00"/>
    <x v="13"/>
    <x v="20"/>
    <s v="Q4"/>
    <n v="2009"/>
    <n v="6"/>
    <s v="Europe/Asia"/>
    <x v="68"/>
    <s v="Geophysical"/>
    <x v="3"/>
    <m/>
    <m/>
    <n v="48000"/>
    <s v="N"/>
    <m/>
    <m/>
    <m/>
    <s v=""/>
    <m/>
    <s v="Y"/>
    <n v="613944"/>
    <x v="0"/>
    <s v="Y"/>
    <x v="0"/>
    <m/>
    <x v="0"/>
    <x v="0"/>
    <x v="52"/>
    <m/>
    <n v="981315"/>
    <x v="0"/>
    <m/>
    <m/>
    <x v="0"/>
    <m/>
    <m/>
    <m/>
    <m/>
    <m/>
    <m/>
    <m/>
    <m/>
    <m/>
    <m/>
    <m/>
    <m/>
    <m/>
    <m/>
    <x v="0"/>
    <m/>
    <n v="981315"/>
    <m/>
    <m/>
    <m/>
    <x v="164"/>
    <s v="Y"/>
    <m/>
    <m/>
    <m/>
    <m/>
    <s v="2799/2697"/>
    <m/>
    <m/>
    <m/>
    <m/>
    <m/>
    <m/>
    <m/>
    <s v="N"/>
    <m/>
    <m/>
    <m/>
    <s v="L'Aquila Earthquake"/>
    <s v="CASH: $50,000 to Italian Red Cross from RRF 2799 - later repaid by 2697 when raised; Receiving donor funds to AP 2697 from public and chapters. Additional $522,180 from donor funds sent 5/29/09. Final amount in Aug. 2009"/>
  </r>
  <r>
    <s v="Fl-2009-000062-NAM"/>
    <n v="224"/>
    <x v="215"/>
    <d v="2009-05-15T00:00:00"/>
    <x v="13"/>
    <x v="21"/>
    <s v="Q4"/>
    <n v="2009"/>
    <n v="7"/>
    <s v="Africa"/>
    <x v="108"/>
    <s v="Hydrometerological"/>
    <x v="2"/>
    <m/>
    <m/>
    <n v="700000"/>
    <s v="Y"/>
    <s v="IFRC"/>
    <n v="1878181"/>
    <s v="MDRNA004"/>
    <n v="2.6621502400460871E-2"/>
    <n v="0.91"/>
    <s v="Y"/>
    <n v="128552"/>
    <x v="55"/>
    <m/>
    <x v="0"/>
    <n v="1"/>
    <x v="6"/>
    <x v="0"/>
    <x v="0"/>
    <m/>
    <n v="50000"/>
    <x v="0"/>
    <m/>
    <m/>
    <x v="0"/>
    <m/>
    <m/>
    <m/>
    <m/>
    <m/>
    <m/>
    <m/>
    <m/>
    <m/>
    <m/>
    <m/>
    <m/>
    <m/>
    <m/>
    <x v="0"/>
    <m/>
    <n v="50000"/>
    <m/>
    <m/>
    <m/>
    <x v="16"/>
    <s v="N"/>
    <m/>
    <m/>
    <m/>
    <m/>
    <n v="2799"/>
    <m/>
    <m/>
    <m/>
    <m/>
    <m/>
    <m/>
    <m/>
    <s v="Y"/>
    <m/>
    <m/>
    <m/>
    <m/>
    <s v="CASH: $50k to IFRC from 2799 earmarked for relief supplies"/>
  </r>
  <r>
    <m/>
    <n v="225"/>
    <x v="216"/>
    <d v="2009-05-15T00:00:00"/>
    <x v="13"/>
    <x v="22"/>
    <s v="Q4"/>
    <n v="2009"/>
    <n v="8"/>
    <s v="Africa"/>
    <x v="81"/>
    <s v="Biological"/>
    <x v="11"/>
    <m/>
    <m/>
    <n v="25000000"/>
    <s v="Y"/>
    <s v="IFRC"/>
    <n v="2200000"/>
    <s v="MDR61004; MDR64004; MDR63002"/>
    <n v="9.0909090909090912E-2"/>
    <s v="various"/>
    <s v="Y"/>
    <n v="315628"/>
    <x v="61"/>
    <m/>
    <x v="0"/>
    <n v="1"/>
    <x v="17"/>
    <x v="0"/>
    <x v="0"/>
    <m/>
    <n v="200000"/>
    <x v="0"/>
    <m/>
    <m/>
    <x v="0"/>
    <m/>
    <m/>
    <m/>
    <m/>
    <m/>
    <m/>
    <m/>
    <m/>
    <m/>
    <m/>
    <m/>
    <m/>
    <m/>
    <m/>
    <x v="0"/>
    <m/>
    <n v="200000"/>
    <m/>
    <m/>
    <m/>
    <x v="121"/>
    <s v="Y"/>
    <m/>
    <m/>
    <m/>
    <m/>
    <n v="2869"/>
    <m/>
    <m/>
    <m/>
    <m/>
    <m/>
    <s v="Y"/>
    <m/>
    <s v="N"/>
    <m/>
    <s v="ARCT Funds used - $200,000"/>
    <m/>
    <s v="Polio - Sudan"/>
    <s v="CASH: $200k to IFRC earmarked for Sudan vaccination campaign from ARCT - funds went out as of August 2009."/>
  </r>
  <r>
    <m/>
    <n v="226"/>
    <x v="217"/>
    <d v="2009-05-15T00:00:00"/>
    <x v="13"/>
    <x v="24"/>
    <s v="Q4"/>
    <n v="2009"/>
    <n v="9"/>
    <s v="Europe/Asia"/>
    <x v="47"/>
    <s v="Human Related"/>
    <x v="8"/>
    <m/>
    <m/>
    <n v="2000000"/>
    <s v="Y"/>
    <s v="IFRC"/>
    <n v="7300000"/>
    <s v="MDRPK003"/>
    <n v="3.4246575342465752E-2"/>
    <n v="0.45"/>
    <m/>
    <m/>
    <x v="62"/>
    <m/>
    <x v="0"/>
    <n v="1"/>
    <x v="33"/>
    <x v="0"/>
    <x v="0"/>
    <m/>
    <n v="250000"/>
    <x v="0"/>
    <m/>
    <m/>
    <x v="43"/>
    <m/>
    <m/>
    <m/>
    <m/>
    <m/>
    <m/>
    <m/>
    <m/>
    <m/>
    <m/>
    <m/>
    <m/>
    <m/>
    <m/>
    <x v="71"/>
    <m/>
    <n v="330000"/>
    <m/>
    <m/>
    <m/>
    <x v="165"/>
    <s v="N"/>
    <m/>
    <m/>
    <m/>
    <m/>
    <n v="2799"/>
    <m/>
    <m/>
    <m/>
    <m/>
    <m/>
    <m/>
    <m/>
    <s v="Y"/>
    <m/>
    <m/>
    <m/>
    <s v="Pakistan Complex Emergency"/>
    <s v="SUPPLIES: $80,000 bilateral for beds and mattresses to be transported to PRCS for IDP camps. CASH: $250,000 earmarked for NFIs. on June 26 to support Federation Appeal. "/>
  </r>
  <r>
    <s v="TC-2009-000105-BGD"/>
    <n v="227"/>
    <x v="218"/>
    <d v="2009-06-26T00:00:00"/>
    <x v="13"/>
    <x v="25"/>
    <s v="Q4"/>
    <n v="2009"/>
    <n v="10"/>
    <s v="Europe/Asia"/>
    <x v="14"/>
    <s v="Hydrometerological"/>
    <x v="5"/>
    <m/>
    <m/>
    <n v="3928238"/>
    <s v="Y"/>
    <s v="IFRC"/>
    <n v="2200000"/>
    <s v="MDRBD004"/>
    <n v="0"/>
    <m/>
    <s v="Y"/>
    <n v="230677"/>
    <x v="63"/>
    <m/>
    <x v="0"/>
    <m/>
    <x v="0"/>
    <x v="0"/>
    <x v="0"/>
    <m/>
    <m/>
    <x v="2"/>
    <m/>
    <n v="1"/>
    <x v="0"/>
    <m/>
    <m/>
    <m/>
    <m/>
    <m/>
    <m/>
    <m/>
    <m/>
    <m/>
    <m/>
    <m/>
    <m/>
    <m/>
    <m/>
    <x v="0"/>
    <m/>
    <n v="0"/>
    <m/>
    <m/>
    <m/>
    <x v="7"/>
    <s v="Y"/>
    <m/>
    <m/>
    <m/>
    <m/>
    <n v="2017"/>
    <m/>
    <m/>
    <m/>
    <m/>
    <m/>
    <m/>
    <m/>
    <s v="N"/>
    <m/>
    <m/>
    <m/>
    <s v="Bangladesh Cyclone Aila"/>
    <s v="PEOPLE: Relief Operations Support Delegate: Travis Betz deployed 4 weeks as a Relief Operations Support Delegate to provide support to the Bangladesh Delegation and affected National Society in response to Cyclone Aila. "/>
  </r>
  <r>
    <s v="FL-2009-000095-TJK"/>
    <n v="228"/>
    <x v="219"/>
    <d v="2009-08-12T00:00:00"/>
    <x v="14"/>
    <x v="1"/>
    <s v="Q1"/>
    <n v="2009"/>
    <n v="11"/>
    <s v="Europe/Asia"/>
    <x v="109"/>
    <s v="Hydrometerological"/>
    <x v="2"/>
    <m/>
    <m/>
    <n v="12000"/>
    <s v="Y"/>
    <s v="IFRC"/>
    <n v="806936"/>
    <s v="MDRTJ005"/>
    <n v="1.4251440015069349E-2"/>
    <n v="0.61"/>
    <s v="Y"/>
    <n v="118472"/>
    <x v="64"/>
    <m/>
    <x v="16"/>
    <m/>
    <x v="61"/>
    <x v="0"/>
    <x v="0"/>
    <m/>
    <n v="11500"/>
    <x v="0"/>
    <m/>
    <m/>
    <x v="0"/>
    <m/>
    <m/>
    <m/>
    <m/>
    <m/>
    <m/>
    <m/>
    <m/>
    <m/>
    <m/>
    <m/>
    <m/>
    <m/>
    <m/>
    <x v="0"/>
    <m/>
    <n v="11500"/>
    <m/>
    <m/>
    <m/>
    <x v="166"/>
    <s v="N"/>
    <m/>
    <m/>
    <m/>
    <m/>
    <n v="2799"/>
    <m/>
    <m/>
    <m/>
    <m/>
    <m/>
    <m/>
    <m/>
    <s v="Y"/>
    <m/>
    <m/>
    <m/>
    <m/>
    <s v="CASH: $11,500 (plus cost recovery) to IFRC Appeal from 2799"/>
  </r>
  <r>
    <s v="DR-2009-00149-SYR"/>
    <n v="229"/>
    <x v="220"/>
    <d v="2009-09-01T00:00:00"/>
    <x v="14"/>
    <x v="2"/>
    <s v="Q1"/>
    <n v="2009"/>
    <n v="12"/>
    <s v="Europe/Asia"/>
    <x v="59"/>
    <s v="Hydrometerological"/>
    <x v="1"/>
    <m/>
    <m/>
    <n v="1300000"/>
    <s v="Y"/>
    <s v="IFRC"/>
    <n v="3076415"/>
    <s v="MDRSY001"/>
    <n v="1.6252683724399992E-2"/>
    <n v="0.34"/>
    <s v="Y"/>
    <n v="303195"/>
    <x v="65"/>
    <m/>
    <x v="0"/>
    <n v="1"/>
    <x v="6"/>
    <x v="0"/>
    <x v="0"/>
    <m/>
    <n v="50000"/>
    <x v="0"/>
    <m/>
    <m/>
    <x v="0"/>
    <m/>
    <m/>
    <m/>
    <m/>
    <m/>
    <m/>
    <m/>
    <m/>
    <m/>
    <m/>
    <m/>
    <m/>
    <m/>
    <m/>
    <x v="0"/>
    <m/>
    <n v="50000"/>
    <m/>
    <m/>
    <m/>
    <x v="16"/>
    <s v="Y"/>
    <m/>
    <m/>
    <m/>
    <m/>
    <n v="2869"/>
    <m/>
    <m/>
    <m/>
    <m/>
    <m/>
    <s v="Y"/>
    <m/>
    <s v="N"/>
    <m/>
    <s v="ARCT Funds used"/>
    <m/>
    <m/>
    <s v="CASH: $50,000 from ARCT for Overlooked Disasters Fund (plus cost recovery to be covered from RRF 2799)"/>
  </r>
  <r>
    <s v="FL-2009-000172-BFA "/>
    <n v="230"/>
    <x v="221"/>
    <d v="2009-09-10T00:00:00"/>
    <x v="14"/>
    <x v="3"/>
    <s v="Q1"/>
    <n v="2009"/>
    <n v="13"/>
    <s v="Africa"/>
    <x v="110"/>
    <s v="Hydrometerological"/>
    <x v="2"/>
    <m/>
    <m/>
    <n v="600000"/>
    <s v="Y"/>
    <s v="IFRC"/>
    <n v="2600000"/>
    <s v="MDRBF008 &amp; MDRSN002"/>
    <n v="0"/>
    <n v="0.32"/>
    <s v="Y"/>
    <n v="419190"/>
    <x v="66"/>
    <m/>
    <x v="0"/>
    <m/>
    <x v="0"/>
    <x v="0"/>
    <x v="0"/>
    <m/>
    <n v="0"/>
    <x v="2"/>
    <m/>
    <n v="1"/>
    <x v="0"/>
    <m/>
    <n v="7500"/>
    <n v="37500"/>
    <n v="7500"/>
    <n v="7500"/>
    <n v="500"/>
    <n v="7500"/>
    <m/>
    <m/>
    <m/>
    <m/>
    <m/>
    <m/>
    <m/>
    <x v="0"/>
    <m/>
    <n v="0"/>
    <m/>
    <m/>
    <m/>
    <x v="7"/>
    <s v="N"/>
    <m/>
    <m/>
    <m/>
    <m/>
    <n v="2799"/>
    <m/>
    <m/>
    <m/>
    <m/>
    <m/>
    <m/>
    <m/>
    <s v="Y"/>
    <m/>
    <m/>
    <m/>
    <m/>
    <s v="PEOPLE: John Manley deployed to Burkina Faso as FACT team member for 1 month. "/>
  </r>
  <r>
    <s v="FL-2009-000164-SEN"/>
    <n v="230"/>
    <x v="222"/>
    <d v="2009-09-10T00:00:00"/>
    <x v="14"/>
    <x v="3"/>
    <s v="Q1"/>
    <n v="2009"/>
    <n v="13"/>
    <s v="Africa"/>
    <x v="111"/>
    <s v="Hydrometerological"/>
    <x v="2"/>
    <m/>
    <m/>
    <n v="156000"/>
    <s v="Y"/>
    <s v="IFRC"/>
    <n v="2000000"/>
    <s v="MDRBF008 &amp; MDRSN002"/>
    <n v="0"/>
    <n v="0.47"/>
    <s v="Y"/>
    <n v="419190"/>
    <x v="5"/>
    <m/>
    <x v="0"/>
    <m/>
    <x v="0"/>
    <x v="0"/>
    <x v="0"/>
    <m/>
    <n v="0"/>
    <x v="5"/>
    <s v="Relief ERU"/>
    <n v="3"/>
    <x v="0"/>
    <m/>
    <m/>
    <m/>
    <m/>
    <m/>
    <m/>
    <m/>
    <m/>
    <m/>
    <m/>
    <m/>
    <m/>
    <m/>
    <m/>
    <x v="0"/>
    <m/>
    <n v="0"/>
    <m/>
    <m/>
    <m/>
    <x v="7"/>
    <s v="N"/>
    <m/>
    <m/>
    <m/>
    <m/>
    <n v="2799"/>
    <m/>
    <m/>
    <m/>
    <m/>
    <m/>
    <m/>
    <m/>
    <s v="Y"/>
    <m/>
    <m/>
    <m/>
    <m/>
    <s v="PEOPLE: 3 ERU team members deployed jointly with DanishRC for 1 month: Steve McAndrew – ERU Team leader, Shinko Mondori- ERU team member, Luis Matnog- ERU team member . ERUs are part of Appeal Mob table so we can claim multilateral beneficiaries."/>
  </r>
  <r>
    <s v="TC-2009-000167-MEX"/>
    <n v="231"/>
    <x v="223"/>
    <d v="2009-09-03T00:00:00"/>
    <x v="14"/>
    <x v="4"/>
    <s v="Q1"/>
    <n v="2009"/>
    <n v="14"/>
    <s v="LAC"/>
    <x v="2"/>
    <s v="Hydrometerological"/>
    <x v="17"/>
    <m/>
    <m/>
    <n v="100000"/>
    <s v="N"/>
    <m/>
    <m/>
    <m/>
    <s v=""/>
    <m/>
    <s v="Y"/>
    <n v="319632"/>
    <x v="0"/>
    <s v="Y"/>
    <x v="10"/>
    <m/>
    <x v="0"/>
    <x v="0"/>
    <x v="0"/>
    <m/>
    <n v="0"/>
    <x v="2"/>
    <m/>
    <n v="1"/>
    <x v="44"/>
    <s v="mixed"/>
    <n v="1840"/>
    <m/>
    <m/>
    <m/>
    <m/>
    <n v="3000"/>
    <m/>
    <n v="6000"/>
    <m/>
    <m/>
    <m/>
    <n v="3000"/>
    <m/>
    <x v="72"/>
    <m/>
    <n v="259500"/>
    <m/>
    <m/>
    <m/>
    <x v="167"/>
    <s v="N"/>
    <m/>
    <m/>
    <m/>
    <m/>
    <s v="2799  + OFDA"/>
    <m/>
    <m/>
    <m/>
    <m/>
    <m/>
    <m/>
    <s v="Y"/>
    <s v="N"/>
    <m/>
    <m/>
    <m/>
    <m/>
    <s v="SUPPLIES: Bilateral to Mexican RC: 1,840 hygiene kits from stock at PADRU, 3,000 kitchen sets from stock at PADRU, 3,000 reconstruction kits to be procured locally. Funding: For 1,840  hygiene kits ($60,000) from 2799; 3,000 kitchen sets ($75,000) from OFDA; 3,000 reconstruction kits ($124,500) from OFDA.  PEOPLE: Jono Anzalone deployed to do M &amp; E for relief distribution."/>
  </r>
  <r>
    <s v="EQ-2009-000173-IDN"/>
    <n v="232"/>
    <x v="224"/>
    <d v="2009-09-02T00:00:00"/>
    <x v="14"/>
    <x v="5"/>
    <s v="Q1"/>
    <n v="2009"/>
    <n v="15"/>
    <s v="Europe/Asia"/>
    <x v="27"/>
    <s v="Geophysical"/>
    <x v="3"/>
    <m/>
    <m/>
    <n v="90000"/>
    <s v="N"/>
    <m/>
    <m/>
    <m/>
    <s v=""/>
    <m/>
    <s v="N"/>
    <m/>
    <x v="0"/>
    <s v="Y"/>
    <x v="0"/>
    <m/>
    <x v="0"/>
    <x v="0"/>
    <x v="0"/>
    <m/>
    <n v="0"/>
    <x v="2"/>
    <m/>
    <n v="1"/>
    <x v="0"/>
    <m/>
    <m/>
    <m/>
    <m/>
    <m/>
    <m/>
    <m/>
    <m/>
    <m/>
    <m/>
    <m/>
    <m/>
    <m/>
    <m/>
    <x v="0"/>
    <m/>
    <n v="0"/>
    <m/>
    <m/>
    <m/>
    <x v="7"/>
    <s v="N"/>
    <m/>
    <m/>
    <m/>
    <m/>
    <n v="2799"/>
    <m/>
    <m/>
    <m/>
    <m/>
    <m/>
    <m/>
    <m/>
    <s v="Y"/>
    <m/>
    <m/>
    <m/>
    <m/>
    <s v="PEOPLE: Cristina Hammond deployed to fill the role of IFRC Shelter Cluster Information Manager for Java Earthquake response - 4 weeks."/>
  </r>
  <r>
    <s v="TC-2009-000205-PHL"/>
    <n v="233"/>
    <x v="225"/>
    <d v="2009-09-02T00:00:00"/>
    <x v="14"/>
    <x v="6"/>
    <s v="Q1"/>
    <n v="2009"/>
    <n v="16"/>
    <s v="Europe/Asia"/>
    <x v="89"/>
    <s v="Hydrometerological"/>
    <x v="17"/>
    <m/>
    <m/>
    <n v="1000000"/>
    <s v="Y"/>
    <s v="IFRC"/>
    <n v="6650000"/>
    <s v="MDRPH005"/>
    <n v="0.15789473684210525"/>
    <n v="0.53"/>
    <s v="Y"/>
    <n v="242000"/>
    <x v="32"/>
    <m/>
    <x v="17"/>
    <n v="1"/>
    <x v="62"/>
    <x v="0"/>
    <x v="48"/>
    <m/>
    <n v="1050000"/>
    <x v="4"/>
    <m/>
    <n v="2"/>
    <x v="45"/>
    <s v="Y"/>
    <m/>
    <n v="4000"/>
    <n v="10000"/>
    <m/>
    <m/>
    <n v="1500"/>
    <m/>
    <n v="6800"/>
    <m/>
    <m/>
    <m/>
    <m/>
    <m/>
    <x v="73"/>
    <m/>
    <n v="1168000"/>
    <m/>
    <m/>
    <m/>
    <x v="168"/>
    <s v="Y"/>
    <m/>
    <m/>
    <m/>
    <m/>
    <n v="2698"/>
    <m/>
    <m/>
    <m/>
    <m/>
    <m/>
    <m/>
    <s v="Y"/>
    <s v="N"/>
    <m/>
    <s v="OFDA grant for $500,000 for NFIs"/>
    <m/>
    <m/>
    <s v="Philippines: SUPPLIES: approx $118,000 in relief supplies from KL warehouse. CASH: $550,000 = $250,000 PMN to Philippines Appeal for early recovery (plus cost recovery) +$300,000 PMN to Philippines appeal for shelter, relief and watsan (plus cost recovery); plus OFDA grant for $500,000 for locally procured NFIs l w/ARC mgmt through Philippines RC (counted as cash to Ntl Soc). PEOPLE: 1) Mariza Rogers deployed as shelter coordinator delegate for one month - started Oct. 5.  2) Cristina Hammond deployed to implement OFDA NFI distribution Oct. 16 for one month"/>
  </r>
  <r>
    <s v="FL-2009-000207-VNM"/>
    <n v="233"/>
    <x v="226"/>
    <d v="2009-09-02T00:00:00"/>
    <x v="14"/>
    <x v="6"/>
    <s v="Q1"/>
    <n v="2009"/>
    <n v="16"/>
    <s v="Europe/Asia"/>
    <x v="16"/>
    <s v="Hydrometerological"/>
    <x v="17"/>
    <m/>
    <m/>
    <n v="3000000"/>
    <s v="Y"/>
    <s v="IFRC"/>
    <n v="5470000"/>
    <s v="MDRRVN006"/>
    <n v="0.17367458866544791"/>
    <n v="0.77"/>
    <s v="Y"/>
    <n v="324167"/>
    <x v="67"/>
    <m/>
    <x v="0"/>
    <n v="1"/>
    <x v="63"/>
    <x v="0"/>
    <x v="48"/>
    <m/>
    <n v="950000"/>
    <x v="2"/>
    <m/>
    <n v="1"/>
    <x v="0"/>
    <m/>
    <m/>
    <m/>
    <m/>
    <m/>
    <m/>
    <m/>
    <m/>
    <m/>
    <m/>
    <m/>
    <m/>
    <m/>
    <m/>
    <x v="0"/>
    <m/>
    <n v="950000"/>
    <n v="1200000"/>
    <m/>
    <m/>
    <x v="169"/>
    <s v="Y"/>
    <m/>
    <m/>
    <m/>
    <m/>
    <n v="2698"/>
    <m/>
    <m/>
    <m/>
    <m/>
    <m/>
    <m/>
    <s v="Y"/>
    <s v="N"/>
    <m/>
    <s v="OFDA grant for $500,000 for cash transfer programming"/>
    <m/>
    <m/>
    <s v="Vietnam: CASH: Cash: $450,000 total:  $50,000 PMN Oct. 2 + $300,000 PMN Oct. 5 to Federation Vietnam Appeal - earmarked for shelter, NFIs and Wat/San + $100,000 PMN to Vietnam Appeal for DRR (plus cost recovery). OFDA grant for $500,000 for cash programming; PEOPLE: Michael Zeleke delegate to Vietnam to work on cash programming."/>
  </r>
  <r>
    <s v="TS-2009-000211-IDN"/>
    <n v="234"/>
    <x v="227"/>
    <d v="2009-09-02T00:00:00"/>
    <x v="14"/>
    <x v="7"/>
    <s v="Q1"/>
    <n v="2009"/>
    <n v="17"/>
    <s v="Europe/Asia"/>
    <x v="27"/>
    <s v="Geophysical"/>
    <x v="3"/>
    <m/>
    <m/>
    <n v="1000000"/>
    <s v="Y"/>
    <s v="IFRC"/>
    <n v="18600000"/>
    <s v="MDRID004"/>
    <n v="2.6881720430107527E-2"/>
    <n v="0.93"/>
    <s v="Y"/>
    <n v="227106"/>
    <x v="22"/>
    <m/>
    <x v="18"/>
    <n v="1"/>
    <x v="0"/>
    <x v="0"/>
    <x v="48"/>
    <m/>
    <n v="500000"/>
    <x v="2"/>
    <m/>
    <n v="1"/>
    <x v="46"/>
    <s v="Y"/>
    <m/>
    <n v="20981"/>
    <m/>
    <m/>
    <m/>
    <m/>
    <m/>
    <n v="13200"/>
    <m/>
    <n v="10000"/>
    <m/>
    <m/>
    <m/>
    <x v="74"/>
    <m/>
    <n v="900000"/>
    <n v="764192.86"/>
    <m/>
    <m/>
    <x v="170"/>
    <s v="Y"/>
    <m/>
    <m/>
    <m/>
    <m/>
    <n v="2930"/>
    <m/>
    <m/>
    <m/>
    <m/>
    <m/>
    <m/>
    <s v="Y"/>
    <s v="N"/>
    <m/>
    <s v="OFDA grant for $500,000 for NFIs"/>
    <m/>
    <m/>
    <s v="CASH: OFDA grant for $500,000 to fund NFIs; SUPPLIES: 44,180 supplies (cost: $400,000) from KL warehouse; PEOPLE: Alex Mahoney onsite 3 weeks to coordinate OFDA NFIs distribution."/>
  </r>
  <r>
    <s v="2009-000209 - ASM; 2009-000210-WSM"/>
    <n v="235"/>
    <x v="228"/>
    <d v="2009-10-01T00:00:00"/>
    <x v="14"/>
    <x v="8"/>
    <s v="Q2"/>
    <n v="2009"/>
    <n v="18"/>
    <s v="Europe/Asia"/>
    <x v="112"/>
    <s v="Hydrometerological"/>
    <x v="16"/>
    <m/>
    <m/>
    <n v="10000"/>
    <s v="Y"/>
    <s v="IFRC"/>
    <n v="2450000"/>
    <s v="MDRWS001"/>
    <n v="4.0816326530612242E-2"/>
    <n v="0.25"/>
    <s v="Y"/>
    <n v="313729"/>
    <x v="68"/>
    <m/>
    <x v="1"/>
    <n v="1"/>
    <x v="1"/>
    <x v="0"/>
    <x v="0"/>
    <m/>
    <n v="100000"/>
    <x v="0"/>
    <m/>
    <m/>
    <x v="0"/>
    <m/>
    <m/>
    <m/>
    <m/>
    <m/>
    <m/>
    <m/>
    <m/>
    <m/>
    <m/>
    <m/>
    <m/>
    <m/>
    <m/>
    <x v="0"/>
    <m/>
    <n v="100000"/>
    <m/>
    <m/>
    <m/>
    <x v="5"/>
    <s v="N"/>
    <m/>
    <m/>
    <m/>
    <m/>
    <n v="2799"/>
    <m/>
    <m/>
    <m/>
    <m/>
    <m/>
    <m/>
    <m/>
    <s v="Y"/>
    <m/>
    <m/>
    <m/>
    <m/>
    <s v="CASH: $100,000 PMN to Federation Appeal from Rapid Response Fund"/>
  </r>
  <r>
    <s v="FL-2009-000217-IND"/>
    <n v="236"/>
    <x v="33"/>
    <d v="2009-10-27T00:00:00"/>
    <x v="14"/>
    <x v="9"/>
    <s v="Q2"/>
    <n v="2009"/>
    <n v="19"/>
    <s v="Europe/Asia"/>
    <x v="15"/>
    <s v="Hydrometerological"/>
    <x v="2"/>
    <m/>
    <m/>
    <n v="4100000"/>
    <s v="Y"/>
    <s v="NS"/>
    <n v="3100000"/>
    <s v="MDRIN004"/>
    <n v="0"/>
    <m/>
    <s v="Y"/>
    <n v="51364"/>
    <x v="28"/>
    <m/>
    <x v="0"/>
    <m/>
    <x v="0"/>
    <x v="0"/>
    <x v="0"/>
    <m/>
    <n v="0"/>
    <x v="0"/>
    <m/>
    <m/>
    <x v="47"/>
    <s v="N"/>
    <m/>
    <m/>
    <m/>
    <m/>
    <m/>
    <n v="7500"/>
    <m/>
    <m/>
    <m/>
    <m/>
    <m/>
    <m/>
    <m/>
    <x v="75"/>
    <m/>
    <n v="190000"/>
    <m/>
    <m/>
    <m/>
    <x v="171"/>
    <s v="Y"/>
    <m/>
    <m/>
    <m/>
    <m/>
    <s v="2003/2695"/>
    <m/>
    <m/>
    <m/>
    <m/>
    <m/>
    <m/>
    <m/>
    <s v="N"/>
    <m/>
    <m/>
    <m/>
    <m/>
    <s v="SUPPLIES: In response to Indian RC national appeal, ARC locally procured approx 2,700 kitchen sets to deliver to Indian RC, using APs 2003 (India R &amp; D) and 2695 (TRP funds for Andra Pradesh DM) - this effectively closes out these APs ($190,000 spent total)"/>
  </r>
  <r>
    <s v="DR-2009-000197-KEN"/>
    <n v="237"/>
    <x v="229"/>
    <d v="2009-11-05T00:00:00"/>
    <x v="14"/>
    <x v="10"/>
    <s v="Q2"/>
    <n v="2009"/>
    <n v="20"/>
    <s v="Africa"/>
    <x v="58"/>
    <s v="Hydrometerological"/>
    <x v="1"/>
    <m/>
    <m/>
    <n v="3800000"/>
    <s v="Y"/>
    <s v="IFRC"/>
    <n v="8427856"/>
    <s v="MDRKE009"/>
    <n v="1.1865413932084269E-2"/>
    <n v="0.06"/>
    <s v="Y"/>
    <n v="500000"/>
    <x v="69"/>
    <m/>
    <x v="19"/>
    <n v="1"/>
    <x v="1"/>
    <x v="0"/>
    <x v="0"/>
    <m/>
    <n v="100000"/>
    <x v="0"/>
    <m/>
    <m/>
    <x v="0"/>
    <m/>
    <m/>
    <m/>
    <m/>
    <m/>
    <m/>
    <m/>
    <m/>
    <m/>
    <m/>
    <m/>
    <m/>
    <m/>
    <m/>
    <x v="0"/>
    <m/>
    <n v="100000"/>
    <m/>
    <m/>
    <m/>
    <x v="5"/>
    <s v="N"/>
    <m/>
    <m/>
    <m/>
    <m/>
    <n v="2799"/>
    <m/>
    <m/>
    <m/>
    <m/>
    <m/>
    <m/>
    <m/>
    <s v="Y"/>
    <m/>
    <m/>
    <m/>
    <m/>
    <s v="CASH: $100,000 PMN to Federation Appeal from Rapid Response Fund earmarked for seeds."/>
  </r>
  <r>
    <s v="FL-2009-000206-HTI"/>
    <n v="238"/>
    <x v="120"/>
    <d v="2009-11-12T00:00:00"/>
    <x v="14"/>
    <x v="11"/>
    <s v="Q2"/>
    <n v="2009"/>
    <n v="21"/>
    <s v="LAC"/>
    <x v="79"/>
    <s v="Hydrometerological"/>
    <x v="2"/>
    <m/>
    <m/>
    <n v="2500"/>
    <s v="N"/>
    <m/>
    <m/>
    <m/>
    <s v=""/>
    <m/>
    <s v="Y"/>
    <n v="103918"/>
    <x v="70"/>
    <s v="Y"/>
    <x v="0"/>
    <m/>
    <x v="0"/>
    <x v="0"/>
    <x v="0"/>
    <m/>
    <n v="0"/>
    <x v="2"/>
    <m/>
    <n v="1"/>
    <x v="0"/>
    <m/>
    <m/>
    <m/>
    <m/>
    <m/>
    <m/>
    <m/>
    <m/>
    <m/>
    <m/>
    <m/>
    <m/>
    <m/>
    <m/>
    <x v="0"/>
    <m/>
    <n v="0"/>
    <m/>
    <m/>
    <m/>
    <x v="7"/>
    <s v="Y"/>
    <m/>
    <m/>
    <m/>
    <m/>
    <n v="2885"/>
    <m/>
    <m/>
    <m/>
    <m/>
    <m/>
    <m/>
    <m/>
    <s v="N"/>
    <m/>
    <m/>
    <m/>
    <m/>
    <s v="PEOPLE: John Manley deployed to Haiti NRC as a RIT for DREF operation."/>
  </r>
  <r>
    <s v="FL-2009-000238-SLV"/>
    <n v="239"/>
    <x v="230"/>
    <d v="2009-11-16T00:00:00"/>
    <x v="14"/>
    <x v="12"/>
    <s v="Q2"/>
    <n v="2009"/>
    <n v="22"/>
    <s v="LAC"/>
    <x v="35"/>
    <s v="Hydrometerological"/>
    <x v="2"/>
    <m/>
    <m/>
    <n v="75000"/>
    <s v="Y"/>
    <s v="IFRC"/>
    <n v="1681039"/>
    <s v="MDRSV002"/>
    <n v="0.14491335418155082"/>
    <n v="0.92"/>
    <s v="Y"/>
    <n v="180614"/>
    <x v="71"/>
    <m/>
    <x v="0"/>
    <n v="1"/>
    <x v="64"/>
    <x v="0"/>
    <x v="0"/>
    <m/>
    <n v="243605"/>
    <x v="0"/>
    <m/>
    <m/>
    <x v="4"/>
    <s v="Y"/>
    <n v="500"/>
    <m/>
    <m/>
    <m/>
    <m/>
    <n v="500"/>
    <m/>
    <m/>
    <m/>
    <m/>
    <m/>
    <m/>
    <m/>
    <x v="76"/>
    <m/>
    <n v="274845"/>
    <m/>
    <m/>
    <m/>
    <x v="172"/>
    <s v="Y"/>
    <m/>
    <m/>
    <m/>
    <m/>
    <n v="2882"/>
    <m/>
    <m/>
    <m/>
    <m/>
    <m/>
    <s v="Y"/>
    <m/>
    <s v="N"/>
    <m/>
    <s v="UPS donated $50,000; ARCT Funds applied for as of 11/18/09"/>
    <s v="ARCT"/>
    <m/>
    <s v="CASH: $193,603 to Federation Appeal earmarked for transitional shelter; SUPPLIES: $24,500 in kitchen sets and hygiene kits. "/>
  </r>
  <r>
    <s v="EQ-2010-000009-HTI"/>
    <n v="240"/>
    <x v="231"/>
    <d v="2010-01-12T00:00:00"/>
    <x v="14"/>
    <x v="13"/>
    <s v="Q3"/>
    <n v="2010"/>
    <n v="1"/>
    <s v="LAC"/>
    <x v="79"/>
    <s v="Geophysical"/>
    <x v="3"/>
    <m/>
    <m/>
    <n v="2000000"/>
    <s v="Y"/>
    <s v="IFRC"/>
    <n v="200000000"/>
    <s v="MDRHT008"/>
    <n v="0.17188673215"/>
    <n v="0.94"/>
    <s v="Y"/>
    <n v="491265"/>
    <x v="72"/>
    <m/>
    <x v="0"/>
    <n v="1"/>
    <x v="65"/>
    <x v="14"/>
    <x v="0"/>
    <m/>
    <m/>
    <x v="18"/>
    <s v=" IT/Telecoms; Relief ERU"/>
    <n v="85"/>
    <x v="48"/>
    <s v="Y"/>
    <m/>
    <m/>
    <m/>
    <m/>
    <m/>
    <m/>
    <m/>
    <m/>
    <m/>
    <m/>
    <m/>
    <m/>
    <m/>
    <x v="77"/>
    <m/>
    <n v="139611532"/>
    <n v="337000000"/>
    <m/>
    <m/>
    <x v="173"/>
    <s v="Y"/>
    <m/>
    <m/>
    <m/>
    <m/>
    <n v="2888"/>
    <m/>
    <m/>
    <m/>
    <m/>
    <m/>
    <m/>
    <m/>
    <s v="N"/>
    <m/>
    <s v="various - notably online and text donations from individuals; telethons. "/>
    <s v="definitely!"/>
    <n v="476611532"/>
    <s v="As of June 30 2010: CASH &amp; SUPPLIES: See detailed donor report, mob table, etc. for specific amounts to Federation, amount spent, etc. Raised: $468 million. PEOPLE: 65+ deployed to Haiti, DR and PADRU: Relief and IT/Telecoms ERU deployed, and various delegates to Fed and ARC delegation in Haiti, to Fed at PADRU, to Fed logistics in Santo Domingo, DR, plus NHQ to backfill. See the Deployments History tab in this spreadsheet or the RAPs for list of all personnel deploying and roles. "/>
  </r>
  <r>
    <s v="FL-2009-000264-TZA"/>
    <n v="241"/>
    <x v="232"/>
    <d v="2010-01-25T00:00:00"/>
    <x v="14"/>
    <x v="14"/>
    <s v="Q3"/>
    <n v="2010"/>
    <n v="2"/>
    <s v="Africa"/>
    <x v="99"/>
    <m/>
    <x v="2"/>
    <m/>
    <m/>
    <n v="50000"/>
    <s v="Y"/>
    <s v="IFRC"/>
    <n v="1625152"/>
    <s v="MDRTZ010"/>
    <n v="0.12306541172764147"/>
    <n v="0.89"/>
    <s v="Y"/>
    <n v="313536"/>
    <x v="73"/>
    <m/>
    <x v="0"/>
    <n v="1"/>
    <x v="17"/>
    <x v="0"/>
    <x v="0"/>
    <m/>
    <n v="200000"/>
    <x v="0"/>
    <m/>
    <m/>
    <x v="0"/>
    <m/>
    <m/>
    <m/>
    <m/>
    <m/>
    <m/>
    <m/>
    <m/>
    <m/>
    <m/>
    <m/>
    <m/>
    <m/>
    <m/>
    <x v="0"/>
    <m/>
    <n v="200000"/>
    <m/>
    <m/>
    <m/>
    <x v="121"/>
    <s v="Y"/>
    <m/>
    <m/>
    <m/>
    <m/>
    <n v="2869"/>
    <m/>
    <m/>
    <m/>
    <m/>
    <m/>
    <s v="Y"/>
    <m/>
    <s v="N"/>
    <m/>
    <s v="ARCT funds - $200,000"/>
    <s v="ARCT"/>
    <m/>
    <s v="CASH: Anne Ray Charitable Trust funds applied $200,000 towards water and sanitation equipment."/>
  </r>
  <r>
    <s v="EQ-2010-000034-CHL "/>
    <n v="242"/>
    <x v="233"/>
    <d v="2010-02-27T00:00:00"/>
    <x v="14"/>
    <x v="15"/>
    <s v="Q3"/>
    <n v="2010"/>
    <n v="3"/>
    <s v="LAC"/>
    <x v="101"/>
    <m/>
    <x v="3"/>
    <m/>
    <m/>
    <n v="2000000"/>
    <s v="Y"/>
    <s v="IFRC"/>
    <n v="6400000"/>
    <s v="MDRCL006"/>
    <n v="0.15625"/>
    <n v="0.79"/>
    <s v="Y"/>
    <n v="279350"/>
    <x v="22"/>
    <m/>
    <x v="0"/>
    <n v="1"/>
    <x v="66"/>
    <x v="0"/>
    <x v="48"/>
    <m/>
    <n v="1000000"/>
    <x v="4"/>
    <m/>
    <n v="2"/>
    <x v="49"/>
    <s v="Y"/>
    <n v="1160"/>
    <m/>
    <n v="5000"/>
    <m/>
    <m/>
    <m/>
    <m/>
    <m/>
    <m/>
    <m/>
    <m/>
    <m/>
    <m/>
    <x v="78"/>
    <m/>
    <n v="1096000"/>
    <n v="5304000"/>
    <m/>
    <m/>
    <x v="174"/>
    <s v="Y"/>
    <m/>
    <m/>
    <m/>
    <m/>
    <n v="2896"/>
    <m/>
    <m/>
    <m/>
    <m/>
    <m/>
    <m/>
    <m/>
    <s v="N"/>
    <m/>
    <m/>
    <m/>
    <m/>
    <s v="CASH: $50,000 made available from IRF as initial response. $450,000 made available in subsequent week. SUPPLIES: 5,000 jerry cans; 1,160 hygiene kits. PEOPLE: Alvaro Garita  - Relief delegate, Gonzalo Aquino - Water and Sanitation  delegate."/>
  </r>
  <r>
    <s v="EQ-2010-000073-CHN"/>
    <n v="243"/>
    <x v="104"/>
    <d v="2010-04-10T00:00:00"/>
    <x v="14"/>
    <x v="16"/>
    <s v="Q4"/>
    <n v="2010"/>
    <n v="4"/>
    <s v="Europe/Asia"/>
    <x v="4"/>
    <m/>
    <x v="3"/>
    <m/>
    <m/>
    <n v="100000"/>
    <s v="Y"/>
    <s v="NS"/>
    <m/>
    <m/>
    <s v=""/>
    <m/>
    <m/>
    <m/>
    <x v="74"/>
    <m/>
    <x v="0"/>
    <m/>
    <x v="67"/>
    <x v="0"/>
    <x v="48"/>
    <m/>
    <n v="500000"/>
    <x v="0"/>
    <m/>
    <m/>
    <x v="0"/>
    <m/>
    <m/>
    <n v="198970"/>
    <m/>
    <m/>
    <m/>
    <m/>
    <m/>
    <m/>
    <m/>
    <m/>
    <m/>
    <m/>
    <m/>
    <x v="0"/>
    <m/>
    <n v="500000"/>
    <m/>
    <n v="500000"/>
    <m/>
    <x v="175"/>
    <s v="Y"/>
    <m/>
    <m/>
    <m/>
    <m/>
    <n v="2571"/>
    <m/>
    <m/>
    <m/>
    <m/>
    <m/>
    <m/>
    <m/>
    <s v="N"/>
    <m/>
    <m/>
    <m/>
    <m/>
    <s v="National Society has issued it own appeal. ARC decided to contribute $500,000 after June 30 2010.  An additional $500,000 will go to future community disaster preparedness."/>
  </r>
  <r>
    <s v="CW-2010-000010-MNG"/>
    <n v="244"/>
    <x v="234"/>
    <d v="2010-05-10T00:00:00"/>
    <x v="14"/>
    <x v="17"/>
    <s v="Q4"/>
    <n v="2010"/>
    <n v="5"/>
    <s v="Europe/Asia"/>
    <x v="113"/>
    <m/>
    <x v="20"/>
    <m/>
    <m/>
    <n v="507000"/>
    <s v="Y"/>
    <s v="IFRC"/>
    <n v="991697"/>
    <s v="    MDRMN004"/>
    <n v="0.1462140149662649"/>
    <n v="0.35"/>
    <s v="Y"/>
    <n v="93924"/>
    <x v="75"/>
    <m/>
    <x v="0"/>
    <n v="1"/>
    <x v="68"/>
    <x v="0"/>
    <x v="0"/>
    <m/>
    <n v="145000"/>
    <x v="0"/>
    <m/>
    <m/>
    <x v="0"/>
    <m/>
    <m/>
    <m/>
    <m/>
    <m/>
    <m/>
    <m/>
    <m/>
    <m/>
    <m/>
    <m/>
    <m/>
    <m/>
    <m/>
    <x v="0"/>
    <m/>
    <n v="145000"/>
    <m/>
    <m/>
    <m/>
    <x v="176"/>
    <s v="Y"/>
    <m/>
    <m/>
    <m/>
    <m/>
    <n v="2869"/>
    <m/>
    <m/>
    <m/>
    <m/>
    <m/>
    <s v="Y"/>
    <m/>
    <s v="N"/>
    <m/>
    <s v="ARCT"/>
    <s v="ARCT"/>
    <m/>
    <s v="CASH: $145,000 contribution made to Federation appeal from Anne Ray Charitable Trust (ARCT) funds"/>
  </r>
  <r>
    <m/>
    <n v="245"/>
    <x v="235"/>
    <d v="2010-05-20T00:00:00"/>
    <x v="14"/>
    <x v="18"/>
    <s v="Q4"/>
    <n v="2010"/>
    <n v="6"/>
    <s v="Europe/Asia"/>
    <x v="95"/>
    <m/>
    <x v="11"/>
    <m/>
    <m/>
    <n v="67000"/>
    <s v="Y"/>
    <s v="IFRC"/>
    <n v="664175"/>
    <m/>
    <n v="7.5281364098317455E-2"/>
    <m/>
    <s v="Y"/>
    <n v="179855"/>
    <x v="76"/>
    <m/>
    <x v="0"/>
    <n v="1"/>
    <x v="6"/>
    <x v="0"/>
    <x v="0"/>
    <m/>
    <n v="50000"/>
    <x v="0"/>
    <m/>
    <m/>
    <x v="0"/>
    <m/>
    <m/>
    <m/>
    <m/>
    <m/>
    <m/>
    <m/>
    <m/>
    <m/>
    <m/>
    <m/>
    <m/>
    <m/>
    <m/>
    <x v="0"/>
    <m/>
    <n v="50000"/>
    <m/>
    <m/>
    <m/>
    <x v="16"/>
    <s v="N"/>
    <m/>
    <m/>
    <m/>
    <m/>
    <n v="2799"/>
    <m/>
    <m/>
    <m/>
    <m/>
    <m/>
    <m/>
    <m/>
    <s v="Y"/>
    <m/>
    <m/>
    <m/>
    <m/>
    <s v="CASH: $50,000 towards Federation appeal."/>
  </r>
  <r>
    <s v="TC-2010-000105-GTM"/>
    <n v="246"/>
    <x v="236"/>
    <d v="2010-06-01T00:00:00"/>
    <x v="14"/>
    <x v="19"/>
    <s v="Q4"/>
    <n v="2010"/>
    <n v="7"/>
    <s v="LAC"/>
    <x v="44"/>
    <m/>
    <x v="17"/>
    <m/>
    <m/>
    <n v="173518"/>
    <s v="Y"/>
    <s v="IFRC"/>
    <n v="1112170"/>
    <s v="MDRGT002"/>
    <n v="8.9914311660987081E-2"/>
    <m/>
    <s v="Y"/>
    <n v="307254"/>
    <x v="77"/>
    <m/>
    <x v="11"/>
    <n v="1"/>
    <x v="1"/>
    <x v="0"/>
    <x v="0"/>
    <m/>
    <n v="100000"/>
    <x v="0"/>
    <m/>
    <m/>
    <x v="50"/>
    <s v="Y"/>
    <n v="1000"/>
    <n v="7500"/>
    <n v="900"/>
    <m/>
    <m/>
    <n v="500"/>
    <m/>
    <m/>
    <m/>
    <m/>
    <m/>
    <m/>
    <m/>
    <x v="71"/>
    <m/>
    <n v="180000"/>
    <m/>
    <m/>
    <m/>
    <x v="177"/>
    <s v="N"/>
    <m/>
    <m/>
    <m/>
    <m/>
    <n v="2799"/>
    <m/>
    <m/>
    <m/>
    <m/>
    <m/>
    <m/>
    <m/>
    <s v="Y"/>
    <m/>
    <m/>
    <m/>
    <m/>
    <s v="CASH: $100,000 to Federation appeal. SUPPLIES: $80,000 in relief supplies from PADRU."/>
  </r>
  <r>
    <s v="OT-2010-000113-KGZ"/>
    <n v="247"/>
    <x v="237"/>
    <d v="2010-06-01T00:00:00"/>
    <x v="14"/>
    <x v="23"/>
    <s v="Q4"/>
    <n v="2010"/>
    <n v="8"/>
    <s v="Europe/Asia"/>
    <x v="114"/>
    <m/>
    <x v="8"/>
    <m/>
    <m/>
    <n v="375000"/>
    <s v="Y"/>
    <s v="ICRC /IFRC"/>
    <n v="9966159"/>
    <s v="MDRUZ002"/>
    <n v="1.0033955910195694E-2"/>
    <m/>
    <s v="Y"/>
    <n v="269348"/>
    <x v="78"/>
    <m/>
    <x v="0"/>
    <n v="1"/>
    <x v="6"/>
    <x v="7"/>
    <x v="0"/>
    <m/>
    <n v="100000"/>
    <x v="0"/>
    <m/>
    <m/>
    <x v="0"/>
    <m/>
    <m/>
    <m/>
    <m/>
    <m/>
    <m/>
    <m/>
    <m/>
    <m/>
    <m/>
    <m/>
    <m/>
    <m/>
    <m/>
    <x v="0"/>
    <m/>
    <n v="100000"/>
    <m/>
    <m/>
    <m/>
    <x v="5"/>
    <s v="Y"/>
    <m/>
    <m/>
    <m/>
    <m/>
    <s v="2955/2799"/>
    <m/>
    <m/>
    <m/>
    <m/>
    <m/>
    <m/>
    <m/>
    <s v="Y"/>
    <m/>
    <m/>
    <m/>
    <m/>
    <s v="CASH: $50,000 to ICRC Kyrgyzstan appeal; $50,000 to IFRC Kyrgyzstan appeal; $100,000 to IFRC Uzbekistan appeal (this amount from GM donation). "/>
  </r>
  <r>
    <s v="OT-2010-000113-KGZ"/>
    <n v="247"/>
    <x v="237"/>
    <d v="2010-06-01T00:00:00"/>
    <x v="14"/>
    <x v="23"/>
    <s v="Q4"/>
    <n v="2010"/>
    <n v="8"/>
    <s v="Europe/Asia"/>
    <x v="48"/>
    <m/>
    <x v="8"/>
    <m/>
    <m/>
    <m/>
    <s v="Y"/>
    <s v="IFRC"/>
    <n v="911836"/>
    <s v="MDRKG007"/>
    <n v="0.10966884395878206"/>
    <m/>
    <m/>
    <m/>
    <x v="79"/>
    <m/>
    <x v="0"/>
    <n v="1"/>
    <x v="1"/>
    <x v="0"/>
    <x v="0"/>
    <m/>
    <n v="100000"/>
    <x v="0"/>
    <m/>
    <m/>
    <x v="0"/>
    <m/>
    <m/>
    <m/>
    <m/>
    <m/>
    <m/>
    <m/>
    <m/>
    <m/>
    <m/>
    <m/>
    <m/>
    <m/>
    <m/>
    <x v="0"/>
    <m/>
    <n v="100000"/>
    <m/>
    <m/>
    <m/>
    <x v="5"/>
    <s v="Y"/>
    <m/>
    <m/>
    <m/>
    <m/>
    <s v="2955/2799"/>
    <m/>
    <m/>
    <m/>
    <m/>
    <m/>
    <m/>
    <m/>
    <s v="Y"/>
    <m/>
    <m/>
    <m/>
    <m/>
    <s v="see above"/>
  </r>
  <r>
    <s v="FL-2010-00141-PAK"/>
    <n v="248"/>
    <x v="238"/>
    <d v="2010-08-02T00:00:00"/>
    <x v="15"/>
    <x v="1"/>
    <s v="Q1"/>
    <n v="2010"/>
    <n v="9"/>
    <s v="Europe/Asia"/>
    <x v="47"/>
    <m/>
    <x v="2"/>
    <m/>
    <m/>
    <n v="20000000"/>
    <s v="Y"/>
    <s v="IFRC &amp; ICRC"/>
    <n v="148500000"/>
    <s v="MDRPK006"/>
    <n v="2.7609427609427608E-2"/>
    <m/>
    <s v="Y"/>
    <n v="239406"/>
    <x v="80"/>
    <m/>
    <x v="0"/>
    <n v="1"/>
    <x v="69"/>
    <x v="0"/>
    <x v="0"/>
    <m/>
    <n v="4850000"/>
    <x v="4"/>
    <m/>
    <n v="2"/>
    <x v="51"/>
    <s v="Y"/>
    <m/>
    <n v="35000"/>
    <n v="15000"/>
    <n v="3650"/>
    <m/>
    <n v="10000"/>
    <m/>
    <n v="20000"/>
    <m/>
    <n v="10000"/>
    <m/>
    <n v="6250"/>
    <m/>
    <x v="79"/>
    <m/>
    <n v="5674977"/>
    <n v="2525023"/>
    <m/>
    <m/>
    <x v="178"/>
    <s v="Y"/>
    <m/>
    <m/>
    <m/>
    <m/>
    <n v="2799"/>
    <m/>
    <n v="2699"/>
    <m/>
    <m/>
    <m/>
    <m/>
    <m/>
    <s v="Y"/>
    <m/>
    <m/>
    <m/>
    <m/>
    <s v="CASH: $100,000 PMN to Federation Appeal from AP2799/RRF - not to be replenished; $3,000,000 ($3M) PMN to Federation Appeal from AP2699 earmarked for relief &amp; emergency shelter;  $300,000 PMN to Federation Appeal from AP 2699 earmarked for relief &amp; emergency shelter; $700,000 PMN to Federation Appeal from AP2699 earmarked for relief; $1,000,000 allocated to contribution to the Measles Initiative, recipient organization TBD._x000a_SUPPLIES: Relief supplies from both KL and Dubai warehouses - emptied both - approx $1M total including transport; PEOPLE: Robin Younger and Christophe Lobry-Boulanger deployed fro Relief coordination cell to PRCS support. Raj Zafar was used from Federation Delegation for surge support for  Federation in Islamabad._x000a_$8.2M raised - remainder put into 'early recovery' column"/>
  </r>
  <r>
    <m/>
    <n v="249"/>
    <x v="6"/>
    <d v="2010-10-01T00:00:00"/>
    <x v="15"/>
    <x v="2"/>
    <s v="Q2"/>
    <n v="2010"/>
    <n v="10"/>
    <s v="LAC"/>
    <x v="2"/>
    <m/>
    <x v="2"/>
    <m/>
    <m/>
    <n v="500000"/>
    <s v="N"/>
    <m/>
    <m/>
    <m/>
    <s v=""/>
    <m/>
    <s v="N"/>
    <m/>
    <x v="0"/>
    <s v="Y"/>
    <x v="17"/>
    <m/>
    <x v="0"/>
    <x v="0"/>
    <x v="5"/>
    <m/>
    <n v="200000"/>
    <x v="0"/>
    <m/>
    <m/>
    <x v="0"/>
    <m/>
    <m/>
    <m/>
    <m/>
    <m/>
    <m/>
    <m/>
    <m/>
    <m/>
    <m/>
    <m/>
    <m/>
    <m/>
    <m/>
    <x v="0"/>
    <m/>
    <n v="200000"/>
    <m/>
    <m/>
    <m/>
    <x v="121"/>
    <s v="N"/>
    <m/>
    <m/>
    <m/>
    <m/>
    <s v="2869/ARCT"/>
    <m/>
    <m/>
    <m/>
    <m/>
    <m/>
    <s v="Y"/>
    <m/>
    <s v="N"/>
    <m/>
    <s v="ARCT funds - $200,000"/>
    <s v="ARCT"/>
    <m/>
    <s v="CASH: $200,000 bilateral contribution/grant letter to Mexican Red Cross for relief - paid by ARCT funds."/>
  </r>
  <r>
    <s v="FL-2010-00194-VNM"/>
    <n v="250"/>
    <x v="21"/>
    <d v="2010-10-18T00:00:00"/>
    <x v="15"/>
    <x v="3"/>
    <s v="Q2"/>
    <n v="2010"/>
    <n v="11"/>
    <s v="Europe/Asia"/>
    <x v="16"/>
    <m/>
    <x v="2"/>
    <m/>
    <m/>
    <n v="660000"/>
    <s v="Y"/>
    <s v="IFRC"/>
    <n v="1080000"/>
    <s v="MDRVN007"/>
    <n v="2.7777777777777776E-2"/>
    <m/>
    <s v="Y"/>
    <n v="160853"/>
    <x v="81"/>
    <m/>
    <x v="0"/>
    <m/>
    <x v="47"/>
    <x v="0"/>
    <x v="0"/>
    <m/>
    <n v="30000"/>
    <x v="0"/>
    <m/>
    <m/>
    <x v="0"/>
    <m/>
    <m/>
    <m/>
    <m/>
    <m/>
    <m/>
    <m/>
    <m/>
    <m/>
    <m/>
    <m/>
    <m/>
    <m/>
    <m/>
    <x v="0"/>
    <m/>
    <n v="30000"/>
    <m/>
    <m/>
    <m/>
    <x v="163"/>
    <s v="N"/>
    <m/>
    <m/>
    <m/>
    <m/>
    <n v="2799"/>
    <m/>
    <m/>
    <m/>
    <m/>
    <m/>
    <m/>
    <m/>
    <s v="Y"/>
    <m/>
    <m/>
    <m/>
    <m/>
    <s v="CASH: $30,000 PMN to Federation Appeal from 2799 (RRF) earmarked for relief."/>
  </r>
  <r>
    <s v="EP-2010-000210-HTI"/>
    <n v="251"/>
    <x v="239"/>
    <d v="2010-10-24T00:00:00"/>
    <x v="15"/>
    <x v="4"/>
    <s v="Q2"/>
    <n v="2010"/>
    <n v="12"/>
    <s v="LAC"/>
    <x v="79"/>
    <m/>
    <x v="11"/>
    <m/>
    <m/>
    <m/>
    <s v="Y"/>
    <s v="IFRC"/>
    <n v="6000000"/>
    <s v="MDR49007"/>
    <n v="0.36102216666666664"/>
    <m/>
    <s v="Y"/>
    <n v="80618"/>
    <x v="6"/>
    <m/>
    <x v="0"/>
    <n v="1"/>
    <x v="70"/>
    <x v="0"/>
    <x v="0"/>
    <m/>
    <n v="2320081"/>
    <x v="0"/>
    <m/>
    <m/>
    <x v="0"/>
    <m/>
    <m/>
    <m/>
    <m/>
    <m/>
    <m/>
    <m/>
    <m/>
    <m/>
    <m/>
    <m/>
    <m/>
    <m/>
    <m/>
    <x v="80"/>
    <m/>
    <n v="16068357"/>
    <m/>
    <m/>
    <m/>
    <x v="179"/>
    <s v="Y"/>
    <s v="P"/>
    <m/>
    <m/>
    <m/>
    <n v="2888"/>
    <m/>
    <m/>
    <m/>
    <m/>
    <m/>
    <m/>
    <m/>
    <s v="N"/>
    <m/>
    <m/>
    <m/>
    <m/>
    <s v="Spent figure directly from HAP as of May 2011. ARC committed to spend $14 million on Cholera. See HAP for additional details._x000a_CASH: $566,133 PMN to Federation Appeal: $537,500 earmarked for Haiti AP2888; $28,634 earmarked for Dominican Republic from AP2884; $1.6 million PMN for relief supplies; Funding transportation/flights of supplies for Partners in Health etc. Funding supplies, etc._x000a_SUPPLIES:Hygiene promotion, soap, oral rehydration salts, water tablets and chlorine for water purification, 5,000 Cots for medical facilities, Transport of medical supplies, vehicle for Haitian Red Cross. _x000a_PEOPLE: 6 ARC Haiti staff deployed for Red Cross Emergency Response Teams for Cholera outbreak in northern Haiti. _x000a_See latest response report and RAP for full details of items provided. "/>
  </r>
  <r>
    <s v="EP-2010-000210-HTI"/>
    <n v="251"/>
    <x v="239"/>
    <d v="2010-10-24T00:00:00"/>
    <x v="15"/>
    <x v="4"/>
    <s v="Q2"/>
    <n v="2010"/>
    <n v="12"/>
    <s v="LAC"/>
    <x v="75"/>
    <m/>
    <x v="0"/>
    <m/>
    <m/>
    <m/>
    <m/>
    <m/>
    <m/>
    <m/>
    <s v=""/>
    <m/>
    <m/>
    <m/>
    <x v="0"/>
    <m/>
    <x v="0"/>
    <m/>
    <x v="0"/>
    <x v="0"/>
    <x v="0"/>
    <m/>
    <m/>
    <x v="0"/>
    <m/>
    <m/>
    <x v="0"/>
    <m/>
    <m/>
    <m/>
    <m/>
    <m/>
    <m/>
    <m/>
    <m/>
    <m/>
    <m/>
    <m/>
    <m/>
    <m/>
    <m/>
    <x v="0"/>
    <m/>
    <m/>
    <m/>
    <m/>
    <m/>
    <x v="152"/>
    <m/>
    <m/>
    <m/>
    <m/>
    <m/>
    <m/>
    <m/>
    <m/>
    <m/>
    <m/>
    <m/>
    <m/>
    <m/>
    <m/>
    <m/>
    <m/>
    <m/>
    <m/>
    <m/>
  </r>
  <r>
    <s v="TC-2010-000205-PHL"/>
    <n v="252"/>
    <x v="240"/>
    <d v="2010-10-26T00:00:00"/>
    <x v="15"/>
    <x v="5"/>
    <s v="Q2"/>
    <n v="2010"/>
    <n v="13"/>
    <s v="Europe/Asia"/>
    <x v="89"/>
    <m/>
    <x v="17"/>
    <m/>
    <m/>
    <n v="2000000"/>
    <s v="Y"/>
    <s v="IFRC"/>
    <n v="4310000"/>
    <s v="MDRPH006"/>
    <n v="6.9605568445475635E-3"/>
    <m/>
    <s v="Y"/>
    <n v="214855"/>
    <x v="25"/>
    <m/>
    <x v="0"/>
    <m/>
    <x v="47"/>
    <x v="0"/>
    <x v="0"/>
    <m/>
    <n v="30000"/>
    <x v="0"/>
    <m/>
    <m/>
    <x v="0"/>
    <m/>
    <m/>
    <m/>
    <m/>
    <m/>
    <m/>
    <m/>
    <m/>
    <m/>
    <m/>
    <m/>
    <m/>
    <m/>
    <m/>
    <x v="0"/>
    <m/>
    <n v="30000"/>
    <m/>
    <m/>
    <m/>
    <x v="163"/>
    <s v="N"/>
    <m/>
    <m/>
    <m/>
    <m/>
    <n v="2032"/>
    <n v="30000"/>
    <m/>
    <m/>
    <m/>
    <m/>
    <m/>
    <m/>
    <s v="N"/>
    <m/>
    <m/>
    <m/>
    <m/>
    <s v="CASH: $30,000 PMN to Federation Appeal from 2032 earmarked for relief distribution."/>
  </r>
  <r>
    <s v="EQ-2010-000213-IDN &amp; VO-2010-000214-IDN"/>
    <n v="253"/>
    <x v="241"/>
    <d v="2010-11-08T00:00:00"/>
    <x v="15"/>
    <x v="6"/>
    <s v="Q2"/>
    <n v="2010"/>
    <n v="14"/>
    <s v="Europe/Asia"/>
    <x v="27"/>
    <m/>
    <x v="21"/>
    <m/>
    <m/>
    <n v="215000"/>
    <s v="Y"/>
    <s v="IFRC"/>
    <n v="2865860"/>
    <s v="MDRID006"/>
    <n v="1.7446769905019786E-2"/>
    <m/>
    <s v="Y"/>
    <m/>
    <x v="5"/>
    <m/>
    <x v="0"/>
    <n v="1"/>
    <x v="6"/>
    <x v="0"/>
    <x v="0"/>
    <m/>
    <n v="50000"/>
    <x v="0"/>
    <m/>
    <m/>
    <x v="0"/>
    <m/>
    <m/>
    <m/>
    <m/>
    <m/>
    <m/>
    <m/>
    <m/>
    <m/>
    <m/>
    <m/>
    <m/>
    <m/>
    <m/>
    <x v="0"/>
    <m/>
    <n v="50000"/>
    <m/>
    <m/>
    <m/>
    <x v="16"/>
    <s v="N"/>
    <m/>
    <m/>
    <m/>
    <m/>
    <n v="2799"/>
    <m/>
    <m/>
    <m/>
    <m/>
    <m/>
    <m/>
    <m/>
    <s v="Y"/>
    <m/>
    <m/>
    <m/>
    <m/>
    <s v="CASH: $50,000 PMN to Federation Appeal from 2799 earmarked for relief."/>
  </r>
  <r>
    <s v="TC-2010-000216-BRB/LCA/VCT"/>
    <n v="254"/>
    <x v="242"/>
    <d v="2010-11-03T00:00:00"/>
    <x v="15"/>
    <x v="7"/>
    <s v="Q2"/>
    <n v="2010"/>
    <n v="15"/>
    <s v="LAC"/>
    <x v="115"/>
    <m/>
    <x v="17"/>
    <m/>
    <m/>
    <n v="9500"/>
    <s v="Y"/>
    <s v="IFRC"/>
    <n v="622109"/>
    <s v="MDR49006"/>
    <n v="0.23307812618046034"/>
    <m/>
    <m/>
    <m/>
    <x v="77"/>
    <m/>
    <x v="0"/>
    <n v="1"/>
    <x v="68"/>
    <x v="0"/>
    <x v="0"/>
    <m/>
    <n v="145000"/>
    <x v="16"/>
    <m/>
    <n v="6"/>
    <x v="0"/>
    <m/>
    <m/>
    <m/>
    <m/>
    <m/>
    <m/>
    <m/>
    <m/>
    <m/>
    <m/>
    <m/>
    <m/>
    <m/>
    <m/>
    <x v="0"/>
    <m/>
    <n v="145000"/>
    <m/>
    <m/>
    <m/>
    <x v="176"/>
    <s v="N"/>
    <m/>
    <m/>
    <m/>
    <m/>
    <n v="2799"/>
    <m/>
    <m/>
    <m/>
    <m/>
    <m/>
    <m/>
    <m/>
    <s v="Y"/>
    <m/>
    <m/>
    <m/>
    <m/>
    <s v="CASH: $75,000 PMN to Federation Appeal from 2799 earmarked for relief. $70,000 PMN to Federation appeal earmarked for relief supplies for St. Lucia (see RAP). PEOPLE: Six bilateral staff from ARC Haiti office deployed on Federation Emergency Response Teams."/>
  </r>
  <r>
    <m/>
    <n v="255"/>
    <x v="243"/>
    <d v="2010-11-09T00:00:00"/>
    <x v="15"/>
    <x v="8"/>
    <s v="Q2"/>
    <n v="2010"/>
    <n v="16"/>
    <s v="LAC"/>
    <x v="28"/>
    <m/>
    <x v="17"/>
    <m/>
    <m/>
    <m/>
    <s v="N"/>
    <m/>
    <m/>
    <s v="MDRBZ002"/>
    <s v=""/>
    <m/>
    <s v="Y"/>
    <n v="56303"/>
    <x v="0"/>
    <m/>
    <x v="20"/>
    <m/>
    <x v="0"/>
    <x v="0"/>
    <x v="53"/>
    <m/>
    <n v="80000"/>
    <x v="2"/>
    <m/>
    <n v="1"/>
    <x v="0"/>
    <m/>
    <m/>
    <m/>
    <m/>
    <m/>
    <m/>
    <m/>
    <m/>
    <m/>
    <m/>
    <m/>
    <m/>
    <m/>
    <m/>
    <x v="0"/>
    <m/>
    <n v="80000"/>
    <m/>
    <m/>
    <m/>
    <x v="9"/>
    <s v="N"/>
    <m/>
    <m/>
    <m/>
    <m/>
    <n v="2799"/>
    <m/>
    <m/>
    <m/>
    <m/>
    <m/>
    <m/>
    <m/>
    <s v="Y"/>
    <m/>
    <m/>
    <m/>
    <m/>
    <s v="CASH: $80,000 bilateral contribution by grant letter to Belize Red Cross earmarked for emergency shelter. _x000a_PEOPLE: Laura Havesi deployed for emergency shelter support and cash voucher program."/>
  </r>
  <r>
    <s v="EQ-2010-000251-CRI"/>
    <n v="256"/>
    <x v="7"/>
    <d v="2010-11-10T00:00:00"/>
    <x v="15"/>
    <x v="9"/>
    <s v="Q2"/>
    <n v="2010"/>
    <n v="17"/>
    <s v="LAC"/>
    <x v="3"/>
    <m/>
    <x v="2"/>
    <m/>
    <m/>
    <n v="13500"/>
    <s v="N"/>
    <m/>
    <m/>
    <m/>
    <s v=""/>
    <m/>
    <s v="Y"/>
    <n v="123611"/>
    <x v="82"/>
    <s v="Y"/>
    <x v="0"/>
    <m/>
    <x v="0"/>
    <x v="0"/>
    <x v="54"/>
    <m/>
    <n v="322330"/>
    <x v="0"/>
    <m/>
    <m/>
    <x v="0"/>
    <m/>
    <m/>
    <m/>
    <m/>
    <m/>
    <m/>
    <m/>
    <m/>
    <m/>
    <m/>
    <m/>
    <m/>
    <m/>
    <m/>
    <x v="0"/>
    <m/>
    <n v="322330"/>
    <m/>
    <m/>
    <m/>
    <x v="180"/>
    <s v="Y"/>
    <m/>
    <m/>
    <m/>
    <m/>
    <s v="2760 OFDA "/>
    <m/>
    <m/>
    <m/>
    <m/>
    <m/>
    <m/>
    <s v="Y"/>
    <s v="N"/>
    <m/>
    <s v="OFDA"/>
    <m/>
    <m/>
    <s v="CASH: OFDA grant for $322,330 for distribution of relief supplies; small cash transfer program; disaster risk reduction workshops  "/>
  </r>
  <r>
    <s v="FL-2010-000076-COL"/>
    <n v="257"/>
    <x v="244"/>
    <d v="2010-12-16T00:00:00"/>
    <x v="15"/>
    <x v="10"/>
    <s v="Q2"/>
    <n v="2010"/>
    <n v="18"/>
    <s v="LAC"/>
    <x v="87"/>
    <m/>
    <x v="2"/>
    <m/>
    <m/>
    <n v="1500000"/>
    <s v="Y"/>
    <s v="IFRC"/>
    <n v="1109939"/>
    <s v="MDRCO008"/>
    <n v="0.1801900825180483"/>
    <m/>
    <s v="Y"/>
    <n v="64807"/>
    <x v="83"/>
    <m/>
    <x v="21"/>
    <n v="1"/>
    <x v="4"/>
    <x v="0"/>
    <x v="23"/>
    <m/>
    <n v="200000"/>
    <x v="0"/>
    <m/>
    <m/>
    <x v="7"/>
    <s v="Y"/>
    <m/>
    <m/>
    <m/>
    <m/>
    <m/>
    <m/>
    <m/>
    <n v="6000"/>
    <m/>
    <m/>
    <m/>
    <m/>
    <m/>
    <x v="81"/>
    <m/>
    <n v="240000"/>
    <m/>
    <m/>
    <m/>
    <x v="181"/>
    <s v="Y"/>
    <s v="C"/>
    <m/>
    <m/>
    <m/>
    <n v="2799"/>
    <m/>
    <n v="2025"/>
    <n v="155000"/>
    <m/>
    <m/>
    <m/>
    <m/>
    <s v="Y"/>
    <m/>
    <s v="Dow - $120,000; Merck - $10,000; Citigroup - $25,000. "/>
    <m/>
    <m/>
    <s v="SUPPLIES: IFRC mob table contribution: 6,000 mosquito nets @ $40,000; CASH: $80,000 cash pledge to Federation appeal - MDRCO008 earmarked for NFIs for relief distribution; Bilateral $120,000 bilateral contribution for health and DRR programming. "/>
  </r>
  <r>
    <s v="FL-2010-000225-PAN"/>
    <n v="258"/>
    <x v="80"/>
    <d v="2010-11-30T00:00:00"/>
    <x v="15"/>
    <x v="11"/>
    <s v="Q2"/>
    <n v="2010"/>
    <n v="19"/>
    <s v="LAC"/>
    <x v="57"/>
    <m/>
    <x v="2"/>
    <m/>
    <m/>
    <n v="6200"/>
    <s v="Y"/>
    <s v="IFRC"/>
    <n v="364732"/>
    <s v="MDRPA007"/>
    <n v="0"/>
    <m/>
    <s v="Y"/>
    <n v="82608"/>
    <x v="84"/>
    <m/>
    <x v="22"/>
    <m/>
    <x v="0"/>
    <x v="0"/>
    <x v="0"/>
    <m/>
    <m/>
    <x v="0"/>
    <m/>
    <m/>
    <x v="52"/>
    <s v="Y"/>
    <n v="214"/>
    <n v="1500"/>
    <m/>
    <m/>
    <m/>
    <m/>
    <m/>
    <m/>
    <m/>
    <m/>
    <m/>
    <m/>
    <m/>
    <x v="82"/>
    <m/>
    <n v="9812"/>
    <m/>
    <m/>
    <m/>
    <x v="182"/>
    <s v="N"/>
    <m/>
    <m/>
    <m/>
    <m/>
    <n v="2799"/>
    <m/>
    <m/>
    <m/>
    <m/>
    <m/>
    <m/>
    <m/>
    <s v="Y"/>
    <m/>
    <m/>
    <m/>
    <m/>
    <s v="SUPPPLIES: 1,500 blankets and 214 hygiene kits at $9,812 from PADRU."/>
  </r>
  <r>
    <s v="OT-2011-000025-TUN/LBY/EGY"/>
    <n v="259"/>
    <x v="245"/>
    <d v="2011-02-28T00:00:00"/>
    <x v="15"/>
    <x v="12"/>
    <s v="Q3"/>
    <n v="2011"/>
    <n v="1"/>
    <s v="Europe/Asia"/>
    <x v="116"/>
    <m/>
    <x v="19"/>
    <m/>
    <m/>
    <m/>
    <s v="Y"/>
    <s v="IFRC &amp; ICRC"/>
    <n v="45216000"/>
    <s v="MDR82001 &amp; REX2011/114"/>
    <n v="8.786049186128804E-3"/>
    <m/>
    <s v="Y"/>
    <n v="431000"/>
    <x v="85"/>
    <m/>
    <x v="0"/>
    <n v="1"/>
    <x v="71"/>
    <x v="2"/>
    <x v="0"/>
    <m/>
    <n v="397270"/>
    <x v="10"/>
    <m/>
    <m/>
    <x v="53"/>
    <s v="Y"/>
    <m/>
    <m/>
    <m/>
    <m/>
    <m/>
    <m/>
    <m/>
    <m/>
    <m/>
    <n v="1500"/>
    <m/>
    <m/>
    <m/>
    <x v="83"/>
    <m/>
    <n v="440270"/>
    <m/>
    <m/>
    <m/>
    <x v="183"/>
    <s v="Y"/>
    <s v="P"/>
    <n v="154218"/>
    <m/>
    <m/>
    <s v="2869/ARCT"/>
    <m/>
    <n v="2010"/>
    <m/>
    <n v="2799"/>
    <s v="FACT deployment expenses"/>
    <s v="Y"/>
    <m/>
    <s v="N"/>
    <m/>
    <s v="Online designation on redcross.org.  An overwhelming majority of the $150k funds raised were through the online designation. ARCT/ 2869; AP 2010, Middle East R&amp;D – revenue;  2099, IRF – 100k to ICRC (replenished by 2010); 2799, RRF – FACT deployment expenses + PMN for Syria"/>
    <m/>
    <s v="TUNISIA: People Displaced by Conflict   Soon after violence broke out in Libya in February 2011, hundreds of thousands of people fled to neighboring countries, with the greatest number arriving in Tunisia. Along the border, Red Crescent volunteers greeted the initial droves of migrant workers and provided them with first aid, shelter, food, blankets, clean water, sanitation services, and phone calls to loved ones until they could make arrangements to return to their homelands. To support these efforts, the American Red Cross also led teams of Red Cross and Red Crescent workers from around the world to build and support a tent community in Tunisia for families escaping the violence across the border and provided $300,000 in assistance for the operation."/>
    <s v="CASH: 1) $100,000 to ICRC earmarked for Tunisia from AP2010; PMN for $162,270 earmarked for locally procured supplies by AP2869/ARCT; 2) $135,000 PMN from AP 2799 for $44,000 and AP 2831/ ARCT for $91,000 earmarked for Syria for local procurement of food parcels. SUPPLIES:1500 tarps from Dubai warehouse as of March 2011; PEOPLE: Deployed for FACT team members: Langdon Greenhalgh, FACT team leader; Marian Spivey-Estrada, FACT Info &amp; Reporting; Colin Chaperon, FACT relief coordinator; Gina Guinta, FACT Info &amp; Reporting - 2nd round; Laura Hevesi FACT relief coordinator."/>
  </r>
  <r>
    <s v="EQ-2011-000024-NZL"/>
    <n v="260"/>
    <x v="246"/>
    <d v="2011-02-23T00:00:00"/>
    <x v="15"/>
    <x v="13"/>
    <s v="Q3"/>
    <n v="2011"/>
    <n v="2"/>
    <s v="Europe/Asia"/>
    <x v="117"/>
    <m/>
    <x v="3"/>
    <m/>
    <m/>
    <m/>
    <s v="N"/>
    <m/>
    <m/>
    <m/>
    <s v=""/>
    <m/>
    <m/>
    <m/>
    <x v="86"/>
    <s v="Y"/>
    <x v="0"/>
    <m/>
    <x v="0"/>
    <x v="0"/>
    <x v="55"/>
    <m/>
    <n v="826450"/>
    <x v="0"/>
    <m/>
    <m/>
    <x v="0"/>
    <m/>
    <m/>
    <m/>
    <m/>
    <m/>
    <m/>
    <m/>
    <m/>
    <m/>
    <m/>
    <m/>
    <m/>
    <m/>
    <m/>
    <x v="0"/>
    <m/>
    <n v="826450"/>
    <m/>
    <m/>
    <m/>
    <x v="184"/>
    <s v="Y"/>
    <s v="P"/>
    <n v="898367"/>
    <d v="2011-04-19T00:00:00"/>
    <d v="2011-04-19T00:00:00"/>
    <n v="2881"/>
    <m/>
    <m/>
    <m/>
    <m/>
    <m/>
    <m/>
    <m/>
    <s v="N"/>
    <m/>
    <m/>
    <m/>
    <m/>
    <s v="CASH: Two grant letters to be made - $772,000 on April 12, 2011; second one for $54,450 June 23, 2011"/>
  </r>
  <r>
    <m/>
    <n v="261"/>
    <x v="247"/>
    <d v="2011-03-01T00:00:00"/>
    <x v="15"/>
    <x v="14"/>
    <s v="Q3"/>
    <n v="2011"/>
    <n v="3"/>
    <s v="LAC"/>
    <x v="66"/>
    <m/>
    <x v="11"/>
    <m/>
    <m/>
    <m/>
    <s v="N"/>
    <m/>
    <m/>
    <m/>
    <s v=""/>
    <m/>
    <s v="N"/>
    <m/>
    <x v="0"/>
    <s v="Y"/>
    <x v="23"/>
    <m/>
    <x v="0"/>
    <x v="0"/>
    <x v="56"/>
    <m/>
    <n v="56000"/>
    <x v="0"/>
    <m/>
    <m/>
    <x v="0"/>
    <m/>
    <m/>
    <m/>
    <m/>
    <m/>
    <m/>
    <m/>
    <m/>
    <m/>
    <m/>
    <m/>
    <m/>
    <m/>
    <m/>
    <x v="0"/>
    <m/>
    <n v="56000"/>
    <m/>
    <m/>
    <m/>
    <x v="185"/>
    <s v="Y"/>
    <s v="C"/>
    <n v="56000"/>
    <d v="2011-02-28T00:00:00"/>
    <d v="2011-02-28T00:00:00"/>
    <n v="2025"/>
    <m/>
    <m/>
    <m/>
    <m/>
    <m/>
    <m/>
    <m/>
    <s v="N"/>
    <m/>
    <s v="Part of GE $250,000 contribution for Brazil Floods and went to various South American disasters."/>
    <m/>
    <m/>
    <s v="CASH: $50,000 Bilateral contribution via grant letter to Paraguay Red Cross for Dengue outbreak activities."/>
  </r>
  <r>
    <s v="EQ-2011-000028-JPN"/>
    <n v="262"/>
    <x v="248"/>
    <d v="2011-03-11T00:00:00"/>
    <x v="15"/>
    <x v="15"/>
    <s v="Q3"/>
    <n v="2011"/>
    <n v="4"/>
    <s v="Europe/Asia"/>
    <x v="11"/>
    <m/>
    <x v="22"/>
    <m/>
    <m/>
    <n v="300000"/>
    <s v="N"/>
    <m/>
    <m/>
    <m/>
    <s v=""/>
    <m/>
    <m/>
    <m/>
    <x v="87"/>
    <s v="Y"/>
    <x v="0"/>
    <m/>
    <x v="0"/>
    <x v="0"/>
    <x v="57"/>
    <n v="1500000"/>
    <n v="279800000"/>
    <x v="5"/>
    <m/>
    <m/>
    <x v="0"/>
    <m/>
    <m/>
    <m/>
    <m/>
    <m/>
    <m/>
    <m/>
    <m/>
    <m/>
    <m/>
    <m/>
    <m/>
    <m/>
    <m/>
    <x v="0"/>
    <m/>
    <n v="279800000"/>
    <m/>
    <m/>
    <m/>
    <x v="186"/>
    <s v="Y"/>
    <s v="P"/>
    <n v="307256521"/>
    <d v="2011-12-01T00:00:00"/>
    <s v="ongoing"/>
    <n v="2687"/>
    <m/>
    <n v="2841"/>
    <m/>
    <m/>
    <m/>
    <m/>
    <m/>
    <s v="N"/>
    <m/>
    <m/>
    <m/>
    <m/>
    <s v="CASH: Bilateral contribution via grant letter to Japanese Red Cross  for response activities: 1) $10M March 14, 2) $50M - April 1; 3) $40M - April 11; 4) $30M - April 29; 5) $30M - May 12; 6) $46 M - June 10; 7) $35M - July 11;  8) $15M - Aug. 28_x000a_Additional cash grants to JRCS will occur. _x000a_To other agencies: 1) $500,000 - March 21 -World Food Programme; 2) $1M total -  $3M - April 11 - IOM; Note refund from IOM due to programming - $2M October 2011. _x000a_ARC internal: $300,000 - March 21 - Service to Armed Forces; _x000a_PEOPLE: Nan Buzard on high level Fed Liaison trip; Tom Alcedo to Fed Liaison team; John Manley to Fed Liaison team."/>
  </r>
  <r>
    <s v="FL-2011-000020-BOL"/>
    <n v="263"/>
    <x v="48"/>
    <d v="2011-03-23T00:00:00"/>
    <x v="15"/>
    <x v="16"/>
    <s v="Q3"/>
    <n v="2011"/>
    <n v="5"/>
    <s v="LAC"/>
    <x v="38"/>
    <m/>
    <x v="2"/>
    <m/>
    <m/>
    <n v="70000"/>
    <s v="Y"/>
    <s v="IFRC"/>
    <n v="571602"/>
    <s v="MDRBO006"/>
    <n v="0.31840336457885032"/>
    <m/>
    <m/>
    <m/>
    <x v="70"/>
    <m/>
    <x v="0"/>
    <n v="1"/>
    <x v="72"/>
    <x v="0"/>
    <x v="0"/>
    <m/>
    <n v="182000"/>
    <x v="0"/>
    <m/>
    <m/>
    <x v="0"/>
    <m/>
    <m/>
    <m/>
    <m/>
    <m/>
    <m/>
    <m/>
    <m/>
    <m/>
    <m/>
    <m/>
    <m/>
    <m/>
    <m/>
    <x v="0"/>
    <m/>
    <n v="182000"/>
    <m/>
    <m/>
    <m/>
    <x v="187"/>
    <s v="Y"/>
    <s v="C"/>
    <n v="200000"/>
    <d v="2011-05-10T00:00:00"/>
    <d v="2011-05-10T00:00:00"/>
    <s v="2869/ARCT"/>
    <n v="100000"/>
    <n v="2025"/>
    <n v="100000"/>
    <m/>
    <m/>
    <s v="Y"/>
    <m/>
    <s v="N"/>
    <m/>
    <s v="ARCT funding - $100,000. GE corporate contribution - $100,000."/>
    <m/>
    <m/>
    <s v="CASH: 1) PMN for $91,000 from ARCT IERRF funds for appeal. 2) Second PMN for $91,000 from 2025 - South America R &amp; D"/>
  </r>
  <r>
    <s v="OT-2010-000255-CIV"/>
    <n v="264"/>
    <x v="249"/>
    <d v="2011-04-01T00:00:00"/>
    <x v="15"/>
    <x v="17"/>
    <s v="Q4"/>
    <n v="2011"/>
    <n v="6"/>
    <s v="Africa"/>
    <x v="77"/>
    <m/>
    <x v="23"/>
    <m/>
    <m/>
    <m/>
    <s v="Y"/>
    <s v="IFRC"/>
    <n v="4340568"/>
    <s v="MDR61007"/>
    <n v="3.4557689224083116E-2"/>
    <m/>
    <m/>
    <m/>
    <x v="88"/>
    <m/>
    <x v="0"/>
    <n v="1"/>
    <x v="32"/>
    <x v="0"/>
    <x v="0"/>
    <m/>
    <n v="150000"/>
    <x v="0"/>
    <m/>
    <m/>
    <x v="0"/>
    <m/>
    <m/>
    <m/>
    <m/>
    <m/>
    <m/>
    <m/>
    <m/>
    <m/>
    <m/>
    <m/>
    <m/>
    <m/>
    <m/>
    <x v="0"/>
    <m/>
    <n v="150000"/>
    <m/>
    <m/>
    <m/>
    <x v="13"/>
    <s v="N"/>
    <m/>
    <m/>
    <m/>
    <m/>
    <n v="2799"/>
    <m/>
    <m/>
    <m/>
    <m/>
    <m/>
    <m/>
    <m/>
    <s v="Y"/>
    <m/>
    <m/>
    <m/>
    <m/>
    <s v="CASH: Contribution to Federation appeal MDR61007 for $150,000 for Liberia earmarked for relief and operations. "/>
  </r>
  <r>
    <s v="FL-2011-000007-NAM"/>
    <n v="265"/>
    <x v="215"/>
    <d v="2011-03-25T00:00:00"/>
    <x v="15"/>
    <x v="18"/>
    <s v="Q4"/>
    <n v="2011"/>
    <n v="7"/>
    <s v="Africa"/>
    <x v="108"/>
    <m/>
    <x v="2"/>
    <m/>
    <m/>
    <n v="228500"/>
    <s v="Y"/>
    <s v="IFRC"/>
    <n v="2032221"/>
    <s v="MDRNA006"/>
    <n v="2.4603623326400034E-2"/>
    <m/>
    <m/>
    <m/>
    <x v="89"/>
    <m/>
    <x v="0"/>
    <n v="1"/>
    <x v="6"/>
    <x v="0"/>
    <x v="0"/>
    <m/>
    <n v="50000"/>
    <x v="0"/>
    <m/>
    <m/>
    <x v="0"/>
    <m/>
    <m/>
    <m/>
    <m/>
    <m/>
    <m/>
    <m/>
    <m/>
    <m/>
    <m/>
    <m/>
    <m/>
    <m/>
    <m/>
    <x v="0"/>
    <m/>
    <n v="50000"/>
    <m/>
    <m/>
    <m/>
    <x v="16"/>
    <s v="N"/>
    <m/>
    <m/>
    <m/>
    <m/>
    <n v="2799"/>
    <m/>
    <m/>
    <m/>
    <m/>
    <m/>
    <m/>
    <m/>
    <s v="Y"/>
    <m/>
    <m/>
    <m/>
    <m/>
    <s v="CASH: Contribution to Namibia floods Federation appeal MDRNA006 for $50,000 earmarked for emergency shelter and watsan. "/>
  </r>
</pivotCacheRecords>
</file>

<file path=xl/pivotCache/pivotCacheRecords15.xml><?xml version="1.0" encoding="utf-8"?>
<pivotCacheRecords xmlns="http://schemas.openxmlformats.org/spreadsheetml/2006/main" xmlns:r="http://schemas.openxmlformats.org/officeDocument/2006/relationships" count="373">
  <r>
    <m/>
    <s v="a"/>
    <x v="0"/>
    <d v="1985-09-01T00:00:00"/>
    <x v="0"/>
    <x v="0"/>
    <m/>
    <n v="1985"/>
    <m/>
    <m/>
    <m/>
    <m/>
    <m/>
    <m/>
    <m/>
    <m/>
    <m/>
    <m/>
    <m/>
    <m/>
    <s v=""/>
    <m/>
    <m/>
    <m/>
    <m/>
    <m/>
    <m/>
    <m/>
    <m/>
    <m/>
    <m/>
    <m/>
    <m/>
    <m/>
    <m/>
    <m/>
    <m/>
    <m/>
    <m/>
    <m/>
    <m/>
    <m/>
    <m/>
    <m/>
    <m/>
    <m/>
    <m/>
    <m/>
    <m/>
    <m/>
    <m/>
    <m/>
    <m/>
    <m/>
    <m/>
    <m/>
    <m/>
    <x v="0"/>
    <m/>
    <m/>
    <m/>
    <m/>
    <m/>
    <m/>
    <m/>
    <m/>
    <m/>
    <m/>
    <m/>
    <m/>
    <m/>
    <m/>
    <m/>
    <m/>
    <m/>
    <m/>
    <m/>
  </r>
  <r>
    <m/>
    <s v="b"/>
    <x v="1"/>
    <d v="1988-12-01T00:00:00"/>
    <x v="1"/>
    <x v="0"/>
    <m/>
    <n v="1988"/>
    <m/>
    <m/>
    <m/>
    <m/>
    <m/>
    <m/>
    <m/>
    <m/>
    <m/>
    <m/>
    <m/>
    <m/>
    <s v=""/>
    <m/>
    <m/>
    <m/>
    <m/>
    <m/>
    <m/>
    <m/>
    <m/>
    <m/>
    <m/>
    <m/>
    <m/>
    <m/>
    <m/>
    <m/>
    <m/>
    <m/>
    <m/>
    <m/>
    <m/>
    <m/>
    <m/>
    <m/>
    <m/>
    <m/>
    <m/>
    <m/>
    <m/>
    <m/>
    <m/>
    <m/>
    <m/>
    <m/>
    <m/>
    <m/>
    <m/>
    <x v="1"/>
    <m/>
    <m/>
    <m/>
    <m/>
    <m/>
    <m/>
    <m/>
    <m/>
    <m/>
    <m/>
    <m/>
    <m/>
    <m/>
    <m/>
    <m/>
    <m/>
    <m/>
    <m/>
    <m/>
  </r>
  <r>
    <m/>
    <s v="c"/>
    <x v="2"/>
    <d v="1994-06-01T00:00:00"/>
    <x v="2"/>
    <x v="0"/>
    <m/>
    <n v="1994"/>
    <m/>
    <m/>
    <m/>
    <m/>
    <m/>
    <m/>
    <m/>
    <m/>
    <m/>
    <m/>
    <m/>
    <m/>
    <s v=""/>
    <m/>
    <m/>
    <m/>
    <m/>
    <m/>
    <m/>
    <m/>
    <m/>
    <m/>
    <m/>
    <m/>
    <m/>
    <m/>
    <m/>
    <m/>
    <m/>
    <m/>
    <m/>
    <m/>
    <m/>
    <m/>
    <m/>
    <m/>
    <m/>
    <m/>
    <m/>
    <m/>
    <m/>
    <m/>
    <m/>
    <m/>
    <m/>
    <m/>
    <m/>
    <m/>
    <m/>
    <x v="2"/>
    <m/>
    <m/>
    <m/>
    <m/>
    <m/>
    <m/>
    <m/>
    <m/>
    <m/>
    <m/>
    <m/>
    <m/>
    <m/>
    <m/>
    <m/>
    <m/>
    <m/>
    <m/>
    <m/>
  </r>
  <r>
    <m/>
    <s v="d"/>
    <x v="3"/>
    <d v="1998-10-01T00:00:00"/>
    <x v="3"/>
    <x v="0"/>
    <m/>
    <n v="1998"/>
    <m/>
    <m/>
    <m/>
    <m/>
    <m/>
    <m/>
    <m/>
    <n v="2998214"/>
    <m/>
    <m/>
    <m/>
    <m/>
    <s v=""/>
    <m/>
    <m/>
    <m/>
    <m/>
    <m/>
    <m/>
    <m/>
    <m/>
    <m/>
    <m/>
    <m/>
    <m/>
    <m/>
    <m/>
    <m/>
    <m/>
    <m/>
    <m/>
    <m/>
    <m/>
    <m/>
    <m/>
    <m/>
    <m/>
    <m/>
    <m/>
    <m/>
    <m/>
    <m/>
    <m/>
    <m/>
    <m/>
    <m/>
    <m/>
    <m/>
    <m/>
    <x v="3"/>
    <m/>
    <m/>
    <m/>
    <m/>
    <m/>
    <m/>
    <m/>
    <m/>
    <m/>
    <m/>
    <m/>
    <m/>
    <m/>
    <m/>
    <m/>
    <m/>
    <m/>
    <m/>
    <m/>
  </r>
  <r>
    <m/>
    <s v="e"/>
    <x v="4"/>
    <d v="1999-03-01T00:00:00"/>
    <x v="3"/>
    <x v="0"/>
    <m/>
    <n v="1999"/>
    <m/>
    <m/>
    <m/>
    <m/>
    <m/>
    <m/>
    <m/>
    <m/>
    <m/>
    <m/>
    <m/>
    <m/>
    <s v=""/>
    <m/>
    <m/>
    <m/>
    <m/>
    <m/>
    <m/>
    <m/>
    <m/>
    <m/>
    <m/>
    <m/>
    <m/>
    <m/>
    <m/>
    <m/>
    <m/>
    <m/>
    <m/>
    <m/>
    <m/>
    <m/>
    <m/>
    <m/>
    <m/>
    <m/>
    <m/>
    <m/>
    <m/>
    <m/>
    <m/>
    <m/>
    <m/>
    <m/>
    <m/>
    <m/>
    <m/>
    <x v="4"/>
    <m/>
    <m/>
    <m/>
    <m/>
    <m/>
    <m/>
    <m/>
    <m/>
    <m/>
    <m/>
    <m/>
    <m/>
    <m/>
    <m/>
    <m/>
    <m/>
    <m/>
    <m/>
    <m/>
  </r>
  <r>
    <m/>
    <n v="1"/>
    <x v="5"/>
    <d v="1999-06-01T00:00:00"/>
    <x v="3"/>
    <x v="1"/>
    <m/>
    <n v="1999"/>
    <n v="1"/>
    <s v="Africa"/>
    <s v="Ethiopia"/>
    <m/>
    <s v="Drought"/>
    <s v="Drought"/>
    <s v="Drought"/>
    <m/>
    <m/>
    <m/>
    <m/>
    <m/>
    <s v=""/>
    <m/>
    <m/>
    <m/>
    <m/>
    <m/>
    <m/>
    <n v="1"/>
    <n v="100000"/>
    <m/>
    <m/>
    <m/>
    <n v="100000"/>
    <n v="0"/>
    <m/>
    <m/>
    <m/>
    <m/>
    <m/>
    <m/>
    <m/>
    <m/>
    <m/>
    <m/>
    <m/>
    <m/>
    <m/>
    <m/>
    <m/>
    <m/>
    <m/>
    <m/>
    <m/>
    <n v="100000"/>
    <m/>
    <m/>
    <n v="7159.297959242117"/>
    <x v="5"/>
    <s v="Y"/>
    <m/>
    <m/>
    <m/>
    <m/>
    <n v="2898"/>
    <m/>
    <m/>
    <m/>
    <m/>
    <m/>
    <m/>
    <m/>
    <m/>
    <m/>
    <m/>
    <m/>
    <m/>
    <s v="Region response"/>
  </r>
  <r>
    <m/>
    <n v="2"/>
    <x v="6"/>
    <d v="1999-06-01T00:00:00"/>
    <x v="3"/>
    <x v="2"/>
    <m/>
    <n v="1999"/>
    <n v="2"/>
    <s v="LAC"/>
    <s v="Mexico"/>
    <m/>
    <s v="Floods"/>
    <s v="General Floods"/>
    <s v="General Floods"/>
    <m/>
    <m/>
    <m/>
    <m/>
    <m/>
    <s v=""/>
    <m/>
    <m/>
    <m/>
    <m/>
    <m/>
    <m/>
    <m/>
    <m/>
    <m/>
    <n v="100000"/>
    <m/>
    <n v="100000"/>
    <n v="1"/>
    <m/>
    <m/>
    <m/>
    <m/>
    <m/>
    <m/>
    <m/>
    <m/>
    <m/>
    <m/>
    <m/>
    <m/>
    <m/>
    <m/>
    <m/>
    <m/>
    <m/>
    <m/>
    <m/>
    <n v="100000"/>
    <m/>
    <m/>
    <n v="34050"/>
    <x v="5"/>
    <s v="Y"/>
    <m/>
    <m/>
    <m/>
    <m/>
    <n v="2898"/>
    <m/>
    <m/>
    <m/>
    <m/>
    <m/>
    <m/>
    <m/>
    <m/>
    <m/>
    <m/>
    <m/>
    <m/>
    <m/>
  </r>
  <r>
    <m/>
    <n v="3"/>
    <x v="7"/>
    <d v="1999-06-01T00:00:00"/>
    <x v="3"/>
    <x v="3"/>
    <m/>
    <n v="1999"/>
    <n v="3"/>
    <s v="LAC"/>
    <s v="Costa Rica"/>
    <m/>
    <s v="Floods"/>
    <s v="General Floods"/>
    <s v="General Floods"/>
    <m/>
    <m/>
    <m/>
    <m/>
    <m/>
    <s v=""/>
    <m/>
    <m/>
    <m/>
    <m/>
    <m/>
    <m/>
    <n v="0"/>
    <n v="10000"/>
    <m/>
    <m/>
    <m/>
    <n v="10000"/>
    <n v="0"/>
    <m/>
    <m/>
    <m/>
    <m/>
    <m/>
    <m/>
    <m/>
    <m/>
    <m/>
    <m/>
    <m/>
    <m/>
    <m/>
    <m/>
    <m/>
    <m/>
    <m/>
    <m/>
    <m/>
    <n v="10000"/>
    <m/>
    <m/>
    <n v="1000"/>
    <x v="6"/>
    <s v="Y"/>
    <m/>
    <m/>
    <m/>
    <m/>
    <n v="2898"/>
    <m/>
    <m/>
    <m/>
    <m/>
    <m/>
    <m/>
    <m/>
    <m/>
    <m/>
    <m/>
    <m/>
    <m/>
    <s v="Region response"/>
  </r>
  <r>
    <m/>
    <n v="4"/>
    <x v="8"/>
    <d v="1999-08-01T00:00:00"/>
    <x v="4"/>
    <x v="1"/>
    <m/>
    <n v="1999"/>
    <n v="4"/>
    <s v="Europe/Asia"/>
    <s v="China"/>
    <m/>
    <s v="Floods"/>
    <s v="General Floods"/>
    <s v="General Floods"/>
    <m/>
    <m/>
    <m/>
    <m/>
    <m/>
    <s v=""/>
    <m/>
    <m/>
    <m/>
    <m/>
    <m/>
    <m/>
    <n v="1"/>
    <n v="100000"/>
    <m/>
    <m/>
    <m/>
    <n v="100000"/>
    <n v="0"/>
    <m/>
    <m/>
    <m/>
    <m/>
    <m/>
    <m/>
    <m/>
    <m/>
    <m/>
    <m/>
    <m/>
    <m/>
    <m/>
    <m/>
    <m/>
    <m/>
    <m/>
    <m/>
    <m/>
    <n v="100000"/>
    <m/>
    <m/>
    <n v="15080.681646810435"/>
    <x v="5"/>
    <s v="Y"/>
    <m/>
    <m/>
    <m/>
    <m/>
    <n v="2060"/>
    <m/>
    <m/>
    <m/>
    <m/>
    <m/>
    <m/>
    <m/>
    <m/>
    <m/>
    <m/>
    <m/>
    <m/>
    <s v="Region response"/>
  </r>
  <r>
    <m/>
    <n v="5"/>
    <x v="9"/>
    <d v="1999-08-01T00:00:00"/>
    <x v="4"/>
    <x v="2"/>
    <m/>
    <n v="1999"/>
    <n v="5"/>
    <s v="Europe/Asia"/>
    <s v="Turkey"/>
    <m/>
    <s v="Earthquake"/>
    <s v="Earthquake"/>
    <s v="Earthquake"/>
    <m/>
    <m/>
    <m/>
    <m/>
    <m/>
    <s v=""/>
    <m/>
    <m/>
    <m/>
    <m/>
    <m/>
    <m/>
    <m/>
    <m/>
    <m/>
    <m/>
    <m/>
    <n v="0"/>
    <n v="20"/>
    <m/>
    <m/>
    <m/>
    <m/>
    <m/>
    <m/>
    <m/>
    <m/>
    <m/>
    <m/>
    <m/>
    <m/>
    <m/>
    <m/>
    <m/>
    <m/>
    <m/>
    <n v="0"/>
    <n v="0"/>
    <n v="0"/>
    <m/>
    <m/>
    <m/>
    <x v="7"/>
    <s v="Y"/>
    <m/>
    <m/>
    <m/>
    <m/>
    <n v="2814"/>
    <m/>
    <m/>
    <m/>
    <m/>
    <m/>
    <m/>
    <m/>
    <m/>
    <m/>
    <m/>
    <m/>
    <m/>
    <s v="Total expenses combined with (#19, below)"/>
  </r>
  <r>
    <m/>
    <n v="6"/>
    <x v="10"/>
    <d v="1999-08-01T00:00:00"/>
    <x v="4"/>
    <x v="3"/>
    <m/>
    <n v="1999"/>
    <n v="6"/>
    <s v="LAC"/>
    <s v="Nicaragua"/>
    <m/>
    <s v="Volcano"/>
    <s v="Volcanic Eruption"/>
    <s v="Volcanic Eruption"/>
    <m/>
    <m/>
    <m/>
    <m/>
    <m/>
    <s v=""/>
    <m/>
    <m/>
    <m/>
    <m/>
    <m/>
    <m/>
    <m/>
    <m/>
    <m/>
    <n v="10000"/>
    <m/>
    <n v="10000"/>
    <n v="2"/>
    <m/>
    <m/>
    <m/>
    <m/>
    <m/>
    <m/>
    <m/>
    <m/>
    <m/>
    <m/>
    <m/>
    <m/>
    <m/>
    <m/>
    <m/>
    <m/>
    <m/>
    <m/>
    <m/>
    <n v="10000"/>
    <m/>
    <m/>
    <n v="1000"/>
    <x v="6"/>
    <s v="Y"/>
    <m/>
    <m/>
    <m/>
    <m/>
    <n v="2898"/>
    <m/>
    <m/>
    <m/>
    <m/>
    <m/>
    <m/>
    <m/>
    <m/>
    <m/>
    <m/>
    <m/>
    <m/>
    <s v="Gisla Dewey and Carol Schimke sent to assist and observe"/>
  </r>
  <r>
    <m/>
    <n v="7"/>
    <x v="11"/>
    <d v="1999-08-01T00:00:00"/>
    <x v="4"/>
    <x v="4"/>
    <m/>
    <n v="1999"/>
    <n v="7"/>
    <s v="Europe/Asia"/>
    <s v="Cambodia"/>
    <m/>
    <s v="Floods"/>
    <s v="General Floods"/>
    <s v="General Floods"/>
    <m/>
    <m/>
    <m/>
    <m/>
    <m/>
    <s v=""/>
    <m/>
    <m/>
    <m/>
    <m/>
    <m/>
    <m/>
    <n v="0"/>
    <n v="25000"/>
    <m/>
    <m/>
    <m/>
    <n v="25000"/>
    <n v="0"/>
    <m/>
    <m/>
    <m/>
    <m/>
    <m/>
    <m/>
    <m/>
    <m/>
    <m/>
    <m/>
    <m/>
    <m/>
    <m/>
    <m/>
    <m/>
    <m/>
    <m/>
    <m/>
    <m/>
    <n v="25000"/>
    <m/>
    <m/>
    <n v="1321.7075933422946"/>
    <x v="8"/>
    <s v="Y"/>
    <m/>
    <m/>
    <m/>
    <m/>
    <n v="2898"/>
    <m/>
    <m/>
    <m/>
    <m/>
    <m/>
    <m/>
    <m/>
    <m/>
    <m/>
    <m/>
    <m/>
    <m/>
    <s v="Region response"/>
  </r>
  <r>
    <m/>
    <n v="8"/>
    <x v="12"/>
    <d v="1999-09-01T00:00:00"/>
    <x v="4"/>
    <x v="5"/>
    <m/>
    <n v="1999"/>
    <n v="8"/>
    <s v="Europe/Asia"/>
    <s v="Greece"/>
    <m/>
    <s v="Earthquake"/>
    <s v="Earthquake"/>
    <s v="Earthquake"/>
    <m/>
    <m/>
    <m/>
    <m/>
    <m/>
    <s v=""/>
    <m/>
    <m/>
    <m/>
    <m/>
    <m/>
    <m/>
    <n v="1"/>
    <n v="80000"/>
    <m/>
    <m/>
    <m/>
    <n v="80000"/>
    <n v="0"/>
    <m/>
    <m/>
    <m/>
    <m/>
    <m/>
    <m/>
    <m/>
    <m/>
    <m/>
    <m/>
    <m/>
    <m/>
    <m/>
    <m/>
    <m/>
    <m/>
    <m/>
    <m/>
    <m/>
    <n v="80000"/>
    <m/>
    <m/>
    <n v="2580.0991790124413"/>
    <x v="9"/>
    <s v="Y"/>
    <m/>
    <m/>
    <m/>
    <m/>
    <n v="2898"/>
    <m/>
    <m/>
    <m/>
    <m/>
    <m/>
    <m/>
    <m/>
    <m/>
    <m/>
    <m/>
    <m/>
    <m/>
    <m/>
  </r>
  <r>
    <m/>
    <n v="9"/>
    <x v="13"/>
    <d v="1999-09-01T00:00:00"/>
    <x v="4"/>
    <x v="6"/>
    <m/>
    <n v="1999"/>
    <n v="9"/>
    <s v="LAC"/>
    <s v="Bahamas"/>
    <m/>
    <s v="Storm"/>
    <s v="Tropical Cyclone"/>
    <s v="Hurricane"/>
    <m/>
    <m/>
    <m/>
    <m/>
    <m/>
    <s v=""/>
    <m/>
    <m/>
    <m/>
    <m/>
    <m/>
    <m/>
    <m/>
    <m/>
    <m/>
    <n v="25000"/>
    <m/>
    <n v="25000"/>
    <n v="3"/>
    <m/>
    <m/>
    <m/>
    <m/>
    <m/>
    <m/>
    <m/>
    <m/>
    <m/>
    <m/>
    <m/>
    <m/>
    <m/>
    <m/>
    <m/>
    <m/>
    <m/>
    <n v="97443"/>
    <n v="9750"/>
    <n v="132193"/>
    <m/>
    <m/>
    <n v="12383.247348462506"/>
    <x v="10"/>
    <s v="Y"/>
    <m/>
    <m/>
    <m/>
    <m/>
    <n v="2898"/>
    <m/>
    <m/>
    <m/>
    <m/>
    <m/>
    <m/>
    <m/>
    <m/>
    <m/>
    <m/>
    <m/>
    <s v="Floyd"/>
    <s v="Hygiene kits, plastic sheeting, flashlights,batteries, bedsheets, and tents"/>
  </r>
  <r>
    <m/>
    <n v="10"/>
    <x v="14"/>
    <d v="1999-09-01T00:00:00"/>
    <x v="4"/>
    <x v="7"/>
    <m/>
    <n v="1999"/>
    <n v="10"/>
    <s v="Europe/Asia"/>
    <s v="Taiwan"/>
    <m/>
    <s v="Earthquake"/>
    <s v="Earthquake"/>
    <s v="Earthquake"/>
    <m/>
    <m/>
    <m/>
    <m/>
    <m/>
    <s v=""/>
    <m/>
    <m/>
    <m/>
    <m/>
    <m/>
    <m/>
    <n v="1"/>
    <n v="1200000"/>
    <m/>
    <m/>
    <m/>
    <n v="1200000"/>
    <n v="0"/>
    <m/>
    <m/>
    <m/>
    <m/>
    <m/>
    <m/>
    <m/>
    <m/>
    <m/>
    <m/>
    <m/>
    <m/>
    <m/>
    <m/>
    <m/>
    <m/>
    <m/>
    <m/>
    <m/>
    <n v="1200000"/>
    <m/>
    <m/>
    <n v="54838.842352037951"/>
    <x v="11"/>
    <s v="Y"/>
    <m/>
    <m/>
    <m/>
    <m/>
    <n v="2824"/>
    <m/>
    <m/>
    <m/>
    <m/>
    <m/>
    <m/>
    <m/>
    <m/>
    <m/>
    <m/>
    <m/>
    <m/>
    <s v="Money sent to Federation"/>
  </r>
  <r>
    <m/>
    <n v="11"/>
    <x v="15"/>
    <d v="1999-09-01T00:00:00"/>
    <x v="4"/>
    <x v="8"/>
    <m/>
    <n v="1999"/>
    <n v="11"/>
    <s v="Europe/Asia"/>
    <s v="Japan"/>
    <m/>
    <s v="Industrial"/>
    <s v="Radiation"/>
    <s v="Radiation"/>
    <m/>
    <m/>
    <m/>
    <m/>
    <m/>
    <s v=""/>
    <m/>
    <m/>
    <m/>
    <m/>
    <m/>
    <m/>
    <m/>
    <m/>
    <m/>
    <m/>
    <m/>
    <n v="0"/>
    <n v="0"/>
    <m/>
    <m/>
    <m/>
    <m/>
    <m/>
    <m/>
    <m/>
    <m/>
    <m/>
    <m/>
    <m/>
    <m/>
    <m/>
    <m/>
    <m/>
    <m/>
    <m/>
    <n v="200"/>
    <m/>
    <n v="200"/>
    <m/>
    <m/>
    <m/>
    <x v="12"/>
    <s v="Y"/>
    <m/>
    <m/>
    <m/>
    <m/>
    <n v="2898"/>
    <m/>
    <m/>
    <m/>
    <m/>
    <m/>
    <m/>
    <m/>
    <m/>
    <m/>
    <m/>
    <m/>
    <s v="Nuclear Power Plant"/>
    <s v="Manuals related to Nuclear disasters sent to JRCS"/>
  </r>
  <r>
    <m/>
    <n v="12"/>
    <x v="0"/>
    <d v="1999-09-01T00:00:00"/>
    <x v="4"/>
    <x v="9"/>
    <m/>
    <n v="1999"/>
    <n v="12"/>
    <s v="LAC"/>
    <s v="Mexico"/>
    <m/>
    <s v="Earthquake"/>
    <s v="Earthquake"/>
    <s v="Earthquake"/>
    <m/>
    <m/>
    <m/>
    <m/>
    <m/>
    <s v=""/>
    <m/>
    <m/>
    <m/>
    <m/>
    <m/>
    <m/>
    <m/>
    <m/>
    <m/>
    <n v="150000"/>
    <m/>
    <n v="150000"/>
    <n v="3"/>
    <m/>
    <m/>
    <m/>
    <m/>
    <m/>
    <m/>
    <m/>
    <m/>
    <m/>
    <m/>
    <m/>
    <m/>
    <m/>
    <m/>
    <m/>
    <m/>
    <m/>
    <m/>
    <m/>
    <n v="150000"/>
    <m/>
    <m/>
    <m/>
    <x v="13"/>
    <s v="Y"/>
    <m/>
    <m/>
    <m/>
    <m/>
    <n v="2020"/>
    <m/>
    <m/>
    <m/>
    <m/>
    <m/>
    <m/>
    <m/>
    <m/>
    <m/>
    <m/>
    <m/>
    <m/>
    <m/>
  </r>
  <r>
    <m/>
    <n v="13"/>
    <x v="16"/>
    <d v="1999-10-01T00:00:00"/>
    <x v="4"/>
    <x v="10"/>
    <m/>
    <n v="1999"/>
    <n v="13"/>
    <s v="LAC"/>
    <s v="Mexico"/>
    <m/>
    <s v="Floods "/>
    <s v="General Floods"/>
    <s v="General Floods"/>
    <m/>
    <m/>
    <m/>
    <m/>
    <m/>
    <s v=""/>
    <m/>
    <m/>
    <m/>
    <m/>
    <m/>
    <m/>
    <m/>
    <m/>
    <m/>
    <n v="200000"/>
    <m/>
    <n v="200000"/>
    <n v="4"/>
    <m/>
    <m/>
    <m/>
    <m/>
    <m/>
    <m/>
    <m/>
    <m/>
    <m/>
    <m/>
    <m/>
    <m/>
    <m/>
    <m/>
    <m/>
    <m/>
    <m/>
    <m/>
    <n v="5000"/>
    <n v="205000"/>
    <m/>
    <m/>
    <n v="12000"/>
    <x v="14"/>
    <s v="Y"/>
    <m/>
    <m/>
    <m/>
    <m/>
    <n v="2020"/>
    <m/>
    <m/>
    <m/>
    <m/>
    <m/>
    <m/>
    <m/>
    <m/>
    <m/>
    <m/>
    <m/>
    <m/>
    <m/>
  </r>
  <r>
    <m/>
    <n v="14"/>
    <x v="17"/>
    <d v="1999-10-01T00:00:00"/>
    <x v="4"/>
    <x v="11"/>
    <m/>
    <n v="1999"/>
    <n v="14"/>
    <s v="Europe/Asia"/>
    <s v="Russian Fed."/>
    <m/>
    <s v="Conflict"/>
    <s v="Conflict"/>
    <s v="Conflict"/>
    <m/>
    <m/>
    <m/>
    <m/>
    <m/>
    <s v=""/>
    <m/>
    <m/>
    <m/>
    <m/>
    <m/>
    <m/>
    <m/>
    <m/>
    <m/>
    <n v="75000"/>
    <m/>
    <n v="75000"/>
    <n v="0"/>
    <m/>
    <m/>
    <n v="76700"/>
    <m/>
    <n v="11200"/>
    <n v="55000"/>
    <n v="10500"/>
    <m/>
    <m/>
    <m/>
    <m/>
    <m/>
    <m/>
    <m/>
    <m/>
    <m/>
    <m/>
    <n v="535134"/>
    <m/>
    <n v="610134"/>
    <m/>
    <m/>
    <n v="55000"/>
    <x v="15"/>
    <s v="Y"/>
    <m/>
    <m/>
    <m/>
    <m/>
    <n v="2045"/>
    <m/>
    <m/>
    <m/>
    <m/>
    <m/>
    <m/>
    <m/>
    <m/>
    <m/>
    <m/>
    <m/>
    <s v="Chechnya"/>
    <s v="Chechnya:  Response handled by Regional desk, winter clothing for 3,000 people, 55,000 blankets, 10,500 Jerry cans, 11,200 hygiene parcels."/>
  </r>
  <r>
    <m/>
    <n v="15"/>
    <x v="18"/>
    <d v="1999-10-01T00:00:00"/>
    <x v="4"/>
    <x v="12"/>
    <m/>
    <n v="1999"/>
    <n v="15"/>
    <s v="Europe/Asia"/>
    <s v="Timor-Leste"/>
    <m/>
    <s v="Conflict"/>
    <s v="Conflict"/>
    <s v="Conflict"/>
    <m/>
    <m/>
    <m/>
    <m/>
    <m/>
    <s v=""/>
    <m/>
    <m/>
    <m/>
    <m/>
    <m/>
    <m/>
    <m/>
    <m/>
    <m/>
    <n v="10000"/>
    <m/>
    <n v="10000"/>
    <n v="1"/>
    <m/>
    <m/>
    <m/>
    <m/>
    <m/>
    <m/>
    <m/>
    <m/>
    <m/>
    <m/>
    <m/>
    <m/>
    <m/>
    <m/>
    <m/>
    <m/>
    <m/>
    <m/>
    <m/>
    <n v="10000"/>
    <m/>
    <m/>
    <m/>
    <x v="6"/>
    <s v="Y"/>
    <m/>
    <m/>
    <m/>
    <m/>
    <n v="2898"/>
    <m/>
    <m/>
    <m/>
    <m/>
    <m/>
    <m/>
    <m/>
    <m/>
    <m/>
    <m/>
    <m/>
    <s v="Referendum"/>
    <s v="Kevin Kelley sent."/>
  </r>
  <r>
    <m/>
    <n v="16"/>
    <x v="19"/>
    <d v="1999-10-01T00:00:00"/>
    <x v="4"/>
    <x v="13"/>
    <m/>
    <n v="1999"/>
    <n v="16"/>
    <s v="Europe/Asia"/>
    <s v="Bangladesh"/>
    <m/>
    <s v="Floods"/>
    <s v="General Floods"/>
    <s v="General Floods"/>
    <m/>
    <m/>
    <m/>
    <m/>
    <m/>
    <s v=""/>
    <m/>
    <m/>
    <m/>
    <m/>
    <m/>
    <m/>
    <n v="0"/>
    <n v="25000"/>
    <m/>
    <m/>
    <m/>
    <n v="25000"/>
    <n v="0"/>
    <m/>
    <m/>
    <m/>
    <m/>
    <m/>
    <m/>
    <m/>
    <m/>
    <m/>
    <m/>
    <m/>
    <m/>
    <m/>
    <m/>
    <m/>
    <m/>
    <m/>
    <m/>
    <m/>
    <n v="25000"/>
    <m/>
    <m/>
    <n v="2500"/>
    <x v="8"/>
    <s v="Y"/>
    <m/>
    <m/>
    <m/>
    <m/>
    <n v="2898"/>
    <m/>
    <m/>
    <m/>
    <m/>
    <m/>
    <m/>
    <m/>
    <m/>
    <m/>
    <m/>
    <m/>
    <m/>
    <m/>
  </r>
  <r>
    <m/>
    <n v="17"/>
    <x v="20"/>
    <d v="1999-11-01T00:00:00"/>
    <x v="4"/>
    <x v="14"/>
    <m/>
    <n v="1999"/>
    <n v="17"/>
    <s v="Europe/Asia"/>
    <s v="India"/>
    <m/>
    <s v="Storm"/>
    <s v="Tropical Cyclone"/>
    <s v="Cyclone"/>
    <m/>
    <m/>
    <m/>
    <m/>
    <m/>
    <s v=""/>
    <m/>
    <m/>
    <m/>
    <m/>
    <m/>
    <m/>
    <n v="1"/>
    <n v="50000"/>
    <m/>
    <m/>
    <m/>
    <n v="50000"/>
    <n v="0"/>
    <m/>
    <m/>
    <m/>
    <m/>
    <m/>
    <m/>
    <m/>
    <m/>
    <m/>
    <m/>
    <m/>
    <m/>
    <m/>
    <m/>
    <m/>
    <m/>
    <m/>
    <m/>
    <m/>
    <n v="50000"/>
    <m/>
    <m/>
    <n v="5000"/>
    <x v="16"/>
    <s v="Y"/>
    <m/>
    <m/>
    <m/>
    <m/>
    <n v="2898"/>
    <m/>
    <m/>
    <m/>
    <m/>
    <m/>
    <m/>
    <m/>
    <m/>
    <m/>
    <m/>
    <m/>
    <m/>
    <s v="Federation handled funds"/>
  </r>
  <r>
    <m/>
    <n v="18"/>
    <x v="21"/>
    <d v="1999-11-01T00:00:00"/>
    <x v="4"/>
    <x v="15"/>
    <m/>
    <n v="1999"/>
    <n v="18"/>
    <s v="Europe/Asia"/>
    <s v="Vietnam"/>
    <m/>
    <s v="Floods"/>
    <s v="General Floods"/>
    <s v="General Floods"/>
    <m/>
    <m/>
    <m/>
    <m/>
    <m/>
    <s v=""/>
    <m/>
    <m/>
    <m/>
    <m/>
    <m/>
    <m/>
    <m/>
    <m/>
    <m/>
    <n v="50000"/>
    <m/>
    <n v="50000"/>
    <n v="0"/>
    <m/>
    <m/>
    <m/>
    <m/>
    <m/>
    <m/>
    <m/>
    <m/>
    <m/>
    <m/>
    <m/>
    <m/>
    <m/>
    <m/>
    <m/>
    <m/>
    <m/>
    <m/>
    <m/>
    <n v="50000"/>
    <m/>
    <m/>
    <m/>
    <x v="16"/>
    <s v="Y"/>
    <m/>
    <m/>
    <m/>
    <m/>
    <n v="2870"/>
    <m/>
    <m/>
    <m/>
    <m/>
    <m/>
    <m/>
    <m/>
    <m/>
    <m/>
    <m/>
    <m/>
    <m/>
    <s v="Reference Regional Desk information."/>
  </r>
  <r>
    <m/>
    <n v="19"/>
    <x v="9"/>
    <d v="1999-11-01T00:00:00"/>
    <x v="4"/>
    <x v="16"/>
    <m/>
    <n v="1999"/>
    <n v="19"/>
    <s v="Europe/Asia"/>
    <s v="Turkey"/>
    <m/>
    <s v="Earthquake"/>
    <s v="Earthquake"/>
    <s v="Earthquake"/>
    <m/>
    <m/>
    <m/>
    <m/>
    <m/>
    <s v=""/>
    <m/>
    <m/>
    <m/>
    <m/>
    <m/>
    <m/>
    <n v="1"/>
    <n v="2504221.9900000002"/>
    <m/>
    <n v="1360000"/>
    <m/>
    <n v="3864221.99"/>
    <n v="10"/>
    <m/>
    <m/>
    <m/>
    <m/>
    <m/>
    <m/>
    <m/>
    <m/>
    <m/>
    <m/>
    <m/>
    <m/>
    <m/>
    <m/>
    <m/>
    <m/>
    <m/>
    <n v="816758.16"/>
    <n v="472203.99"/>
    <n v="5153184.1400000006"/>
    <m/>
    <m/>
    <n v="52000"/>
    <x v="17"/>
    <s v="Y"/>
    <m/>
    <m/>
    <m/>
    <m/>
    <n v="2814"/>
    <m/>
    <m/>
    <m/>
    <m/>
    <m/>
    <m/>
    <m/>
    <m/>
    <m/>
    <m/>
    <m/>
    <m/>
    <s v="Total expenditures based off expenses from August-Jan for both earthquakes affecting Turkey."/>
  </r>
  <r>
    <m/>
    <n v="20"/>
    <x v="22"/>
    <d v="1999-11-01T00:00:00"/>
    <x v="4"/>
    <x v="17"/>
    <m/>
    <n v="1999"/>
    <n v="20"/>
    <s v="LAC"/>
    <s v="Dominica"/>
    <m/>
    <s v="Storm"/>
    <s v="Tropical Cyclone"/>
    <s v="Hurricane"/>
    <m/>
    <m/>
    <m/>
    <m/>
    <m/>
    <s v=""/>
    <m/>
    <m/>
    <m/>
    <m/>
    <m/>
    <m/>
    <m/>
    <m/>
    <m/>
    <n v="15000"/>
    <m/>
    <n v="15000"/>
    <n v="1"/>
    <m/>
    <m/>
    <m/>
    <m/>
    <m/>
    <m/>
    <m/>
    <m/>
    <m/>
    <m/>
    <m/>
    <m/>
    <m/>
    <m/>
    <m/>
    <m/>
    <m/>
    <m/>
    <m/>
    <n v="15000"/>
    <m/>
    <m/>
    <n v="1500"/>
    <x v="18"/>
    <s v="Y"/>
    <m/>
    <m/>
    <m/>
    <m/>
    <n v="2898"/>
    <m/>
    <m/>
    <m/>
    <m/>
    <m/>
    <m/>
    <m/>
    <m/>
    <m/>
    <m/>
    <m/>
    <s v="Lenny"/>
    <s v="Transferred directly to DRCS for household items, supplementary food to 100 families, tents &amp; hygiene kits. "/>
  </r>
  <r>
    <m/>
    <n v="20"/>
    <x v="23"/>
    <d v="1999-11-01T00:00:00"/>
    <x v="4"/>
    <x v="17"/>
    <m/>
    <n v="1999"/>
    <n v="20"/>
    <s v="LAC"/>
    <s v="St. Kitts &amp; Nevis"/>
    <m/>
    <s v="Storm"/>
    <s v="Tropical Cyclone"/>
    <s v="Hurricane"/>
    <m/>
    <m/>
    <m/>
    <m/>
    <m/>
    <s v=""/>
    <m/>
    <m/>
    <m/>
    <m/>
    <m/>
    <m/>
    <m/>
    <m/>
    <m/>
    <n v="15000"/>
    <m/>
    <n v="15000"/>
    <n v="2"/>
    <m/>
    <m/>
    <m/>
    <m/>
    <m/>
    <m/>
    <m/>
    <m/>
    <m/>
    <m/>
    <m/>
    <m/>
    <m/>
    <m/>
    <m/>
    <m/>
    <m/>
    <m/>
    <m/>
    <n v="15000"/>
    <m/>
    <m/>
    <n v="1500"/>
    <x v="18"/>
    <s v="Y"/>
    <m/>
    <m/>
    <m/>
    <m/>
    <n v="2898"/>
    <m/>
    <m/>
    <m/>
    <m/>
    <m/>
    <m/>
    <m/>
    <m/>
    <m/>
    <m/>
    <m/>
    <s v="Lenny"/>
    <s v="Transferred directly to SKNRC for hygiene kits, food packages and bedding "/>
  </r>
  <r>
    <m/>
    <n v="20"/>
    <x v="24"/>
    <d v="1999-11-01T00:00:00"/>
    <x v="4"/>
    <x v="17"/>
    <m/>
    <n v="1999"/>
    <n v="20"/>
    <s v="LAC"/>
    <s v="Antigua"/>
    <m/>
    <s v="Storm"/>
    <s v="Tropical Cyclone"/>
    <s v="Hurricane"/>
    <m/>
    <m/>
    <m/>
    <m/>
    <m/>
    <s v=""/>
    <m/>
    <m/>
    <m/>
    <m/>
    <m/>
    <m/>
    <m/>
    <m/>
    <m/>
    <n v="15000"/>
    <m/>
    <n v="15000"/>
    <n v="1"/>
    <m/>
    <m/>
    <m/>
    <m/>
    <m/>
    <m/>
    <m/>
    <m/>
    <m/>
    <m/>
    <m/>
    <m/>
    <m/>
    <m/>
    <m/>
    <m/>
    <m/>
    <m/>
    <m/>
    <n v="15000"/>
    <m/>
    <m/>
    <n v="1500"/>
    <x v="18"/>
    <s v="Y"/>
    <m/>
    <m/>
    <m/>
    <m/>
    <n v="2898"/>
    <m/>
    <m/>
    <m/>
    <m/>
    <m/>
    <m/>
    <m/>
    <m/>
    <m/>
    <m/>
    <m/>
    <s v="Lenny"/>
    <s v="$15,000 for mattresses, first aid supplies, and roofing .     "/>
  </r>
  <r>
    <m/>
    <n v="20"/>
    <x v="25"/>
    <d v="1999-11-01T00:00:00"/>
    <x v="4"/>
    <x v="17"/>
    <m/>
    <n v="1999"/>
    <n v="20"/>
    <s v="LAC"/>
    <s v="Grenada"/>
    <m/>
    <s v="Storm"/>
    <s v="Tropical Cyclone"/>
    <s v="Hurricane"/>
    <m/>
    <m/>
    <m/>
    <m/>
    <m/>
    <s v=""/>
    <m/>
    <m/>
    <m/>
    <m/>
    <m/>
    <m/>
    <m/>
    <m/>
    <m/>
    <n v="9000"/>
    <m/>
    <n v="9000"/>
    <n v="1"/>
    <m/>
    <m/>
    <m/>
    <m/>
    <m/>
    <m/>
    <m/>
    <m/>
    <m/>
    <m/>
    <m/>
    <m/>
    <m/>
    <m/>
    <m/>
    <m/>
    <m/>
    <m/>
    <m/>
    <n v="9000"/>
    <m/>
    <m/>
    <n v="900"/>
    <x v="19"/>
    <s v="Y"/>
    <m/>
    <m/>
    <m/>
    <m/>
    <n v="2898"/>
    <m/>
    <m/>
    <m/>
    <m/>
    <m/>
    <m/>
    <m/>
    <m/>
    <m/>
    <m/>
    <m/>
    <s v="Lenny"/>
    <m/>
  </r>
  <r>
    <m/>
    <n v="20"/>
    <x v="26"/>
    <d v="1999-11-01T00:00:00"/>
    <x v="4"/>
    <x v="17"/>
    <m/>
    <n v="1999"/>
    <n v="20"/>
    <s v="LAC"/>
    <s v="St. Maartens"/>
    <m/>
    <s v="Storm"/>
    <s v="Tropical Cyclone"/>
    <s v="Hurricane"/>
    <m/>
    <m/>
    <m/>
    <m/>
    <m/>
    <s v=""/>
    <m/>
    <m/>
    <m/>
    <m/>
    <m/>
    <m/>
    <m/>
    <m/>
    <m/>
    <n v="9000"/>
    <m/>
    <n v="9000"/>
    <m/>
    <m/>
    <m/>
    <m/>
    <m/>
    <m/>
    <m/>
    <m/>
    <m/>
    <m/>
    <m/>
    <m/>
    <m/>
    <m/>
    <m/>
    <m/>
    <m/>
    <m/>
    <m/>
    <m/>
    <n v="9000"/>
    <m/>
    <m/>
    <n v="900"/>
    <x v="19"/>
    <s v="Y"/>
    <m/>
    <m/>
    <m/>
    <m/>
    <n v="2898"/>
    <m/>
    <m/>
    <m/>
    <m/>
    <m/>
    <m/>
    <m/>
    <m/>
    <m/>
    <m/>
    <m/>
    <s v="Lenny"/>
    <m/>
  </r>
  <r>
    <m/>
    <n v="21"/>
    <x v="27"/>
    <d v="1999-12-01T00:00:00"/>
    <x v="4"/>
    <x v="18"/>
    <m/>
    <n v="1999"/>
    <n v="21"/>
    <s v="LAC"/>
    <s v="Venezuela"/>
    <m/>
    <s v="Floods"/>
    <s v="General Floods"/>
    <s v="General Floods"/>
    <m/>
    <m/>
    <m/>
    <m/>
    <m/>
    <s v=""/>
    <m/>
    <m/>
    <m/>
    <m/>
    <m/>
    <m/>
    <m/>
    <m/>
    <m/>
    <n v="50000"/>
    <m/>
    <n v="50000"/>
    <n v="23"/>
    <m/>
    <m/>
    <n v="55532"/>
    <m/>
    <n v="2200"/>
    <n v="4625"/>
    <n v="2550"/>
    <m/>
    <n v="36"/>
    <m/>
    <n v="6120"/>
    <m/>
    <n v="40000"/>
    <m/>
    <n v="7"/>
    <m/>
    <m/>
    <n v="506000"/>
    <n v="500000"/>
    <n v="1056000"/>
    <m/>
    <m/>
    <n v="120000"/>
    <x v="20"/>
    <s v="Y"/>
    <m/>
    <m/>
    <m/>
    <m/>
    <n v="2912"/>
    <m/>
    <m/>
    <m/>
    <m/>
    <m/>
    <m/>
    <m/>
    <m/>
    <m/>
    <m/>
    <m/>
    <m/>
    <s v="2,550 collapsible water containers. Purchased and shipped 7 Ford trucks, ($182,000),  13 MT calcium hypochloride ($30,000)"/>
  </r>
  <r>
    <m/>
    <n v="22"/>
    <x v="28"/>
    <d v="2000-02-01T00:00:00"/>
    <x v="4"/>
    <x v="19"/>
    <m/>
    <n v="2000"/>
    <n v="1"/>
    <s v="Africa"/>
    <s v="South Africa"/>
    <m/>
    <s v="Floods"/>
    <s v="General Floods"/>
    <s v="General Floods"/>
    <m/>
    <m/>
    <m/>
    <m/>
    <m/>
    <s v=""/>
    <m/>
    <m/>
    <m/>
    <m/>
    <m/>
    <m/>
    <n v="0"/>
    <n v="23333.333333333332"/>
    <m/>
    <m/>
    <m/>
    <n v="23333.333333333332"/>
    <n v="0"/>
    <m/>
    <m/>
    <m/>
    <m/>
    <m/>
    <m/>
    <m/>
    <m/>
    <m/>
    <m/>
    <m/>
    <m/>
    <m/>
    <m/>
    <m/>
    <m/>
    <m/>
    <m/>
    <m/>
    <n v="23333.333333333332"/>
    <m/>
    <m/>
    <n v="2300"/>
    <x v="21"/>
    <s v="Y"/>
    <m/>
    <m/>
    <m/>
    <m/>
    <n v="2898"/>
    <m/>
    <m/>
    <m/>
    <m/>
    <m/>
    <m/>
    <m/>
    <m/>
    <m/>
    <m/>
    <m/>
    <m/>
    <s v="Federation handled funds ($70,000 total)"/>
  </r>
  <r>
    <m/>
    <n v="22"/>
    <x v="29"/>
    <d v="2000-02-01T00:00:00"/>
    <x v="4"/>
    <x v="19"/>
    <m/>
    <n v="2000"/>
    <n v="1"/>
    <s v="Africa"/>
    <s v="Botswana"/>
    <m/>
    <s v="Floods"/>
    <s v="General Floods"/>
    <s v="General Floods"/>
    <m/>
    <m/>
    <m/>
    <m/>
    <m/>
    <s v=""/>
    <m/>
    <m/>
    <m/>
    <m/>
    <m/>
    <m/>
    <n v="0"/>
    <n v="23333.333333333332"/>
    <m/>
    <m/>
    <m/>
    <n v="23333.333333333332"/>
    <m/>
    <m/>
    <m/>
    <m/>
    <m/>
    <m/>
    <m/>
    <m/>
    <m/>
    <m/>
    <m/>
    <m/>
    <m/>
    <m/>
    <m/>
    <m/>
    <m/>
    <m/>
    <m/>
    <m/>
    <n v="23333.333333333332"/>
    <m/>
    <m/>
    <n v="2300"/>
    <x v="21"/>
    <s v="Y"/>
    <m/>
    <m/>
    <m/>
    <m/>
    <n v="2898"/>
    <m/>
    <m/>
    <m/>
    <m/>
    <m/>
    <m/>
    <m/>
    <m/>
    <m/>
    <m/>
    <m/>
    <m/>
    <s v="Federation handled funds ($70,000 total)"/>
  </r>
  <r>
    <m/>
    <n v="22"/>
    <x v="30"/>
    <d v="2000-02-01T00:00:00"/>
    <x v="4"/>
    <x v="19"/>
    <m/>
    <n v="2000"/>
    <n v="1"/>
    <s v="Africa"/>
    <s v="Zimbabwe"/>
    <m/>
    <s v="Floods"/>
    <s v="General Floods"/>
    <s v="General Floods"/>
    <m/>
    <m/>
    <m/>
    <m/>
    <m/>
    <s v=""/>
    <m/>
    <m/>
    <m/>
    <m/>
    <m/>
    <m/>
    <n v="0"/>
    <n v="23333.343333333331"/>
    <m/>
    <m/>
    <m/>
    <n v="23333.343333333331"/>
    <m/>
    <m/>
    <m/>
    <m/>
    <m/>
    <m/>
    <m/>
    <m/>
    <m/>
    <m/>
    <m/>
    <m/>
    <m/>
    <m/>
    <m/>
    <m/>
    <m/>
    <m/>
    <m/>
    <m/>
    <n v="23333.343333333331"/>
    <m/>
    <m/>
    <n v="2300"/>
    <x v="22"/>
    <s v="Y"/>
    <m/>
    <m/>
    <m/>
    <m/>
    <n v="2898"/>
    <m/>
    <m/>
    <m/>
    <m/>
    <m/>
    <m/>
    <m/>
    <m/>
    <m/>
    <m/>
    <m/>
    <m/>
    <s v="Federation handled funds ($70,000 total)"/>
  </r>
  <r>
    <m/>
    <n v="23"/>
    <x v="31"/>
    <d v="2000-03-01T00:00:00"/>
    <x v="4"/>
    <x v="20"/>
    <m/>
    <n v="2000"/>
    <n v="3"/>
    <s v="Africa"/>
    <s v="Madagascar"/>
    <m/>
    <s v="Floods"/>
    <s v="General Floods"/>
    <s v="General Floods"/>
    <m/>
    <m/>
    <m/>
    <m/>
    <m/>
    <s v=""/>
    <m/>
    <m/>
    <m/>
    <m/>
    <m/>
    <m/>
    <n v="0"/>
    <n v="25000"/>
    <m/>
    <m/>
    <m/>
    <n v="25000"/>
    <n v="0"/>
    <m/>
    <m/>
    <m/>
    <m/>
    <m/>
    <m/>
    <m/>
    <m/>
    <m/>
    <m/>
    <m/>
    <m/>
    <m/>
    <m/>
    <m/>
    <m/>
    <m/>
    <m/>
    <m/>
    <n v="25000"/>
    <m/>
    <m/>
    <n v="2500"/>
    <x v="8"/>
    <s v="Y"/>
    <m/>
    <m/>
    <m/>
    <m/>
    <n v="2898"/>
    <m/>
    <m/>
    <m/>
    <m/>
    <m/>
    <m/>
    <m/>
    <m/>
    <m/>
    <m/>
    <m/>
    <m/>
    <s v="Federation handled funds"/>
  </r>
  <r>
    <m/>
    <n v="24"/>
    <x v="5"/>
    <d v="2000-04-01T00:00:00"/>
    <x v="4"/>
    <x v="21"/>
    <m/>
    <n v="2000"/>
    <n v="4"/>
    <s v="Africa"/>
    <s v="Ethiopia"/>
    <m/>
    <s v="Drought"/>
    <s v="Drought"/>
    <s v="Drought"/>
    <m/>
    <m/>
    <m/>
    <m/>
    <m/>
    <s v=""/>
    <m/>
    <m/>
    <m/>
    <m/>
    <m/>
    <m/>
    <n v="1"/>
    <n v="100000"/>
    <m/>
    <m/>
    <m/>
    <n v="100000"/>
    <n v="0"/>
    <m/>
    <m/>
    <m/>
    <m/>
    <m/>
    <m/>
    <m/>
    <m/>
    <m/>
    <m/>
    <m/>
    <m/>
    <m/>
    <m/>
    <m/>
    <m/>
    <m/>
    <m/>
    <m/>
    <n v="100000"/>
    <m/>
    <m/>
    <n v="2376.7346201502733"/>
    <x v="5"/>
    <s v="Y"/>
    <m/>
    <m/>
    <m/>
    <m/>
    <n v="2898"/>
    <m/>
    <m/>
    <m/>
    <m/>
    <m/>
    <m/>
    <m/>
    <m/>
    <m/>
    <m/>
    <m/>
    <m/>
    <m/>
  </r>
  <r>
    <m/>
    <n v="25"/>
    <x v="32"/>
    <d v="2000-06-01T00:00:00"/>
    <x v="4"/>
    <x v="22"/>
    <m/>
    <n v="2000"/>
    <n v="5"/>
    <s v="Europe/Asia"/>
    <s v="Indonesia"/>
    <m/>
    <s v="Earthquake"/>
    <s v="Earthquake"/>
    <s v="Earthquake"/>
    <m/>
    <m/>
    <m/>
    <m/>
    <m/>
    <s v=""/>
    <m/>
    <m/>
    <m/>
    <m/>
    <m/>
    <m/>
    <n v="1"/>
    <n v="50000"/>
    <m/>
    <m/>
    <m/>
    <n v="50000"/>
    <n v="2"/>
    <m/>
    <m/>
    <m/>
    <m/>
    <m/>
    <m/>
    <m/>
    <m/>
    <m/>
    <m/>
    <m/>
    <m/>
    <m/>
    <m/>
    <m/>
    <m/>
    <m/>
    <m/>
    <m/>
    <n v="50000"/>
    <m/>
    <m/>
    <n v="3300"/>
    <x v="16"/>
    <s v="Y"/>
    <m/>
    <m/>
    <m/>
    <m/>
    <n v="2898"/>
    <m/>
    <m/>
    <m/>
    <m/>
    <m/>
    <m/>
    <m/>
    <m/>
    <m/>
    <m/>
    <m/>
    <m/>
    <s v="625 family kits"/>
  </r>
  <r>
    <m/>
    <n v="26"/>
    <x v="33"/>
    <d v="2000-08-01T00:00:00"/>
    <x v="5"/>
    <x v="1"/>
    <m/>
    <n v="2000"/>
    <n v="6"/>
    <s v="Europe/Asia"/>
    <s v="India"/>
    <m/>
    <s v="Floods"/>
    <s v="General Floods"/>
    <s v="General Floods"/>
    <m/>
    <m/>
    <m/>
    <m/>
    <m/>
    <s v=""/>
    <m/>
    <m/>
    <m/>
    <m/>
    <m/>
    <m/>
    <m/>
    <m/>
    <m/>
    <m/>
    <m/>
    <n v="0"/>
    <n v="9"/>
    <m/>
    <m/>
    <n v="5000"/>
    <m/>
    <m/>
    <m/>
    <m/>
    <m/>
    <m/>
    <m/>
    <m/>
    <m/>
    <n v="5000"/>
    <m/>
    <n v="5"/>
    <m/>
    <m/>
    <n v="199200"/>
    <n v="190065"/>
    <n v="389265"/>
    <m/>
    <m/>
    <n v="25000"/>
    <x v="23"/>
    <s v="Y"/>
    <m/>
    <m/>
    <m/>
    <m/>
    <n v="4901"/>
    <m/>
    <m/>
    <m/>
    <m/>
    <m/>
    <m/>
    <m/>
    <m/>
    <m/>
    <m/>
    <m/>
    <m/>
    <s v="5,000 relief/food parcels and 5 trucks"/>
  </r>
  <r>
    <m/>
    <n v="27"/>
    <x v="19"/>
    <d v="2000-08-01T00:00:00"/>
    <x v="5"/>
    <x v="2"/>
    <m/>
    <n v="2000"/>
    <n v="7"/>
    <s v="Europe/Asia"/>
    <s v="Bangladesh"/>
    <m/>
    <s v="Floods"/>
    <s v="General Floods"/>
    <s v="General Floods"/>
    <m/>
    <m/>
    <m/>
    <m/>
    <m/>
    <s v=""/>
    <m/>
    <m/>
    <m/>
    <m/>
    <m/>
    <m/>
    <m/>
    <m/>
    <m/>
    <n v="25000"/>
    <m/>
    <n v="25000"/>
    <n v="0"/>
    <m/>
    <m/>
    <m/>
    <m/>
    <m/>
    <m/>
    <m/>
    <m/>
    <m/>
    <m/>
    <m/>
    <m/>
    <m/>
    <m/>
    <m/>
    <m/>
    <m/>
    <m/>
    <m/>
    <n v="25000"/>
    <m/>
    <m/>
    <n v="2500"/>
    <x v="8"/>
    <s v="Y"/>
    <m/>
    <m/>
    <m/>
    <m/>
    <n v="2898"/>
    <m/>
    <m/>
    <m/>
    <m/>
    <m/>
    <m/>
    <m/>
    <m/>
    <m/>
    <m/>
    <m/>
    <m/>
    <s v="via Japanese Red Cross for relief supplies"/>
  </r>
  <r>
    <m/>
    <n v="28"/>
    <x v="11"/>
    <d v="2000-09-01T00:00:00"/>
    <x v="5"/>
    <x v="3"/>
    <m/>
    <n v="2000"/>
    <n v="8"/>
    <s v="Europe/Asia"/>
    <s v="Cambodia"/>
    <m/>
    <s v="Floods"/>
    <s v="Storm Surge"/>
    <s v="Storm Surge"/>
    <m/>
    <m/>
    <m/>
    <m/>
    <m/>
    <s v=""/>
    <m/>
    <m/>
    <m/>
    <m/>
    <m/>
    <m/>
    <m/>
    <m/>
    <m/>
    <n v="352704"/>
    <m/>
    <n v="352704"/>
    <n v="0"/>
    <m/>
    <m/>
    <m/>
    <m/>
    <m/>
    <m/>
    <m/>
    <m/>
    <m/>
    <m/>
    <m/>
    <m/>
    <m/>
    <m/>
    <m/>
    <m/>
    <m/>
    <m/>
    <m/>
    <n v="352704"/>
    <m/>
    <m/>
    <n v="32645"/>
    <x v="24"/>
    <s v="Y"/>
    <m/>
    <m/>
    <m/>
    <m/>
    <s v="OFDA"/>
    <m/>
    <m/>
    <m/>
    <m/>
    <m/>
    <m/>
    <m/>
    <m/>
    <m/>
    <m/>
    <m/>
    <s v="TS Wukong"/>
    <s v="Three grants from OFDA (two @ $25,000 each and 1 @ $302,704) for emergency household kits"/>
  </r>
  <r>
    <m/>
    <n v="29"/>
    <x v="21"/>
    <d v="2000-09-01T00:00:00"/>
    <x v="5"/>
    <x v="4"/>
    <m/>
    <n v="2000"/>
    <n v="9"/>
    <s v="Europe/Asia"/>
    <s v="Vietnam"/>
    <m/>
    <s v="Floods"/>
    <s v="Storm Surge"/>
    <s v="Storm Surge"/>
    <m/>
    <m/>
    <m/>
    <m/>
    <m/>
    <s v=""/>
    <m/>
    <m/>
    <m/>
    <m/>
    <m/>
    <m/>
    <m/>
    <m/>
    <m/>
    <m/>
    <m/>
    <n v="0"/>
    <n v="0"/>
    <m/>
    <m/>
    <n v="1000"/>
    <m/>
    <m/>
    <m/>
    <m/>
    <m/>
    <m/>
    <m/>
    <m/>
    <m/>
    <m/>
    <m/>
    <m/>
    <m/>
    <m/>
    <n v="20000"/>
    <m/>
    <n v="20000"/>
    <m/>
    <m/>
    <n v="3500"/>
    <x v="25"/>
    <s v="Y"/>
    <m/>
    <m/>
    <m/>
    <m/>
    <n v="2898"/>
    <m/>
    <m/>
    <m/>
    <m/>
    <m/>
    <m/>
    <m/>
    <m/>
    <m/>
    <m/>
    <m/>
    <s v="TS Wukong"/>
    <s v="1,000 Relief kits. (blankets, mosquito nets and cooking sets)"/>
  </r>
  <r>
    <m/>
    <n v="30"/>
    <x v="34"/>
    <d v="2000-10-01T00:00:00"/>
    <x v="5"/>
    <x v="5"/>
    <m/>
    <n v="2000"/>
    <n v="10"/>
    <s v="LAC"/>
    <s v="Belize"/>
    <m/>
    <s v="Storm"/>
    <s v="Tropical Cyclone"/>
    <s v="Hurricane"/>
    <m/>
    <m/>
    <m/>
    <m/>
    <m/>
    <s v=""/>
    <m/>
    <m/>
    <m/>
    <m/>
    <m/>
    <m/>
    <m/>
    <m/>
    <m/>
    <n v="28500"/>
    <m/>
    <n v="28500"/>
    <n v="5"/>
    <m/>
    <m/>
    <m/>
    <m/>
    <m/>
    <m/>
    <m/>
    <m/>
    <m/>
    <m/>
    <m/>
    <m/>
    <n v="2600"/>
    <m/>
    <m/>
    <m/>
    <m/>
    <n v="90000"/>
    <m/>
    <n v="118500"/>
    <m/>
    <m/>
    <n v="13000"/>
    <x v="26"/>
    <s v="Y"/>
    <m/>
    <m/>
    <m/>
    <m/>
    <n v="4903"/>
    <m/>
    <m/>
    <m/>
    <m/>
    <m/>
    <m/>
    <m/>
    <m/>
    <m/>
    <m/>
    <m/>
    <s v="Keith"/>
    <s v="2,600 LDS food parcels + $30,000 for local procurement"/>
  </r>
  <r>
    <m/>
    <n v="32"/>
    <x v="35"/>
    <d v="2000-10-01T00:00:00"/>
    <x v="5"/>
    <x v="6"/>
    <m/>
    <n v="2000"/>
    <n v="11"/>
    <s v="Europe/Asia"/>
    <s v="Israel"/>
    <m/>
    <s v="Conflict"/>
    <s v="Conflict"/>
    <s v="Conflict"/>
    <m/>
    <m/>
    <m/>
    <m/>
    <m/>
    <s v=""/>
    <m/>
    <m/>
    <m/>
    <m/>
    <m/>
    <m/>
    <m/>
    <m/>
    <m/>
    <n v="40000"/>
    <m/>
    <n v="40000"/>
    <m/>
    <m/>
    <m/>
    <m/>
    <m/>
    <m/>
    <m/>
    <m/>
    <m/>
    <m/>
    <m/>
    <m/>
    <m/>
    <m/>
    <m/>
    <m/>
    <m/>
    <m/>
    <n v="0"/>
    <m/>
    <n v="40000"/>
    <m/>
    <m/>
    <m/>
    <x v="27"/>
    <s v="Y"/>
    <m/>
    <m/>
    <m/>
    <m/>
    <n v="2898"/>
    <m/>
    <m/>
    <m/>
    <m/>
    <m/>
    <m/>
    <m/>
    <m/>
    <m/>
    <m/>
    <m/>
    <m/>
    <s v="CASH"/>
  </r>
  <r>
    <m/>
    <n v="32"/>
    <x v="36"/>
    <d v="2000-10-01T00:00:00"/>
    <x v="5"/>
    <x v="6"/>
    <m/>
    <n v="2000"/>
    <n v="11"/>
    <s v="Europe/Asia"/>
    <s v="Jordan"/>
    <m/>
    <s v="Conflict"/>
    <s v="Conflict"/>
    <s v="Conflict"/>
    <m/>
    <m/>
    <m/>
    <m/>
    <m/>
    <s v=""/>
    <m/>
    <m/>
    <m/>
    <m/>
    <m/>
    <m/>
    <m/>
    <m/>
    <m/>
    <m/>
    <m/>
    <n v="0"/>
    <m/>
    <m/>
    <m/>
    <m/>
    <m/>
    <m/>
    <m/>
    <m/>
    <m/>
    <m/>
    <m/>
    <m/>
    <m/>
    <m/>
    <m/>
    <n v="1"/>
    <m/>
    <m/>
    <n v="172000"/>
    <m/>
    <n v="172000"/>
    <m/>
    <m/>
    <m/>
    <x v="28"/>
    <s v="Y"/>
    <m/>
    <m/>
    <m/>
    <m/>
    <n v="2898"/>
    <m/>
    <m/>
    <m/>
    <m/>
    <m/>
    <m/>
    <m/>
    <m/>
    <m/>
    <m/>
    <m/>
    <m/>
    <s v="1 ambulance, 1 generator, various med supp/equip"/>
  </r>
  <r>
    <m/>
    <n v="32"/>
    <x v="37"/>
    <d v="2000-10-01T00:00:00"/>
    <x v="5"/>
    <x v="6"/>
    <m/>
    <n v="2000"/>
    <n v="11"/>
    <s v="Europe/Asia"/>
    <s v="Palestine"/>
    <m/>
    <s v="Conflict"/>
    <s v="Conflict"/>
    <s v="Conflict"/>
    <m/>
    <m/>
    <m/>
    <m/>
    <m/>
    <s v=""/>
    <m/>
    <m/>
    <m/>
    <m/>
    <m/>
    <m/>
    <m/>
    <m/>
    <m/>
    <m/>
    <m/>
    <n v="0"/>
    <n v="0"/>
    <m/>
    <m/>
    <m/>
    <m/>
    <m/>
    <m/>
    <m/>
    <m/>
    <m/>
    <m/>
    <m/>
    <m/>
    <m/>
    <m/>
    <n v="2"/>
    <m/>
    <m/>
    <n v="90000"/>
    <m/>
    <n v="90000"/>
    <m/>
    <m/>
    <n v="10000"/>
    <x v="29"/>
    <s v="Y"/>
    <m/>
    <m/>
    <m/>
    <m/>
    <n v="2898"/>
    <m/>
    <m/>
    <m/>
    <m/>
    <m/>
    <m/>
    <m/>
    <m/>
    <m/>
    <m/>
    <m/>
    <m/>
    <s v="2 ambulances, 1 New Emergency Health Kit"/>
  </r>
  <r>
    <m/>
    <n v="33"/>
    <x v="38"/>
    <d v="2000-11-01T00:00:00"/>
    <x v="5"/>
    <x v="7"/>
    <m/>
    <n v="2000"/>
    <n v="12"/>
    <s v="Europe/Asia"/>
    <s v="Taiwan"/>
    <m/>
    <s v="Transport"/>
    <s v="Air"/>
    <s v="Air"/>
    <m/>
    <m/>
    <m/>
    <m/>
    <m/>
    <s v=""/>
    <m/>
    <m/>
    <m/>
    <m/>
    <m/>
    <m/>
    <m/>
    <m/>
    <m/>
    <m/>
    <m/>
    <n v="0"/>
    <n v="1"/>
    <m/>
    <m/>
    <m/>
    <m/>
    <m/>
    <m/>
    <m/>
    <m/>
    <m/>
    <m/>
    <m/>
    <m/>
    <m/>
    <m/>
    <m/>
    <m/>
    <m/>
    <m/>
    <n v="7500"/>
    <n v="7500"/>
    <m/>
    <m/>
    <n v="300"/>
    <x v="30"/>
    <s v="Y"/>
    <m/>
    <m/>
    <m/>
    <m/>
    <n v="2898"/>
    <m/>
    <m/>
    <m/>
    <m/>
    <m/>
    <m/>
    <m/>
    <m/>
    <m/>
    <m/>
    <m/>
    <s v="Singapore Airlines 006"/>
    <s v="liaison on AIR Team"/>
  </r>
  <r>
    <m/>
    <n v="34"/>
    <x v="39"/>
    <d v="2000-11-01T00:00:00"/>
    <x v="5"/>
    <x v="8"/>
    <m/>
    <n v="2000"/>
    <n v="13"/>
    <s v="Europe/Asia"/>
    <s v="Austria"/>
    <m/>
    <s v="Miscellaneous"/>
    <s v="Fire"/>
    <s v="Fire"/>
    <m/>
    <m/>
    <m/>
    <m/>
    <m/>
    <s v=""/>
    <m/>
    <m/>
    <m/>
    <m/>
    <m/>
    <m/>
    <m/>
    <m/>
    <m/>
    <m/>
    <m/>
    <n v="0"/>
    <n v="0"/>
    <m/>
    <m/>
    <m/>
    <m/>
    <m/>
    <m/>
    <m/>
    <m/>
    <m/>
    <m/>
    <m/>
    <m/>
    <m/>
    <m/>
    <m/>
    <m/>
    <m/>
    <m/>
    <n v="2577.8000000000002"/>
    <n v="2577.8000000000002"/>
    <m/>
    <m/>
    <n v="3"/>
    <x v="31"/>
    <s v="Y"/>
    <m/>
    <m/>
    <m/>
    <m/>
    <n v="2898"/>
    <m/>
    <m/>
    <m/>
    <m/>
    <m/>
    <m/>
    <m/>
    <m/>
    <m/>
    <m/>
    <m/>
    <s v="Cable Car Fire"/>
    <s v="plane tickets for family members via AFES"/>
  </r>
  <r>
    <m/>
    <n v="35"/>
    <x v="40"/>
    <d v="2000-11-01T00:00:00"/>
    <x v="5"/>
    <x v="9"/>
    <m/>
    <n v="2000"/>
    <n v="14"/>
    <s v="Europe/Asia"/>
    <s v="Azerbaijan"/>
    <m/>
    <s v="Earthquake"/>
    <s v="Earthquake"/>
    <s v="Earthquake"/>
    <m/>
    <m/>
    <m/>
    <m/>
    <m/>
    <s v=""/>
    <m/>
    <m/>
    <m/>
    <m/>
    <m/>
    <m/>
    <m/>
    <m/>
    <m/>
    <m/>
    <m/>
    <n v="0"/>
    <n v="1"/>
    <m/>
    <m/>
    <m/>
    <m/>
    <m/>
    <m/>
    <m/>
    <m/>
    <m/>
    <m/>
    <m/>
    <m/>
    <m/>
    <m/>
    <m/>
    <m/>
    <m/>
    <n v="25000"/>
    <n v="5500"/>
    <n v="30500"/>
    <m/>
    <m/>
    <n v="3050"/>
    <x v="32"/>
    <s v="Y"/>
    <m/>
    <m/>
    <m/>
    <m/>
    <n v="2898"/>
    <m/>
    <m/>
    <m/>
    <m/>
    <m/>
    <m/>
    <m/>
    <m/>
    <m/>
    <m/>
    <m/>
    <m/>
    <s v="10 generators, tents &amp; cooking sets. Delegate from Armenia deployed"/>
  </r>
  <r>
    <m/>
    <n v="36"/>
    <x v="41"/>
    <d v="2000-12-01T00:00:00"/>
    <x v="5"/>
    <x v="10"/>
    <m/>
    <n v="2000"/>
    <n v="15"/>
    <s v="Europe/Asia"/>
    <s v="Sri Lanka"/>
    <m/>
    <s v="Storm"/>
    <s v="Tropical Cyclone"/>
    <s v="Cyclone"/>
    <m/>
    <m/>
    <m/>
    <m/>
    <m/>
    <s v=""/>
    <m/>
    <m/>
    <m/>
    <m/>
    <m/>
    <m/>
    <m/>
    <m/>
    <m/>
    <m/>
    <m/>
    <n v="0"/>
    <n v="0"/>
    <m/>
    <m/>
    <m/>
    <m/>
    <m/>
    <m/>
    <m/>
    <m/>
    <m/>
    <m/>
    <m/>
    <m/>
    <m/>
    <m/>
    <m/>
    <m/>
    <m/>
    <n v="20000"/>
    <m/>
    <n v="20000"/>
    <m/>
    <m/>
    <n v="3000"/>
    <x v="25"/>
    <s v="Y"/>
    <m/>
    <m/>
    <m/>
    <m/>
    <n v="2898"/>
    <m/>
    <m/>
    <m/>
    <m/>
    <m/>
    <m/>
    <m/>
    <m/>
    <m/>
    <m/>
    <m/>
    <s v="Cyclone 04B"/>
    <s v="Bedsheets and kitchen sets"/>
  </r>
  <r>
    <m/>
    <n v="37"/>
    <x v="42"/>
    <d v="2001-01-01T00:00:00"/>
    <x v="5"/>
    <x v="11"/>
    <m/>
    <n v="2001"/>
    <n v="1"/>
    <s v="Africa"/>
    <s v="South Africa"/>
    <m/>
    <s v="Epidemic"/>
    <s v="Bacterial"/>
    <s v="Bacterial"/>
    <m/>
    <m/>
    <m/>
    <m/>
    <m/>
    <s v=""/>
    <m/>
    <m/>
    <m/>
    <m/>
    <m/>
    <m/>
    <n v="0"/>
    <n v="25000"/>
    <m/>
    <m/>
    <m/>
    <n v="25000"/>
    <n v="0"/>
    <m/>
    <m/>
    <m/>
    <m/>
    <m/>
    <m/>
    <m/>
    <m/>
    <m/>
    <m/>
    <m/>
    <m/>
    <m/>
    <m/>
    <m/>
    <m/>
    <m/>
    <m/>
    <m/>
    <n v="25000"/>
    <m/>
    <m/>
    <n v="5000"/>
    <x v="8"/>
    <s v="Y"/>
    <m/>
    <m/>
    <m/>
    <m/>
    <n v="2898"/>
    <m/>
    <m/>
    <m/>
    <m/>
    <m/>
    <m/>
    <m/>
    <m/>
    <m/>
    <m/>
    <m/>
    <s v="Cholera Outbreak"/>
    <s v="Federation Appeal 32/00"/>
  </r>
  <r>
    <m/>
    <n v="38"/>
    <x v="43"/>
    <d v="2001-01-01T00:00:00"/>
    <x v="5"/>
    <x v="12"/>
    <m/>
    <n v="2001"/>
    <n v="2"/>
    <s v="LAC"/>
    <s v="El Salvador"/>
    <m/>
    <s v="Earthquake"/>
    <s v="Earthquake"/>
    <s v="Earthquake"/>
    <m/>
    <m/>
    <m/>
    <m/>
    <m/>
    <s v=""/>
    <m/>
    <m/>
    <m/>
    <m/>
    <m/>
    <m/>
    <m/>
    <m/>
    <m/>
    <n v="77500"/>
    <m/>
    <n v="77500"/>
    <n v="12"/>
    <m/>
    <m/>
    <m/>
    <m/>
    <m/>
    <m/>
    <m/>
    <m/>
    <m/>
    <m/>
    <m/>
    <m/>
    <m/>
    <m/>
    <m/>
    <m/>
    <m/>
    <n v="150000"/>
    <m/>
    <n v="227500"/>
    <m/>
    <m/>
    <m/>
    <x v="33"/>
    <s v="Y"/>
    <m/>
    <m/>
    <m/>
    <m/>
    <n v="2953"/>
    <m/>
    <m/>
    <m/>
    <m/>
    <m/>
    <m/>
    <m/>
    <m/>
    <m/>
    <m/>
    <m/>
    <m/>
    <s v="Cash sent to ARC Delegation in region. Supplies from Regional Warehouses.   Total expenditures as of February 2001, post 2.01 expenditures were rolled into the second El Salvador earthquake."/>
  </r>
  <r>
    <m/>
    <n v="39"/>
    <x v="44"/>
    <d v="2001-01-01T00:00:00"/>
    <x v="5"/>
    <x v="13"/>
    <m/>
    <n v="2001"/>
    <n v="3"/>
    <s v="Europe/Asia"/>
    <s v="China"/>
    <m/>
    <s v="Storm"/>
    <s v="Winter Storm"/>
    <s v="Snowstorm"/>
    <m/>
    <m/>
    <m/>
    <m/>
    <m/>
    <s v=""/>
    <m/>
    <m/>
    <m/>
    <m/>
    <m/>
    <m/>
    <m/>
    <m/>
    <m/>
    <n v="50000"/>
    <m/>
    <n v="50000"/>
    <n v="0"/>
    <m/>
    <m/>
    <m/>
    <m/>
    <m/>
    <m/>
    <m/>
    <m/>
    <m/>
    <m/>
    <m/>
    <m/>
    <m/>
    <m/>
    <m/>
    <m/>
    <m/>
    <m/>
    <m/>
    <n v="50000"/>
    <m/>
    <m/>
    <n v="5000"/>
    <x v="16"/>
    <s v="Y"/>
    <m/>
    <m/>
    <m/>
    <m/>
    <n v="2060"/>
    <m/>
    <m/>
    <m/>
    <m/>
    <m/>
    <m/>
    <m/>
    <m/>
    <m/>
    <m/>
    <m/>
    <s v="Inner Mongolia"/>
    <s v="fund to purchase food (wheat), winter clothes and cotton quilts"/>
  </r>
  <r>
    <m/>
    <n v="40"/>
    <x v="45"/>
    <d v="2001-01-01T00:00:00"/>
    <x v="5"/>
    <x v="14"/>
    <m/>
    <n v="2001"/>
    <n v="4"/>
    <s v="Europe/Asia"/>
    <s v="India"/>
    <m/>
    <s v="Earthquake"/>
    <s v="Earthquake"/>
    <s v="Earthquake"/>
    <n v="15850000"/>
    <m/>
    <m/>
    <m/>
    <m/>
    <s v=""/>
    <m/>
    <m/>
    <m/>
    <m/>
    <m/>
    <m/>
    <n v="1"/>
    <n v="100000"/>
    <m/>
    <n v="25000"/>
    <m/>
    <n v="125000"/>
    <n v="19"/>
    <m/>
    <m/>
    <m/>
    <m/>
    <m/>
    <m/>
    <m/>
    <m/>
    <m/>
    <m/>
    <m/>
    <m/>
    <m/>
    <m/>
    <m/>
    <m/>
    <m/>
    <n v="1371479"/>
    <n v="366481.13"/>
    <n v="1862960.13"/>
    <m/>
    <m/>
    <n v="324495"/>
    <x v="1"/>
    <s v="Y"/>
    <m/>
    <m/>
    <m/>
    <m/>
    <n v="2954"/>
    <m/>
    <m/>
    <m/>
    <m/>
    <m/>
    <m/>
    <m/>
    <m/>
    <m/>
    <m/>
    <m/>
    <m/>
    <s v="ARC also served an additional 190,185 beneficiaries by  distributing inputs from other NS.  Total expenditures as of May 2001."/>
  </r>
  <r>
    <m/>
    <n v="41"/>
    <x v="43"/>
    <d v="2001-02-01T00:00:00"/>
    <x v="5"/>
    <x v="15"/>
    <m/>
    <n v="2001"/>
    <n v="5"/>
    <s v="LAC"/>
    <s v="El Salvador"/>
    <m/>
    <s v="Earthquake"/>
    <s v="Earthquake"/>
    <s v="Earthquake"/>
    <m/>
    <m/>
    <m/>
    <m/>
    <m/>
    <s v=""/>
    <m/>
    <m/>
    <m/>
    <m/>
    <m/>
    <m/>
    <m/>
    <m/>
    <m/>
    <n v="70000"/>
    <m/>
    <n v="70000"/>
    <n v="8"/>
    <m/>
    <m/>
    <m/>
    <m/>
    <m/>
    <m/>
    <m/>
    <m/>
    <m/>
    <m/>
    <m/>
    <m/>
    <m/>
    <m/>
    <m/>
    <m/>
    <m/>
    <n v="620000"/>
    <m/>
    <n v="690000"/>
    <m/>
    <m/>
    <n v="41628.709446663277"/>
    <x v="34"/>
    <s v="Y"/>
    <m/>
    <m/>
    <m/>
    <m/>
    <n v="2953"/>
    <m/>
    <m/>
    <m/>
    <m/>
    <m/>
    <m/>
    <m/>
    <m/>
    <m/>
    <m/>
    <m/>
    <m/>
    <s v="To Purchase Warm cloths, footwear, blankets sheets and left over for food. Total expenditures for both earthquakes in El Salvador through May 2001."/>
  </r>
  <r>
    <m/>
    <n v="42"/>
    <x v="46"/>
    <d v="2001-02-01T00:00:00"/>
    <x v="5"/>
    <x v="16"/>
    <m/>
    <n v="2001"/>
    <n v="6"/>
    <s v="Africa"/>
    <s v="Mozambique"/>
    <m/>
    <s v="Floods"/>
    <s v="General Floods"/>
    <s v="General Floods"/>
    <m/>
    <m/>
    <m/>
    <m/>
    <m/>
    <s v=""/>
    <m/>
    <m/>
    <m/>
    <m/>
    <m/>
    <m/>
    <m/>
    <m/>
    <m/>
    <m/>
    <m/>
    <n v="0"/>
    <n v="1"/>
    <m/>
    <m/>
    <m/>
    <m/>
    <m/>
    <m/>
    <m/>
    <m/>
    <m/>
    <m/>
    <m/>
    <m/>
    <m/>
    <m/>
    <m/>
    <m/>
    <m/>
    <m/>
    <n v="250000"/>
    <n v="250000"/>
    <m/>
    <m/>
    <n v="75000"/>
    <x v="35"/>
    <s v="Y"/>
    <m/>
    <m/>
    <m/>
    <m/>
    <n v="2675"/>
    <m/>
    <m/>
    <m/>
    <m/>
    <m/>
    <m/>
    <m/>
    <m/>
    <m/>
    <m/>
    <m/>
    <m/>
    <s v="Fed Appeal 10/2001;  Includes regional supply purchase; one delegate.  Total expenditure also includes Malawi expense."/>
  </r>
  <r>
    <m/>
    <n v="43"/>
    <x v="47"/>
    <d v="2001-02-01T00:00:00"/>
    <x v="5"/>
    <x v="17"/>
    <m/>
    <n v="2001"/>
    <n v="7"/>
    <s v="Africa"/>
    <s v="Malawi"/>
    <m/>
    <s v="Floods"/>
    <s v="General Floods"/>
    <s v="General Floods"/>
    <m/>
    <m/>
    <m/>
    <m/>
    <m/>
    <s v=""/>
    <m/>
    <m/>
    <m/>
    <m/>
    <m/>
    <m/>
    <m/>
    <m/>
    <m/>
    <n v="25000"/>
    <m/>
    <n v="25000"/>
    <n v="2"/>
    <m/>
    <m/>
    <m/>
    <m/>
    <m/>
    <m/>
    <m/>
    <m/>
    <m/>
    <m/>
    <m/>
    <m/>
    <m/>
    <m/>
    <m/>
    <m/>
    <m/>
    <n v="149000"/>
    <m/>
    <n v="174000"/>
    <m/>
    <m/>
    <n v="22452"/>
    <x v="36"/>
    <s v="Y"/>
    <m/>
    <m/>
    <m/>
    <m/>
    <n v="2675"/>
    <m/>
    <m/>
    <m/>
    <m/>
    <m/>
    <m/>
    <m/>
    <m/>
    <m/>
    <m/>
    <m/>
    <m/>
    <s v="Fed Appeal 9/2001;  49,000 from CCC seeds, tools and water supply.  See Mozambique Total Expenditure (they are combined.)"/>
  </r>
  <r>
    <m/>
    <n v="44"/>
    <x v="48"/>
    <d v="2001-03-01T00:00:00"/>
    <x v="5"/>
    <x v="18"/>
    <m/>
    <n v="2001"/>
    <n v="8"/>
    <s v="LAC"/>
    <s v="Bolivia"/>
    <m/>
    <s v="Floods"/>
    <s v="General Floods"/>
    <s v="General Floods"/>
    <m/>
    <m/>
    <m/>
    <m/>
    <m/>
    <s v=""/>
    <m/>
    <m/>
    <m/>
    <m/>
    <m/>
    <m/>
    <m/>
    <m/>
    <m/>
    <n v="15000"/>
    <m/>
    <n v="15000"/>
    <n v="0"/>
    <m/>
    <m/>
    <m/>
    <m/>
    <m/>
    <m/>
    <m/>
    <m/>
    <m/>
    <m/>
    <m/>
    <m/>
    <m/>
    <m/>
    <m/>
    <m/>
    <m/>
    <m/>
    <m/>
    <n v="15000"/>
    <m/>
    <m/>
    <n v="1500"/>
    <x v="18"/>
    <s v="Y"/>
    <m/>
    <m/>
    <m/>
    <m/>
    <n v="2898"/>
    <m/>
    <m/>
    <m/>
    <m/>
    <m/>
    <m/>
    <m/>
    <m/>
    <m/>
    <m/>
    <m/>
    <m/>
    <s v="Fed Appeal 5/2001"/>
  </r>
  <r>
    <m/>
    <n v="45"/>
    <x v="49"/>
    <d v="2001-03-01T00:00:00"/>
    <x v="5"/>
    <x v="19"/>
    <m/>
    <n v="2001"/>
    <n v="9"/>
    <s v="LAC"/>
    <s v="Peru"/>
    <m/>
    <s v="Floods"/>
    <s v="General Floods"/>
    <s v="General Floods"/>
    <m/>
    <m/>
    <m/>
    <m/>
    <m/>
    <s v=""/>
    <m/>
    <m/>
    <m/>
    <m/>
    <m/>
    <m/>
    <m/>
    <m/>
    <m/>
    <n v="15000"/>
    <m/>
    <n v="15000"/>
    <n v="0"/>
    <m/>
    <m/>
    <n v="6111"/>
    <m/>
    <m/>
    <n v="5100"/>
    <m/>
    <m/>
    <n v="761"/>
    <m/>
    <m/>
    <m/>
    <m/>
    <n v="250"/>
    <m/>
    <m/>
    <m/>
    <n v="0"/>
    <n v="0"/>
    <n v="15000"/>
    <m/>
    <m/>
    <n v="24805"/>
    <x v="18"/>
    <s v="Y"/>
    <m/>
    <m/>
    <m/>
    <m/>
    <n v="2898"/>
    <m/>
    <m/>
    <m/>
    <m/>
    <m/>
    <m/>
    <m/>
    <m/>
    <m/>
    <m/>
    <m/>
    <m/>
    <m/>
  </r>
  <r>
    <m/>
    <n v="46"/>
    <x v="50"/>
    <d v="2001-04-01T00:00:00"/>
    <x v="5"/>
    <x v="23"/>
    <m/>
    <n v="2001"/>
    <n v="10"/>
    <s v="North America"/>
    <s v="Canada"/>
    <m/>
    <s v="Transport"/>
    <s v="Road"/>
    <s v="Road"/>
    <m/>
    <m/>
    <m/>
    <m/>
    <m/>
    <s v=""/>
    <m/>
    <m/>
    <m/>
    <m/>
    <m/>
    <m/>
    <m/>
    <m/>
    <m/>
    <m/>
    <m/>
    <n v="0"/>
    <n v="2"/>
    <m/>
    <m/>
    <m/>
    <m/>
    <m/>
    <m/>
    <m/>
    <m/>
    <m/>
    <m/>
    <m/>
    <m/>
    <m/>
    <m/>
    <m/>
    <m/>
    <m/>
    <m/>
    <n v="1000"/>
    <n v="1000"/>
    <m/>
    <m/>
    <m/>
    <x v="37"/>
    <s v="Y"/>
    <m/>
    <m/>
    <m/>
    <m/>
    <n v="2898"/>
    <m/>
    <m/>
    <m/>
    <m/>
    <m/>
    <m/>
    <m/>
    <m/>
    <m/>
    <m/>
    <m/>
    <s v="Bus Crash"/>
    <s v="American children survivors"/>
  </r>
  <r>
    <m/>
    <n v="47"/>
    <x v="51"/>
    <d v="2001-05-01T00:00:00"/>
    <x v="5"/>
    <x v="20"/>
    <m/>
    <n v="2001"/>
    <n v="11"/>
    <s v="Europe/Asia"/>
    <s v="Russian Fed."/>
    <m/>
    <s v="Floods"/>
    <s v="General Floods"/>
    <s v="General Floods"/>
    <m/>
    <m/>
    <m/>
    <m/>
    <m/>
    <s v=""/>
    <m/>
    <m/>
    <m/>
    <m/>
    <m/>
    <m/>
    <m/>
    <m/>
    <m/>
    <n v="25000"/>
    <m/>
    <n v="25000"/>
    <n v="0"/>
    <m/>
    <m/>
    <m/>
    <m/>
    <m/>
    <m/>
    <m/>
    <m/>
    <m/>
    <m/>
    <m/>
    <m/>
    <m/>
    <m/>
    <m/>
    <m/>
    <m/>
    <m/>
    <m/>
    <n v="25000"/>
    <m/>
    <m/>
    <n v="3000"/>
    <x v="8"/>
    <s v="Y"/>
    <m/>
    <m/>
    <m/>
    <m/>
    <n v="2898"/>
    <m/>
    <m/>
    <m/>
    <m/>
    <m/>
    <m/>
    <m/>
    <m/>
    <m/>
    <m/>
    <m/>
    <m/>
    <s v="Siberia: Procurement of warm cloths, footwear, blankets sheets &amp; food. "/>
  </r>
  <r>
    <m/>
    <n v="48"/>
    <x v="52"/>
    <d v="2001-06-01T00:00:00"/>
    <x v="5"/>
    <x v="21"/>
    <m/>
    <n v="2001"/>
    <n v="12"/>
    <s v="Europe/Asia"/>
    <s v="Macedonia"/>
    <m/>
    <s v="Conflict"/>
    <s v="Conflict"/>
    <s v="Conflict"/>
    <m/>
    <m/>
    <m/>
    <m/>
    <m/>
    <s v=""/>
    <m/>
    <m/>
    <m/>
    <m/>
    <m/>
    <m/>
    <m/>
    <m/>
    <m/>
    <m/>
    <m/>
    <n v="0"/>
    <n v="0"/>
    <m/>
    <m/>
    <n v="10000"/>
    <m/>
    <m/>
    <m/>
    <m/>
    <m/>
    <m/>
    <m/>
    <m/>
    <m/>
    <m/>
    <m/>
    <m/>
    <m/>
    <m/>
    <n v="20700"/>
    <m/>
    <n v="20700"/>
    <m/>
    <m/>
    <n v="40000"/>
    <x v="38"/>
    <s v="Y"/>
    <m/>
    <m/>
    <m/>
    <m/>
    <n v="2898"/>
    <m/>
    <m/>
    <m/>
    <m/>
    <m/>
    <m/>
    <m/>
    <m/>
    <m/>
    <m/>
    <m/>
    <m/>
    <s v="10,000 family  packets (Currently only 2,300) a family is 4 persons"/>
  </r>
  <r>
    <m/>
    <n v="49"/>
    <x v="53"/>
    <d v="2001-06-01T00:00:00"/>
    <x v="5"/>
    <x v="22"/>
    <m/>
    <n v="2001"/>
    <n v="13"/>
    <s v="Europe/Asia"/>
    <s v="Bosnia"/>
    <m/>
    <s v="Floods"/>
    <s v="General Floods"/>
    <s v="General Floods"/>
    <m/>
    <m/>
    <m/>
    <m/>
    <m/>
    <s v=""/>
    <m/>
    <m/>
    <m/>
    <m/>
    <m/>
    <m/>
    <m/>
    <m/>
    <m/>
    <m/>
    <m/>
    <n v="0"/>
    <n v="0"/>
    <m/>
    <m/>
    <n v="6000"/>
    <m/>
    <m/>
    <n v="6000"/>
    <m/>
    <m/>
    <m/>
    <m/>
    <m/>
    <m/>
    <m/>
    <m/>
    <m/>
    <m/>
    <m/>
    <n v="18000"/>
    <m/>
    <n v="18000"/>
    <m/>
    <m/>
    <n v="6000"/>
    <x v="39"/>
    <s v="Y"/>
    <m/>
    <m/>
    <m/>
    <m/>
    <n v="2898"/>
    <m/>
    <m/>
    <m/>
    <m/>
    <m/>
    <m/>
    <m/>
    <m/>
    <m/>
    <m/>
    <m/>
    <m/>
    <s v="Bulgaria stocks"/>
  </r>
  <r>
    <m/>
    <n v="50"/>
    <x v="54"/>
    <d v="2001-06-01T00:00:00"/>
    <x v="5"/>
    <x v="24"/>
    <m/>
    <n v="2001"/>
    <n v="14"/>
    <s v="LAC"/>
    <s v="Peru"/>
    <m/>
    <s v="Earthquake"/>
    <s v="Earthquake"/>
    <s v="Earthquake"/>
    <m/>
    <m/>
    <m/>
    <m/>
    <m/>
    <s v=""/>
    <m/>
    <m/>
    <m/>
    <m/>
    <m/>
    <m/>
    <m/>
    <m/>
    <m/>
    <n v="24420"/>
    <m/>
    <n v="24420"/>
    <n v="3"/>
    <m/>
    <m/>
    <n v="6107"/>
    <m/>
    <m/>
    <n v="5100"/>
    <m/>
    <m/>
    <n v="757"/>
    <m/>
    <m/>
    <m/>
    <m/>
    <n v="250"/>
    <m/>
    <m/>
    <m/>
    <n v="361260"/>
    <n v="313450"/>
    <n v="699130"/>
    <m/>
    <m/>
    <n v="15000"/>
    <x v="40"/>
    <s v="Y"/>
    <m/>
    <m/>
    <m/>
    <m/>
    <n v="2676"/>
    <m/>
    <m/>
    <m/>
    <m/>
    <m/>
    <m/>
    <m/>
    <m/>
    <m/>
    <m/>
    <m/>
    <m/>
    <s v="plastic sheeting ($81,250), blankets ($12,240), tents ($78,637). Total $271,627 (incl. transport).    tents ($147,706): Total $150,706 (incl. transport).  Replenishment of supplies $50,000"/>
  </r>
  <r>
    <m/>
    <n v="51"/>
    <x v="33"/>
    <d v="2001-07-01T00:00:00"/>
    <x v="6"/>
    <x v="1"/>
    <m/>
    <n v="2001"/>
    <n v="15"/>
    <s v="Europe/Asia"/>
    <s v="India"/>
    <m/>
    <s v="Floods"/>
    <s v="General Floods"/>
    <s v="General Floods"/>
    <n v="6000000"/>
    <m/>
    <m/>
    <m/>
    <m/>
    <s v=""/>
    <m/>
    <m/>
    <m/>
    <m/>
    <m/>
    <m/>
    <m/>
    <m/>
    <m/>
    <m/>
    <m/>
    <n v="0"/>
    <n v="0"/>
    <m/>
    <m/>
    <m/>
    <m/>
    <m/>
    <m/>
    <m/>
    <m/>
    <m/>
    <m/>
    <m/>
    <m/>
    <m/>
    <m/>
    <m/>
    <m/>
    <m/>
    <n v="100000"/>
    <m/>
    <n v="100000"/>
    <m/>
    <m/>
    <n v="10000"/>
    <x v="5"/>
    <s v="Y"/>
    <m/>
    <m/>
    <m/>
    <m/>
    <n v="2954"/>
    <m/>
    <m/>
    <m/>
    <m/>
    <m/>
    <m/>
    <m/>
    <m/>
    <m/>
    <m/>
    <m/>
    <m/>
    <m/>
  </r>
  <r>
    <m/>
    <n v="52"/>
    <x v="55"/>
    <d v="2001-08-01T00:00:00"/>
    <x v="6"/>
    <x v="2"/>
    <m/>
    <n v="2001"/>
    <n v="16"/>
    <s v="LAC"/>
    <s v="El Salvador"/>
    <m/>
    <s v="Drought"/>
    <s v="Drought"/>
    <s v="Drought"/>
    <m/>
    <m/>
    <m/>
    <m/>
    <m/>
    <s v=""/>
    <m/>
    <m/>
    <m/>
    <m/>
    <m/>
    <m/>
    <m/>
    <m/>
    <m/>
    <n v="25000"/>
    <m/>
    <n v="25000"/>
    <n v="5"/>
    <m/>
    <m/>
    <m/>
    <m/>
    <m/>
    <m/>
    <m/>
    <m/>
    <m/>
    <m/>
    <m/>
    <m/>
    <m/>
    <m/>
    <m/>
    <m/>
    <m/>
    <m/>
    <m/>
    <n v="25000"/>
    <m/>
    <m/>
    <n v="5000"/>
    <x v="8"/>
    <s v="Y"/>
    <m/>
    <m/>
    <m/>
    <m/>
    <n v="2837"/>
    <m/>
    <m/>
    <m/>
    <m/>
    <m/>
    <m/>
    <m/>
    <m/>
    <m/>
    <m/>
    <m/>
    <m/>
    <s v="$25,000 allocated to each national society to be implemented thr ARC delegations through $12,500 donation to the field delegation and $12,500 matched by the field.  Total expenditures through December 2001."/>
  </r>
  <r>
    <m/>
    <n v="52"/>
    <x v="56"/>
    <d v="2001-08-01T00:00:00"/>
    <x v="6"/>
    <x v="2"/>
    <m/>
    <n v="2001"/>
    <n v="16"/>
    <s v="LAC"/>
    <s v="Honduras"/>
    <m/>
    <s v="Drought"/>
    <s v="Drought"/>
    <s v="Drought"/>
    <m/>
    <m/>
    <m/>
    <m/>
    <m/>
    <s v=""/>
    <m/>
    <m/>
    <m/>
    <m/>
    <m/>
    <m/>
    <m/>
    <m/>
    <m/>
    <m/>
    <m/>
    <n v="0"/>
    <m/>
    <m/>
    <m/>
    <m/>
    <m/>
    <m/>
    <m/>
    <m/>
    <m/>
    <m/>
    <m/>
    <m/>
    <m/>
    <m/>
    <m/>
    <m/>
    <m/>
    <m/>
    <m/>
    <m/>
    <n v="0"/>
    <m/>
    <m/>
    <m/>
    <x v="7"/>
    <s v="Y"/>
    <m/>
    <m/>
    <m/>
    <m/>
    <n v="2837"/>
    <m/>
    <m/>
    <m/>
    <m/>
    <m/>
    <m/>
    <m/>
    <m/>
    <m/>
    <m/>
    <m/>
    <m/>
    <m/>
  </r>
  <r>
    <m/>
    <n v="52"/>
    <x v="57"/>
    <d v="2001-08-01T00:00:00"/>
    <x v="6"/>
    <x v="2"/>
    <m/>
    <n v="2001"/>
    <n v="16"/>
    <s v="LAC"/>
    <s v="Nicaragua"/>
    <m/>
    <s v="Drought"/>
    <s v="Drought"/>
    <s v="Drought"/>
    <m/>
    <m/>
    <m/>
    <m/>
    <m/>
    <s v=""/>
    <m/>
    <m/>
    <m/>
    <m/>
    <m/>
    <m/>
    <m/>
    <m/>
    <m/>
    <m/>
    <m/>
    <n v="0"/>
    <m/>
    <m/>
    <m/>
    <m/>
    <m/>
    <m/>
    <m/>
    <m/>
    <m/>
    <m/>
    <m/>
    <m/>
    <m/>
    <m/>
    <m/>
    <m/>
    <m/>
    <m/>
    <m/>
    <m/>
    <n v="0"/>
    <m/>
    <m/>
    <m/>
    <x v="7"/>
    <s v="Y"/>
    <m/>
    <m/>
    <m/>
    <m/>
    <n v="2837"/>
    <m/>
    <m/>
    <m/>
    <m/>
    <m/>
    <m/>
    <m/>
    <m/>
    <m/>
    <m/>
    <m/>
    <m/>
    <m/>
  </r>
  <r>
    <m/>
    <n v="52"/>
    <x v="58"/>
    <d v="2001-08-01T00:00:00"/>
    <x v="6"/>
    <x v="2"/>
    <m/>
    <n v="2001"/>
    <n v="16"/>
    <s v="LAC"/>
    <s v="Guatemala"/>
    <m/>
    <s v="Drought"/>
    <s v="Drought"/>
    <s v="Drought"/>
    <m/>
    <m/>
    <m/>
    <m/>
    <m/>
    <s v=""/>
    <m/>
    <m/>
    <m/>
    <m/>
    <m/>
    <m/>
    <m/>
    <m/>
    <m/>
    <m/>
    <m/>
    <n v="0"/>
    <m/>
    <m/>
    <m/>
    <m/>
    <m/>
    <m/>
    <m/>
    <m/>
    <m/>
    <m/>
    <m/>
    <m/>
    <m/>
    <m/>
    <m/>
    <m/>
    <m/>
    <m/>
    <m/>
    <m/>
    <n v="0"/>
    <m/>
    <m/>
    <m/>
    <x v="7"/>
    <s v="Y"/>
    <m/>
    <m/>
    <m/>
    <m/>
    <n v="2837"/>
    <m/>
    <m/>
    <m/>
    <m/>
    <m/>
    <m/>
    <m/>
    <m/>
    <m/>
    <m/>
    <m/>
    <m/>
    <m/>
  </r>
  <r>
    <m/>
    <n v="53"/>
    <x v="59"/>
    <d v="2001-09-01T00:00:00"/>
    <x v="6"/>
    <x v="3"/>
    <m/>
    <n v="2001"/>
    <n v="17"/>
    <s v="LAC"/>
    <s v="Ecuador"/>
    <m/>
    <s v="Volcano"/>
    <s v="Volcanic Eruption"/>
    <s v="Volcanic Eruption"/>
    <m/>
    <m/>
    <m/>
    <m/>
    <m/>
    <s v=""/>
    <m/>
    <m/>
    <m/>
    <m/>
    <m/>
    <m/>
    <m/>
    <m/>
    <m/>
    <n v="10000"/>
    <m/>
    <n v="10000"/>
    <m/>
    <m/>
    <m/>
    <m/>
    <m/>
    <m/>
    <m/>
    <m/>
    <m/>
    <m/>
    <m/>
    <m/>
    <m/>
    <m/>
    <m/>
    <m/>
    <m/>
    <m/>
    <m/>
    <m/>
    <n v="10000"/>
    <m/>
    <m/>
    <n v="1000"/>
    <x v="6"/>
    <s v="Y"/>
    <m/>
    <m/>
    <m/>
    <m/>
    <n v="2898"/>
    <m/>
    <m/>
    <m/>
    <m/>
    <m/>
    <m/>
    <m/>
    <m/>
    <m/>
    <m/>
    <m/>
    <m/>
    <s v="$10,000 from IDRU in addition to $10,000 from the Americas Region to the Ecuador Red Cross for the Tungurahua Volcano Ash Fall "/>
  </r>
  <r>
    <m/>
    <n v="54"/>
    <x v="60"/>
    <d v="2001-09-01T00:00:00"/>
    <x v="6"/>
    <x v="4"/>
    <m/>
    <n v="2001"/>
    <n v="18"/>
    <s v="Europe/Asia"/>
    <s v="Afghanistan"/>
    <m/>
    <s v="Conflict"/>
    <s v="Conflict"/>
    <s v="Conflict"/>
    <m/>
    <m/>
    <m/>
    <m/>
    <m/>
    <s v=""/>
    <m/>
    <m/>
    <m/>
    <m/>
    <m/>
    <m/>
    <m/>
    <m/>
    <m/>
    <m/>
    <m/>
    <n v="0"/>
    <n v="12"/>
    <m/>
    <m/>
    <m/>
    <m/>
    <m/>
    <m/>
    <m/>
    <m/>
    <m/>
    <m/>
    <m/>
    <m/>
    <m/>
    <m/>
    <m/>
    <m/>
    <m/>
    <n v="2032231"/>
    <n v="200000"/>
    <n v="2232231"/>
    <n v="9767769"/>
    <m/>
    <n v="380000"/>
    <x v="41"/>
    <s v="Y"/>
    <m/>
    <m/>
    <m/>
    <m/>
    <n v="2677"/>
    <m/>
    <m/>
    <m/>
    <m/>
    <m/>
    <m/>
    <m/>
    <m/>
    <m/>
    <m/>
    <m/>
    <m/>
    <s v="AFAC is a partnership with the White House.  Final report issued in August 2006."/>
  </r>
  <r>
    <m/>
    <n v="54"/>
    <x v="61"/>
    <d v="2001-09-01T00:00:00"/>
    <x v="6"/>
    <x v="4"/>
    <m/>
    <n v="2001"/>
    <n v="18"/>
    <s v="Europe/Asia"/>
    <s v="Pakistan"/>
    <m/>
    <s v="Conflict"/>
    <s v="Conflict"/>
    <s v="Conflict"/>
    <m/>
    <m/>
    <m/>
    <m/>
    <m/>
    <s v=""/>
    <m/>
    <m/>
    <m/>
    <m/>
    <m/>
    <m/>
    <m/>
    <m/>
    <m/>
    <m/>
    <m/>
    <n v="0"/>
    <m/>
    <m/>
    <m/>
    <m/>
    <m/>
    <m/>
    <m/>
    <m/>
    <m/>
    <m/>
    <m/>
    <m/>
    <m/>
    <m/>
    <m/>
    <m/>
    <m/>
    <m/>
    <m/>
    <m/>
    <n v="0"/>
    <m/>
    <m/>
    <m/>
    <x v="7"/>
    <s v="Y"/>
    <m/>
    <m/>
    <m/>
    <m/>
    <n v="2677"/>
    <m/>
    <m/>
    <m/>
    <m/>
    <m/>
    <m/>
    <m/>
    <m/>
    <m/>
    <m/>
    <m/>
    <m/>
    <m/>
  </r>
  <r>
    <m/>
    <n v="54"/>
    <x v="62"/>
    <d v="2001-09-01T00:00:00"/>
    <x v="6"/>
    <x v="4"/>
    <m/>
    <n v="2001"/>
    <n v="18"/>
    <s v="Europe/Asia"/>
    <s v="Uzbekistan"/>
    <m/>
    <s v="Conflict"/>
    <s v="Conflict"/>
    <s v="Conflict"/>
    <m/>
    <m/>
    <m/>
    <m/>
    <m/>
    <s v=""/>
    <m/>
    <m/>
    <m/>
    <m/>
    <m/>
    <m/>
    <m/>
    <m/>
    <m/>
    <m/>
    <m/>
    <n v="0"/>
    <m/>
    <m/>
    <m/>
    <m/>
    <m/>
    <m/>
    <m/>
    <m/>
    <m/>
    <m/>
    <m/>
    <m/>
    <m/>
    <m/>
    <m/>
    <m/>
    <m/>
    <m/>
    <m/>
    <m/>
    <n v="0"/>
    <m/>
    <m/>
    <m/>
    <x v="7"/>
    <s v="Y"/>
    <m/>
    <m/>
    <m/>
    <m/>
    <n v="2677"/>
    <m/>
    <m/>
    <m/>
    <m/>
    <m/>
    <m/>
    <m/>
    <m/>
    <m/>
    <m/>
    <m/>
    <m/>
    <m/>
  </r>
  <r>
    <m/>
    <n v="54"/>
    <x v="63"/>
    <d v="2001-09-01T00:00:00"/>
    <x v="6"/>
    <x v="4"/>
    <m/>
    <n v="2001"/>
    <n v="18"/>
    <s v="Europe/Asia"/>
    <s v="Iran"/>
    <m/>
    <s v="Conflict"/>
    <s v="Conflict"/>
    <s v="Conflict"/>
    <m/>
    <m/>
    <m/>
    <m/>
    <m/>
    <s v=""/>
    <m/>
    <m/>
    <m/>
    <m/>
    <m/>
    <m/>
    <m/>
    <m/>
    <m/>
    <m/>
    <m/>
    <n v="0"/>
    <m/>
    <m/>
    <m/>
    <m/>
    <m/>
    <m/>
    <m/>
    <m/>
    <m/>
    <m/>
    <m/>
    <m/>
    <m/>
    <m/>
    <m/>
    <m/>
    <m/>
    <m/>
    <m/>
    <m/>
    <n v="0"/>
    <m/>
    <m/>
    <m/>
    <x v="7"/>
    <s v="Y"/>
    <m/>
    <m/>
    <m/>
    <m/>
    <n v="2677"/>
    <m/>
    <m/>
    <m/>
    <m/>
    <m/>
    <m/>
    <m/>
    <m/>
    <m/>
    <m/>
    <m/>
    <m/>
    <m/>
  </r>
  <r>
    <m/>
    <n v="54"/>
    <x v="64"/>
    <d v="2001-09-01T00:00:00"/>
    <x v="6"/>
    <x v="4"/>
    <m/>
    <n v="2001"/>
    <n v="18"/>
    <s v="Europe/Asia"/>
    <s v="Turkmenistan"/>
    <m/>
    <s v="Conflict"/>
    <s v="Conflict"/>
    <s v="Conflict"/>
    <m/>
    <m/>
    <m/>
    <m/>
    <m/>
    <s v=""/>
    <m/>
    <m/>
    <m/>
    <m/>
    <m/>
    <m/>
    <m/>
    <m/>
    <m/>
    <m/>
    <m/>
    <n v="0"/>
    <m/>
    <m/>
    <m/>
    <m/>
    <m/>
    <m/>
    <m/>
    <m/>
    <m/>
    <m/>
    <m/>
    <m/>
    <m/>
    <m/>
    <m/>
    <m/>
    <m/>
    <m/>
    <m/>
    <m/>
    <n v="0"/>
    <m/>
    <m/>
    <m/>
    <x v="7"/>
    <s v="Y"/>
    <m/>
    <m/>
    <m/>
    <m/>
    <n v="2677"/>
    <m/>
    <m/>
    <m/>
    <m/>
    <m/>
    <m/>
    <m/>
    <m/>
    <m/>
    <m/>
    <m/>
    <m/>
    <m/>
  </r>
  <r>
    <m/>
    <n v="55"/>
    <x v="65"/>
    <d v="2001-09-01T00:00:00"/>
    <x v="6"/>
    <x v="5"/>
    <m/>
    <n v="2001"/>
    <n v="19"/>
    <s v="North America"/>
    <s v="US"/>
    <m/>
    <s v="Terrorism"/>
    <s v="Terrorism"/>
    <s v="Terrorism"/>
    <m/>
    <m/>
    <m/>
    <m/>
    <m/>
    <s v=""/>
    <m/>
    <m/>
    <m/>
    <m/>
    <m/>
    <m/>
    <m/>
    <m/>
    <m/>
    <n v="3257775.37"/>
    <m/>
    <n v="3257775.37"/>
    <n v="30"/>
    <m/>
    <m/>
    <m/>
    <m/>
    <m/>
    <m/>
    <m/>
    <m/>
    <m/>
    <m/>
    <m/>
    <m/>
    <m/>
    <m/>
    <m/>
    <m/>
    <m/>
    <n v="0"/>
    <n v="257704"/>
    <n v="3515479.37"/>
    <m/>
    <m/>
    <n v="2622"/>
    <x v="42"/>
    <s v="Y"/>
    <m/>
    <m/>
    <m/>
    <m/>
    <n v="4949"/>
    <m/>
    <m/>
    <m/>
    <m/>
    <m/>
    <m/>
    <m/>
    <m/>
    <m/>
    <m/>
    <m/>
    <d v="2008-09-11T00:00:00"/>
    <s v="The $3,084,914.31 distributed was to international families of victims of the terrorist attacks.   Beneficiaries: 6 members per each family assisted."/>
  </r>
  <r>
    <m/>
    <n v="56"/>
    <x v="66"/>
    <d v="2001-09-01T00:00:00"/>
    <x v="6"/>
    <x v="6"/>
    <m/>
    <n v="2001"/>
    <n v="20"/>
    <s v="LAC"/>
    <s v="Mexico"/>
    <m/>
    <s v="Transport"/>
    <s v="Air"/>
    <s v="Air"/>
    <m/>
    <m/>
    <m/>
    <m/>
    <m/>
    <s v=""/>
    <m/>
    <m/>
    <m/>
    <m/>
    <m/>
    <m/>
    <m/>
    <m/>
    <m/>
    <m/>
    <m/>
    <n v="0"/>
    <n v="4"/>
    <m/>
    <m/>
    <m/>
    <m/>
    <m/>
    <m/>
    <m/>
    <m/>
    <m/>
    <m/>
    <m/>
    <m/>
    <m/>
    <m/>
    <m/>
    <m/>
    <m/>
    <n v="0"/>
    <n v="15000"/>
    <n v="15000"/>
    <m/>
    <m/>
    <n v="95"/>
    <x v="18"/>
    <s v="Y"/>
    <m/>
    <m/>
    <m/>
    <m/>
    <n v="2679"/>
    <m/>
    <m/>
    <m/>
    <m/>
    <m/>
    <m/>
    <m/>
    <m/>
    <m/>
    <m/>
    <m/>
    <s v="Plane Crash"/>
    <s v="Financial contribution made to memorial; beneficiaries: 5 members per each family assisted."/>
  </r>
  <r>
    <m/>
    <n v="57"/>
    <x v="67"/>
    <d v="2001-10-01T00:00:00"/>
    <x v="6"/>
    <x v="7"/>
    <m/>
    <n v="2001"/>
    <n v="21"/>
    <s v="LAC"/>
    <s v="Mexico"/>
    <m/>
    <s v="Storm"/>
    <s v="Tropical Cyclone"/>
    <s v="Hurricane"/>
    <m/>
    <m/>
    <m/>
    <m/>
    <m/>
    <s v=""/>
    <m/>
    <m/>
    <m/>
    <m/>
    <m/>
    <m/>
    <m/>
    <m/>
    <m/>
    <n v="25000"/>
    <m/>
    <n v="25000"/>
    <n v="1"/>
    <m/>
    <m/>
    <m/>
    <m/>
    <m/>
    <m/>
    <m/>
    <m/>
    <m/>
    <m/>
    <m/>
    <m/>
    <m/>
    <m/>
    <m/>
    <m/>
    <m/>
    <m/>
    <m/>
    <n v="25000"/>
    <m/>
    <m/>
    <n v="5000"/>
    <x v="8"/>
    <s v="Y"/>
    <m/>
    <m/>
    <m/>
    <m/>
    <n v="2898"/>
    <m/>
    <m/>
    <m/>
    <m/>
    <m/>
    <m/>
    <m/>
    <m/>
    <m/>
    <m/>
    <m/>
    <s v="Juliette"/>
    <s v="Financial contribution designated for relief supplies.  Beneficiaries: 5 members per each family assisted."/>
  </r>
  <r>
    <m/>
    <n v="58"/>
    <x v="68"/>
    <d v="2001-10-01T00:00:00"/>
    <x v="6"/>
    <x v="8"/>
    <m/>
    <n v="2001"/>
    <n v="22"/>
    <s v="LAC"/>
    <s v="Belize"/>
    <m/>
    <s v="Meteorological"/>
    <s v="Tropical Cyclone"/>
    <s v="Hurricane"/>
    <m/>
    <m/>
    <m/>
    <m/>
    <m/>
    <s v=""/>
    <m/>
    <m/>
    <m/>
    <m/>
    <m/>
    <m/>
    <m/>
    <m/>
    <m/>
    <n v="25000"/>
    <m/>
    <n v="25000"/>
    <n v="3"/>
    <m/>
    <m/>
    <m/>
    <m/>
    <m/>
    <m/>
    <m/>
    <m/>
    <m/>
    <m/>
    <m/>
    <m/>
    <m/>
    <m/>
    <m/>
    <m/>
    <m/>
    <n v="69000"/>
    <n v="3982"/>
    <n v="97982"/>
    <m/>
    <m/>
    <n v="5000"/>
    <x v="43"/>
    <s v="Y"/>
    <m/>
    <m/>
    <m/>
    <m/>
    <n v="2678"/>
    <m/>
    <m/>
    <m/>
    <m/>
    <m/>
    <m/>
    <m/>
    <m/>
    <m/>
    <m/>
    <m/>
    <s v="Iris"/>
    <s v="$20,000 for hygiene kits; $19,000 given to Guatemala ARC delegation for hygiene kits and $50,000 in relief supplies to BRC."/>
  </r>
  <r>
    <m/>
    <n v="59"/>
    <x v="69"/>
    <d v="2001-10-01T00:00:00"/>
    <x v="6"/>
    <x v="9"/>
    <m/>
    <n v="2001"/>
    <n v="23"/>
    <s v="LAC"/>
    <s v="Belize"/>
    <m/>
    <s v="Transport"/>
    <s v="Water"/>
    <s v="Water"/>
    <m/>
    <m/>
    <m/>
    <m/>
    <m/>
    <s v=""/>
    <m/>
    <m/>
    <m/>
    <m/>
    <m/>
    <m/>
    <m/>
    <m/>
    <m/>
    <m/>
    <m/>
    <n v="0"/>
    <n v="2"/>
    <m/>
    <m/>
    <m/>
    <m/>
    <m/>
    <m/>
    <m/>
    <m/>
    <m/>
    <m/>
    <m/>
    <m/>
    <m/>
    <m/>
    <m/>
    <m/>
    <m/>
    <n v="0"/>
    <n v="4400"/>
    <n v="4400"/>
    <m/>
    <m/>
    <n v="135"/>
    <x v="44"/>
    <s v="Y"/>
    <m/>
    <m/>
    <m/>
    <m/>
    <n v="2898"/>
    <m/>
    <m/>
    <m/>
    <m/>
    <m/>
    <m/>
    <m/>
    <m/>
    <m/>
    <m/>
    <m/>
    <s v="Boat Crash"/>
    <s v="Beneficiaries calculated at 5 family members per each 27 families assisted."/>
  </r>
  <r>
    <m/>
    <n v="60"/>
    <x v="70"/>
    <d v="2001-10-01T00:00:00"/>
    <x v="6"/>
    <x v="10"/>
    <m/>
    <n v="2001"/>
    <n v="24"/>
    <s v="LAC"/>
    <s v="Honduras"/>
    <m/>
    <s v="Storm"/>
    <s v="Tropical Cyclone"/>
    <s v="Tropical Storm"/>
    <m/>
    <m/>
    <m/>
    <m/>
    <m/>
    <s v=""/>
    <m/>
    <m/>
    <m/>
    <m/>
    <m/>
    <m/>
    <m/>
    <m/>
    <m/>
    <m/>
    <m/>
    <n v="0"/>
    <m/>
    <m/>
    <m/>
    <m/>
    <m/>
    <m/>
    <m/>
    <m/>
    <m/>
    <m/>
    <m/>
    <m/>
    <m/>
    <m/>
    <m/>
    <m/>
    <m/>
    <m/>
    <m/>
    <m/>
    <n v="0"/>
    <m/>
    <m/>
    <m/>
    <x v="7"/>
    <s v="Y"/>
    <m/>
    <m/>
    <m/>
    <m/>
    <n v="2898"/>
    <m/>
    <m/>
    <m/>
    <m/>
    <m/>
    <m/>
    <m/>
    <m/>
    <m/>
    <m/>
    <m/>
    <s v="Michelle"/>
    <m/>
  </r>
  <r>
    <m/>
    <n v="60"/>
    <x v="71"/>
    <d v="2001-11-01T00:00:00"/>
    <x v="6"/>
    <x v="10"/>
    <m/>
    <n v="2001"/>
    <n v="24"/>
    <s v="LAC"/>
    <s v="Nicaragua"/>
    <m/>
    <s v="Storm"/>
    <s v="Tropical Cyclone"/>
    <s v="Tropical Storm"/>
    <m/>
    <m/>
    <m/>
    <m/>
    <m/>
    <s v=""/>
    <m/>
    <m/>
    <m/>
    <m/>
    <m/>
    <m/>
    <m/>
    <m/>
    <m/>
    <m/>
    <m/>
    <n v="0"/>
    <m/>
    <m/>
    <m/>
    <m/>
    <m/>
    <m/>
    <m/>
    <m/>
    <m/>
    <m/>
    <m/>
    <m/>
    <m/>
    <m/>
    <m/>
    <m/>
    <m/>
    <m/>
    <m/>
    <n v="60000"/>
    <n v="60000"/>
    <m/>
    <m/>
    <n v="5000"/>
    <x v="45"/>
    <s v="Y"/>
    <m/>
    <m/>
    <m/>
    <m/>
    <n v="2898"/>
    <m/>
    <m/>
    <m/>
    <m/>
    <m/>
    <m/>
    <m/>
    <m/>
    <m/>
    <m/>
    <m/>
    <s v="Michelle"/>
    <s v="$10,000 from Nicaragua delegation for procurement of relief supplies.  $50,000 from OFDA for Honduras. (The 1,000 families assisted were in Honduras through the Emergency Food Rations) "/>
  </r>
  <r>
    <m/>
    <n v="60"/>
    <x v="72"/>
    <d v="2001-11-01T00:00:00"/>
    <x v="6"/>
    <x v="10"/>
    <m/>
    <n v="2001"/>
    <n v="24"/>
    <s v="LAC"/>
    <s v="Cuba"/>
    <m/>
    <s v="Storm"/>
    <s v="Tropical Cyclone"/>
    <s v="Tropical Storm"/>
    <m/>
    <m/>
    <m/>
    <m/>
    <m/>
    <s v=""/>
    <m/>
    <m/>
    <m/>
    <m/>
    <m/>
    <m/>
    <m/>
    <m/>
    <m/>
    <m/>
    <m/>
    <n v="0"/>
    <m/>
    <m/>
    <m/>
    <m/>
    <m/>
    <m/>
    <m/>
    <m/>
    <m/>
    <m/>
    <m/>
    <m/>
    <m/>
    <m/>
    <m/>
    <m/>
    <m/>
    <m/>
    <m/>
    <m/>
    <n v="0"/>
    <m/>
    <m/>
    <m/>
    <x v="7"/>
    <s v="Y"/>
    <m/>
    <m/>
    <m/>
    <m/>
    <n v="2898"/>
    <m/>
    <m/>
    <m/>
    <m/>
    <m/>
    <m/>
    <m/>
    <m/>
    <m/>
    <m/>
    <m/>
    <s v="Michelle"/>
    <m/>
  </r>
  <r>
    <m/>
    <n v="60"/>
    <x v="73"/>
    <d v="2001-11-01T00:00:00"/>
    <x v="6"/>
    <x v="10"/>
    <m/>
    <n v="2001"/>
    <n v="24"/>
    <s v="LAC"/>
    <s v="Jamaica"/>
    <m/>
    <s v="Storm"/>
    <s v="Tropical Cyclone"/>
    <s v="Tropical Storm"/>
    <m/>
    <m/>
    <m/>
    <m/>
    <m/>
    <s v=""/>
    <m/>
    <m/>
    <m/>
    <m/>
    <m/>
    <m/>
    <m/>
    <m/>
    <m/>
    <n v="5000"/>
    <m/>
    <n v="5000"/>
    <m/>
    <m/>
    <m/>
    <m/>
    <m/>
    <m/>
    <m/>
    <m/>
    <m/>
    <m/>
    <m/>
    <m/>
    <m/>
    <m/>
    <m/>
    <m/>
    <m/>
    <m/>
    <m/>
    <m/>
    <n v="5000"/>
    <m/>
    <m/>
    <m/>
    <x v="46"/>
    <s v="Y"/>
    <m/>
    <m/>
    <m/>
    <m/>
    <n v="2898"/>
    <m/>
    <m/>
    <m/>
    <m/>
    <m/>
    <m/>
    <m/>
    <m/>
    <m/>
    <m/>
    <m/>
    <s v="Michelle"/>
    <m/>
  </r>
  <r>
    <m/>
    <n v="61"/>
    <x v="13"/>
    <d v="2001-11-01T00:00:00"/>
    <x v="6"/>
    <x v="11"/>
    <m/>
    <n v="2001"/>
    <n v="25"/>
    <s v="LAC"/>
    <s v="Bahamas"/>
    <m/>
    <s v="Storm"/>
    <s v="Tropical Cyclone"/>
    <s v="Tropical Storm"/>
    <m/>
    <m/>
    <m/>
    <m/>
    <m/>
    <s v=""/>
    <m/>
    <m/>
    <m/>
    <m/>
    <m/>
    <m/>
    <m/>
    <m/>
    <m/>
    <n v="5000"/>
    <m/>
    <n v="5000"/>
    <n v="0"/>
    <m/>
    <m/>
    <m/>
    <m/>
    <m/>
    <m/>
    <m/>
    <m/>
    <m/>
    <m/>
    <m/>
    <m/>
    <m/>
    <m/>
    <m/>
    <m/>
    <m/>
    <m/>
    <m/>
    <n v="5000"/>
    <m/>
    <m/>
    <m/>
    <x v="46"/>
    <s v="Y"/>
    <m/>
    <m/>
    <m/>
    <m/>
    <n v="2898"/>
    <m/>
    <m/>
    <m/>
    <m/>
    <m/>
    <m/>
    <m/>
    <m/>
    <m/>
    <m/>
    <m/>
    <s v="Michelle"/>
    <m/>
  </r>
  <r>
    <m/>
    <n v="62"/>
    <x v="74"/>
    <d v="2001-11-01T00:00:00"/>
    <x v="6"/>
    <x v="12"/>
    <m/>
    <n v="2001"/>
    <n v="26"/>
    <s v="North America"/>
    <s v="US"/>
    <m/>
    <s v="Transport"/>
    <s v="Air"/>
    <s v="Air"/>
    <m/>
    <m/>
    <m/>
    <m/>
    <m/>
    <s v=""/>
    <m/>
    <m/>
    <m/>
    <m/>
    <m/>
    <m/>
    <m/>
    <m/>
    <m/>
    <m/>
    <m/>
    <n v="0"/>
    <n v="5"/>
    <m/>
    <m/>
    <m/>
    <m/>
    <m/>
    <m/>
    <m/>
    <m/>
    <m/>
    <m/>
    <m/>
    <m/>
    <m/>
    <m/>
    <m/>
    <m/>
    <m/>
    <n v="0"/>
    <n v="500"/>
    <n v="500"/>
    <m/>
    <m/>
    <m/>
    <x v="47"/>
    <s v="Y"/>
    <m/>
    <m/>
    <m/>
    <m/>
    <n v="2680"/>
    <m/>
    <m/>
    <m/>
    <m/>
    <m/>
    <m/>
    <m/>
    <m/>
    <m/>
    <m/>
    <m/>
    <s v="AA #587"/>
    <s v="Crash of AA 587 to D.R.  Beneficiaries calculated at 5 family members per each 260 families assisted."/>
  </r>
  <r>
    <m/>
    <n v="63"/>
    <x v="75"/>
    <d v="2002-01-01T00:00:00"/>
    <x v="6"/>
    <x v="13"/>
    <m/>
    <n v="2002"/>
    <n v="1"/>
    <s v="Europe/Asia"/>
    <s v="Cambodia"/>
    <m/>
    <s v="Miscellaneous"/>
    <s v="Fire"/>
    <s v="Urban Fire"/>
    <m/>
    <m/>
    <m/>
    <m/>
    <m/>
    <s v=""/>
    <m/>
    <m/>
    <m/>
    <m/>
    <m/>
    <m/>
    <m/>
    <m/>
    <m/>
    <m/>
    <m/>
    <n v="0"/>
    <m/>
    <m/>
    <m/>
    <m/>
    <m/>
    <m/>
    <m/>
    <m/>
    <m/>
    <m/>
    <m/>
    <m/>
    <m/>
    <m/>
    <m/>
    <m/>
    <m/>
    <m/>
    <n v="10000"/>
    <m/>
    <n v="10000"/>
    <m/>
    <m/>
    <n v="2079"/>
    <x v="6"/>
    <s v="Y"/>
    <m/>
    <m/>
    <m/>
    <m/>
    <n v="2898"/>
    <m/>
    <m/>
    <m/>
    <m/>
    <m/>
    <m/>
    <m/>
    <m/>
    <m/>
    <m/>
    <m/>
    <s v="Phnom Penh"/>
    <m/>
  </r>
  <r>
    <m/>
    <n v="64"/>
    <x v="76"/>
    <d v="2002-01-01T00:00:00"/>
    <x v="6"/>
    <x v="14"/>
    <m/>
    <n v="2002"/>
    <n v="2"/>
    <s v="Europe/Asia"/>
    <s v="Albania"/>
    <m/>
    <s v="Storm"/>
    <s v="Winter Emergency"/>
    <m/>
    <m/>
    <m/>
    <m/>
    <m/>
    <m/>
    <s v=""/>
    <m/>
    <m/>
    <m/>
    <m/>
    <m/>
    <m/>
    <m/>
    <m/>
    <m/>
    <m/>
    <m/>
    <n v="0"/>
    <n v="1"/>
    <m/>
    <m/>
    <m/>
    <m/>
    <m/>
    <m/>
    <m/>
    <m/>
    <m/>
    <m/>
    <m/>
    <m/>
    <m/>
    <m/>
    <m/>
    <m/>
    <m/>
    <n v="71832"/>
    <m/>
    <n v="71832"/>
    <m/>
    <m/>
    <n v="20000"/>
    <x v="48"/>
    <s v="Y"/>
    <m/>
    <m/>
    <m/>
    <m/>
    <n v="2898"/>
    <m/>
    <m/>
    <m/>
    <m/>
    <m/>
    <m/>
    <m/>
    <m/>
    <m/>
    <m/>
    <m/>
    <m/>
    <s v="Beneficiaries calculated at 5 family members per the 4,000 families assisted."/>
  </r>
  <r>
    <m/>
    <n v="65"/>
    <x v="77"/>
    <d v="2002-01-01T00:00:00"/>
    <x v="6"/>
    <x v="15"/>
    <m/>
    <n v="2002"/>
    <n v="3"/>
    <s v="Africa"/>
    <s v="DR Congo"/>
    <m/>
    <s v="Volcano"/>
    <s v="Volcanic Eruption"/>
    <s v="Volcanic Eruption"/>
    <m/>
    <m/>
    <m/>
    <m/>
    <m/>
    <s v=""/>
    <m/>
    <m/>
    <m/>
    <m/>
    <m/>
    <m/>
    <n v="0"/>
    <n v="25000"/>
    <m/>
    <m/>
    <m/>
    <n v="25000"/>
    <m/>
    <m/>
    <m/>
    <m/>
    <m/>
    <m/>
    <m/>
    <m/>
    <m/>
    <m/>
    <m/>
    <m/>
    <m/>
    <m/>
    <m/>
    <m/>
    <m/>
    <m/>
    <n v="20000"/>
    <m/>
    <n v="45000"/>
    <m/>
    <m/>
    <n v="30000"/>
    <x v="49"/>
    <s v="Y"/>
    <m/>
    <m/>
    <m/>
    <m/>
    <n v="2681"/>
    <m/>
    <m/>
    <m/>
    <m/>
    <m/>
    <m/>
    <m/>
    <m/>
    <m/>
    <m/>
    <m/>
    <s v="North Kivu"/>
    <s v="3 NEHK (approx. value $20,000 incl. transport) = 30,000 people for 3 months."/>
  </r>
  <r>
    <m/>
    <n v="66"/>
    <x v="78"/>
    <d v="2002-01-01T00:00:00"/>
    <x v="6"/>
    <x v="17"/>
    <m/>
    <n v="2002"/>
    <n v="5"/>
    <s v="Africa"/>
    <s v="Nigeria"/>
    <m/>
    <s v="Industrial"/>
    <s v="Explosion"/>
    <s v="Explosion"/>
    <m/>
    <m/>
    <m/>
    <m/>
    <m/>
    <s v=""/>
    <m/>
    <m/>
    <m/>
    <m/>
    <m/>
    <m/>
    <n v="0"/>
    <n v="21612.23"/>
    <m/>
    <m/>
    <m/>
    <n v="21612.23"/>
    <m/>
    <m/>
    <m/>
    <m/>
    <m/>
    <m/>
    <m/>
    <m/>
    <m/>
    <m/>
    <m/>
    <m/>
    <m/>
    <m/>
    <m/>
    <m/>
    <m/>
    <m/>
    <m/>
    <m/>
    <n v="21612.23"/>
    <m/>
    <m/>
    <n v="677.77942515832501"/>
    <x v="50"/>
    <s v="Y"/>
    <m/>
    <m/>
    <m/>
    <m/>
    <n v="2682"/>
    <m/>
    <m/>
    <m/>
    <m/>
    <m/>
    <m/>
    <m/>
    <m/>
    <m/>
    <m/>
    <m/>
    <s v="Munitions Explosion"/>
    <s v="$20,000 Citicorp donation; $1,612.23 PMN sent to Federation 22 August 03"/>
  </r>
  <r>
    <m/>
    <n v="67"/>
    <x v="9"/>
    <d v="2002-02-01T00:00:00"/>
    <x v="6"/>
    <x v="16"/>
    <m/>
    <n v="2002"/>
    <n v="4"/>
    <s v="Europe/Asia"/>
    <s v="Turkey"/>
    <m/>
    <s v="Earthquake"/>
    <s v="Earthquake"/>
    <s v="Earthquake"/>
    <m/>
    <m/>
    <m/>
    <m/>
    <m/>
    <s v=""/>
    <m/>
    <m/>
    <m/>
    <m/>
    <m/>
    <m/>
    <m/>
    <m/>
    <m/>
    <m/>
    <m/>
    <n v="0"/>
    <n v="1"/>
    <m/>
    <m/>
    <m/>
    <m/>
    <m/>
    <m/>
    <m/>
    <m/>
    <m/>
    <m/>
    <m/>
    <m/>
    <m/>
    <m/>
    <m/>
    <m/>
    <m/>
    <n v="350424.24"/>
    <m/>
    <n v="350424.24"/>
    <m/>
    <m/>
    <n v="49315"/>
    <x v="51"/>
    <s v="Y"/>
    <m/>
    <m/>
    <m/>
    <m/>
    <n v="2814"/>
    <m/>
    <m/>
    <m/>
    <m/>
    <m/>
    <m/>
    <m/>
    <m/>
    <m/>
    <m/>
    <m/>
    <m/>
    <m/>
  </r>
  <r>
    <m/>
    <n v="68"/>
    <x v="48"/>
    <d v="2002-03-01T00:00:00"/>
    <x v="6"/>
    <x v="18"/>
    <m/>
    <n v="2002"/>
    <n v="6"/>
    <s v="LAC"/>
    <s v="Bolivia"/>
    <m/>
    <s v="Floods"/>
    <s v="General Floods"/>
    <s v="General Floods"/>
    <m/>
    <m/>
    <m/>
    <m/>
    <m/>
    <s v=""/>
    <m/>
    <m/>
    <m/>
    <m/>
    <m/>
    <m/>
    <m/>
    <m/>
    <m/>
    <n v="11700"/>
    <m/>
    <n v="11700"/>
    <m/>
    <m/>
    <m/>
    <m/>
    <m/>
    <m/>
    <m/>
    <m/>
    <m/>
    <m/>
    <m/>
    <m/>
    <m/>
    <m/>
    <m/>
    <m/>
    <m/>
    <m/>
    <m/>
    <m/>
    <n v="11700"/>
    <m/>
    <m/>
    <n v="300"/>
    <x v="52"/>
    <s v="Y"/>
    <m/>
    <m/>
    <m/>
    <m/>
    <n v="2898"/>
    <m/>
    <m/>
    <m/>
    <m/>
    <m/>
    <m/>
    <m/>
    <m/>
    <m/>
    <m/>
    <m/>
    <m/>
    <m/>
  </r>
  <r>
    <m/>
    <n v="69"/>
    <x v="79"/>
    <d v="2002-03-01T00:00:00"/>
    <x v="6"/>
    <x v="19"/>
    <m/>
    <n v="2002"/>
    <n v="7"/>
    <s v="Europe/Asia"/>
    <s v="Afghanistan"/>
    <m/>
    <s v="Earthquake"/>
    <s v="Earthquake"/>
    <s v="Earthquake"/>
    <m/>
    <m/>
    <m/>
    <m/>
    <m/>
    <s v=""/>
    <m/>
    <m/>
    <m/>
    <m/>
    <m/>
    <m/>
    <m/>
    <m/>
    <n v="104805"/>
    <m/>
    <m/>
    <n v="104805"/>
    <n v="2"/>
    <m/>
    <m/>
    <m/>
    <m/>
    <m/>
    <m/>
    <m/>
    <m/>
    <m/>
    <m/>
    <m/>
    <m/>
    <m/>
    <m/>
    <m/>
    <m/>
    <m/>
    <m/>
    <m/>
    <n v="104805"/>
    <m/>
    <m/>
    <n v="19678.7"/>
    <x v="53"/>
    <s v="Y"/>
    <m/>
    <m/>
    <m/>
    <m/>
    <n v="2876"/>
    <m/>
    <m/>
    <m/>
    <m/>
    <m/>
    <m/>
    <m/>
    <m/>
    <m/>
    <m/>
    <m/>
    <m/>
    <s v="NEHK for Mazar e Sharif "/>
  </r>
  <r>
    <m/>
    <n v="70"/>
    <x v="36"/>
    <d v="2002-04-01T00:00:00"/>
    <x v="6"/>
    <x v="23"/>
    <m/>
    <n v="2002"/>
    <n v="8"/>
    <s v="Europe/Asia"/>
    <s v="Jordan"/>
    <m/>
    <s v="Conflict"/>
    <s v="Conflict"/>
    <s v="Conflict"/>
    <m/>
    <m/>
    <m/>
    <m/>
    <m/>
    <s v=""/>
    <m/>
    <m/>
    <m/>
    <m/>
    <m/>
    <m/>
    <n v="0"/>
    <n v="25000"/>
    <m/>
    <n v="200000"/>
    <m/>
    <n v="225000"/>
    <n v="1"/>
    <m/>
    <m/>
    <m/>
    <m/>
    <m/>
    <m/>
    <m/>
    <m/>
    <m/>
    <m/>
    <m/>
    <m/>
    <m/>
    <m/>
    <m/>
    <m/>
    <m/>
    <m/>
    <m/>
    <n v="225000"/>
    <m/>
    <m/>
    <m/>
    <x v="54"/>
    <s v="Y"/>
    <m/>
    <m/>
    <m/>
    <m/>
    <n v="2898"/>
    <m/>
    <m/>
    <m/>
    <m/>
    <m/>
    <m/>
    <m/>
    <m/>
    <m/>
    <m/>
    <m/>
    <m/>
    <s v="Second Installment for ICU sent in Nov 2002"/>
  </r>
  <r>
    <m/>
    <n v="71"/>
    <x v="80"/>
    <d v="2002-05-01T00:00:00"/>
    <x v="6"/>
    <x v="20"/>
    <m/>
    <n v="2002"/>
    <n v="9"/>
    <s v="LAC"/>
    <s v="Panama"/>
    <m/>
    <s v="Floods"/>
    <s v="General Floods"/>
    <s v="General Floods"/>
    <m/>
    <m/>
    <m/>
    <m/>
    <m/>
    <s v=""/>
    <m/>
    <m/>
    <m/>
    <m/>
    <m/>
    <m/>
    <m/>
    <m/>
    <m/>
    <n v="2000"/>
    <m/>
    <n v="2000"/>
    <m/>
    <m/>
    <m/>
    <m/>
    <m/>
    <m/>
    <m/>
    <m/>
    <m/>
    <m/>
    <m/>
    <m/>
    <m/>
    <m/>
    <m/>
    <m/>
    <m/>
    <m/>
    <m/>
    <m/>
    <n v="2000"/>
    <m/>
    <m/>
    <m/>
    <x v="55"/>
    <s v="Y"/>
    <m/>
    <m/>
    <m/>
    <m/>
    <n v="2898"/>
    <m/>
    <m/>
    <m/>
    <m/>
    <m/>
    <m/>
    <m/>
    <m/>
    <m/>
    <m/>
    <m/>
    <m/>
    <m/>
  </r>
  <r>
    <m/>
    <n v="71"/>
    <x v="7"/>
    <d v="2002-05-01T00:00:00"/>
    <x v="6"/>
    <x v="20"/>
    <m/>
    <n v="2002"/>
    <n v="9"/>
    <s v="LAC"/>
    <s v="Costa Rica"/>
    <m/>
    <s v="Floods"/>
    <s v="General Floods"/>
    <s v="General Floods"/>
    <m/>
    <m/>
    <m/>
    <m/>
    <m/>
    <s v=""/>
    <m/>
    <m/>
    <m/>
    <m/>
    <m/>
    <m/>
    <m/>
    <m/>
    <m/>
    <n v="2000"/>
    <m/>
    <n v="2000"/>
    <m/>
    <m/>
    <m/>
    <m/>
    <m/>
    <m/>
    <m/>
    <m/>
    <m/>
    <m/>
    <m/>
    <m/>
    <m/>
    <m/>
    <m/>
    <m/>
    <m/>
    <m/>
    <m/>
    <m/>
    <n v="2000"/>
    <m/>
    <m/>
    <n v="0"/>
    <x v="55"/>
    <s v="Y"/>
    <m/>
    <m/>
    <m/>
    <m/>
    <n v="2898"/>
    <m/>
    <m/>
    <m/>
    <m/>
    <m/>
    <m/>
    <m/>
    <m/>
    <m/>
    <m/>
    <m/>
    <m/>
    <m/>
  </r>
  <r>
    <m/>
    <n v="72"/>
    <x v="81"/>
    <d v="2002-05-01T00:00:00"/>
    <x v="6"/>
    <x v="21"/>
    <m/>
    <n v="2002"/>
    <n v="10"/>
    <s v="Africa"/>
    <s v="Kenya"/>
    <m/>
    <s v="Floods"/>
    <s v="General Floods"/>
    <s v="General Floods"/>
    <m/>
    <m/>
    <m/>
    <m/>
    <m/>
    <s v=""/>
    <m/>
    <m/>
    <m/>
    <m/>
    <m/>
    <m/>
    <n v="0"/>
    <n v="10000"/>
    <m/>
    <m/>
    <m/>
    <n v="10000"/>
    <m/>
    <m/>
    <m/>
    <m/>
    <m/>
    <m/>
    <m/>
    <m/>
    <m/>
    <m/>
    <m/>
    <m/>
    <m/>
    <m/>
    <m/>
    <m/>
    <m/>
    <m/>
    <m/>
    <m/>
    <n v="10000"/>
    <m/>
    <m/>
    <n v="1160.6960462049883"/>
    <x v="6"/>
    <s v="Y"/>
    <m/>
    <m/>
    <m/>
    <m/>
    <n v="2898"/>
    <m/>
    <m/>
    <m/>
    <m/>
    <m/>
    <m/>
    <m/>
    <m/>
    <m/>
    <m/>
    <m/>
    <m/>
    <m/>
  </r>
  <r>
    <m/>
    <n v="73"/>
    <x v="82"/>
    <d v="2002-05-01T00:00:00"/>
    <x v="6"/>
    <x v="22"/>
    <m/>
    <n v="2002"/>
    <n v="11"/>
    <s v="Africa"/>
    <s v="Malawi"/>
    <m/>
    <s v="Food Insecurity"/>
    <s v="Food Insecurity"/>
    <s v="Food Insecurity"/>
    <m/>
    <m/>
    <m/>
    <m/>
    <m/>
    <s v=""/>
    <m/>
    <m/>
    <m/>
    <m/>
    <m/>
    <m/>
    <m/>
    <m/>
    <m/>
    <m/>
    <m/>
    <n v="0"/>
    <n v="3"/>
    <m/>
    <m/>
    <m/>
    <m/>
    <m/>
    <m/>
    <m/>
    <m/>
    <m/>
    <m/>
    <m/>
    <m/>
    <m/>
    <m/>
    <m/>
    <m/>
    <m/>
    <m/>
    <n v="100000"/>
    <n v="100000"/>
    <m/>
    <m/>
    <n v="96000"/>
    <x v="5"/>
    <s v="Y"/>
    <m/>
    <m/>
    <m/>
    <m/>
    <n v="2683"/>
    <m/>
    <m/>
    <m/>
    <m/>
    <m/>
    <m/>
    <m/>
    <m/>
    <m/>
    <m/>
    <m/>
    <m/>
    <m/>
  </r>
  <r>
    <m/>
    <n v="74"/>
    <x v="83"/>
    <d v="2002-06-01T00:00:00"/>
    <x v="6"/>
    <x v="24"/>
    <m/>
    <n v="2002"/>
    <n v="12"/>
    <s v="LAC"/>
    <s v="Nicaragua"/>
    <m/>
    <s v="Floods"/>
    <s v="General Floods"/>
    <s v="General Floods"/>
    <m/>
    <m/>
    <m/>
    <m/>
    <m/>
    <s v=""/>
    <m/>
    <m/>
    <m/>
    <m/>
    <m/>
    <m/>
    <m/>
    <m/>
    <m/>
    <m/>
    <m/>
    <n v="0"/>
    <n v="1"/>
    <m/>
    <m/>
    <m/>
    <m/>
    <m/>
    <m/>
    <m/>
    <m/>
    <m/>
    <m/>
    <m/>
    <m/>
    <m/>
    <m/>
    <m/>
    <m/>
    <m/>
    <m/>
    <m/>
    <n v="0"/>
    <m/>
    <m/>
    <n v="0"/>
    <x v="7"/>
    <s v="Y"/>
    <m/>
    <m/>
    <m/>
    <m/>
    <n v="2821"/>
    <m/>
    <m/>
    <m/>
    <m/>
    <m/>
    <m/>
    <m/>
    <m/>
    <m/>
    <m/>
    <m/>
    <m/>
    <s v="supervised dist. of $50,000 of supplies given to NRC by USAID"/>
  </r>
  <r>
    <m/>
    <n v="75"/>
    <x v="84"/>
    <d v="2002-06-01T00:00:00"/>
    <x v="6"/>
    <x v="25"/>
    <m/>
    <n v="2002"/>
    <n v="13"/>
    <s v="Europe/Asia"/>
    <s v="Syria"/>
    <m/>
    <s v="Miscellaneous"/>
    <s v="Collapse"/>
    <s v="Collapse"/>
    <m/>
    <m/>
    <m/>
    <m/>
    <m/>
    <s v=""/>
    <m/>
    <m/>
    <m/>
    <m/>
    <m/>
    <m/>
    <n v="0"/>
    <n v="10000"/>
    <m/>
    <m/>
    <m/>
    <n v="10000"/>
    <m/>
    <m/>
    <m/>
    <m/>
    <m/>
    <m/>
    <m/>
    <m/>
    <m/>
    <m/>
    <m/>
    <m/>
    <m/>
    <m/>
    <m/>
    <m/>
    <m/>
    <m/>
    <m/>
    <m/>
    <n v="10000"/>
    <m/>
    <m/>
    <n v="216.21621621621622"/>
    <x v="6"/>
    <s v="Y"/>
    <m/>
    <m/>
    <m/>
    <m/>
    <n v="2898"/>
    <m/>
    <m/>
    <m/>
    <m/>
    <m/>
    <m/>
    <m/>
    <m/>
    <m/>
    <m/>
    <m/>
    <s v="Dam Burst"/>
    <s v="Federation appeal15/2002 - Zeyzoun Dam Collapse"/>
  </r>
  <r>
    <m/>
    <n v="76"/>
    <x v="8"/>
    <d v="2002-06-01T00:00:00"/>
    <x v="6"/>
    <x v="26"/>
    <m/>
    <n v="2002"/>
    <n v="14"/>
    <s v="Europe/Asia"/>
    <s v="China"/>
    <m/>
    <s v="Floods"/>
    <s v="General Floods"/>
    <s v="General Floods"/>
    <m/>
    <m/>
    <m/>
    <m/>
    <m/>
    <s v=""/>
    <m/>
    <m/>
    <m/>
    <m/>
    <m/>
    <m/>
    <m/>
    <m/>
    <m/>
    <n v="75000"/>
    <m/>
    <n v="75000"/>
    <m/>
    <m/>
    <m/>
    <m/>
    <m/>
    <m/>
    <m/>
    <m/>
    <m/>
    <m/>
    <m/>
    <m/>
    <m/>
    <m/>
    <m/>
    <m/>
    <m/>
    <m/>
    <m/>
    <m/>
    <n v="75000"/>
    <m/>
    <m/>
    <n v="2243.493867783428"/>
    <x v="56"/>
    <s v="Y"/>
    <m/>
    <m/>
    <m/>
    <m/>
    <n v="2060"/>
    <m/>
    <m/>
    <m/>
    <m/>
    <m/>
    <m/>
    <m/>
    <m/>
    <m/>
    <m/>
    <m/>
    <m/>
    <s v="Federation appeal 16/2002; $75,000 from Region"/>
  </r>
  <r>
    <m/>
    <n v="76"/>
    <x v="8"/>
    <d v="2002-06-01T00:00:00"/>
    <x v="6"/>
    <x v="26"/>
    <m/>
    <n v="2002"/>
    <n v="14"/>
    <s v="Europe/Asia"/>
    <s v="China"/>
    <m/>
    <s v="Floods"/>
    <s v="General Floods"/>
    <s v="General Floods"/>
    <m/>
    <m/>
    <m/>
    <m/>
    <m/>
    <s v=""/>
    <m/>
    <m/>
    <m/>
    <m/>
    <m/>
    <m/>
    <m/>
    <m/>
    <m/>
    <n v="25000"/>
    <m/>
    <n v="25000"/>
    <m/>
    <m/>
    <m/>
    <m/>
    <m/>
    <m/>
    <m/>
    <m/>
    <m/>
    <m/>
    <m/>
    <m/>
    <m/>
    <m/>
    <m/>
    <m/>
    <m/>
    <m/>
    <m/>
    <m/>
    <n v="25000"/>
    <m/>
    <m/>
    <m/>
    <x v="8"/>
    <s v="Y"/>
    <m/>
    <m/>
    <m/>
    <m/>
    <n v="2898"/>
    <m/>
    <m/>
    <m/>
    <m/>
    <m/>
    <m/>
    <m/>
    <m/>
    <m/>
    <m/>
    <m/>
    <m/>
    <m/>
  </r>
  <r>
    <m/>
    <n v="76"/>
    <x v="8"/>
    <d v="2002-06-01T00:00:00"/>
    <x v="6"/>
    <x v="26"/>
    <m/>
    <n v="2002"/>
    <n v="14"/>
    <s v="Europe/Asia"/>
    <s v="China"/>
    <m/>
    <s v="Floods"/>
    <s v="General Floods"/>
    <s v="General Floods"/>
    <m/>
    <m/>
    <m/>
    <m/>
    <m/>
    <s v=""/>
    <m/>
    <m/>
    <m/>
    <m/>
    <m/>
    <m/>
    <m/>
    <m/>
    <m/>
    <n v="100000"/>
    <m/>
    <n v="100000"/>
    <m/>
    <m/>
    <m/>
    <m/>
    <m/>
    <m/>
    <m/>
    <m/>
    <m/>
    <m/>
    <m/>
    <m/>
    <m/>
    <m/>
    <m/>
    <m/>
    <m/>
    <m/>
    <m/>
    <m/>
    <n v="100000"/>
    <m/>
    <m/>
    <m/>
    <x v="5"/>
    <s v="N"/>
    <m/>
    <m/>
    <m/>
    <m/>
    <n v="2099"/>
    <m/>
    <m/>
    <m/>
    <m/>
    <m/>
    <m/>
    <m/>
    <m/>
    <m/>
    <m/>
    <m/>
    <m/>
    <s v="$100,000 from Phillip Morris (AP 2099) in October 2002"/>
  </r>
  <r>
    <m/>
    <n v="77"/>
    <x v="51"/>
    <d v="2002-07-01T00:00:00"/>
    <x v="7"/>
    <x v="1"/>
    <m/>
    <n v="2002"/>
    <n v="15"/>
    <s v="Europe/Asia"/>
    <s v="Russian Fed."/>
    <m/>
    <s v="Floods"/>
    <s v="General Floods"/>
    <s v="General Floods"/>
    <m/>
    <m/>
    <m/>
    <m/>
    <m/>
    <s v=""/>
    <m/>
    <m/>
    <m/>
    <m/>
    <m/>
    <m/>
    <m/>
    <m/>
    <m/>
    <n v="50000"/>
    <m/>
    <n v="50000"/>
    <n v="1"/>
    <m/>
    <m/>
    <m/>
    <m/>
    <m/>
    <m/>
    <m/>
    <m/>
    <m/>
    <m/>
    <m/>
    <m/>
    <m/>
    <m/>
    <m/>
    <m/>
    <m/>
    <m/>
    <m/>
    <n v="50000"/>
    <m/>
    <m/>
    <n v="5000"/>
    <x v="16"/>
    <s v="Y"/>
    <m/>
    <m/>
    <m/>
    <m/>
    <n v="2664"/>
    <m/>
    <m/>
    <m/>
    <m/>
    <m/>
    <m/>
    <m/>
    <m/>
    <m/>
    <m/>
    <m/>
    <m/>
    <s v="Dagestan:  IRT Ramsey Rayyis; Federation Appeal 20/2002; grant from US Embassy in Moscow"/>
  </r>
  <r>
    <m/>
    <n v="78"/>
    <x v="85"/>
    <d v="2002-07-01T00:00:00"/>
    <x v="7"/>
    <x v="2"/>
    <m/>
    <n v="2002"/>
    <n v="16"/>
    <s v="Europe/Asia"/>
    <s v="FS Micronesia"/>
    <m/>
    <s v="Storm"/>
    <s v="Tropical Cyclone"/>
    <s v="Typhoon"/>
    <m/>
    <m/>
    <m/>
    <m/>
    <m/>
    <s v=""/>
    <m/>
    <m/>
    <m/>
    <m/>
    <m/>
    <m/>
    <m/>
    <m/>
    <m/>
    <m/>
    <m/>
    <n v="0"/>
    <m/>
    <m/>
    <m/>
    <m/>
    <m/>
    <m/>
    <m/>
    <m/>
    <m/>
    <m/>
    <m/>
    <m/>
    <m/>
    <m/>
    <m/>
    <m/>
    <m/>
    <m/>
    <n v="10000"/>
    <m/>
    <n v="10000"/>
    <m/>
    <m/>
    <n v="1000"/>
    <x v="6"/>
    <s v="Y"/>
    <m/>
    <m/>
    <m/>
    <m/>
    <n v="2898"/>
    <m/>
    <m/>
    <m/>
    <m/>
    <m/>
    <m/>
    <m/>
    <m/>
    <m/>
    <m/>
    <m/>
    <s v="Chata'an"/>
    <s v="Replenished Supplies sent from ARC/Saipan"/>
  </r>
  <r>
    <m/>
    <n v="79"/>
    <x v="86"/>
    <d v="2002-07-01T00:00:00"/>
    <x v="7"/>
    <x v="3"/>
    <m/>
    <n v="2002"/>
    <n v="17"/>
    <s v="LAC"/>
    <s v="Peru"/>
    <m/>
    <s v="Storm"/>
    <s v="Winter Storm"/>
    <s v="Snowstorm"/>
    <m/>
    <m/>
    <m/>
    <m/>
    <m/>
    <s v=""/>
    <m/>
    <m/>
    <m/>
    <m/>
    <m/>
    <m/>
    <n v="0"/>
    <n v="5000"/>
    <m/>
    <m/>
    <m/>
    <n v="5000"/>
    <m/>
    <m/>
    <m/>
    <m/>
    <m/>
    <m/>
    <m/>
    <m/>
    <m/>
    <m/>
    <m/>
    <m/>
    <m/>
    <m/>
    <m/>
    <m/>
    <m/>
    <m/>
    <m/>
    <m/>
    <n v="5000"/>
    <m/>
    <m/>
    <m/>
    <x v="46"/>
    <s v="Y"/>
    <m/>
    <m/>
    <m/>
    <m/>
    <n v="2898"/>
    <m/>
    <m/>
    <m/>
    <m/>
    <m/>
    <m/>
    <m/>
    <m/>
    <m/>
    <m/>
    <m/>
    <m/>
    <s v="DREF Replenishment"/>
  </r>
  <r>
    <m/>
    <n v="80"/>
    <x v="87"/>
    <d v="2002-07-01T00:00:00"/>
    <x v="7"/>
    <x v="4"/>
    <m/>
    <n v="2002"/>
    <n v="18"/>
    <s v="LAC"/>
    <s v="Bolivia"/>
    <m/>
    <s v="Storm"/>
    <s v="Winter Storm"/>
    <s v="Snowstorm"/>
    <m/>
    <m/>
    <m/>
    <m/>
    <m/>
    <s v=""/>
    <m/>
    <m/>
    <m/>
    <m/>
    <m/>
    <m/>
    <n v="0"/>
    <n v="5000"/>
    <m/>
    <m/>
    <m/>
    <n v="5000"/>
    <m/>
    <m/>
    <m/>
    <m/>
    <m/>
    <m/>
    <m/>
    <m/>
    <m/>
    <m/>
    <m/>
    <m/>
    <m/>
    <m/>
    <m/>
    <m/>
    <m/>
    <m/>
    <m/>
    <m/>
    <n v="5000"/>
    <m/>
    <m/>
    <m/>
    <x v="46"/>
    <s v="Y"/>
    <m/>
    <m/>
    <m/>
    <m/>
    <n v="2898"/>
    <m/>
    <m/>
    <m/>
    <m/>
    <m/>
    <m/>
    <m/>
    <m/>
    <m/>
    <m/>
    <m/>
    <m/>
    <s v="DREF Replenishment"/>
  </r>
  <r>
    <m/>
    <n v="81"/>
    <x v="27"/>
    <d v="2002-07-01T00:00:00"/>
    <x v="7"/>
    <x v="5"/>
    <m/>
    <n v="2002"/>
    <n v="19"/>
    <s v="LAC"/>
    <s v="Venezuela"/>
    <m/>
    <s v="Floods"/>
    <s v="General Floods"/>
    <s v="General Floods"/>
    <m/>
    <m/>
    <m/>
    <m/>
    <m/>
    <s v=""/>
    <m/>
    <m/>
    <m/>
    <m/>
    <m/>
    <m/>
    <m/>
    <m/>
    <m/>
    <n v="50000"/>
    <m/>
    <n v="50000"/>
    <n v="1"/>
    <m/>
    <m/>
    <m/>
    <m/>
    <m/>
    <m/>
    <m/>
    <m/>
    <m/>
    <m/>
    <m/>
    <m/>
    <m/>
    <m/>
    <m/>
    <m/>
    <m/>
    <m/>
    <m/>
    <n v="50000"/>
    <m/>
    <m/>
    <n v="3840"/>
    <x v="16"/>
    <s v="Y"/>
    <m/>
    <m/>
    <m/>
    <m/>
    <n v="2912"/>
    <m/>
    <m/>
    <m/>
    <m/>
    <m/>
    <m/>
    <m/>
    <m/>
    <m/>
    <m/>
    <m/>
    <m/>
    <s v="Funds provided by US Embassy; program implemented by Delegates/IRT members based in Caracas"/>
  </r>
  <r>
    <m/>
    <n v="82"/>
    <x v="33"/>
    <d v="2002-08-01T00:00:00"/>
    <x v="7"/>
    <x v="6"/>
    <m/>
    <n v="2002"/>
    <n v="20"/>
    <s v="Europe/Asia"/>
    <s v="India"/>
    <m/>
    <s v="Floods"/>
    <s v="General Floods"/>
    <s v="General Floods"/>
    <m/>
    <m/>
    <m/>
    <m/>
    <m/>
    <s v=""/>
    <m/>
    <m/>
    <m/>
    <m/>
    <m/>
    <m/>
    <n v="1"/>
    <n v="66918.959999999992"/>
    <m/>
    <m/>
    <m/>
    <n v="66918.959999999992"/>
    <n v="7"/>
    <m/>
    <m/>
    <n v="2900"/>
    <m/>
    <m/>
    <m/>
    <m/>
    <m/>
    <m/>
    <m/>
    <m/>
    <m/>
    <m/>
    <m/>
    <m/>
    <m/>
    <m/>
    <n v="122911.16"/>
    <n v="42422.75"/>
    <n v="232252.87"/>
    <m/>
    <m/>
    <n v="36500"/>
    <x v="57"/>
    <s v="Y"/>
    <m/>
    <m/>
    <m/>
    <m/>
    <n v="2954"/>
    <m/>
    <m/>
    <m/>
    <m/>
    <m/>
    <m/>
    <m/>
    <m/>
    <m/>
    <m/>
    <m/>
    <m/>
    <s v="2,900 Family Kits @ $35.88 each; 2 WHO NEHK; 2 WHO Cholera Kits; Flood Mitigation in Assam and Bihar thru Appeal."/>
  </r>
  <r>
    <m/>
    <n v="83"/>
    <x v="88"/>
    <d v="2002-08-01T00:00:00"/>
    <x v="7"/>
    <x v="7"/>
    <m/>
    <n v="2002"/>
    <n v="21"/>
    <s v="Europe/Asia"/>
    <s v="Romania"/>
    <m/>
    <s v="Floods"/>
    <s v="General Floods"/>
    <s v="General Floods"/>
    <m/>
    <m/>
    <m/>
    <m/>
    <m/>
    <s v=""/>
    <m/>
    <m/>
    <m/>
    <m/>
    <m/>
    <m/>
    <m/>
    <m/>
    <m/>
    <m/>
    <m/>
    <n v="0"/>
    <n v="3"/>
    <m/>
    <m/>
    <n v="14500"/>
    <m/>
    <m/>
    <m/>
    <m/>
    <m/>
    <m/>
    <m/>
    <m/>
    <m/>
    <n v="14500"/>
    <m/>
    <m/>
    <m/>
    <m/>
    <n v="102950"/>
    <n v="12189.84"/>
    <n v="115139.84"/>
    <m/>
    <m/>
    <n v="58000"/>
    <x v="58"/>
    <s v="Y"/>
    <m/>
    <m/>
    <m/>
    <m/>
    <n v="2685"/>
    <m/>
    <m/>
    <m/>
    <m/>
    <m/>
    <m/>
    <m/>
    <m/>
    <m/>
    <m/>
    <m/>
    <m/>
    <s v="ex Sofia"/>
  </r>
  <r>
    <m/>
    <n v="83"/>
    <x v="89"/>
    <d v="2002-08-01T00:00:00"/>
    <x v="7"/>
    <x v="7"/>
    <m/>
    <n v="2002"/>
    <n v="21"/>
    <s v="Europe/Asia"/>
    <s v="Germany"/>
    <m/>
    <s v="Floods"/>
    <s v="General Floods"/>
    <s v="General Floods"/>
    <m/>
    <m/>
    <m/>
    <m/>
    <m/>
    <s v=""/>
    <m/>
    <m/>
    <m/>
    <m/>
    <m/>
    <m/>
    <m/>
    <m/>
    <m/>
    <n v="75000"/>
    <m/>
    <n v="75000"/>
    <m/>
    <m/>
    <m/>
    <m/>
    <m/>
    <m/>
    <m/>
    <m/>
    <m/>
    <m/>
    <m/>
    <m/>
    <m/>
    <m/>
    <m/>
    <m/>
    <m/>
    <m/>
    <m/>
    <m/>
    <n v="75000"/>
    <m/>
    <m/>
    <n v="7500"/>
    <x v="56"/>
    <s v="N"/>
    <m/>
    <m/>
    <m/>
    <m/>
    <n v="2099"/>
    <m/>
    <m/>
    <m/>
    <m/>
    <m/>
    <m/>
    <m/>
    <m/>
    <m/>
    <m/>
    <m/>
    <m/>
    <s v="Pass throughs from  Alcoa, AmEx, Citigroup, Levi Strauss"/>
  </r>
  <r>
    <m/>
    <n v="83"/>
    <x v="90"/>
    <d v="2002-08-01T00:00:00"/>
    <x v="7"/>
    <x v="7"/>
    <m/>
    <n v="2002"/>
    <n v="21"/>
    <s v="Europe/Asia"/>
    <s v="Czech Republic"/>
    <m/>
    <s v="Floods"/>
    <s v="General Floods"/>
    <s v="General Floods"/>
    <m/>
    <m/>
    <m/>
    <m/>
    <m/>
    <s v=""/>
    <m/>
    <m/>
    <m/>
    <m/>
    <m/>
    <m/>
    <m/>
    <m/>
    <m/>
    <n v="90000"/>
    <m/>
    <n v="90000"/>
    <m/>
    <m/>
    <m/>
    <m/>
    <m/>
    <m/>
    <m/>
    <m/>
    <m/>
    <m/>
    <m/>
    <m/>
    <m/>
    <m/>
    <m/>
    <m/>
    <m/>
    <m/>
    <m/>
    <m/>
    <n v="90000"/>
    <m/>
    <m/>
    <n v="9000"/>
    <x v="29"/>
    <s v="N"/>
    <m/>
    <m/>
    <m/>
    <m/>
    <n v="2099"/>
    <m/>
    <m/>
    <m/>
    <m/>
    <m/>
    <m/>
    <m/>
    <m/>
    <m/>
    <m/>
    <m/>
    <m/>
    <s v="Pass throughs from  AmEx (2099), Levi Strauss (2099) and JP Morgan (2608)"/>
  </r>
  <r>
    <m/>
    <n v="83"/>
    <x v="91"/>
    <d v="2002-08-01T00:00:00"/>
    <x v="7"/>
    <x v="7"/>
    <m/>
    <n v="2002"/>
    <n v="21"/>
    <s v="Europe/Asia"/>
    <s v="Slovakia"/>
    <m/>
    <s v="Floods"/>
    <s v="General Floods"/>
    <s v="General Floods"/>
    <m/>
    <m/>
    <m/>
    <m/>
    <m/>
    <s v=""/>
    <m/>
    <m/>
    <m/>
    <m/>
    <m/>
    <m/>
    <m/>
    <m/>
    <m/>
    <n v="10000"/>
    <m/>
    <n v="10000"/>
    <m/>
    <m/>
    <m/>
    <m/>
    <m/>
    <m/>
    <m/>
    <m/>
    <m/>
    <m/>
    <m/>
    <m/>
    <m/>
    <m/>
    <m/>
    <m/>
    <m/>
    <m/>
    <m/>
    <m/>
    <n v="10000"/>
    <m/>
    <m/>
    <n v="1000"/>
    <x v="6"/>
    <s v="Y"/>
    <m/>
    <m/>
    <m/>
    <m/>
    <n v="2608"/>
    <m/>
    <m/>
    <m/>
    <m/>
    <m/>
    <m/>
    <m/>
    <m/>
    <m/>
    <m/>
    <m/>
    <m/>
    <s v="Pass through from JP Morgan / Chase"/>
  </r>
  <r>
    <m/>
    <n v="83"/>
    <x v="92"/>
    <d v="2002-08-01T00:00:00"/>
    <x v="7"/>
    <x v="7"/>
    <m/>
    <n v="2002"/>
    <n v="21"/>
    <s v="Europe/Asia"/>
    <s v="Hungary"/>
    <m/>
    <s v="Floods"/>
    <s v="General Floods"/>
    <s v="General Floods"/>
    <m/>
    <m/>
    <m/>
    <m/>
    <m/>
    <s v=""/>
    <m/>
    <m/>
    <m/>
    <m/>
    <m/>
    <m/>
    <m/>
    <m/>
    <m/>
    <n v="35000"/>
    <m/>
    <n v="35000"/>
    <m/>
    <m/>
    <m/>
    <m/>
    <m/>
    <m/>
    <m/>
    <m/>
    <m/>
    <m/>
    <m/>
    <m/>
    <m/>
    <m/>
    <m/>
    <m/>
    <m/>
    <m/>
    <m/>
    <m/>
    <n v="35000"/>
    <m/>
    <m/>
    <n v="3500"/>
    <x v="59"/>
    <s v="N"/>
    <m/>
    <m/>
    <m/>
    <m/>
    <n v="2099"/>
    <m/>
    <m/>
    <m/>
    <m/>
    <m/>
    <m/>
    <m/>
    <m/>
    <m/>
    <m/>
    <m/>
    <m/>
    <s v="Pass through from  Citigroup (2099) &amp; JP Morgan (2608)"/>
  </r>
  <r>
    <m/>
    <n v="83"/>
    <x v="93"/>
    <d v="2002-08-01T00:00:00"/>
    <x v="7"/>
    <x v="7"/>
    <m/>
    <n v="2002"/>
    <n v="21"/>
    <s v="Europe/Asia"/>
    <s v="Austria"/>
    <m/>
    <s v="Floods"/>
    <s v="General Floods"/>
    <s v="General Floods"/>
    <m/>
    <m/>
    <m/>
    <m/>
    <m/>
    <s v=""/>
    <m/>
    <m/>
    <m/>
    <m/>
    <m/>
    <m/>
    <m/>
    <m/>
    <m/>
    <n v="25000"/>
    <m/>
    <n v="25000"/>
    <m/>
    <m/>
    <m/>
    <m/>
    <m/>
    <m/>
    <m/>
    <m/>
    <m/>
    <m/>
    <m/>
    <m/>
    <m/>
    <m/>
    <m/>
    <m/>
    <m/>
    <m/>
    <m/>
    <m/>
    <n v="25000"/>
    <m/>
    <m/>
    <n v="2500"/>
    <x v="8"/>
    <s v="Y"/>
    <m/>
    <m/>
    <m/>
    <m/>
    <n v="2608"/>
    <m/>
    <m/>
    <m/>
    <m/>
    <m/>
    <m/>
    <m/>
    <m/>
    <m/>
    <m/>
    <m/>
    <m/>
    <s v="AMEX re-directed funds from their ADGP"/>
  </r>
  <r>
    <m/>
    <n v="84"/>
    <x v="67"/>
    <d v="2002-09-01T00:00:00"/>
    <x v="7"/>
    <x v="8"/>
    <m/>
    <n v="2002"/>
    <n v="22"/>
    <s v="LAC"/>
    <s v="Mexico"/>
    <m/>
    <s v="Storm"/>
    <s v="Tropical Cyclone"/>
    <s v="Hurricane"/>
    <m/>
    <m/>
    <m/>
    <m/>
    <m/>
    <s v=""/>
    <m/>
    <m/>
    <m/>
    <m/>
    <m/>
    <m/>
    <m/>
    <m/>
    <m/>
    <m/>
    <m/>
    <n v="0"/>
    <n v="2"/>
    <m/>
    <m/>
    <m/>
    <m/>
    <m/>
    <m/>
    <m/>
    <m/>
    <m/>
    <m/>
    <m/>
    <m/>
    <m/>
    <m/>
    <m/>
    <m/>
    <m/>
    <m/>
    <n v="60000"/>
    <n v="60000"/>
    <m/>
    <m/>
    <n v="20000"/>
    <x v="45"/>
    <s v="Y"/>
    <m/>
    <m/>
    <m/>
    <m/>
    <n v="2687"/>
    <m/>
    <m/>
    <m/>
    <m/>
    <m/>
    <m/>
    <m/>
    <m/>
    <m/>
    <m/>
    <m/>
    <s v="Isidore"/>
    <s v="$50,000 from OFDA; 4,000 hygiene parcels"/>
  </r>
  <r>
    <m/>
    <n v="85"/>
    <x v="94"/>
    <d v="2002-10-01T00:00:00"/>
    <x v="7"/>
    <x v="9"/>
    <m/>
    <n v="2002"/>
    <n v="23"/>
    <s v="LAC"/>
    <s v="Paraguay"/>
    <m/>
    <s v="Drought"/>
    <s v="Drought"/>
    <s v="Drought"/>
    <m/>
    <m/>
    <m/>
    <m/>
    <m/>
    <s v=""/>
    <m/>
    <m/>
    <m/>
    <m/>
    <m/>
    <m/>
    <m/>
    <m/>
    <m/>
    <m/>
    <m/>
    <n v="0"/>
    <n v="2"/>
    <m/>
    <m/>
    <m/>
    <m/>
    <m/>
    <m/>
    <m/>
    <m/>
    <m/>
    <m/>
    <m/>
    <m/>
    <m/>
    <m/>
    <m/>
    <m/>
    <m/>
    <m/>
    <m/>
    <n v="0"/>
    <m/>
    <m/>
    <n v="8165"/>
    <x v="7"/>
    <s v="Y"/>
    <m/>
    <m/>
    <m/>
    <m/>
    <n v="2898"/>
    <m/>
    <m/>
    <m/>
    <m/>
    <m/>
    <m/>
    <m/>
    <m/>
    <m/>
    <m/>
    <m/>
    <m/>
    <s v="$50,000 from OFDA money given directly to the Paraguay RC for relief food distributions"/>
  </r>
  <r>
    <m/>
    <n v="86"/>
    <x v="67"/>
    <d v="2002-10-01T00:00:00"/>
    <x v="7"/>
    <x v="10"/>
    <m/>
    <n v="2002"/>
    <n v="24"/>
    <s v="LAC"/>
    <s v="Mexico"/>
    <m/>
    <s v="Storm"/>
    <s v="Tropical Cyclone"/>
    <s v="Hurricane"/>
    <m/>
    <m/>
    <m/>
    <m/>
    <m/>
    <s v=""/>
    <m/>
    <m/>
    <m/>
    <m/>
    <m/>
    <m/>
    <m/>
    <m/>
    <m/>
    <m/>
    <m/>
    <n v="0"/>
    <n v="1"/>
    <m/>
    <m/>
    <m/>
    <m/>
    <m/>
    <m/>
    <m/>
    <m/>
    <m/>
    <m/>
    <m/>
    <m/>
    <m/>
    <m/>
    <m/>
    <m/>
    <m/>
    <m/>
    <m/>
    <n v="0"/>
    <m/>
    <m/>
    <m/>
    <x v="7"/>
    <s v="Y"/>
    <m/>
    <m/>
    <m/>
    <m/>
    <n v="2688"/>
    <m/>
    <m/>
    <m/>
    <m/>
    <m/>
    <m/>
    <m/>
    <m/>
    <m/>
    <m/>
    <m/>
    <s v="Kenna"/>
    <m/>
  </r>
  <r>
    <m/>
    <n v="87"/>
    <x v="95"/>
    <d v="2002-10-01T00:00:00"/>
    <x v="7"/>
    <x v="11"/>
    <m/>
    <n v="2002"/>
    <n v="25"/>
    <s v="Europe/Asia"/>
    <s v="South Korea"/>
    <m/>
    <s v="Storm"/>
    <s v="Tropical Cyclone"/>
    <s v="Typhoon"/>
    <m/>
    <m/>
    <m/>
    <m/>
    <m/>
    <s v=""/>
    <m/>
    <m/>
    <m/>
    <m/>
    <m/>
    <m/>
    <m/>
    <m/>
    <m/>
    <n v="120000"/>
    <m/>
    <n v="120000"/>
    <m/>
    <m/>
    <m/>
    <m/>
    <m/>
    <m/>
    <m/>
    <m/>
    <m/>
    <m/>
    <m/>
    <m/>
    <m/>
    <m/>
    <m/>
    <m/>
    <m/>
    <m/>
    <m/>
    <n v="10000"/>
    <n v="130000"/>
    <m/>
    <m/>
    <n v="5775"/>
    <x v="60"/>
    <s v="Y"/>
    <m/>
    <m/>
    <m/>
    <m/>
    <n v="2686"/>
    <m/>
    <m/>
    <m/>
    <m/>
    <m/>
    <m/>
    <m/>
    <m/>
    <m/>
    <m/>
    <m/>
    <s v="Rusa"/>
    <s v="$10,000 from Alcoa for winter clothing in donor-specified province; $110,000 from CISCO &amp; Lucent for DPP training."/>
  </r>
  <r>
    <m/>
    <n v="88"/>
    <x v="96"/>
    <d v="2002-10-01T00:00:00"/>
    <x v="7"/>
    <x v="12"/>
    <m/>
    <n v="2002"/>
    <n v="26"/>
    <s v="Europe/Asia"/>
    <s v="Italy"/>
    <m/>
    <s v="Earthquake"/>
    <s v="Earthquake"/>
    <s v="Earthquake"/>
    <m/>
    <m/>
    <m/>
    <m/>
    <m/>
    <s v=""/>
    <m/>
    <m/>
    <m/>
    <m/>
    <m/>
    <m/>
    <m/>
    <m/>
    <m/>
    <n v="10000"/>
    <m/>
    <n v="10000"/>
    <m/>
    <m/>
    <m/>
    <m/>
    <m/>
    <m/>
    <m/>
    <m/>
    <m/>
    <m/>
    <m/>
    <m/>
    <m/>
    <m/>
    <m/>
    <m/>
    <m/>
    <m/>
    <m/>
    <m/>
    <n v="10000"/>
    <m/>
    <m/>
    <m/>
    <x v="6"/>
    <s v="Y"/>
    <m/>
    <m/>
    <m/>
    <m/>
    <n v="2608"/>
    <m/>
    <m/>
    <m/>
    <m/>
    <m/>
    <m/>
    <m/>
    <m/>
    <m/>
    <m/>
    <m/>
    <m/>
    <s v="Verizon Pass through"/>
  </r>
  <r>
    <m/>
    <n v="89"/>
    <x v="97"/>
    <d v="2002-10-01T00:00:00"/>
    <x v="7"/>
    <x v="13"/>
    <m/>
    <n v="2002"/>
    <n v="27"/>
    <s v="Europe/Asia"/>
    <s v="Indonesia"/>
    <m/>
    <s v="Terrorism"/>
    <s v="Terrorism"/>
    <s v="Terrorism"/>
    <m/>
    <m/>
    <m/>
    <m/>
    <m/>
    <s v=""/>
    <m/>
    <m/>
    <m/>
    <m/>
    <m/>
    <m/>
    <m/>
    <m/>
    <m/>
    <n v="46670"/>
    <m/>
    <n v="46670"/>
    <m/>
    <m/>
    <m/>
    <m/>
    <m/>
    <m/>
    <m/>
    <m/>
    <m/>
    <m/>
    <m/>
    <m/>
    <m/>
    <m/>
    <m/>
    <m/>
    <m/>
    <m/>
    <m/>
    <m/>
    <n v="46670"/>
    <m/>
    <m/>
    <m/>
    <x v="61"/>
    <s v="Y"/>
    <m/>
    <m/>
    <m/>
    <m/>
    <n v="2613"/>
    <m/>
    <m/>
    <m/>
    <m/>
    <m/>
    <m/>
    <m/>
    <m/>
    <m/>
    <m/>
    <m/>
    <s v="Bali"/>
    <s v="Exxon/Mobil provided  $30,000 for Indonesia (to be programmed by AusCross); Citigroup provided $10,000 (2099), G.E provided $5,000 (2898) and Assoc. of Chartered Accountants provided $1,670"/>
  </r>
  <r>
    <m/>
    <n v="89"/>
    <x v="98"/>
    <d v="2002-10-01T00:00:00"/>
    <x v="7"/>
    <x v="13"/>
    <m/>
    <n v="2002"/>
    <n v="27"/>
    <s v="Europe/Asia"/>
    <s v="Australia"/>
    <m/>
    <s v="Terrorism"/>
    <s v="Terrorism"/>
    <s v="Terrorism"/>
    <m/>
    <m/>
    <m/>
    <m/>
    <m/>
    <s v=""/>
    <m/>
    <m/>
    <m/>
    <m/>
    <m/>
    <m/>
    <m/>
    <m/>
    <m/>
    <n v="237898.78"/>
    <m/>
    <n v="237898.78"/>
    <n v="1"/>
    <m/>
    <m/>
    <m/>
    <m/>
    <m/>
    <m/>
    <m/>
    <m/>
    <m/>
    <m/>
    <m/>
    <m/>
    <m/>
    <m/>
    <m/>
    <m/>
    <m/>
    <m/>
    <m/>
    <n v="237898.78"/>
    <m/>
    <m/>
    <m/>
    <x v="62"/>
    <s v="Y"/>
    <m/>
    <m/>
    <m/>
    <m/>
    <n v="2613"/>
    <m/>
    <m/>
    <m/>
    <m/>
    <m/>
    <m/>
    <m/>
    <m/>
    <m/>
    <m/>
    <m/>
    <s v="Bali"/>
    <s v="includes $151,228.89 from AP 2613 (estab. Oct 2002). Exxon/Mobil provided  $70,000; Anne Bike sent to Australia."/>
  </r>
  <r>
    <m/>
    <n v="90"/>
    <x v="99"/>
    <d v="2002-10-01T00:00:00"/>
    <x v="7"/>
    <x v="14"/>
    <m/>
    <n v="2002"/>
    <n v="28"/>
    <s v="Europe/Asia"/>
    <s v="Vietnam"/>
    <m/>
    <s v="Miscellaneous"/>
    <s v="Fire"/>
    <s v="Urban Fire"/>
    <m/>
    <m/>
    <m/>
    <m/>
    <m/>
    <s v=""/>
    <m/>
    <m/>
    <m/>
    <m/>
    <m/>
    <m/>
    <m/>
    <m/>
    <m/>
    <n v="100000"/>
    <m/>
    <n v="100000"/>
    <m/>
    <m/>
    <m/>
    <m/>
    <m/>
    <m/>
    <m/>
    <m/>
    <m/>
    <m/>
    <m/>
    <m/>
    <m/>
    <m/>
    <m/>
    <m/>
    <m/>
    <m/>
    <m/>
    <m/>
    <n v="100000"/>
    <m/>
    <m/>
    <n v="1000"/>
    <x v="5"/>
    <s v="Y"/>
    <m/>
    <m/>
    <m/>
    <m/>
    <n v="2608"/>
    <m/>
    <m/>
    <m/>
    <m/>
    <m/>
    <m/>
    <m/>
    <m/>
    <m/>
    <m/>
    <m/>
    <s v="International Trade Center - HCM City"/>
    <s v="SDP developed for Starr Foundation contribution for $100,000"/>
  </r>
  <r>
    <m/>
    <n v="91"/>
    <x v="72"/>
    <d v="2002-10-01T00:00:00"/>
    <x v="7"/>
    <x v="15"/>
    <m/>
    <n v="2002"/>
    <n v="29"/>
    <s v="LAC"/>
    <s v="Cuba"/>
    <m/>
    <s v="Storm"/>
    <s v="Tropical Cyclone"/>
    <s v="Hurricane"/>
    <m/>
    <m/>
    <m/>
    <m/>
    <m/>
    <s v=""/>
    <m/>
    <m/>
    <m/>
    <m/>
    <m/>
    <m/>
    <n v="0"/>
    <n v="10000"/>
    <m/>
    <m/>
    <m/>
    <n v="10000"/>
    <m/>
    <m/>
    <m/>
    <m/>
    <m/>
    <m/>
    <m/>
    <m/>
    <m/>
    <m/>
    <m/>
    <m/>
    <m/>
    <m/>
    <m/>
    <m/>
    <m/>
    <m/>
    <m/>
    <m/>
    <n v="10000"/>
    <m/>
    <m/>
    <n v="1000"/>
    <x v="6"/>
    <s v="Y"/>
    <m/>
    <m/>
    <m/>
    <m/>
    <n v="2898"/>
    <m/>
    <m/>
    <m/>
    <m/>
    <m/>
    <m/>
    <m/>
    <m/>
    <m/>
    <m/>
    <m/>
    <s v="Isidore / Lili"/>
    <s v="Toward the Federation Appeal"/>
  </r>
  <r>
    <m/>
    <n v="92"/>
    <x v="100"/>
    <d v="2002-10-01T00:00:00"/>
    <x v="7"/>
    <x v="16"/>
    <m/>
    <n v="2002"/>
    <n v="30"/>
    <s v="Africa"/>
    <s v="Lesotho"/>
    <m/>
    <s v="Food Insecurity"/>
    <s v="Food Insecurity"/>
    <s v="Food Insecurity"/>
    <m/>
    <m/>
    <m/>
    <m/>
    <m/>
    <s v=""/>
    <m/>
    <m/>
    <m/>
    <m/>
    <m/>
    <m/>
    <n v="0"/>
    <n v="25000"/>
    <m/>
    <m/>
    <m/>
    <n v="25000"/>
    <m/>
    <m/>
    <m/>
    <m/>
    <m/>
    <m/>
    <m/>
    <m/>
    <m/>
    <m/>
    <m/>
    <m/>
    <m/>
    <m/>
    <m/>
    <m/>
    <m/>
    <m/>
    <m/>
    <m/>
    <n v="25000"/>
    <m/>
    <m/>
    <n v="2500"/>
    <x v="8"/>
    <s v="Y"/>
    <m/>
    <m/>
    <m/>
    <m/>
    <n v="2898"/>
    <m/>
    <m/>
    <m/>
    <m/>
    <m/>
    <m/>
    <m/>
    <m/>
    <m/>
    <m/>
    <m/>
    <m/>
    <s v="Toward the Federation Appeal for Southern Africa"/>
  </r>
  <r>
    <m/>
    <n v="93"/>
    <x v="7"/>
    <d v="2002-12-01T00:00:00"/>
    <x v="7"/>
    <x v="17"/>
    <m/>
    <n v="2002"/>
    <n v="31"/>
    <s v="LAC"/>
    <s v="Costa Rica"/>
    <m/>
    <s v="Floods"/>
    <s v="General Floods"/>
    <s v="General Floods"/>
    <m/>
    <m/>
    <m/>
    <m/>
    <m/>
    <s v=""/>
    <m/>
    <m/>
    <m/>
    <m/>
    <m/>
    <m/>
    <m/>
    <m/>
    <m/>
    <n v="1000"/>
    <m/>
    <n v="1000"/>
    <m/>
    <m/>
    <m/>
    <m/>
    <m/>
    <m/>
    <m/>
    <m/>
    <m/>
    <m/>
    <m/>
    <m/>
    <m/>
    <m/>
    <m/>
    <m/>
    <m/>
    <m/>
    <m/>
    <m/>
    <n v="1000"/>
    <m/>
    <m/>
    <m/>
    <x v="37"/>
    <s v="Y"/>
    <m/>
    <m/>
    <m/>
    <m/>
    <n v="2898"/>
    <m/>
    <m/>
    <m/>
    <m/>
    <m/>
    <m/>
    <m/>
    <m/>
    <m/>
    <m/>
    <m/>
    <m/>
    <s v="Cash donation to National Society"/>
  </r>
  <r>
    <m/>
    <n v="94"/>
    <x v="80"/>
    <d v="2002-12-01T00:00:00"/>
    <x v="7"/>
    <x v="18"/>
    <m/>
    <n v="2002"/>
    <n v="32"/>
    <s v="LAC"/>
    <s v="Panama"/>
    <m/>
    <s v="Floods"/>
    <s v="General Floods"/>
    <s v="General Floods"/>
    <m/>
    <m/>
    <m/>
    <m/>
    <m/>
    <s v=""/>
    <m/>
    <m/>
    <m/>
    <m/>
    <m/>
    <m/>
    <m/>
    <m/>
    <m/>
    <n v="1345"/>
    <m/>
    <n v="1345"/>
    <m/>
    <m/>
    <m/>
    <n v="675"/>
    <m/>
    <m/>
    <m/>
    <m/>
    <m/>
    <m/>
    <m/>
    <m/>
    <m/>
    <m/>
    <m/>
    <m/>
    <m/>
    <m/>
    <m/>
    <m/>
    <n v="1345"/>
    <m/>
    <m/>
    <n v="675"/>
    <x v="63"/>
    <s v="Y"/>
    <m/>
    <m/>
    <m/>
    <m/>
    <n v="2898"/>
    <m/>
    <m/>
    <m/>
    <m/>
    <m/>
    <m/>
    <m/>
    <m/>
    <m/>
    <m/>
    <m/>
    <m/>
    <s v="675 jerry cans from pre-positioned stocks"/>
  </r>
  <r>
    <m/>
    <n v="95"/>
    <x v="101"/>
    <d v="2002-12-01T00:00:00"/>
    <x v="7"/>
    <x v="19"/>
    <m/>
    <n v="2002"/>
    <n v="33"/>
    <s v="Africa"/>
    <s v="Kenya"/>
    <m/>
    <s v="Epidemic"/>
    <s v="Parasitic"/>
    <s v="Parasitic"/>
    <m/>
    <m/>
    <m/>
    <m/>
    <m/>
    <s v=""/>
    <m/>
    <m/>
    <m/>
    <m/>
    <m/>
    <m/>
    <m/>
    <m/>
    <m/>
    <n v="5000"/>
    <m/>
    <n v="5000"/>
    <m/>
    <m/>
    <m/>
    <m/>
    <m/>
    <m/>
    <m/>
    <m/>
    <m/>
    <m/>
    <m/>
    <m/>
    <m/>
    <m/>
    <m/>
    <m/>
    <m/>
    <m/>
    <m/>
    <m/>
    <n v="5000"/>
    <m/>
    <m/>
    <n v="500"/>
    <x v="46"/>
    <s v="Y"/>
    <m/>
    <m/>
    <m/>
    <m/>
    <n v="2898"/>
    <m/>
    <m/>
    <m/>
    <m/>
    <m/>
    <m/>
    <m/>
    <m/>
    <m/>
    <m/>
    <m/>
    <s v="Malaria"/>
    <s v="Africa Region also donated $5,000 to KRC for a total of $10,000"/>
  </r>
  <r>
    <m/>
    <n v="96"/>
    <x v="102"/>
    <d v="2003-01-01T00:00:00"/>
    <x v="7"/>
    <x v="23"/>
    <m/>
    <n v="2003"/>
    <n v="1"/>
    <s v="Europe/Asia"/>
    <s v="Solomon Islands"/>
    <m/>
    <s v="Storm"/>
    <s v="Tropical Cyclone"/>
    <s v="Cyclone"/>
    <m/>
    <m/>
    <m/>
    <m/>
    <m/>
    <s v=""/>
    <m/>
    <m/>
    <m/>
    <m/>
    <m/>
    <m/>
    <n v="0"/>
    <n v="7242.1372799999999"/>
    <m/>
    <m/>
    <m/>
    <n v="7242.1372799999999"/>
    <m/>
    <m/>
    <m/>
    <m/>
    <m/>
    <m/>
    <m/>
    <m/>
    <m/>
    <m/>
    <m/>
    <m/>
    <m/>
    <m/>
    <m/>
    <m/>
    <m/>
    <m/>
    <m/>
    <m/>
    <n v="7242.1372799999999"/>
    <m/>
    <m/>
    <m/>
    <x v="64"/>
    <s v="Y"/>
    <m/>
    <m/>
    <m/>
    <m/>
    <n v="2881"/>
    <m/>
    <m/>
    <m/>
    <m/>
    <m/>
    <m/>
    <m/>
    <m/>
    <m/>
    <m/>
    <m/>
    <s v="Zoe"/>
    <s v="FJD 14,369.32 for re-stocking Solomon Islands RC"/>
  </r>
  <r>
    <m/>
    <n v="97"/>
    <x v="0"/>
    <d v="2003-01-01T00:00:00"/>
    <x v="7"/>
    <x v="20"/>
    <m/>
    <n v="2003"/>
    <n v="2"/>
    <s v="LAC"/>
    <s v="Mexico"/>
    <m/>
    <s v="Earthquake"/>
    <s v="Earthquake"/>
    <s v="Earthquake"/>
    <m/>
    <m/>
    <m/>
    <m/>
    <m/>
    <s v=""/>
    <m/>
    <m/>
    <m/>
    <m/>
    <m/>
    <m/>
    <m/>
    <m/>
    <m/>
    <n v="350000"/>
    <m/>
    <n v="350000"/>
    <n v="3"/>
    <m/>
    <m/>
    <m/>
    <m/>
    <m/>
    <m/>
    <m/>
    <m/>
    <m/>
    <m/>
    <m/>
    <m/>
    <m/>
    <m/>
    <m/>
    <m/>
    <m/>
    <m/>
    <m/>
    <n v="350000"/>
    <m/>
    <m/>
    <n v="2000"/>
    <x v="65"/>
    <s v="Y"/>
    <m/>
    <m/>
    <m/>
    <m/>
    <n v="2690"/>
    <m/>
    <m/>
    <m/>
    <m/>
    <m/>
    <m/>
    <m/>
    <m/>
    <m/>
    <m/>
    <m/>
    <m/>
    <s v="$100,000 donation from Wells Fargo was programmed by ARC in partnership with Mexican Red Cross (MRC). Steve McAndrew responded and 2 IRT members (Jerry Lisenby and M-C Brien) were subsequently deployed to manage the operation. Toyota donated $250,000 to the relief effort as a strict pass-through to the Mexican Red Cross."/>
  </r>
  <r>
    <m/>
    <n v="97"/>
    <x v="0"/>
    <d v="2003-01-01T00:00:00"/>
    <x v="7"/>
    <x v="20"/>
    <m/>
    <n v="2003"/>
    <n v="2"/>
    <s v="LAC"/>
    <s v="Mexico"/>
    <m/>
    <s v="Earthquake"/>
    <s v="Earthquake"/>
    <s v="Earthquake"/>
    <m/>
    <m/>
    <m/>
    <m/>
    <m/>
    <s v=""/>
    <m/>
    <m/>
    <m/>
    <m/>
    <m/>
    <m/>
    <m/>
    <m/>
    <m/>
    <n v="100000"/>
    <m/>
    <n v="100000"/>
    <m/>
    <m/>
    <m/>
    <m/>
    <m/>
    <m/>
    <m/>
    <m/>
    <m/>
    <m/>
    <m/>
    <m/>
    <m/>
    <m/>
    <m/>
    <m/>
    <m/>
    <m/>
    <m/>
    <m/>
    <n v="100000"/>
    <m/>
    <m/>
    <m/>
    <x v="5"/>
    <s v="Y"/>
    <m/>
    <m/>
    <m/>
    <m/>
    <n v="2642"/>
    <m/>
    <m/>
    <m/>
    <m/>
    <m/>
    <m/>
    <m/>
    <m/>
    <m/>
    <m/>
    <m/>
    <m/>
    <s v="$100,000 from OFDA was programmed by ARC in partnership with Mexican Red Cross (MRC)."/>
  </r>
  <r>
    <m/>
    <n v="98"/>
    <x v="103"/>
    <d v="2003-02-01T00:00:00"/>
    <x v="7"/>
    <x v="21"/>
    <m/>
    <n v="2003"/>
    <n v="3"/>
    <s v="Europe/Asia"/>
    <s v="South Korea"/>
    <m/>
    <s v="Transport"/>
    <s v="Rail"/>
    <s v="Fire"/>
    <m/>
    <m/>
    <m/>
    <m/>
    <m/>
    <s v=""/>
    <m/>
    <m/>
    <m/>
    <m/>
    <m/>
    <m/>
    <m/>
    <m/>
    <m/>
    <n v="10000"/>
    <m/>
    <n v="10000"/>
    <m/>
    <m/>
    <m/>
    <m/>
    <m/>
    <m/>
    <m/>
    <m/>
    <m/>
    <m/>
    <m/>
    <m/>
    <m/>
    <m/>
    <m/>
    <m/>
    <m/>
    <m/>
    <m/>
    <m/>
    <n v="10000"/>
    <m/>
    <m/>
    <n v="1000"/>
    <x v="6"/>
    <s v="Y"/>
    <m/>
    <m/>
    <m/>
    <m/>
    <n v="2608"/>
    <m/>
    <m/>
    <m/>
    <m/>
    <m/>
    <m/>
    <m/>
    <m/>
    <m/>
    <m/>
    <m/>
    <s v="Taegu Subway fire"/>
    <s v="Alcoa passthrough"/>
  </r>
  <r>
    <m/>
    <n v="99"/>
    <x v="104"/>
    <d v="2003-02-01T00:00:00"/>
    <x v="7"/>
    <x v="22"/>
    <m/>
    <n v="2003"/>
    <n v="4"/>
    <s v="Europe/Asia"/>
    <s v="China"/>
    <m/>
    <s v="Earthquake"/>
    <s v="Earthquake"/>
    <s v="Earthquake"/>
    <m/>
    <m/>
    <m/>
    <m/>
    <m/>
    <s v=""/>
    <m/>
    <m/>
    <m/>
    <m/>
    <m/>
    <m/>
    <m/>
    <m/>
    <m/>
    <n v="50000"/>
    <m/>
    <n v="50000"/>
    <m/>
    <m/>
    <m/>
    <m/>
    <m/>
    <m/>
    <m/>
    <m/>
    <m/>
    <m/>
    <m/>
    <m/>
    <m/>
    <m/>
    <m/>
    <m/>
    <m/>
    <m/>
    <m/>
    <m/>
    <n v="50000"/>
    <m/>
    <m/>
    <n v="1350"/>
    <x v="16"/>
    <s v="Y"/>
    <m/>
    <m/>
    <m/>
    <m/>
    <s v="0000"/>
    <m/>
    <m/>
    <m/>
    <m/>
    <m/>
    <m/>
    <m/>
    <m/>
    <m/>
    <m/>
    <m/>
    <m/>
    <s v="Altria passthrough"/>
  </r>
  <r>
    <m/>
    <n v="100"/>
    <x v="105"/>
    <d v="2003-03-01T00:00:00"/>
    <x v="7"/>
    <x v="24"/>
    <m/>
    <n v="2003"/>
    <n v="5"/>
    <s v="Europe/Asia"/>
    <s v="Iraq"/>
    <m/>
    <s v="Conflict"/>
    <s v="Conflict"/>
    <s v="Conflict"/>
    <m/>
    <m/>
    <m/>
    <m/>
    <m/>
    <s v=""/>
    <m/>
    <m/>
    <m/>
    <m/>
    <m/>
    <m/>
    <n v="1"/>
    <n v="100000"/>
    <n v="100000"/>
    <m/>
    <m/>
    <n v="200000"/>
    <m/>
    <m/>
    <m/>
    <n v="64200"/>
    <m/>
    <m/>
    <n v="34200"/>
    <n v="30000"/>
    <m/>
    <m/>
    <m/>
    <m/>
    <m/>
    <m/>
    <m/>
    <m/>
    <m/>
    <m/>
    <n v="221694"/>
    <m/>
    <n v="421694"/>
    <m/>
    <m/>
    <n v="54200"/>
    <x v="66"/>
    <s v="Y"/>
    <m/>
    <m/>
    <m/>
    <m/>
    <n v="2689"/>
    <m/>
    <m/>
    <m/>
    <m/>
    <m/>
    <m/>
    <m/>
    <m/>
    <m/>
    <m/>
    <m/>
    <s v="Iraq"/>
    <m/>
  </r>
  <r>
    <m/>
    <n v="100"/>
    <x v="106"/>
    <d v="2003-03-01T00:00:00"/>
    <x v="7"/>
    <x v="24"/>
    <m/>
    <n v="2003"/>
    <n v="5"/>
    <s v="Europe/Asia"/>
    <s v="Syria"/>
    <m/>
    <s v="Conflict"/>
    <s v="Conflict"/>
    <s v="Conflict"/>
    <m/>
    <m/>
    <m/>
    <m/>
    <m/>
    <s v=""/>
    <m/>
    <m/>
    <m/>
    <m/>
    <m/>
    <m/>
    <m/>
    <m/>
    <m/>
    <n v="15000"/>
    <m/>
    <n v="15000"/>
    <m/>
    <m/>
    <m/>
    <m/>
    <m/>
    <m/>
    <m/>
    <m/>
    <m/>
    <m/>
    <m/>
    <m/>
    <m/>
    <m/>
    <m/>
    <m/>
    <m/>
    <m/>
    <m/>
    <m/>
    <n v="15000"/>
    <m/>
    <m/>
    <n v="1000"/>
    <x v="18"/>
    <s v="Y"/>
    <m/>
    <m/>
    <m/>
    <m/>
    <n v="2689"/>
    <m/>
    <m/>
    <m/>
    <m/>
    <m/>
    <m/>
    <m/>
    <m/>
    <m/>
    <m/>
    <m/>
    <s v="Iraq"/>
    <s v="PMN for SARC"/>
  </r>
  <r>
    <m/>
    <n v="100"/>
    <x v="36"/>
    <d v="2003-03-01T00:00:00"/>
    <x v="7"/>
    <x v="24"/>
    <m/>
    <n v="2003"/>
    <n v="5"/>
    <s v="Europe/Asia"/>
    <s v="Jordan"/>
    <m/>
    <s v="Conflict"/>
    <s v="Conflict"/>
    <s v="Conflict"/>
    <m/>
    <m/>
    <m/>
    <m/>
    <m/>
    <s v=""/>
    <m/>
    <m/>
    <m/>
    <m/>
    <m/>
    <m/>
    <m/>
    <m/>
    <m/>
    <n v="15000"/>
    <m/>
    <n v="15000"/>
    <n v="2"/>
    <m/>
    <m/>
    <m/>
    <m/>
    <m/>
    <m/>
    <m/>
    <m/>
    <m/>
    <m/>
    <m/>
    <m/>
    <m/>
    <m/>
    <m/>
    <m/>
    <m/>
    <m/>
    <n v="17812"/>
    <n v="32812"/>
    <m/>
    <m/>
    <n v="1000"/>
    <x v="67"/>
    <s v="Y"/>
    <m/>
    <m/>
    <m/>
    <m/>
    <n v="2689"/>
    <m/>
    <m/>
    <m/>
    <m/>
    <m/>
    <m/>
    <m/>
    <m/>
    <m/>
    <m/>
    <m/>
    <s v="Iraq"/>
    <s v="PMN for JRCS; Jensen &amp; Dmitryuk in Amman"/>
  </r>
  <r>
    <m/>
    <n v="100"/>
    <x v="107"/>
    <d v="2003-03-01T00:00:00"/>
    <x v="7"/>
    <x v="24"/>
    <m/>
    <n v="2003"/>
    <n v="5"/>
    <s v="Europe/Asia"/>
    <s v="Turkey"/>
    <m/>
    <s v="Conflict"/>
    <s v="Conflict"/>
    <s v="Conflict"/>
    <m/>
    <m/>
    <m/>
    <m/>
    <m/>
    <s v=""/>
    <m/>
    <m/>
    <m/>
    <m/>
    <m/>
    <m/>
    <m/>
    <m/>
    <m/>
    <m/>
    <m/>
    <n v="0"/>
    <n v="1"/>
    <m/>
    <m/>
    <m/>
    <m/>
    <m/>
    <m/>
    <m/>
    <m/>
    <m/>
    <m/>
    <m/>
    <m/>
    <m/>
    <m/>
    <m/>
    <m/>
    <m/>
    <m/>
    <n v="17812"/>
    <n v="17812"/>
    <m/>
    <m/>
    <m/>
    <x v="68"/>
    <s v="Y"/>
    <m/>
    <m/>
    <m/>
    <m/>
    <n v="2689"/>
    <m/>
    <m/>
    <m/>
    <m/>
    <m/>
    <m/>
    <m/>
    <m/>
    <m/>
    <m/>
    <m/>
    <s v="Iraq"/>
    <s v="McAndrew in Ankara"/>
  </r>
  <r>
    <m/>
    <n v="101"/>
    <x v="108"/>
    <d v="2003-05-01T00:00:00"/>
    <x v="7"/>
    <x v="25"/>
    <m/>
    <n v="2003"/>
    <n v="6"/>
    <s v="LAC"/>
    <s v="Argentina"/>
    <m/>
    <s v="Floods"/>
    <s v="General Floods"/>
    <s v="General Floods"/>
    <m/>
    <m/>
    <m/>
    <m/>
    <m/>
    <s v=""/>
    <m/>
    <m/>
    <m/>
    <m/>
    <m/>
    <m/>
    <n v="0"/>
    <n v="15000"/>
    <m/>
    <m/>
    <m/>
    <n v="15000"/>
    <n v="1"/>
    <m/>
    <m/>
    <m/>
    <m/>
    <m/>
    <m/>
    <m/>
    <m/>
    <m/>
    <m/>
    <m/>
    <m/>
    <m/>
    <m/>
    <m/>
    <m/>
    <m/>
    <m/>
    <m/>
    <n v="15000"/>
    <m/>
    <m/>
    <n v="1500"/>
    <x v="18"/>
    <s v="Y"/>
    <m/>
    <m/>
    <m/>
    <m/>
    <n v="2898"/>
    <m/>
    <m/>
    <m/>
    <m/>
    <m/>
    <m/>
    <m/>
    <m/>
    <m/>
    <m/>
    <m/>
    <m/>
    <s v="Rob McKenney from PADRU"/>
  </r>
  <r>
    <m/>
    <n v="102"/>
    <x v="9"/>
    <d v="2003-05-01T00:00:00"/>
    <x v="7"/>
    <x v="26"/>
    <m/>
    <n v="2003"/>
    <n v="7"/>
    <s v="Europe/Asia"/>
    <s v="Turkey"/>
    <m/>
    <s v="Earthquake"/>
    <s v="Earthquake"/>
    <s v="Earthquake"/>
    <m/>
    <m/>
    <m/>
    <m/>
    <m/>
    <s v=""/>
    <m/>
    <m/>
    <m/>
    <m/>
    <m/>
    <m/>
    <m/>
    <m/>
    <m/>
    <m/>
    <m/>
    <n v="0"/>
    <n v="2"/>
    <m/>
    <m/>
    <n v="9000"/>
    <m/>
    <m/>
    <m/>
    <m/>
    <m/>
    <m/>
    <m/>
    <m/>
    <m/>
    <n v="9000"/>
    <m/>
    <m/>
    <m/>
    <m/>
    <n v="331380"/>
    <m/>
    <n v="331380"/>
    <m/>
    <m/>
    <n v="45000"/>
    <x v="69"/>
    <s v="Y"/>
    <m/>
    <m/>
    <m/>
    <m/>
    <n v="2898"/>
    <m/>
    <m/>
    <m/>
    <m/>
    <m/>
    <m/>
    <m/>
    <m/>
    <m/>
    <m/>
    <m/>
    <s v="Bingol"/>
    <s v="Food Parcels paid for by Region; IRT Kelly Hurd sent to support TRCS distribution; IRT R. Chapman deployed to support TRCS"/>
  </r>
  <r>
    <m/>
    <n v="103"/>
    <x v="109"/>
    <d v="2003-05-01T00:00:00"/>
    <x v="7"/>
    <x v="27"/>
    <m/>
    <n v="2003"/>
    <n v="8"/>
    <s v="Europe/Asia"/>
    <s v="China"/>
    <m/>
    <s v="Epidemic"/>
    <s v="Viral"/>
    <s v="Viral"/>
    <m/>
    <m/>
    <m/>
    <m/>
    <m/>
    <s v=""/>
    <m/>
    <m/>
    <m/>
    <m/>
    <m/>
    <m/>
    <m/>
    <m/>
    <m/>
    <n v="32500"/>
    <m/>
    <n v="32500"/>
    <m/>
    <m/>
    <m/>
    <m/>
    <m/>
    <m/>
    <m/>
    <m/>
    <m/>
    <m/>
    <m/>
    <m/>
    <m/>
    <m/>
    <m/>
    <m/>
    <m/>
    <m/>
    <m/>
    <m/>
    <n v="32500"/>
    <m/>
    <m/>
    <n v="59000"/>
    <x v="70"/>
    <s v="Y"/>
    <m/>
    <m/>
    <m/>
    <m/>
    <n v="2691"/>
    <m/>
    <m/>
    <m/>
    <m/>
    <m/>
    <m/>
    <m/>
    <m/>
    <m/>
    <m/>
    <m/>
    <s v="SARS"/>
    <s v="AMEX: $25,000 + $7,500"/>
  </r>
  <r>
    <m/>
    <n v="103"/>
    <x v="109"/>
    <d v="2003-05-01T00:00:00"/>
    <x v="7"/>
    <x v="27"/>
    <m/>
    <n v="2003"/>
    <n v="8"/>
    <s v="Europe/Asia"/>
    <s v="China"/>
    <m/>
    <s v="Epidemic"/>
    <s v="Viral"/>
    <s v="Viral"/>
    <m/>
    <m/>
    <m/>
    <m/>
    <m/>
    <s v=""/>
    <m/>
    <m/>
    <m/>
    <m/>
    <m/>
    <m/>
    <m/>
    <m/>
    <m/>
    <n v="370642"/>
    <m/>
    <n v="370642"/>
    <m/>
    <m/>
    <m/>
    <m/>
    <m/>
    <m/>
    <m/>
    <m/>
    <m/>
    <m/>
    <m/>
    <m/>
    <m/>
    <m/>
    <m/>
    <m/>
    <m/>
    <m/>
    <m/>
    <m/>
    <n v="370642"/>
    <m/>
    <m/>
    <n v="15000"/>
    <x v="71"/>
    <s v="Y"/>
    <m/>
    <m/>
    <m/>
    <m/>
    <s v="0000"/>
    <m/>
    <m/>
    <m/>
    <m/>
    <m/>
    <m/>
    <m/>
    <m/>
    <m/>
    <m/>
    <m/>
    <s v="SARS"/>
    <s v="Pfizer: $200,000; JP Morgan/Chase: $128,000; Microsoft: $42,642"/>
  </r>
  <r>
    <m/>
    <n v="103"/>
    <x v="110"/>
    <d v="2003-05-01T00:00:00"/>
    <x v="7"/>
    <x v="27"/>
    <m/>
    <n v="2003"/>
    <n v="8"/>
    <s v="Europe/Asia"/>
    <s v="Hong Kong"/>
    <m/>
    <s v="Epidemic"/>
    <s v="Viral"/>
    <s v="Viral"/>
    <m/>
    <m/>
    <m/>
    <m/>
    <m/>
    <s v=""/>
    <m/>
    <m/>
    <m/>
    <m/>
    <m/>
    <m/>
    <m/>
    <m/>
    <m/>
    <n v="60000"/>
    <m/>
    <n v="60000"/>
    <m/>
    <m/>
    <m/>
    <m/>
    <m/>
    <m/>
    <m/>
    <m/>
    <m/>
    <m/>
    <m/>
    <m/>
    <m/>
    <m/>
    <m/>
    <m/>
    <m/>
    <m/>
    <m/>
    <m/>
    <n v="60000"/>
    <m/>
    <m/>
    <n v="72500"/>
    <x v="45"/>
    <s v="Y"/>
    <m/>
    <m/>
    <m/>
    <m/>
    <n v="2060"/>
    <m/>
    <m/>
    <m/>
    <m/>
    <m/>
    <m/>
    <m/>
    <m/>
    <m/>
    <m/>
    <m/>
    <s v="SARS"/>
    <s v="$25,000 from AMEX and $35,000 from JP Morgan Chase (both) programmed against total invoice of $97,923.15 for 1.2 million alcohol swabs and 435,000 surgical masks"/>
  </r>
  <r>
    <m/>
    <n v="104"/>
    <x v="111"/>
    <d v="2003-05-01T00:00:00"/>
    <x v="7"/>
    <x v="28"/>
    <m/>
    <n v="2003"/>
    <n v="9"/>
    <s v="Europe/Asia"/>
    <s v="Sri Lanka"/>
    <m/>
    <s v="Floods"/>
    <s v="General Floods"/>
    <s v="General Floods"/>
    <m/>
    <m/>
    <m/>
    <m/>
    <m/>
    <s v=""/>
    <m/>
    <m/>
    <m/>
    <m/>
    <m/>
    <m/>
    <n v="0"/>
    <n v="21400"/>
    <m/>
    <m/>
    <m/>
    <n v="21400"/>
    <m/>
    <m/>
    <m/>
    <m/>
    <m/>
    <m/>
    <m/>
    <m/>
    <m/>
    <m/>
    <m/>
    <m/>
    <m/>
    <m/>
    <m/>
    <m/>
    <m/>
    <m/>
    <m/>
    <m/>
    <n v="21400"/>
    <m/>
    <m/>
    <n v="2862.1931568439049"/>
    <x v="72"/>
    <s v="Y"/>
    <m/>
    <m/>
    <m/>
    <m/>
    <n v="2692"/>
    <m/>
    <m/>
    <m/>
    <m/>
    <m/>
    <m/>
    <m/>
    <m/>
    <m/>
    <m/>
    <m/>
    <m/>
    <s v="Funds provided through Citigroup's ADGP; Federation Appeal for $934,598 / 125,000 beneficiaries / 3 months"/>
  </r>
  <r>
    <m/>
    <n v="105"/>
    <x v="80"/>
    <d v="2003-07-01T00:00:00"/>
    <x v="8"/>
    <x v="1"/>
    <m/>
    <n v="2003"/>
    <n v="10"/>
    <s v="LAC"/>
    <s v="Panama"/>
    <m/>
    <s v="Floods"/>
    <s v="General Floods"/>
    <s v="General Floods"/>
    <m/>
    <m/>
    <m/>
    <m/>
    <m/>
    <s v=""/>
    <m/>
    <m/>
    <m/>
    <m/>
    <m/>
    <m/>
    <m/>
    <m/>
    <m/>
    <m/>
    <m/>
    <n v="0"/>
    <n v="1"/>
    <m/>
    <m/>
    <n v="6500"/>
    <m/>
    <n v="500"/>
    <m/>
    <m/>
    <m/>
    <m/>
    <m/>
    <n v="6000"/>
    <m/>
    <m/>
    <m/>
    <m/>
    <m/>
    <m/>
    <n v="16700"/>
    <m/>
    <n v="16700"/>
    <m/>
    <m/>
    <n v="3000"/>
    <x v="73"/>
    <s v="Y"/>
    <m/>
    <m/>
    <m/>
    <m/>
    <n v="2898"/>
    <m/>
    <m/>
    <m/>
    <m/>
    <m/>
    <m/>
    <m/>
    <m/>
    <m/>
    <m/>
    <m/>
    <m/>
    <s v="hygiene kits (value $1,770) and bedsheets (500 packets of 12 at a total value of $15,000) from PADRU as part of a joint ARC/Federation/Panamanian Red Cross operation. Steve McAndrew was deployed from PADRU to oversee the distributions"/>
  </r>
  <r>
    <m/>
    <n v="106"/>
    <x v="112"/>
    <d v="2003-09-01T00:00:00"/>
    <x v="8"/>
    <x v="2"/>
    <m/>
    <n v="2003"/>
    <n v="11"/>
    <s v="North America"/>
    <s v="Canada"/>
    <m/>
    <s v="Wildfire"/>
    <s v="Forest Fire"/>
    <s v="Fire"/>
    <m/>
    <m/>
    <m/>
    <m/>
    <m/>
    <s v=""/>
    <m/>
    <m/>
    <m/>
    <m/>
    <m/>
    <m/>
    <m/>
    <m/>
    <m/>
    <n v="10000"/>
    <m/>
    <n v="10000"/>
    <m/>
    <m/>
    <m/>
    <m/>
    <m/>
    <m/>
    <m/>
    <m/>
    <m/>
    <m/>
    <m/>
    <m/>
    <m/>
    <m/>
    <m/>
    <m/>
    <m/>
    <m/>
    <m/>
    <m/>
    <n v="10000"/>
    <m/>
    <m/>
    <n v="250"/>
    <x v="6"/>
    <s v="N"/>
    <m/>
    <m/>
    <m/>
    <m/>
    <n v="2099"/>
    <m/>
    <m/>
    <m/>
    <m/>
    <m/>
    <m/>
    <m/>
    <m/>
    <m/>
    <m/>
    <m/>
    <m/>
    <s v="$10,000 donation from Citigroup for forest fires in British Columbia (Citigroup $ kept in 2099 per a prior agreement)"/>
  </r>
  <r>
    <m/>
    <n v="107"/>
    <x v="113"/>
    <d v="2003-10-01T00:00:00"/>
    <x v="8"/>
    <x v="3"/>
    <m/>
    <n v="2003"/>
    <n v="12"/>
    <s v="LAC"/>
    <s v="Dominican Republic"/>
    <m/>
    <s v="Earthquake"/>
    <s v="Earthquake"/>
    <s v="Earthquake"/>
    <m/>
    <m/>
    <m/>
    <m/>
    <m/>
    <s v=""/>
    <m/>
    <m/>
    <m/>
    <m/>
    <m/>
    <m/>
    <m/>
    <m/>
    <m/>
    <m/>
    <m/>
    <n v="0"/>
    <m/>
    <m/>
    <m/>
    <m/>
    <m/>
    <m/>
    <m/>
    <m/>
    <m/>
    <m/>
    <m/>
    <m/>
    <m/>
    <m/>
    <m/>
    <m/>
    <m/>
    <m/>
    <n v="25000"/>
    <m/>
    <n v="25000"/>
    <m/>
    <m/>
    <n v="100"/>
    <x v="8"/>
    <s v="Y"/>
    <m/>
    <m/>
    <m/>
    <m/>
    <n v="2694"/>
    <m/>
    <m/>
    <m/>
    <m/>
    <m/>
    <m/>
    <m/>
    <m/>
    <m/>
    <m/>
    <m/>
    <s v="Puerto Plata"/>
    <s v="$25,000 from Verizon (AP is shared with November 2003 floods in Cibao / Montecristi)"/>
  </r>
  <r>
    <m/>
    <n v="108"/>
    <x v="114"/>
    <d v="2003-05-01T00:00:00"/>
    <x v="8"/>
    <x v="4"/>
    <m/>
    <n v="2003"/>
    <n v="13"/>
    <s v="Africa"/>
    <s v="Algeria"/>
    <m/>
    <s v="Earthquake"/>
    <s v="Earthquake"/>
    <s v="Earthquake"/>
    <m/>
    <m/>
    <m/>
    <m/>
    <m/>
    <s v=""/>
    <m/>
    <m/>
    <m/>
    <m/>
    <m/>
    <m/>
    <m/>
    <m/>
    <m/>
    <m/>
    <m/>
    <n v="0"/>
    <m/>
    <m/>
    <m/>
    <n v="10000"/>
    <m/>
    <n v="10000"/>
    <m/>
    <m/>
    <m/>
    <m/>
    <m/>
    <m/>
    <m/>
    <m/>
    <m/>
    <m/>
    <m/>
    <m/>
    <n v="37200"/>
    <n v="28670"/>
    <n v="65870"/>
    <m/>
    <m/>
    <n v="50000"/>
    <x v="74"/>
    <s v="Y"/>
    <m/>
    <m/>
    <m/>
    <m/>
    <n v="2693"/>
    <m/>
    <m/>
    <m/>
    <m/>
    <m/>
    <m/>
    <m/>
    <m/>
    <m/>
    <m/>
    <m/>
    <s v="RESPONSE IN FY 04"/>
    <s v="hygiene kits ($3.72 each) ex Bulgaria; $8,470 for transport, $1,200 demurrage, $19,000 to remove washing powder in Greece"/>
  </r>
  <r>
    <m/>
    <n v="109"/>
    <x v="115"/>
    <d v="2003-08-01T00:00:00"/>
    <x v="8"/>
    <x v="5"/>
    <m/>
    <n v="2003"/>
    <n v="14"/>
    <s v="Africa"/>
    <s v="Liberia"/>
    <m/>
    <s v="Conflict"/>
    <s v="Conflict"/>
    <s v="Conflict"/>
    <m/>
    <m/>
    <m/>
    <m/>
    <m/>
    <s v=""/>
    <m/>
    <m/>
    <m/>
    <m/>
    <m/>
    <m/>
    <n v="0"/>
    <n v="35027"/>
    <m/>
    <m/>
    <m/>
    <n v="35027"/>
    <m/>
    <m/>
    <m/>
    <m/>
    <m/>
    <m/>
    <m/>
    <m/>
    <m/>
    <m/>
    <m/>
    <m/>
    <m/>
    <m/>
    <m/>
    <m/>
    <m/>
    <m/>
    <m/>
    <m/>
    <n v="35027"/>
    <m/>
    <m/>
    <n v="2500"/>
    <x v="75"/>
    <s v="Y"/>
    <m/>
    <m/>
    <m/>
    <m/>
    <n v="2631"/>
    <m/>
    <m/>
    <m/>
    <m/>
    <m/>
    <m/>
    <m/>
    <m/>
    <m/>
    <m/>
    <m/>
    <m/>
    <s v="Funds from Region's budget previously sent to Geneva re-allocated  - signed PMN returned to IDRU in October 2003"/>
  </r>
  <r>
    <m/>
    <n v="110"/>
    <x v="6"/>
    <d v="2003-09-01T00:00:00"/>
    <x v="8"/>
    <x v="6"/>
    <m/>
    <n v="2003"/>
    <n v="15"/>
    <s v="LAC"/>
    <s v="Mexico"/>
    <m/>
    <s v="Floods"/>
    <s v="General Floods"/>
    <s v="General Floods"/>
    <m/>
    <m/>
    <m/>
    <m/>
    <m/>
    <s v=""/>
    <m/>
    <m/>
    <m/>
    <m/>
    <m/>
    <m/>
    <m/>
    <m/>
    <m/>
    <n v="10500"/>
    <m/>
    <n v="10500"/>
    <n v="2"/>
    <m/>
    <m/>
    <m/>
    <m/>
    <m/>
    <m/>
    <m/>
    <m/>
    <m/>
    <m/>
    <m/>
    <m/>
    <m/>
    <m/>
    <m/>
    <m/>
    <m/>
    <m/>
    <m/>
    <n v="10500"/>
    <m/>
    <m/>
    <n v="3000"/>
    <x v="76"/>
    <s v="Y"/>
    <m/>
    <m/>
    <m/>
    <m/>
    <n v="2688"/>
    <m/>
    <m/>
    <m/>
    <m/>
    <m/>
    <m/>
    <m/>
    <m/>
    <m/>
    <m/>
    <m/>
    <m/>
    <s v="Hurricane Kenna funds ($11,636.16 minus 11.15%); Christine Strater and Nate Cooper deployed 5 October 2003"/>
  </r>
  <r>
    <m/>
    <n v="111"/>
    <x v="95"/>
    <d v="2003-10-01T00:00:00"/>
    <x v="8"/>
    <x v="7"/>
    <m/>
    <n v="2003"/>
    <n v="16"/>
    <s v="Europe/Asia"/>
    <s v="South Korea"/>
    <m/>
    <s v="Storm"/>
    <s v="Tropical Cyclone"/>
    <s v="Typhoon"/>
    <m/>
    <m/>
    <m/>
    <m/>
    <m/>
    <s v=""/>
    <m/>
    <m/>
    <m/>
    <m/>
    <m/>
    <m/>
    <m/>
    <m/>
    <m/>
    <n v="10000"/>
    <m/>
    <n v="10000"/>
    <m/>
    <m/>
    <m/>
    <m/>
    <m/>
    <m/>
    <m/>
    <m/>
    <m/>
    <m/>
    <m/>
    <m/>
    <m/>
    <m/>
    <m/>
    <m/>
    <m/>
    <m/>
    <m/>
    <m/>
    <n v="10000"/>
    <m/>
    <m/>
    <m/>
    <x v="6"/>
    <s v="Y"/>
    <m/>
    <m/>
    <m/>
    <m/>
    <n v="2647"/>
    <m/>
    <m/>
    <m/>
    <m/>
    <m/>
    <m/>
    <m/>
    <m/>
    <m/>
    <m/>
    <m/>
    <s v="Maemi"/>
    <s v="Alcoa funds for re-stocking KNRC warehouse"/>
  </r>
  <r>
    <m/>
    <n v="112"/>
    <x v="116"/>
    <d v="2003-11-01T00:00:00"/>
    <x v="8"/>
    <x v="8"/>
    <m/>
    <n v="2003"/>
    <n v="17"/>
    <s v="LAC"/>
    <s v="Dominican Republic"/>
    <m/>
    <s v="Floods"/>
    <s v="General Floods"/>
    <s v="General Floods"/>
    <m/>
    <m/>
    <m/>
    <m/>
    <m/>
    <s v=""/>
    <m/>
    <m/>
    <m/>
    <m/>
    <m/>
    <m/>
    <m/>
    <m/>
    <m/>
    <m/>
    <m/>
    <n v="0"/>
    <n v="3"/>
    <s v="Relief ERU"/>
    <m/>
    <m/>
    <m/>
    <m/>
    <m/>
    <m/>
    <m/>
    <m/>
    <m/>
    <m/>
    <m/>
    <m/>
    <m/>
    <m/>
    <m/>
    <m/>
    <n v="50000"/>
    <m/>
    <n v="50000"/>
    <m/>
    <m/>
    <n v="500"/>
    <x v="16"/>
    <s v="Y"/>
    <m/>
    <m/>
    <m/>
    <m/>
    <n v="2618"/>
    <m/>
    <m/>
    <m/>
    <m/>
    <m/>
    <m/>
    <m/>
    <m/>
    <m/>
    <m/>
    <m/>
    <s v="Cibao / Montecristi"/>
    <s v="$50,000 from OFDA; Greenhalgh, McAndrew and Chapman deployed in November 2003 on Relief ERU Pilot"/>
  </r>
  <r>
    <m/>
    <n v="112"/>
    <x v="116"/>
    <d v="2003-11-01T00:00:00"/>
    <x v="8"/>
    <x v="8"/>
    <m/>
    <n v="2003"/>
    <n v="17"/>
    <s v="LAC"/>
    <s v="Dominican Republic"/>
    <m/>
    <s v="Floods"/>
    <s v="General Floods"/>
    <s v="General Floods"/>
    <m/>
    <m/>
    <m/>
    <m/>
    <m/>
    <s v=""/>
    <m/>
    <m/>
    <m/>
    <m/>
    <m/>
    <m/>
    <m/>
    <m/>
    <m/>
    <m/>
    <m/>
    <n v="0"/>
    <m/>
    <m/>
    <m/>
    <m/>
    <m/>
    <m/>
    <m/>
    <m/>
    <m/>
    <m/>
    <m/>
    <m/>
    <m/>
    <m/>
    <m/>
    <m/>
    <m/>
    <m/>
    <m/>
    <m/>
    <n v="0"/>
    <m/>
    <m/>
    <m/>
    <x v="7"/>
    <s v="Y"/>
    <m/>
    <m/>
    <m/>
    <m/>
    <n v="2694"/>
    <m/>
    <m/>
    <m/>
    <m/>
    <m/>
    <m/>
    <m/>
    <m/>
    <m/>
    <m/>
    <m/>
    <s v="Cibao / Montecristi"/>
    <s v="(AP is shared with October 2003 Earthquake in Puerto Plata)"/>
  </r>
  <r>
    <m/>
    <n v="113"/>
    <x v="117"/>
    <d v="2003-12-01T00:00:00"/>
    <x v="8"/>
    <x v="9"/>
    <m/>
    <n v="2003"/>
    <n v="18"/>
    <s v="Europe/Asia"/>
    <s v="Iran"/>
    <m/>
    <s v="Earthquake"/>
    <s v="Earthquake"/>
    <s v="Earthquake"/>
    <m/>
    <m/>
    <m/>
    <m/>
    <m/>
    <s v=""/>
    <m/>
    <m/>
    <m/>
    <m/>
    <m/>
    <m/>
    <n v="1"/>
    <n v="200000"/>
    <m/>
    <m/>
    <m/>
    <n v="200000"/>
    <n v="6"/>
    <s v="Relief ERU"/>
    <m/>
    <n v="115560"/>
    <m/>
    <n v="45000"/>
    <n v="27000"/>
    <m/>
    <m/>
    <n v="490"/>
    <m/>
    <m/>
    <m/>
    <m/>
    <m/>
    <m/>
    <m/>
    <m/>
    <n v="825763"/>
    <n v="150038.97999999998"/>
    <n v="1175801.98"/>
    <m/>
    <m/>
    <n v="225000"/>
    <x v="77"/>
    <s v="Y"/>
    <m/>
    <m/>
    <m/>
    <m/>
    <n v="2019"/>
    <m/>
    <m/>
    <m/>
    <m/>
    <m/>
    <m/>
    <m/>
    <m/>
    <m/>
    <m/>
    <m/>
    <s v="Bam"/>
    <s v="Relief ERU deployed: McAndrew (TL), Stephenson, Stops, Parry, Strater &amp; Swadzka.  $200,000 PMN sent to Federation; Commodities provide: 10,000 towels and 20,000 nail clippers"/>
  </r>
  <r>
    <m/>
    <n v="113"/>
    <x v="117"/>
    <d v="2003-12-01T00:00:00"/>
    <x v="8"/>
    <x v="9"/>
    <m/>
    <n v="2003"/>
    <n v="18"/>
    <s v="Europe/Asia"/>
    <s v="Iran"/>
    <m/>
    <s v="Earthquake"/>
    <s v="Earthquake"/>
    <s v="Earthquake"/>
    <m/>
    <m/>
    <m/>
    <m/>
    <m/>
    <s v=""/>
    <m/>
    <m/>
    <m/>
    <m/>
    <m/>
    <m/>
    <m/>
    <m/>
    <m/>
    <m/>
    <m/>
    <n v="0"/>
    <m/>
    <m/>
    <m/>
    <n v="11"/>
    <m/>
    <m/>
    <m/>
    <m/>
    <m/>
    <n v="11"/>
    <m/>
    <m/>
    <m/>
    <m/>
    <m/>
    <m/>
    <m/>
    <m/>
    <n v="19975"/>
    <m/>
    <n v="19975"/>
    <m/>
    <m/>
    <n v="440"/>
    <x v="78"/>
    <s v="Y"/>
    <m/>
    <m/>
    <m/>
    <m/>
    <n v="2616"/>
    <m/>
    <m/>
    <m/>
    <m/>
    <m/>
    <m/>
    <m/>
    <m/>
    <m/>
    <m/>
    <m/>
    <s v="Bam"/>
    <s v="Grant from Reuters / AlertNet"/>
  </r>
  <r>
    <m/>
    <n v="113"/>
    <x v="117"/>
    <d v="2003-12-01T00:00:00"/>
    <x v="8"/>
    <x v="9"/>
    <m/>
    <n v="2003"/>
    <n v="18"/>
    <s v="Europe/Asia"/>
    <s v="Iran"/>
    <m/>
    <s v="Earthquake"/>
    <s v="Earthquake"/>
    <s v="Earthquake"/>
    <m/>
    <m/>
    <m/>
    <m/>
    <m/>
    <s v=""/>
    <m/>
    <m/>
    <m/>
    <m/>
    <m/>
    <m/>
    <m/>
    <m/>
    <m/>
    <m/>
    <m/>
    <n v="0"/>
    <m/>
    <m/>
    <m/>
    <m/>
    <m/>
    <m/>
    <m/>
    <m/>
    <m/>
    <m/>
    <m/>
    <m/>
    <m/>
    <m/>
    <m/>
    <m/>
    <m/>
    <m/>
    <n v="60000"/>
    <m/>
    <n v="60000"/>
    <m/>
    <m/>
    <m/>
    <x v="45"/>
    <s v="Y"/>
    <m/>
    <m/>
    <m/>
    <m/>
    <n v="2793"/>
    <m/>
    <m/>
    <m/>
    <m/>
    <m/>
    <m/>
    <m/>
    <m/>
    <m/>
    <m/>
    <m/>
    <s v="Bam"/>
    <s v="Grant from Semnani Foundation."/>
  </r>
  <r>
    <m/>
    <n v="114"/>
    <x v="118"/>
    <d v="2003-12-01T00:00:00"/>
    <x v="8"/>
    <x v="10"/>
    <m/>
    <n v="2003"/>
    <n v="19"/>
    <s v="LAC"/>
    <s v="Panama"/>
    <m/>
    <s v="Earthquake"/>
    <s v="Earthquake"/>
    <s v="Earthquake"/>
    <m/>
    <m/>
    <m/>
    <m/>
    <m/>
    <s v=""/>
    <m/>
    <m/>
    <m/>
    <m/>
    <m/>
    <m/>
    <m/>
    <m/>
    <m/>
    <m/>
    <m/>
    <n v="0"/>
    <m/>
    <m/>
    <m/>
    <n v="2300"/>
    <m/>
    <m/>
    <n v="1000"/>
    <m/>
    <m/>
    <m/>
    <m/>
    <n v="1100"/>
    <m/>
    <m/>
    <m/>
    <m/>
    <m/>
    <m/>
    <n v="6178"/>
    <m/>
    <n v="6178"/>
    <m/>
    <m/>
    <n v="550"/>
    <x v="79"/>
    <s v="Y"/>
    <m/>
    <m/>
    <m/>
    <m/>
    <n v="2898"/>
    <m/>
    <m/>
    <m/>
    <m/>
    <m/>
    <m/>
    <m/>
    <m/>
    <m/>
    <m/>
    <m/>
    <m/>
    <s v="Supplies to Panama RC"/>
  </r>
  <r>
    <m/>
    <n v="115"/>
    <x v="119"/>
    <d v="2004-04-01T00:00:00"/>
    <x v="8"/>
    <x v="11"/>
    <m/>
    <n v="2004"/>
    <n v="1"/>
    <s v="Europe/Asia"/>
    <s v="DPRK/North Korea"/>
    <m/>
    <s v="Transport"/>
    <s v="Rail"/>
    <s v="Explosion"/>
    <m/>
    <m/>
    <m/>
    <m/>
    <m/>
    <s v=""/>
    <m/>
    <m/>
    <m/>
    <m/>
    <m/>
    <m/>
    <n v="1"/>
    <n v="110000"/>
    <m/>
    <m/>
    <m/>
    <n v="110000"/>
    <m/>
    <m/>
    <m/>
    <m/>
    <m/>
    <m/>
    <m/>
    <m/>
    <m/>
    <m/>
    <m/>
    <m/>
    <m/>
    <m/>
    <m/>
    <m/>
    <m/>
    <m/>
    <m/>
    <m/>
    <n v="110000"/>
    <m/>
    <m/>
    <n v="3300"/>
    <x v="80"/>
    <s v="Y"/>
    <m/>
    <m/>
    <m/>
    <m/>
    <s v="2861 / 2790"/>
    <m/>
    <m/>
    <m/>
    <m/>
    <m/>
    <m/>
    <m/>
    <m/>
    <m/>
    <m/>
    <m/>
    <s v="Ryongchon"/>
    <s v="CASH: $10,000  from 2861 funds from Asia Region ; $100,000 from OFDA / 2790;"/>
  </r>
  <r>
    <m/>
    <n v="116"/>
    <x v="116"/>
    <d v="2004-05-01T00:00:00"/>
    <x v="8"/>
    <x v="12"/>
    <m/>
    <n v="2004"/>
    <n v="2"/>
    <s v="LAC"/>
    <s v="Dominican Republic"/>
    <m/>
    <s v="Floods"/>
    <s v="General Floods"/>
    <s v="General Floods"/>
    <m/>
    <m/>
    <m/>
    <m/>
    <m/>
    <s v=""/>
    <m/>
    <m/>
    <m/>
    <m/>
    <m/>
    <m/>
    <m/>
    <m/>
    <m/>
    <m/>
    <m/>
    <n v="0"/>
    <n v="1"/>
    <m/>
    <m/>
    <n v="10930"/>
    <m/>
    <m/>
    <m/>
    <n v="2350"/>
    <m/>
    <n v="150"/>
    <m/>
    <n v="5000"/>
    <m/>
    <m/>
    <n v="1000"/>
    <m/>
    <m/>
    <m/>
    <n v="205334.81245"/>
    <n v="14800"/>
    <n v="220134.81245"/>
    <m/>
    <m/>
    <n v="2500"/>
    <x v="81"/>
    <s v="Y"/>
    <m/>
    <m/>
    <m/>
    <m/>
    <n v="2694"/>
    <m/>
    <m/>
    <m/>
    <m/>
    <m/>
    <m/>
    <m/>
    <m/>
    <m/>
    <m/>
    <m/>
    <s v="Jimani &amp; Duarte"/>
    <s v="Nate Cooper deployed to DR with PADRU; stocks deployed ($74,526.50) from PADRU includes 2,430 school kits; $89,000 worth of generators"/>
  </r>
  <r>
    <m/>
    <n v="116"/>
    <x v="120"/>
    <d v="2004-05-01T00:00:00"/>
    <x v="8"/>
    <x v="12"/>
    <m/>
    <n v="2004"/>
    <n v="2"/>
    <s v="LAC"/>
    <s v="Haiti"/>
    <m/>
    <s v="Floods"/>
    <s v="General Floods"/>
    <s v="General Floods"/>
    <m/>
    <m/>
    <m/>
    <m/>
    <m/>
    <s v=""/>
    <m/>
    <m/>
    <m/>
    <m/>
    <m/>
    <m/>
    <n v="0"/>
    <n v="20007"/>
    <m/>
    <m/>
    <m/>
    <n v="20007"/>
    <m/>
    <m/>
    <m/>
    <m/>
    <m/>
    <m/>
    <m/>
    <m/>
    <m/>
    <m/>
    <m/>
    <m/>
    <m/>
    <m/>
    <m/>
    <n v="2"/>
    <m/>
    <m/>
    <n v="16885.856"/>
    <n v="7665"/>
    <n v="44557.856"/>
    <m/>
    <m/>
    <n v="3000"/>
    <x v="82"/>
    <s v="Y"/>
    <m/>
    <m/>
    <m/>
    <m/>
    <n v="2614"/>
    <m/>
    <m/>
    <m/>
    <m/>
    <m/>
    <m/>
    <m/>
    <m/>
    <m/>
    <m/>
    <m/>
    <s v="Eastern"/>
    <s v="PMN 0407052 ($18,000 + PSR) dated 7 July 2004; rental of two vehicles to be used in Haiti for 3 months each"/>
  </r>
  <r>
    <m/>
    <n v="116"/>
    <x v="121"/>
    <d v="2004-05-01T00:00:00"/>
    <x v="8"/>
    <x v="13"/>
    <m/>
    <n v="2004"/>
    <n v="3"/>
    <s v="Africa"/>
    <s v="Malawi"/>
    <m/>
    <s v="Epidemic"/>
    <s v="Viral"/>
    <s v="Viral"/>
    <m/>
    <m/>
    <m/>
    <m/>
    <m/>
    <s v=""/>
    <m/>
    <m/>
    <m/>
    <m/>
    <m/>
    <m/>
    <m/>
    <m/>
    <m/>
    <m/>
    <m/>
    <n v="0"/>
    <m/>
    <m/>
    <m/>
    <n v="12380"/>
    <m/>
    <m/>
    <m/>
    <m/>
    <m/>
    <m/>
    <m/>
    <n v="12360"/>
    <m/>
    <m/>
    <n v="20"/>
    <m/>
    <m/>
    <m/>
    <n v="61220"/>
    <m/>
    <n v="61220"/>
    <m/>
    <m/>
    <n v="6180"/>
    <x v="83"/>
    <s v="Y"/>
    <m/>
    <m/>
    <m/>
    <m/>
    <n v="2898"/>
    <m/>
    <m/>
    <m/>
    <m/>
    <m/>
    <m/>
    <m/>
    <m/>
    <m/>
    <m/>
    <m/>
    <s v="HIV/AIDS - Home Care"/>
    <s v="ex London"/>
  </r>
  <r>
    <m/>
    <n v="116"/>
    <x v="116"/>
    <d v="2004-07-01T00:00:00"/>
    <x v="8"/>
    <x v="12"/>
    <m/>
    <n v="2004"/>
    <n v="2"/>
    <s v="LAC"/>
    <s v="Dominican Republic"/>
    <m/>
    <s v="Floods"/>
    <s v="General Floods"/>
    <s v="General Floods"/>
    <m/>
    <m/>
    <m/>
    <m/>
    <m/>
    <s v=""/>
    <m/>
    <m/>
    <m/>
    <m/>
    <m/>
    <m/>
    <m/>
    <m/>
    <m/>
    <m/>
    <m/>
    <n v="0"/>
    <n v="1"/>
    <m/>
    <m/>
    <m/>
    <m/>
    <m/>
    <m/>
    <m/>
    <m/>
    <m/>
    <m/>
    <m/>
    <m/>
    <m/>
    <m/>
    <m/>
    <m/>
    <m/>
    <n v="110266.26"/>
    <m/>
    <n v="110266.26"/>
    <m/>
    <m/>
    <n v="2500"/>
    <x v="84"/>
    <s v="Y"/>
    <m/>
    <m/>
    <m/>
    <m/>
    <n v="2788"/>
    <m/>
    <m/>
    <m/>
    <m/>
    <m/>
    <m/>
    <m/>
    <m/>
    <m/>
    <m/>
    <m/>
    <s v="Jimani &amp; Duarte"/>
    <s v="Ricardo Caivano - Gates Foundation funds ($233,780 - 11.15% = $207,713.53 available - - 60% for DR)"/>
  </r>
  <r>
    <m/>
    <n v="116"/>
    <x v="120"/>
    <d v="2004-07-01T00:00:00"/>
    <x v="8"/>
    <x v="12"/>
    <m/>
    <n v="2004"/>
    <n v="2"/>
    <s v="LAC"/>
    <s v="Haiti"/>
    <m/>
    <s v="Floods"/>
    <s v="General Floods"/>
    <s v="General Floods"/>
    <m/>
    <m/>
    <m/>
    <m/>
    <m/>
    <s v=""/>
    <m/>
    <m/>
    <m/>
    <m/>
    <m/>
    <m/>
    <m/>
    <m/>
    <m/>
    <m/>
    <m/>
    <n v="0"/>
    <m/>
    <m/>
    <m/>
    <m/>
    <m/>
    <m/>
    <m/>
    <m/>
    <m/>
    <m/>
    <m/>
    <m/>
    <m/>
    <m/>
    <m/>
    <m/>
    <m/>
    <m/>
    <n v="97442.48"/>
    <m/>
    <n v="97442.48"/>
    <m/>
    <m/>
    <n v="3000"/>
    <x v="85"/>
    <s v="Y"/>
    <m/>
    <m/>
    <m/>
    <m/>
    <n v="2788"/>
    <m/>
    <m/>
    <m/>
    <m/>
    <m/>
    <m/>
    <m/>
    <m/>
    <m/>
    <m/>
    <m/>
    <s v="Eastern"/>
    <s v="Ricardo Caivano - Gates Foundation funds ($233,780 - 11.15% = $207,713.53 available - - 40% for Haiti)"/>
  </r>
  <r>
    <m/>
    <n v="117"/>
    <x v="122"/>
    <d v="2004-05-01T00:00:00"/>
    <x v="8"/>
    <x v="14"/>
    <m/>
    <n v="2004"/>
    <n v="4"/>
    <s v="LAC"/>
    <s v="Jamaica"/>
    <m/>
    <s v="Conflict"/>
    <s v="Conflict"/>
    <s v="Conflict"/>
    <m/>
    <m/>
    <m/>
    <m/>
    <m/>
    <s v=""/>
    <m/>
    <m/>
    <m/>
    <m/>
    <m/>
    <m/>
    <m/>
    <m/>
    <m/>
    <m/>
    <m/>
    <n v="0"/>
    <n v="0"/>
    <m/>
    <m/>
    <n v="1000"/>
    <m/>
    <n v="500"/>
    <m/>
    <m/>
    <m/>
    <m/>
    <m/>
    <n v="500"/>
    <m/>
    <m/>
    <m/>
    <m/>
    <m/>
    <m/>
    <n v="3000"/>
    <m/>
    <n v="3000"/>
    <m/>
    <m/>
    <n v="500"/>
    <x v="86"/>
    <s v="Y"/>
    <m/>
    <m/>
    <m/>
    <m/>
    <n v="2898"/>
    <m/>
    <m/>
    <m/>
    <m/>
    <m/>
    <m/>
    <m/>
    <m/>
    <m/>
    <m/>
    <m/>
    <s v="Haiti - Refugee"/>
    <s v="PADRU stocks"/>
  </r>
  <r>
    <m/>
    <n v="119"/>
    <x v="123"/>
    <d v="2004-08-01T00:00:00"/>
    <x v="9"/>
    <x v="1"/>
    <m/>
    <n v="2004"/>
    <n v="5"/>
    <s v="LAC"/>
    <s v="Paraguay"/>
    <m/>
    <s v="Miscellaneous"/>
    <s v="Fire"/>
    <s v="Urban Fire"/>
    <m/>
    <m/>
    <m/>
    <m/>
    <m/>
    <s v=""/>
    <m/>
    <m/>
    <m/>
    <m/>
    <m/>
    <m/>
    <m/>
    <m/>
    <m/>
    <n v="18675"/>
    <m/>
    <n v="18675"/>
    <m/>
    <m/>
    <m/>
    <m/>
    <m/>
    <m/>
    <m/>
    <m/>
    <m/>
    <m/>
    <m/>
    <m/>
    <m/>
    <m/>
    <m/>
    <m/>
    <m/>
    <m/>
    <m/>
    <m/>
    <n v="18675"/>
    <m/>
    <m/>
    <m/>
    <x v="87"/>
    <s v="Y"/>
    <m/>
    <m/>
    <m/>
    <m/>
    <n v="2816"/>
    <m/>
    <m/>
    <m/>
    <m/>
    <m/>
    <m/>
    <m/>
    <m/>
    <m/>
    <m/>
    <m/>
    <s v="Asuncion Supermarket"/>
    <s v="World Bank Employees; money arrived Oct 2004"/>
  </r>
  <r>
    <m/>
    <n v="120"/>
    <x v="124"/>
    <d v="2004-08-01T00:00:00"/>
    <x v="9"/>
    <x v="2"/>
    <m/>
    <n v="2004"/>
    <n v="6"/>
    <s v="Africa"/>
    <s v="Chad"/>
    <m/>
    <s v="Conflict"/>
    <s v="Conflict"/>
    <s v="Conflict"/>
    <m/>
    <m/>
    <m/>
    <m/>
    <m/>
    <s v=""/>
    <m/>
    <m/>
    <m/>
    <m/>
    <m/>
    <m/>
    <n v="1"/>
    <n v="100000"/>
    <m/>
    <m/>
    <m/>
    <n v="100000"/>
    <m/>
    <m/>
    <m/>
    <m/>
    <m/>
    <m/>
    <m/>
    <m/>
    <m/>
    <m/>
    <m/>
    <m/>
    <m/>
    <m/>
    <m/>
    <m/>
    <m/>
    <m/>
    <m/>
    <m/>
    <n v="100000"/>
    <m/>
    <m/>
    <m/>
    <x v="5"/>
    <s v="Y"/>
    <m/>
    <m/>
    <m/>
    <m/>
    <n v="9306"/>
    <m/>
    <m/>
    <m/>
    <m/>
    <m/>
    <m/>
    <m/>
    <m/>
    <m/>
    <m/>
    <m/>
    <s v="Darfur / Sudan"/>
    <s v="PMN Contribution to support Fed Appeal - Chad: Sudanese Refugees (from LDS)"/>
  </r>
  <r>
    <m/>
    <n v="120"/>
    <x v="125"/>
    <d v="2004-08-01T00:00:00"/>
    <x v="9"/>
    <x v="2"/>
    <m/>
    <n v="2004"/>
    <n v="6"/>
    <s v="Africa"/>
    <s v="Sudan"/>
    <m/>
    <s v="Conflict"/>
    <s v="Conflict"/>
    <s v="Conflict"/>
    <m/>
    <m/>
    <m/>
    <m/>
    <m/>
    <s v=""/>
    <m/>
    <m/>
    <m/>
    <m/>
    <m/>
    <m/>
    <m/>
    <m/>
    <n v="242000"/>
    <m/>
    <m/>
    <n v="242000"/>
    <n v="1"/>
    <m/>
    <m/>
    <m/>
    <m/>
    <m/>
    <m/>
    <m/>
    <m/>
    <m/>
    <m/>
    <m/>
    <m/>
    <m/>
    <m/>
    <m/>
    <m/>
    <m/>
    <m/>
    <n v="5400"/>
    <n v="247400"/>
    <m/>
    <m/>
    <m/>
    <x v="88"/>
    <s v="Y"/>
    <m/>
    <m/>
    <m/>
    <m/>
    <n v="2802"/>
    <m/>
    <m/>
    <m/>
    <m/>
    <m/>
    <m/>
    <m/>
    <m/>
    <m/>
    <m/>
    <m/>
    <s v="Darfur / Sudan"/>
    <s v="1. 2004 - L. Greenhalgh seconded to Fed, expenses $5400 2. 2006 - Pledge to ICRC Sudan Appeal, $242,000"/>
  </r>
  <r>
    <m/>
    <n v="121"/>
    <x v="19"/>
    <d v="2004-08-01T00:00:00"/>
    <x v="9"/>
    <x v="3"/>
    <m/>
    <n v="2004"/>
    <n v="7"/>
    <s v="Europe/Asia"/>
    <s v="Bangladesh"/>
    <m/>
    <s v="Floods"/>
    <s v="General Floods"/>
    <s v="General Floods"/>
    <m/>
    <m/>
    <m/>
    <m/>
    <m/>
    <s v=""/>
    <m/>
    <m/>
    <m/>
    <m/>
    <m/>
    <m/>
    <n v="0"/>
    <n v="35975"/>
    <m/>
    <m/>
    <m/>
    <n v="35975"/>
    <m/>
    <m/>
    <m/>
    <m/>
    <m/>
    <m/>
    <m/>
    <m/>
    <m/>
    <m/>
    <m/>
    <m/>
    <m/>
    <m/>
    <m/>
    <m/>
    <m/>
    <m/>
    <m/>
    <m/>
    <n v="35975"/>
    <m/>
    <m/>
    <m/>
    <x v="89"/>
    <s v="Y"/>
    <m/>
    <m/>
    <m/>
    <m/>
    <n v="2017"/>
    <m/>
    <m/>
    <m/>
    <m/>
    <m/>
    <m/>
    <m/>
    <m/>
    <m/>
    <m/>
    <m/>
    <s v="Country-wide"/>
    <s v="PMN: $15,975 from Citigroup and $20,000 from AMEX"/>
  </r>
  <r>
    <m/>
    <n v="122"/>
    <x v="126"/>
    <d v="2004-08-01T00:00:00"/>
    <x v="9"/>
    <x v="4"/>
    <m/>
    <n v="2004"/>
    <n v="8"/>
    <s v="Europe/Asia"/>
    <s v="Taiwan"/>
    <m/>
    <s v="Storm"/>
    <s v="Tropical Cyclone"/>
    <s v="Typhoon"/>
    <m/>
    <m/>
    <m/>
    <m/>
    <m/>
    <s v=""/>
    <m/>
    <m/>
    <m/>
    <m/>
    <m/>
    <m/>
    <m/>
    <m/>
    <m/>
    <n v="59896.536212325685"/>
    <m/>
    <n v="59896.536212325685"/>
    <m/>
    <m/>
    <m/>
    <m/>
    <m/>
    <m/>
    <m/>
    <m/>
    <m/>
    <m/>
    <m/>
    <m/>
    <m/>
    <m/>
    <m/>
    <m/>
    <m/>
    <m/>
    <m/>
    <m/>
    <n v="59896.536212325685"/>
    <m/>
    <m/>
    <m/>
    <x v="90"/>
    <s v="Y"/>
    <m/>
    <m/>
    <m/>
    <m/>
    <n v="2824"/>
    <m/>
    <m/>
    <m/>
    <m/>
    <m/>
    <m/>
    <m/>
    <m/>
    <m/>
    <m/>
    <m/>
    <s v="Mindulle"/>
    <s v="Pass through from Intel ($50,000), Synopsys Community Foundation ($10,000 - 11.15%) and San Gabriel Valley Chapter ($1,000 - 11.15%)"/>
  </r>
  <r>
    <m/>
    <n v="123"/>
    <x v="25"/>
    <d v="2004-09-01T00:00:00"/>
    <x v="9"/>
    <x v="5"/>
    <m/>
    <n v="2004"/>
    <n v="9"/>
    <s v="LAC"/>
    <s v="Grenada"/>
    <m/>
    <s v="Storm"/>
    <s v="Tropical Cyclone"/>
    <s v="Hurricane"/>
    <m/>
    <m/>
    <m/>
    <m/>
    <m/>
    <s v=""/>
    <m/>
    <m/>
    <m/>
    <m/>
    <m/>
    <m/>
    <n v="1"/>
    <n v="300000"/>
    <m/>
    <m/>
    <m/>
    <n v="300000"/>
    <n v="2"/>
    <m/>
    <m/>
    <n v="486"/>
    <m/>
    <m/>
    <m/>
    <n v="481"/>
    <m/>
    <n v="5"/>
    <m/>
    <m/>
    <m/>
    <m/>
    <m/>
    <m/>
    <m/>
    <m/>
    <n v="2452.19"/>
    <m/>
    <n v="302452.19"/>
    <m/>
    <m/>
    <m/>
    <x v="91"/>
    <s v="Y"/>
    <m/>
    <m/>
    <m/>
    <m/>
    <n v="2024"/>
    <m/>
    <m/>
    <m/>
    <m/>
    <m/>
    <m/>
    <m/>
    <m/>
    <m/>
    <m/>
    <m/>
    <s v="Ivan"/>
    <s v="PMN - March 05; N. Cooper deployed to Grenada and Bahamas w/ PADRU; T. Reines deployed to Grenada.  5 Tents @ $299 each; Jerry Cans @ $1.99 each"/>
  </r>
  <r>
    <m/>
    <n v="123"/>
    <x v="73"/>
    <d v="2004-09-01T00:00:00"/>
    <x v="9"/>
    <x v="5"/>
    <m/>
    <n v="2004"/>
    <n v="9"/>
    <s v="LAC"/>
    <s v="Jamaica"/>
    <m/>
    <s v="Storm"/>
    <s v="Tropical Cyclone"/>
    <s v="Hurricane"/>
    <m/>
    <m/>
    <m/>
    <m/>
    <m/>
    <s v=""/>
    <m/>
    <m/>
    <m/>
    <m/>
    <m/>
    <m/>
    <n v="1"/>
    <n v="100000"/>
    <m/>
    <m/>
    <m/>
    <n v="100000"/>
    <n v="1"/>
    <m/>
    <m/>
    <n v="7314"/>
    <m/>
    <m/>
    <n v="5000"/>
    <n v="802"/>
    <m/>
    <m/>
    <m/>
    <m/>
    <m/>
    <m/>
    <n v="1105"/>
    <m/>
    <m/>
    <m/>
    <n v="31046.879999999997"/>
    <m/>
    <n v="131046.88"/>
    <m/>
    <m/>
    <m/>
    <x v="92"/>
    <s v="Y"/>
    <m/>
    <m/>
    <m/>
    <m/>
    <n v="2024"/>
    <m/>
    <m/>
    <m/>
    <m/>
    <m/>
    <m/>
    <m/>
    <m/>
    <m/>
    <m/>
    <m/>
    <s v="Ivan"/>
    <s v="PMN - March 05; M. Parry deployed with FACT; Jerry Cans @ $1.99 each, blankets @ $3.03 each, 407 flashlights @ $1.20 each,  tarpaulins @ $12.50 each"/>
  </r>
  <r>
    <m/>
    <n v="123"/>
    <x v="127"/>
    <d v="2004-09-01T00:00:00"/>
    <x v="9"/>
    <x v="5"/>
    <m/>
    <n v="2004"/>
    <n v="9"/>
    <s v="LAC"/>
    <s v="Cayman Islands"/>
    <m/>
    <s v="Storm"/>
    <s v="Tropical Cyclone"/>
    <s v="Hurricane"/>
    <m/>
    <m/>
    <m/>
    <m/>
    <m/>
    <s v=""/>
    <m/>
    <m/>
    <m/>
    <m/>
    <m/>
    <m/>
    <n v="1"/>
    <n v="100000"/>
    <m/>
    <m/>
    <m/>
    <n v="100000"/>
    <n v="1"/>
    <m/>
    <m/>
    <n v="2346"/>
    <m/>
    <n v="1000"/>
    <m/>
    <n v="321"/>
    <m/>
    <n v="25"/>
    <m/>
    <m/>
    <m/>
    <m/>
    <m/>
    <m/>
    <m/>
    <m/>
    <n v="12853.79"/>
    <m/>
    <n v="112853.79000000001"/>
    <m/>
    <m/>
    <m/>
    <x v="93"/>
    <s v="Y"/>
    <m/>
    <m/>
    <m/>
    <m/>
    <n v="2024"/>
    <m/>
    <m/>
    <m/>
    <m/>
    <m/>
    <m/>
    <m/>
    <m/>
    <m/>
    <m/>
    <m/>
    <s v="Ivan"/>
    <s v="PMN - March 05; tents @ $299 each; Jerrry Cans @$1.99 each; 1,000 flashlights @ $1.20 each; Hygiene Kits @ $3.54 loaned to British Red Cross"/>
  </r>
  <r>
    <m/>
    <n v="123"/>
    <x v="13"/>
    <d v="2004-09-01T00:00:00"/>
    <x v="9"/>
    <x v="5"/>
    <m/>
    <n v="2004"/>
    <n v="9"/>
    <s v="LAC"/>
    <s v="Bahamas "/>
    <m/>
    <s v="Storm"/>
    <s v="Tropical Cyclone"/>
    <s v="Hurricane"/>
    <m/>
    <m/>
    <m/>
    <m/>
    <m/>
    <s v=""/>
    <m/>
    <m/>
    <m/>
    <m/>
    <m/>
    <m/>
    <n v="1"/>
    <n v="100000"/>
    <m/>
    <m/>
    <m/>
    <n v="100000"/>
    <n v="4"/>
    <m/>
    <m/>
    <m/>
    <m/>
    <m/>
    <m/>
    <m/>
    <m/>
    <m/>
    <m/>
    <m/>
    <m/>
    <m/>
    <m/>
    <m/>
    <m/>
    <m/>
    <m/>
    <m/>
    <n v="100000"/>
    <m/>
    <m/>
    <m/>
    <x v="5"/>
    <s v="Y"/>
    <m/>
    <m/>
    <m/>
    <m/>
    <n v="2024"/>
    <m/>
    <m/>
    <m/>
    <m/>
    <m/>
    <m/>
    <m/>
    <m/>
    <m/>
    <m/>
    <m/>
    <s v="Ivan"/>
    <s v="PMN - Jan 05; C. Garrison, S. Schaefer deployed 1 month; N. Cooper deployed several times"/>
  </r>
  <r>
    <m/>
    <n v="124"/>
    <x v="120"/>
    <d v="2004-09-01T00:00:00"/>
    <x v="9"/>
    <x v="6"/>
    <m/>
    <n v="2004"/>
    <n v="10"/>
    <s v="LAC"/>
    <s v="Haiti"/>
    <m/>
    <s v="Floods"/>
    <s v="Storm Surge"/>
    <s v="Storm Surge"/>
    <m/>
    <m/>
    <m/>
    <m/>
    <m/>
    <s v=""/>
    <m/>
    <m/>
    <m/>
    <m/>
    <m/>
    <m/>
    <n v="1"/>
    <n v="400000"/>
    <m/>
    <m/>
    <m/>
    <n v="400000"/>
    <n v="1"/>
    <m/>
    <m/>
    <n v="110"/>
    <m/>
    <m/>
    <m/>
    <m/>
    <m/>
    <m/>
    <m/>
    <m/>
    <m/>
    <m/>
    <n v="110"/>
    <m/>
    <m/>
    <m/>
    <n v="1375"/>
    <m/>
    <n v="401375"/>
    <m/>
    <m/>
    <m/>
    <x v="94"/>
    <s v="Y"/>
    <m/>
    <m/>
    <m/>
    <m/>
    <n v="2614"/>
    <m/>
    <m/>
    <m/>
    <m/>
    <m/>
    <m/>
    <m/>
    <m/>
    <m/>
    <m/>
    <m/>
    <s v="TS Jeanne"/>
    <s v="Brigitte Gallis deployed; tarpaulins @ $12.50 each; PMN 400K out of AP 2024 Jan 05"/>
  </r>
  <r>
    <m/>
    <n v="125"/>
    <x v="7"/>
    <d v="2004-11-01T00:00:00"/>
    <x v="9"/>
    <x v="7"/>
    <m/>
    <n v="2004"/>
    <n v="11"/>
    <s v="LAC"/>
    <s v="Costa Rica"/>
    <m/>
    <s v="Floods"/>
    <s v="General Floods"/>
    <s v="General Floods"/>
    <m/>
    <m/>
    <m/>
    <m/>
    <m/>
    <s v=""/>
    <m/>
    <m/>
    <m/>
    <m/>
    <m/>
    <m/>
    <m/>
    <m/>
    <m/>
    <m/>
    <m/>
    <n v="0"/>
    <m/>
    <m/>
    <m/>
    <n v="750"/>
    <m/>
    <n v="750"/>
    <m/>
    <m/>
    <m/>
    <m/>
    <m/>
    <m/>
    <m/>
    <m/>
    <m/>
    <m/>
    <m/>
    <m/>
    <n v="2655"/>
    <m/>
    <n v="2655"/>
    <m/>
    <m/>
    <m/>
    <x v="95"/>
    <s v="Y"/>
    <m/>
    <m/>
    <m/>
    <m/>
    <n v="2898"/>
    <m/>
    <m/>
    <m/>
    <m/>
    <m/>
    <m/>
    <m/>
    <m/>
    <m/>
    <m/>
    <m/>
    <m/>
    <s v="from PADRU @ $3.54 each"/>
  </r>
  <r>
    <m/>
    <n v="126"/>
    <x v="80"/>
    <d v="2004-12-01T00:00:00"/>
    <x v="9"/>
    <x v="8"/>
    <m/>
    <n v="2004"/>
    <n v="12"/>
    <s v="LAC"/>
    <s v="Panama"/>
    <s v="Hydrometerological"/>
    <s v="Floods"/>
    <s v="General Floods"/>
    <s v="General Floods"/>
    <m/>
    <m/>
    <m/>
    <m/>
    <m/>
    <s v=""/>
    <m/>
    <m/>
    <m/>
    <m/>
    <m/>
    <m/>
    <m/>
    <m/>
    <m/>
    <m/>
    <m/>
    <n v="0"/>
    <m/>
    <m/>
    <m/>
    <m/>
    <m/>
    <m/>
    <m/>
    <m/>
    <m/>
    <m/>
    <m/>
    <m/>
    <m/>
    <m/>
    <m/>
    <m/>
    <m/>
    <m/>
    <m/>
    <m/>
    <n v="0"/>
    <m/>
    <m/>
    <m/>
    <x v="7"/>
    <s v="Y"/>
    <m/>
    <m/>
    <m/>
    <m/>
    <n v="2898"/>
    <m/>
    <m/>
    <m/>
    <m/>
    <m/>
    <m/>
    <m/>
    <m/>
    <m/>
    <m/>
    <m/>
    <s v="Darien"/>
    <s v="CANCELLED: 100 cases of laundry soap (5,000 bars = $7,200) and 5,000 bars of bath soap ($1,475)"/>
  </r>
  <r>
    <m/>
    <n v="127"/>
    <x v="128"/>
    <d v="2004-12-01T00:00:00"/>
    <x v="9"/>
    <x v="9"/>
    <m/>
    <n v="2004"/>
    <n v="13"/>
    <s v="Europe/Asia"/>
    <s v="Sri Lanka"/>
    <s v="Hydrometerological"/>
    <s v="Tsunami"/>
    <s v="Tsunami"/>
    <s v="Tsunami"/>
    <m/>
    <m/>
    <m/>
    <m/>
    <m/>
    <s v=""/>
    <m/>
    <m/>
    <m/>
    <m/>
    <m/>
    <m/>
    <n v="1"/>
    <n v="1837066.6666666667"/>
    <m/>
    <m/>
    <m/>
    <n v="1837066.6666666667"/>
    <n v="17"/>
    <s v="Relief ERU"/>
    <m/>
    <m/>
    <m/>
    <m/>
    <m/>
    <m/>
    <m/>
    <m/>
    <m/>
    <m/>
    <m/>
    <m/>
    <m/>
    <m/>
    <m/>
    <m/>
    <n v="2011842.8599999999"/>
    <n v="100000000"/>
    <n v="103848909.52666667"/>
    <m/>
    <m/>
    <m/>
    <x v="96"/>
    <s v="Y"/>
    <m/>
    <m/>
    <m/>
    <m/>
    <n v="2695"/>
    <m/>
    <m/>
    <m/>
    <m/>
    <m/>
    <m/>
    <m/>
    <m/>
    <m/>
    <m/>
    <m/>
    <s v="S &amp; E Provinces"/>
    <s v="Parry, Ragan, Courville, Matthews, Caivano, Blake, Garrison, Szwadzka, Hurd, Chinn, Gaver, Brien, Reines, Thornton, Cummings, deployed with Relief ERU. Stephenson and Cooper deployed with British RC; Hagos deployed for 2 weeks in Feb 2005; L. Wilkinson (DP)   $5 million PMN sent to Federation for Appeal / 100K for emerg phase"/>
  </r>
  <r>
    <m/>
    <n v="127"/>
    <x v="129"/>
    <d v="2004-12-01T00:00:00"/>
    <x v="9"/>
    <x v="9"/>
    <m/>
    <n v="2004"/>
    <n v="13"/>
    <s v="Europe/Asia"/>
    <s v="Indonesia"/>
    <s v="Hydrometerological"/>
    <s v="Tsunami"/>
    <s v="Tsunami"/>
    <s v="Tsunami"/>
    <m/>
    <m/>
    <m/>
    <m/>
    <m/>
    <s v=""/>
    <m/>
    <m/>
    <m/>
    <m/>
    <m/>
    <m/>
    <n v="1"/>
    <n v="1666666.6666666667"/>
    <m/>
    <m/>
    <m/>
    <n v="1666666.6666666667"/>
    <n v="5"/>
    <s v="Relief ERU"/>
    <m/>
    <m/>
    <m/>
    <m/>
    <m/>
    <m/>
    <m/>
    <m/>
    <m/>
    <m/>
    <m/>
    <m/>
    <m/>
    <m/>
    <m/>
    <m/>
    <n v="2300506.4"/>
    <m/>
    <n v="3967173.0666666664"/>
    <m/>
    <m/>
    <m/>
    <x v="97"/>
    <s v="Y"/>
    <m/>
    <m/>
    <m/>
    <m/>
    <n v="2695"/>
    <m/>
    <m/>
    <m/>
    <m/>
    <m/>
    <m/>
    <m/>
    <m/>
    <m/>
    <m/>
    <m/>
    <s v="N. Sumatra"/>
    <s v="O'Donnell, Michaud and Card deployed as w/ Relief ERU in Northern Sumatra; Greenhalgh on FACT.   $5 million PMN sent to Federation for Appeal; Caivano transferred from Sri Lanka to Indo; Karnes deployed as IRT (logs/ops) "/>
  </r>
  <r>
    <m/>
    <n v="127"/>
    <x v="130"/>
    <d v="2004-12-01T00:00:00"/>
    <x v="9"/>
    <x v="9"/>
    <m/>
    <n v="2004"/>
    <n v="13"/>
    <s v="Europe/Asia"/>
    <s v="Maldives"/>
    <s v="Hydrometerological"/>
    <s v="Tsunami"/>
    <s v="Tsunami"/>
    <s v="Tsunami"/>
    <m/>
    <m/>
    <m/>
    <m/>
    <m/>
    <s v=""/>
    <m/>
    <m/>
    <m/>
    <m/>
    <m/>
    <m/>
    <n v="1"/>
    <n v="1666666.6666666667"/>
    <m/>
    <m/>
    <m/>
    <n v="1666666.6666666667"/>
    <n v="2"/>
    <m/>
    <m/>
    <m/>
    <m/>
    <m/>
    <m/>
    <m/>
    <m/>
    <m/>
    <m/>
    <m/>
    <m/>
    <m/>
    <m/>
    <m/>
    <m/>
    <m/>
    <n v="155600"/>
    <m/>
    <n v="1822266.6666666667"/>
    <m/>
    <m/>
    <m/>
    <x v="98"/>
    <s v="Y"/>
    <m/>
    <m/>
    <m/>
    <m/>
    <n v="2695"/>
    <m/>
    <m/>
    <m/>
    <m/>
    <m/>
    <m/>
    <m/>
    <m/>
    <m/>
    <m/>
    <m/>
    <s v="Country-wide"/>
    <s v="Hagos on FACT; $5 million PMN sent to Federation for Appeal; Gould wat/san IRT"/>
  </r>
  <r>
    <m/>
    <n v="128"/>
    <x v="131"/>
    <d v="2005-01-01T00:00:00"/>
    <x v="9"/>
    <x v="10"/>
    <m/>
    <n v="2005"/>
    <n v="1"/>
    <s v="LAC"/>
    <s v="Guyana"/>
    <s v="Hydrometerological"/>
    <s v="Floods"/>
    <s v="General Floods"/>
    <s v="General Floods"/>
    <m/>
    <m/>
    <m/>
    <m/>
    <m/>
    <s v=""/>
    <m/>
    <m/>
    <m/>
    <m/>
    <m/>
    <m/>
    <m/>
    <m/>
    <m/>
    <m/>
    <m/>
    <n v="0"/>
    <n v="2"/>
    <m/>
    <m/>
    <m/>
    <m/>
    <m/>
    <m/>
    <m/>
    <m/>
    <m/>
    <m/>
    <m/>
    <m/>
    <m/>
    <m/>
    <m/>
    <m/>
    <m/>
    <n v="10000"/>
    <n v="3100"/>
    <n v="13100"/>
    <m/>
    <m/>
    <m/>
    <x v="99"/>
    <s v="Y"/>
    <m/>
    <m/>
    <m/>
    <m/>
    <n v="2774"/>
    <m/>
    <m/>
    <m/>
    <m/>
    <m/>
    <m/>
    <m/>
    <m/>
    <m/>
    <m/>
    <m/>
    <s v="Georgetown"/>
    <s v="Jim Gould and Jeffery Weiss deployed and purchased and shipped to the GRC $10,000 worth of individual and family First Aid Kits."/>
  </r>
  <r>
    <m/>
    <n v="129"/>
    <x v="132"/>
    <d v="2005-06-01T00:00:00"/>
    <x v="9"/>
    <x v="11"/>
    <m/>
    <n v="2005"/>
    <n v="2"/>
    <s v="North America"/>
    <s v="Canada"/>
    <s v="Hydrometerological"/>
    <s v="Floods"/>
    <s v="General Floods"/>
    <s v="General Floods"/>
    <m/>
    <m/>
    <m/>
    <m/>
    <m/>
    <s v=""/>
    <m/>
    <m/>
    <m/>
    <m/>
    <m/>
    <m/>
    <m/>
    <m/>
    <m/>
    <n v="5000"/>
    <m/>
    <n v="5000"/>
    <m/>
    <m/>
    <m/>
    <m/>
    <m/>
    <m/>
    <m/>
    <m/>
    <m/>
    <m/>
    <m/>
    <m/>
    <m/>
    <m/>
    <m/>
    <m/>
    <m/>
    <m/>
    <m/>
    <m/>
    <n v="5000"/>
    <m/>
    <m/>
    <m/>
    <x v="46"/>
    <s v="Y"/>
    <m/>
    <m/>
    <m/>
    <m/>
    <s v="N/A"/>
    <m/>
    <m/>
    <m/>
    <m/>
    <m/>
    <m/>
    <m/>
    <m/>
    <m/>
    <m/>
    <m/>
    <s v="Alberta Floods"/>
    <s v="Contribution from AmEx for the Alberta Floods (GID direct to CRC)."/>
  </r>
  <r>
    <m/>
    <n v="130"/>
    <x v="133"/>
    <d v="2005-07-01T00:00:00"/>
    <x v="10"/>
    <x v="1"/>
    <m/>
    <n v="2005"/>
    <n v="3"/>
    <s v="LAC"/>
    <s v="Jamaica"/>
    <s v="Hydrometerological"/>
    <s v="Storm"/>
    <s v="Tropical Cyclone"/>
    <s v="Hurricane"/>
    <m/>
    <s v="Y"/>
    <s v="IFRC"/>
    <n v="587000"/>
    <s v="05EA14"/>
    <n v="4.2589437819420782E-2"/>
    <m/>
    <m/>
    <m/>
    <n v="35000"/>
    <m/>
    <m/>
    <n v="0"/>
    <n v="25000"/>
    <m/>
    <m/>
    <m/>
    <n v="25000"/>
    <m/>
    <m/>
    <m/>
    <n v="25"/>
    <m/>
    <m/>
    <m/>
    <m/>
    <m/>
    <n v="25"/>
    <m/>
    <m/>
    <m/>
    <m/>
    <m/>
    <m/>
    <m/>
    <m/>
    <n v="7475"/>
    <m/>
    <n v="32475"/>
    <m/>
    <m/>
    <n v="100"/>
    <x v="100"/>
    <s v="Y"/>
    <m/>
    <m/>
    <m/>
    <m/>
    <n v="2024"/>
    <m/>
    <m/>
    <m/>
    <m/>
    <m/>
    <m/>
    <m/>
    <m/>
    <m/>
    <m/>
    <m/>
    <s v="Dennis / Emily"/>
    <s v="Ex PADRU"/>
  </r>
  <r>
    <m/>
    <n v="130"/>
    <x v="134"/>
    <d v="2005-07-01T00:00:00"/>
    <x v="10"/>
    <x v="1"/>
    <m/>
    <n v="2005"/>
    <n v="3"/>
    <s v="LAC"/>
    <s v="Grenada"/>
    <s v="Hydrometerological"/>
    <s v="Storm"/>
    <s v="Tropical Cyclone"/>
    <s v="Hurricane"/>
    <m/>
    <m/>
    <m/>
    <m/>
    <m/>
    <s v=""/>
    <m/>
    <m/>
    <m/>
    <m/>
    <m/>
    <m/>
    <n v="1"/>
    <n v="75000"/>
    <m/>
    <m/>
    <m/>
    <n v="75000"/>
    <m/>
    <m/>
    <m/>
    <m/>
    <m/>
    <m/>
    <m/>
    <m/>
    <m/>
    <m/>
    <m/>
    <m/>
    <m/>
    <m/>
    <m/>
    <m/>
    <m/>
    <m/>
    <m/>
    <m/>
    <n v="75000"/>
    <m/>
    <m/>
    <m/>
    <x v="56"/>
    <s v="Y"/>
    <m/>
    <m/>
    <m/>
    <m/>
    <n v="2024"/>
    <m/>
    <m/>
    <m/>
    <m/>
    <m/>
    <m/>
    <m/>
    <m/>
    <m/>
    <m/>
    <m/>
    <s v="Dennis / Emily"/>
    <s v="$200,000 PMN sent: $100,000 to be divided between Jamaica and Grenada at Federation's discretion."/>
  </r>
  <r>
    <m/>
    <n v="130"/>
    <x v="135"/>
    <d v="2005-07-01T00:00:00"/>
    <x v="10"/>
    <x v="1"/>
    <m/>
    <n v="2005"/>
    <n v="3"/>
    <s v="LAC"/>
    <s v="Haiti"/>
    <s v="Hydrometerological"/>
    <s v="Storm"/>
    <s v="Tropical Cyclone"/>
    <s v="Hurricane"/>
    <m/>
    <m/>
    <m/>
    <m/>
    <m/>
    <s v=""/>
    <m/>
    <m/>
    <m/>
    <m/>
    <m/>
    <m/>
    <n v="1"/>
    <n v="100000"/>
    <m/>
    <m/>
    <m/>
    <n v="100000"/>
    <m/>
    <m/>
    <m/>
    <n v="9995"/>
    <m/>
    <m/>
    <m/>
    <m/>
    <m/>
    <m/>
    <m/>
    <m/>
    <m/>
    <m/>
    <m/>
    <m/>
    <m/>
    <m/>
    <n v="8693"/>
    <m/>
    <n v="108693"/>
    <m/>
    <m/>
    <m/>
    <x v="101"/>
    <s v="Y"/>
    <m/>
    <m/>
    <m/>
    <m/>
    <n v="2614"/>
    <m/>
    <m/>
    <m/>
    <m/>
    <m/>
    <m/>
    <m/>
    <m/>
    <m/>
    <m/>
    <m/>
    <s v="Dennis / Emily"/>
    <s v="4,995 pcs laundry soap &amp; 5,000 pcs bath soap sent from PADRU; $200,000 PMN sent with $100,000 for Haiti"/>
  </r>
  <r>
    <m/>
    <n v="131"/>
    <x v="136"/>
    <d v="2005-07-01T00:00:00"/>
    <x v="10"/>
    <x v="2"/>
    <m/>
    <n v="2005"/>
    <n v="4"/>
    <s v="Africa"/>
    <s v="Niger"/>
    <s v="Human Related"/>
    <s v="Food Insecurity"/>
    <s v="Food Insecurity"/>
    <s v="Food Insecurity"/>
    <m/>
    <s v="Y"/>
    <s v="IFRC"/>
    <n v="14211607"/>
    <s v="05EA015"/>
    <n v="0"/>
    <m/>
    <m/>
    <m/>
    <n v="222000"/>
    <m/>
    <m/>
    <m/>
    <m/>
    <m/>
    <m/>
    <m/>
    <n v="0"/>
    <n v="3"/>
    <m/>
    <m/>
    <m/>
    <m/>
    <m/>
    <m/>
    <m/>
    <m/>
    <m/>
    <m/>
    <m/>
    <m/>
    <m/>
    <m/>
    <m/>
    <m/>
    <m/>
    <m/>
    <n v="36200"/>
    <n v="36200"/>
    <m/>
    <m/>
    <m/>
    <x v="102"/>
    <s v="Y"/>
    <m/>
    <m/>
    <m/>
    <m/>
    <n v="2949"/>
    <m/>
    <m/>
    <m/>
    <m/>
    <m/>
    <m/>
    <m/>
    <m/>
    <m/>
    <m/>
    <m/>
    <s v="Sahel"/>
    <s v="Paying for secondments of Langdon Greenhalgh, Brigitte Gaillis and Tim Cummings to IFRC"/>
  </r>
  <r>
    <m/>
    <n v="132"/>
    <x v="137"/>
    <d v="2005-08-01T00:00:00"/>
    <x v="10"/>
    <x v="3"/>
    <m/>
    <n v="2005"/>
    <n v="5"/>
    <s v="North America"/>
    <s v="US"/>
    <s v="Hydrometerological"/>
    <s v="Tropical Storm"/>
    <s v="Tropical Cyclone"/>
    <s v="Hurricane"/>
    <m/>
    <m/>
    <m/>
    <m/>
    <m/>
    <s v=""/>
    <m/>
    <m/>
    <m/>
    <m/>
    <m/>
    <m/>
    <m/>
    <m/>
    <m/>
    <m/>
    <m/>
    <n v="0"/>
    <n v="3"/>
    <m/>
    <m/>
    <m/>
    <m/>
    <m/>
    <m/>
    <m/>
    <m/>
    <m/>
    <m/>
    <m/>
    <m/>
    <m/>
    <m/>
    <m/>
    <m/>
    <m/>
    <m/>
    <m/>
    <n v="0"/>
    <m/>
    <m/>
    <m/>
    <x v="7"/>
    <s v="Y"/>
    <m/>
    <m/>
    <m/>
    <m/>
    <m/>
    <m/>
    <m/>
    <m/>
    <m/>
    <m/>
    <m/>
    <m/>
    <m/>
    <m/>
    <m/>
    <m/>
    <s v="Katrina"/>
    <s v="Nate Cooper, Mark Smith and Lance Leverenz deployed to Mississippi, Lousiana and Alabama."/>
  </r>
  <r>
    <m/>
    <n v="133"/>
    <x v="138"/>
    <d v="2005-10-01T00:00:00"/>
    <x v="10"/>
    <x v="4"/>
    <m/>
    <n v="2005"/>
    <n v="6"/>
    <s v="Europe/Asia"/>
    <s v="Pakistan"/>
    <s v="Geophysical"/>
    <s v="Earthquake"/>
    <s v="Earthquake"/>
    <s v="Earthquake"/>
    <n v="3500000"/>
    <s v="Y"/>
    <s v="IFRC"/>
    <n v="117000000"/>
    <s v="05EA022"/>
    <n v="6.623931623931624E-2"/>
    <m/>
    <m/>
    <m/>
    <n v="575000"/>
    <m/>
    <m/>
    <n v="1"/>
    <n v="6750000"/>
    <n v="1000000"/>
    <m/>
    <m/>
    <n v="7750000"/>
    <n v="4"/>
    <m/>
    <m/>
    <n v="325618"/>
    <m/>
    <n v="18000"/>
    <n v="222900"/>
    <m/>
    <n v="28000"/>
    <n v="5200"/>
    <n v="18000"/>
    <n v="30518"/>
    <m/>
    <m/>
    <n v="3000"/>
    <m/>
    <m/>
    <m/>
    <n v="4808310"/>
    <m/>
    <n v="12558310"/>
    <m/>
    <m/>
    <n v="120000"/>
    <x v="103"/>
    <s v="Y"/>
    <m/>
    <m/>
    <m/>
    <m/>
    <s v="2897/2771/2769"/>
    <m/>
    <m/>
    <m/>
    <m/>
    <m/>
    <m/>
    <m/>
    <m/>
    <m/>
    <m/>
    <s v="y"/>
    <s v="North West Frontier Province (NWFP) and Pakistan Administered Kashmir (PAK)"/>
    <s v="CASH: Non-designated PMN to the Fed $1,850,000; PMN to the Fed designated for one month cost of helicopter relief operations for $400,000; PMN to the Fed designated for corrugated iron sheeting (~73,000 pc) for $1,500,000. SUPPLIES:  Shawls at $50,000. (Cost includes all inspection costs/ transporation costs as well as commodity cost); PEOPLE: Seconded John Manley to FACT team and Jim Stephenson to Fed relief/logistics team.(Cost includes all inspection costs/ transporation costs as well as commodity cost). ICRC - $1M 2006 - Winter Prep - PMN for 1.5 million (500k to household repair kits, 300k to CGI);   (Cost includes all inspection costs/ transporation costs as well as commodity cost); seconded C. Chaperon and N. Cooper to Fed for monitoring."/>
  </r>
  <r>
    <m/>
    <n v="134"/>
    <x v="139"/>
    <d v="2005-10-01T00:00:00"/>
    <x v="10"/>
    <x v="5"/>
    <m/>
    <n v="2005"/>
    <n v="7"/>
    <s v="LAC"/>
    <s v="Guatemala"/>
    <s v="Hydrometerological"/>
    <s v="Tropical Storm"/>
    <s v="Tropical Cyclone"/>
    <s v="Hurricane"/>
    <m/>
    <m/>
    <m/>
    <m/>
    <m/>
    <s v=""/>
    <m/>
    <m/>
    <m/>
    <m/>
    <m/>
    <m/>
    <n v="0"/>
    <n v="47581"/>
    <m/>
    <m/>
    <m/>
    <n v="47581"/>
    <m/>
    <m/>
    <m/>
    <m/>
    <m/>
    <m/>
    <m/>
    <m/>
    <m/>
    <m/>
    <m/>
    <m/>
    <m/>
    <m/>
    <m/>
    <m/>
    <m/>
    <m/>
    <m/>
    <m/>
    <n v="47581"/>
    <m/>
    <m/>
    <m/>
    <x v="104"/>
    <s v="Y"/>
    <m/>
    <m/>
    <m/>
    <m/>
    <n v="2759"/>
    <m/>
    <m/>
    <m/>
    <m/>
    <m/>
    <m/>
    <m/>
    <m/>
    <m/>
    <m/>
    <m/>
    <s v="Stan"/>
    <s v="PMN contribution to support Federation's appeal relief operations."/>
  </r>
  <r>
    <m/>
    <n v="134"/>
    <x v="140"/>
    <d v="2005-10-01T00:00:00"/>
    <x v="10"/>
    <x v="5"/>
    <m/>
    <n v="2005"/>
    <n v="7"/>
    <s v="LAC"/>
    <s v="Mexico"/>
    <s v="Hydrometerological"/>
    <s v="Tropical Storm"/>
    <s v="Tropical Cyclone"/>
    <s v="Hurricane"/>
    <m/>
    <m/>
    <m/>
    <m/>
    <m/>
    <s v=""/>
    <m/>
    <m/>
    <m/>
    <m/>
    <m/>
    <m/>
    <n v="1"/>
    <n v="257378"/>
    <m/>
    <n v="85000"/>
    <m/>
    <n v="342378"/>
    <m/>
    <m/>
    <m/>
    <m/>
    <m/>
    <m/>
    <m/>
    <m/>
    <m/>
    <m/>
    <m/>
    <m/>
    <m/>
    <m/>
    <m/>
    <m/>
    <m/>
    <m/>
    <m/>
    <m/>
    <n v="342378"/>
    <m/>
    <m/>
    <m/>
    <x v="105"/>
    <s v="Y"/>
    <m/>
    <m/>
    <m/>
    <m/>
    <n v="2020"/>
    <m/>
    <m/>
    <m/>
    <m/>
    <m/>
    <m/>
    <m/>
    <m/>
    <m/>
    <m/>
    <m/>
    <s v="Stan"/>
    <s v="CASH: Initial PMN contribution for $25,000 from IRF 2099 for Federation's Hurricane Stan Appeal.Additional PMN contribution for $83,568 from AP2760 for Federation's Hurricane Stan Appeal relief operations. Additional $124,453 PMN contribution from AP 2020 for Federation's Hurricane Stan Appeal relief operations in Mexico. $49,357 PMN contribution from AP2882  to support Federation's appeal relief operations.Cash to Mex RC: $35,000 from AP2760 for Initial direct contribution to the MRC to support their relief operation. Additional contribution of $50,000 from AP2020 to the MexRC to support their relief operation gift from Exxon Mobil and G&amp;E."/>
  </r>
  <r>
    <s v="TC-2005-000173-SLV"/>
    <n v="135"/>
    <x v="141"/>
    <d v="2005-10-01T00:00:00"/>
    <x v="10"/>
    <x v="6"/>
    <m/>
    <n v="2005"/>
    <n v="8"/>
    <s v="LAC"/>
    <s v="El Salvador"/>
    <s v="Geophysical"/>
    <s v="Volcano"/>
    <s v="Volcanic Eruption"/>
    <s v="Volcanic Eruption"/>
    <m/>
    <m/>
    <m/>
    <n v="1098045"/>
    <s v="05EA020"/>
    <n v="6.405930540187333E-3"/>
    <m/>
    <m/>
    <m/>
    <n v="21000"/>
    <m/>
    <m/>
    <n v="0"/>
    <n v="7034"/>
    <m/>
    <m/>
    <m/>
    <n v="7034"/>
    <n v="1"/>
    <m/>
    <m/>
    <m/>
    <m/>
    <m/>
    <m/>
    <m/>
    <m/>
    <m/>
    <m/>
    <m/>
    <m/>
    <m/>
    <m/>
    <m/>
    <m/>
    <m/>
    <m/>
    <m/>
    <n v="7034"/>
    <m/>
    <m/>
    <m/>
    <x v="106"/>
    <s v="Y"/>
    <m/>
    <m/>
    <m/>
    <m/>
    <n v="2690"/>
    <m/>
    <m/>
    <m/>
    <m/>
    <m/>
    <m/>
    <m/>
    <m/>
    <m/>
    <m/>
    <m/>
    <s v="Also: Floods"/>
    <s v="Nate Cooper deployed on PADRU team and PMN contribution to support Federation's appeal  relief operation in response of floods and volcanic eruption in El Salvador."/>
  </r>
  <r>
    <s v="TC-2005-000178-BHS"/>
    <n v="136"/>
    <x v="142"/>
    <d v="2005-10-01T00:00:00"/>
    <x v="10"/>
    <x v="7"/>
    <m/>
    <n v="2005"/>
    <n v="9"/>
    <s v="LAC"/>
    <s v="Bahamas"/>
    <s v="Hydrometerological"/>
    <s v="Storm"/>
    <s v="Tropical Cyclone"/>
    <s v="Hurricane"/>
    <m/>
    <m/>
    <m/>
    <n v="1634707"/>
    <s v="05EA024"/>
    <n v="0"/>
    <m/>
    <m/>
    <m/>
    <m/>
    <m/>
    <m/>
    <m/>
    <m/>
    <m/>
    <m/>
    <m/>
    <n v="0"/>
    <m/>
    <m/>
    <m/>
    <n v="2371.9999999999995"/>
    <m/>
    <n v="2372"/>
    <m/>
    <m/>
    <m/>
    <m/>
    <m/>
    <m/>
    <m/>
    <m/>
    <m/>
    <m/>
    <m/>
    <m/>
    <n v="20597"/>
    <m/>
    <n v="20597"/>
    <m/>
    <m/>
    <n v="4000"/>
    <x v="107"/>
    <s v="Y"/>
    <m/>
    <m/>
    <m/>
    <m/>
    <n v="2024"/>
    <m/>
    <m/>
    <m/>
    <m/>
    <m/>
    <m/>
    <m/>
    <m/>
    <m/>
    <m/>
    <m/>
    <s v="Wilma"/>
    <s v="$3.54 each + 6,200 (transport) = $14,596.88  plus shipping and handling"/>
  </r>
  <r>
    <s v="TC-2005-000178-MEX"/>
    <n v="136"/>
    <x v="143"/>
    <d v="2005-10-01T00:00:00"/>
    <x v="10"/>
    <x v="7"/>
    <m/>
    <n v="2005"/>
    <n v="9"/>
    <s v="LAC"/>
    <s v="Mexico"/>
    <s v="Hydrometerological"/>
    <s v="Storm"/>
    <s v="Tropical Cyclone"/>
    <s v="Hurricane"/>
    <n v="300000"/>
    <m/>
    <m/>
    <n v="1918000"/>
    <s v="05EA024"/>
    <n v="0.23663660062565173"/>
    <m/>
    <m/>
    <m/>
    <m/>
    <m/>
    <m/>
    <n v="1"/>
    <n v="128869"/>
    <m/>
    <n v="325000"/>
    <m/>
    <n v="453869"/>
    <m/>
    <m/>
    <m/>
    <n v="4500"/>
    <m/>
    <n v="4500"/>
    <m/>
    <m/>
    <m/>
    <m/>
    <m/>
    <m/>
    <m/>
    <m/>
    <m/>
    <m/>
    <m/>
    <m/>
    <n v="43875"/>
    <m/>
    <n v="497744"/>
    <m/>
    <m/>
    <m/>
    <x v="108"/>
    <s v="Y"/>
    <m/>
    <m/>
    <m/>
    <m/>
    <n v="2757"/>
    <m/>
    <m/>
    <m/>
    <m/>
    <m/>
    <m/>
    <m/>
    <m/>
    <m/>
    <m/>
    <m/>
    <s v="Wilma"/>
    <s v="CASH: $250,000 -Initital direct contribution from AP 2757 to the MexRC to support their relief operation in Cozumel, gift from Carnival Cruise Lines. 2) $75,000 additional direct contribution from AP 2020 to the MexRC to support their relief operations, gift from AmEx;.3) $100,000 PMN contribution from AP2758 to support Federation's appeal relief operations, 1. 62000 2. 38000 (10.06); 4) $28,869 PMN contribution from AP2757 to support Federation's appeal relief operations;    SUPPLIES: PADRU stocks valued at $43,875;"/>
  </r>
  <r>
    <m/>
    <n v="137"/>
    <x v="144"/>
    <d v="2005-10-01T00:00:00"/>
    <x v="10"/>
    <x v="8"/>
    <m/>
    <n v="2005"/>
    <n v="10"/>
    <s v="Europe/Asia"/>
    <s v="Vietnam"/>
    <s v="Hydrometerological"/>
    <s v="Storm"/>
    <s v="Tropical Cyclone"/>
    <s v="Typhoon"/>
    <m/>
    <s v="Y"/>
    <s v="IFRC"/>
    <n v="628813"/>
    <s v="05EA019"/>
    <n v="3.3504396378573595E-2"/>
    <m/>
    <m/>
    <m/>
    <n v="25000"/>
    <m/>
    <m/>
    <n v="0"/>
    <n v="21068"/>
    <m/>
    <m/>
    <m/>
    <n v="21068"/>
    <m/>
    <m/>
    <m/>
    <m/>
    <m/>
    <m/>
    <m/>
    <m/>
    <m/>
    <m/>
    <m/>
    <m/>
    <m/>
    <m/>
    <m/>
    <m/>
    <m/>
    <m/>
    <m/>
    <m/>
    <n v="21068"/>
    <m/>
    <m/>
    <m/>
    <x v="109"/>
    <s v="Y"/>
    <m/>
    <m/>
    <m/>
    <m/>
    <n v="2870"/>
    <m/>
    <m/>
    <m/>
    <m/>
    <m/>
    <m/>
    <m/>
    <m/>
    <m/>
    <m/>
    <m/>
    <s v="Central Vietnam"/>
    <s v="PMN to the Federtion to support Vietnam: Typhoon Damrey Emergency Appeal. The funds were from Boejing and the PMN was handled by the region."/>
  </r>
  <r>
    <m/>
    <n v="138"/>
    <x v="145"/>
    <d v="2005-11-01T00:00:00"/>
    <x v="10"/>
    <x v="9"/>
    <m/>
    <n v="2005"/>
    <n v="11"/>
    <s v="LAC"/>
    <s v="Colombia"/>
    <s v="Geophysical"/>
    <s v="Volcano"/>
    <s v="Volcanic Eruption"/>
    <s v="Volcanic Eruption"/>
    <m/>
    <m/>
    <m/>
    <m/>
    <m/>
    <s v=""/>
    <m/>
    <m/>
    <m/>
    <m/>
    <m/>
    <m/>
    <m/>
    <m/>
    <m/>
    <m/>
    <m/>
    <n v="0"/>
    <m/>
    <m/>
    <m/>
    <n v="45"/>
    <m/>
    <m/>
    <m/>
    <m/>
    <m/>
    <n v="45"/>
    <m/>
    <m/>
    <m/>
    <m/>
    <m/>
    <m/>
    <m/>
    <m/>
    <n v="17402"/>
    <m/>
    <n v="17402"/>
    <m/>
    <m/>
    <m/>
    <x v="110"/>
    <s v="Y"/>
    <m/>
    <m/>
    <m/>
    <m/>
    <n v="2898"/>
    <m/>
    <m/>
    <m/>
    <m/>
    <m/>
    <m/>
    <m/>
    <m/>
    <m/>
    <m/>
    <m/>
    <s v="Galeras Volcano"/>
    <s v="tents to the CRC - cost of shipping charged to 2099."/>
  </r>
  <r>
    <m/>
    <n v="139"/>
    <x v="146"/>
    <d v="2006-01-01T00:00:00"/>
    <x v="10"/>
    <x v="10"/>
    <m/>
    <n v="2006"/>
    <n v="1"/>
    <s v="Africa"/>
    <s v="Lesotho"/>
    <s v="Hydrometerological"/>
    <s v="Drought"/>
    <s v="Drought"/>
    <s v="Drought"/>
    <m/>
    <s v="Y"/>
    <s v="IFRC"/>
    <m/>
    <s v="05EA023"/>
    <s v=""/>
    <m/>
    <m/>
    <m/>
    <n v="1500000"/>
    <m/>
    <m/>
    <n v="1"/>
    <n v="100000"/>
    <m/>
    <m/>
    <m/>
    <n v="100000"/>
    <n v="3"/>
    <m/>
    <m/>
    <m/>
    <m/>
    <m/>
    <m/>
    <m/>
    <m/>
    <m/>
    <m/>
    <m/>
    <m/>
    <m/>
    <m/>
    <m/>
    <m/>
    <m/>
    <m/>
    <m/>
    <n v="100000"/>
    <m/>
    <m/>
    <m/>
    <x v="5"/>
    <s v="N"/>
    <m/>
    <m/>
    <m/>
    <m/>
    <n v="2099"/>
    <m/>
    <m/>
    <m/>
    <m/>
    <m/>
    <m/>
    <m/>
    <m/>
    <m/>
    <m/>
    <m/>
    <s v="Food Crisis"/>
    <s v="PMN contribution to support Federation's appeal relief operations in Lesotho."/>
  </r>
  <r>
    <m/>
    <n v="139"/>
    <x v="147"/>
    <d v="2006-01-01T00:00:00"/>
    <x v="10"/>
    <x v="10"/>
    <m/>
    <n v="2006"/>
    <n v="1"/>
    <s v="Africa"/>
    <s v="Malawi"/>
    <s v="Hydrometerological"/>
    <s v="Drought"/>
    <s v="Drought"/>
    <s v="Drought"/>
    <m/>
    <m/>
    <m/>
    <m/>
    <s v="05EA023"/>
    <s v=""/>
    <m/>
    <m/>
    <m/>
    <m/>
    <m/>
    <m/>
    <n v="1"/>
    <n v="150000"/>
    <m/>
    <m/>
    <m/>
    <n v="150000"/>
    <m/>
    <m/>
    <m/>
    <m/>
    <m/>
    <m/>
    <m/>
    <m/>
    <m/>
    <m/>
    <m/>
    <m/>
    <m/>
    <m/>
    <m/>
    <m/>
    <m/>
    <m/>
    <m/>
    <m/>
    <n v="150000"/>
    <m/>
    <m/>
    <m/>
    <x v="13"/>
    <s v="N"/>
    <m/>
    <m/>
    <m/>
    <m/>
    <n v="2099"/>
    <m/>
    <m/>
    <m/>
    <m/>
    <m/>
    <m/>
    <m/>
    <m/>
    <m/>
    <m/>
    <m/>
    <s v="Food Crisis"/>
    <s v="PMN contribution to support Federation's appeal earmarked for Community Base Health Care Program to leverage NLRC funding."/>
  </r>
  <r>
    <m/>
    <n v="139"/>
    <x v="148"/>
    <d v="2006-01-01T00:00:00"/>
    <x v="10"/>
    <x v="10"/>
    <m/>
    <n v="2006"/>
    <n v="1"/>
    <s v="Africa"/>
    <s v="Zimbabwe"/>
    <s v="Hydrometerological"/>
    <s v="Drought"/>
    <s v="Drought"/>
    <s v="Drought"/>
    <m/>
    <m/>
    <m/>
    <m/>
    <s v="05EA023"/>
    <s v=""/>
    <m/>
    <m/>
    <m/>
    <m/>
    <m/>
    <m/>
    <n v="1"/>
    <n v="250000"/>
    <m/>
    <m/>
    <m/>
    <n v="250000"/>
    <m/>
    <m/>
    <m/>
    <m/>
    <m/>
    <m/>
    <m/>
    <m/>
    <m/>
    <m/>
    <m/>
    <m/>
    <m/>
    <m/>
    <m/>
    <m/>
    <m/>
    <m/>
    <m/>
    <m/>
    <n v="250000"/>
    <m/>
    <m/>
    <m/>
    <x v="35"/>
    <s v="N"/>
    <m/>
    <m/>
    <m/>
    <m/>
    <n v="2099"/>
    <m/>
    <m/>
    <m/>
    <m/>
    <m/>
    <m/>
    <m/>
    <m/>
    <m/>
    <m/>
    <m/>
    <s v="Food Crisis"/>
    <s v="PMN contribution to support Federation's appeal relief operations in Zimbabwe."/>
  </r>
  <r>
    <m/>
    <n v="139"/>
    <x v="149"/>
    <d v="2006-01-01T00:00:00"/>
    <x v="10"/>
    <x v="10"/>
    <m/>
    <n v="2006"/>
    <n v="1"/>
    <s v="Africa"/>
    <s v="Zambia"/>
    <s v="Hydrometerological"/>
    <s v="Drought"/>
    <s v="Drought"/>
    <s v="Drought"/>
    <m/>
    <m/>
    <m/>
    <s v="`"/>
    <s v="05EA023"/>
    <s v=""/>
    <m/>
    <m/>
    <m/>
    <m/>
    <m/>
    <m/>
    <n v="1"/>
    <n v="400000"/>
    <m/>
    <m/>
    <m/>
    <n v="400000"/>
    <m/>
    <m/>
    <m/>
    <m/>
    <m/>
    <m/>
    <m/>
    <m/>
    <m/>
    <m/>
    <m/>
    <m/>
    <m/>
    <m/>
    <m/>
    <m/>
    <m/>
    <m/>
    <m/>
    <m/>
    <n v="400000"/>
    <m/>
    <m/>
    <m/>
    <x v="111"/>
    <s v="N"/>
    <m/>
    <m/>
    <m/>
    <m/>
    <n v="2099"/>
    <m/>
    <m/>
    <m/>
    <m/>
    <m/>
    <m/>
    <m/>
    <m/>
    <m/>
    <m/>
    <m/>
    <s v="Food Crisis"/>
    <s v="$400K &amp; $100K PMN contribution to support Federation's appeal relief operations in Zambia."/>
  </r>
  <r>
    <m/>
    <n v="140"/>
    <x v="150"/>
    <d v="2006-03-01T00:00:00"/>
    <x v="10"/>
    <x v="11"/>
    <m/>
    <n v="2006"/>
    <n v="2"/>
    <s v="Africa"/>
    <s v="Kenya"/>
    <s v="Hydrometerological"/>
    <s v="Drought"/>
    <s v="Drought"/>
    <s v="Drought"/>
    <m/>
    <s v="Y"/>
    <s v="IFRC"/>
    <n v="10500000"/>
    <s v="MDRKE001"/>
    <n v="1.4285714285714285E-2"/>
    <m/>
    <m/>
    <m/>
    <n v="329000"/>
    <m/>
    <m/>
    <n v="1"/>
    <n v="150000"/>
    <m/>
    <m/>
    <m/>
    <n v="150000"/>
    <m/>
    <m/>
    <m/>
    <m/>
    <m/>
    <m/>
    <m/>
    <m/>
    <m/>
    <m/>
    <m/>
    <m/>
    <m/>
    <m/>
    <m/>
    <m/>
    <m/>
    <m/>
    <m/>
    <m/>
    <n v="150000"/>
    <m/>
    <m/>
    <m/>
    <x v="13"/>
    <s v="N"/>
    <m/>
    <m/>
    <m/>
    <m/>
    <n v="2099"/>
    <m/>
    <m/>
    <m/>
    <m/>
    <m/>
    <m/>
    <m/>
    <m/>
    <m/>
    <m/>
    <m/>
    <s v="E. Africa Appeal"/>
    <s v="PMN contribution to support Federation's appeal relief operations."/>
  </r>
  <r>
    <m/>
    <n v="141"/>
    <x v="151"/>
    <d v="2006-03-01T00:00:00"/>
    <x v="10"/>
    <x v="12"/>
    <m/>
    <n v="2006"/>
    <n v="3"/>
    <s v="Europe/Asia"/>
    <s v="Iraq"/>
    <s v="Human Related"/>
    <s v="Conflict"/>
    <s v="Conflict"/>
    <s v="Conflict"/>
    <m/>
    <s v="Y"/>
    <s v="IFRC/ ICRC"/>
    <m/>
    <s v="MDRIQ001 / 05EA026 / REX 07/346"/>
    <s v=""/>
    <m/>
    <m/>
    <m/>
    <n v="455000"/>
    <m/>
    <m/>
    <n v="1"/>
    <n v="88443"/>
    <n v="100000"/>
    <m/>
    <m/>
    <n v="188443"/>
    <m/>
    <m/>
    <m/>
    <m/>
    <m/>
    <m/>
    <m/>
    <m/>
    <m/>
    <m/>
    <m/>
    <m/>
    <m/>
    <m/>
    <m/>
    <m/>
    <m/>
    <m/>
    <m/>
    <m/>
    <n v="188443"/>
    <m/>
    <m/>
    <n v="455000"/>
    <x v="112"/>
    <s v="Y"/>
    <m/>
    <m/>
    <m/>
    <m/>
    <n v="2689"/>
    <m/>
    <m/>
    <m/>
    <m/>
    <m/>
    <m/>
    <m/>
    <m/>
    <m/>
    <m/>
    <m/>
    <s v="Humanitarian Emergency"/>
    <s v="19,170 PMN to IFRC Iraq: Floods Appeal No. MDRIQ001 for 25,000 beneficiaries; 69,272.96 PMN to IFRC Iraq: Humanitarian Emergency Appeal No. 05 EA026 for 350,000 beneficiaries; 100,000 Cash Contribution to ICRC's emergency appeal for Iraq activities related to wat/san for 80,000 beneficiaries."/>
  </r>
  <r>
    <s v="-2006-000022-TMP"/>
    <n v="142"/>
    <x v="152"/>
    <d v="2006-02-01T00:00:00"/>
    <x v="10"/>
    <x v="13"/>
    <m/>
    <n v="2006"/>
    <n v="4"/>
    <s v="Europe/Asia"/>
    <s v="Timor-Leste"/>
    <s v="Hydrometerological"/>
    <s v="Floods"/>
    <s v="General Floods"/>
    <s v="General Floods"/>
    <m/>
    <s v="Y"/>
    <s v="IFRC"/>
    <n v="485000"/>
    <s v="MDRTP001"/>
    <n v="0.10309278350515463"/>
    <m/>
    <m/>
    <m/>
    <n v="8400"/>
    <m/>
    <m/>
    <n v="1"/>
    <n v="50000"/>
    <m/>
    <m/>
    <m/>
    <n v="50000"/>
    <m/>
    <m/>
    <m/>
    <m/>
    <m/>
    <m/>
    <m/>
    <m/>
    <m/>
    <m/>
    <m/>
    <m/>
    <m/>
    <m/>
    <m/>
    <m/>
    <m/>
    <m/>
    <m/>
    <m/>
    <n v="50000"/>
    <m/>
    <m/>
    <n v="8400"/>
    <x v="16"/>
    <s v="N"/>
    <m/>
    <m/>
    <m/>
    <m/>
    <n v="2799"/>
    <m/>
    <m/>
    <m/>
    <m/>
    <m/>
    <m/>
    <m/>
    <m/>
    <m/>
    <m/>
    <m/>
    <s v="Oecusse, Ainaro, Viqueque, Bobonaro and Baucau Districts"/>
    <s v="PMN contribution to support the Federation's operation in response to the Timor-Leste: Storms and Floods Emergency Appeal No. MDRTP001."/>
  </r>
  <r>
    <s v="MS-2006-000179-PHL"/>
    <n v="143"/>
    <x v="153"/>
    <d v="2006-02-01T00:00:00"/>
    <x v="10"/>
    <x v="14"/>
    <m/>
    <n v="2006"/>
    <n v="5"/>
    <s v="Europe/Asia"/>
    <s v="Philippines"/>
    <s v="Hydrometerological"/>
    <s v="Mass Movement Wet"/>
    <s v="Landslide"/>
    <s v="Mudslide"/>
    <m/>
    <s v="Y"/>
    <s v="IFRC"/>
    <n v="2000000"/>
    <s v="MDRPH001"/>
    <n v="2.75E-2"/>
    <m/>
    <m/>
    <m/>
    <n v="8000"/>
    <m/>
    <m/>
    <n v="1"/>
    <n v="50000"/>
    <m/>
    <n v="5000"/>
    <m/>
    <n v="55000"/>
    <m/>
    <m/>
    <m/>
    <m/>
    <m/>
    <m/>
    <m/>
    <m/>
    <m/>
    <m/>
    <m/>
    <m/>
    <m/>
    <m/>
    <m/>
    <m/>
    <m/>
    <m/>
    <m/>
    <m/>
    <n v="55000"/>
    <m/>
    <m/>
    <n v="8000"/>
    <x v="113"/>
    <s v="Y"/>
    <m/>
    <m/>
    <m/>
    <m/>
    <n v="2032"/>
    <m/>
    <m/>
    <m/>
    <m/>
    <m/>
    <m/>
    <m/>
    <m/>
    <m/>
    <m/>
    <m/>
    <s v="Southern Leyte"/>
    <s v="PMN contribution to support the Federation's operation in the Philippines: Landslides and Floods Emergency Appeal No. MDRPH001 in the amount of 50,000 USD; Amex donation to Philippines National Red Cross for their emergency operations in the amount of 5,000 USD."/>
  </r>
  <r>
    <m/>
    <n v="144"/>
    <x v="154"/>
    <d v="2006-05-01T00:00:00"/>
    <x v="10"/>
    <x v="15"/>
    <m/>
    <n v="2006"/>
    <n v="6"/>
    <s v="Africa"/>
    <s v="Angola"/>
    <s v="Biological"/>
    <s v="Epidemic"/>
    <s v="Bacterial"/>
    <s v="Bacterial"/>
    <m/>
    <m/>
    <m/>
    <m/>
    <m/>
    <s v=""/>
    <m/>
    <m/>
    <m/>
    <m/>
    <m/>
    <m/>
    <m/>
    <m/>
    <m/>
    <m/>
    <m/>
    <n v="0"/>
    <n v="1"/>
    <m/>
    <m/>
    <m/>
    <m/>
    <m/>
    <m/>
    <m/>
    <m/>
    <m/>
    <m/>
    <m/>
    <m/>
    <m/>
    <m/>
    <m/>
    <m/>
    <m/>
    <m/>
    <n v="5000"/>
    <n v="5000"/>
    <m/>
    <m/>
    <m/>
    <x v="46"/>
    <s v="N"/>
    <m/>
    <m/>
    <m/>
    <m/>
    <n v="2799"/>
    <m/>
    <m/>
    <m/>
    <m/>
    <m/>
    <m/>
    <m/>
    <m/>
    <m/>
    <m/>
    <m/>
    <s v="Cholera Outbreak"/>
    <s v="J. Koepsell as FACT Health"/>
  </r>
  <r>
    <m/>
    <n v="145"/>
    <x v="5"/>
    <d v="2006-04-01T00:00:00"/>
    <x v="10"/>
    <x v="16"/>
    <m/>
    <n v="2006"/>
    <n v="7"/>
    <s v="Africa"/>
    <s v="Ethiopia"/>
    <s v="Hydrometerological"/>
    <s v="Drought"/>
    <s v="Drought"/>
    <s v="Drought"/>
    <m/>
    <s v="Y"/>
    <s v="IFRC"/>
    <n v="1129750"/>
    <s v="MDRET001"/>
    <n v="8.3612303606992691E-2"/>
    <m/>
    <m/>
    <m/>
    <n v="36341"/>
    <m/>
    <m/>
    <n v="1"/>
    <n v="94461"/>
    <m/>
    <m/>
    <m/>
    <n v="94461"/>
    <m/>
    <m/>
    <m/>
    <m/>
    <m/>
    <m/>
    <m/>
    <m/>
    <m/>
    <m/>
    <m/>
    <m/>
    <m/>
    <m/>
    <m/>
    <m/>
    <m/>
    <m/>
    <m/>
    <m/>
    <n v="94461"/>
    <m/>
    <m/>
    <m/>
    <x v="114"/>
    <s v="N"/>
    <m/>
    <m/>
    <m/>
    <m/>
    <n v="2099"/>
    <m/>
    <m/>
    <m/>
    <m/>
    <m/>
    <m/>
    <m/>
    <m/>
    <m/>
    <m/>
    <m/>
    <m/>
    <s v="PMN contribution to support Ethiopa: Drought Appeal"/>
  </r>
  <r>
    <m/>
    <n v="146"/>
    <x v="155"/>
    <d v="2006-04-01T00:00:00"/>
    <x v="10"/>
    <x v="17"/>
    <m/>
    <n v="2006"/>
    <n v="8"/>
    <s v="Africa"/>
    <s v="Somalia"/>
    <s v="Hydrometerological"/>
    <s v="Drought"/>
    <s v="Drought"/>
    <s v="Drought"/>
    <m/>
    <s v="Y"/>
    <s v="ICRC"/>
    <m/>
    <m/>
    <s v=""/>
    <m/>
    <m/>
    <m/>
    <m/>
    <m/>
    <m/>
    <n v="1"/>
    <m/>
    <n v="250000"/>
    <m/>
    <m/>
    <n v="250000"/>
    <m/>
    <m/>
    <m/>
    <m/>
    <m/>
    <m/>
    <m/>
    <m/>
    <m/>
    <m/>
    <m/>
    <m/>
    <m/>
    <m/>
    <m/>
    <m/>
    <m/>
    <m/>
    <m/>
    <m/>
    <n v="250000"/>
    <m/>
    <m/>
    <m/>
    <x v="35"/>
    <s v="N"/>
    <m/>
    <m/>
    <m/>
    <m/>
    <n v="2099"/>
    <m/>
    <m/>
    <m/>
    <m/>
    <m/>
    <m/>
    <m/>
    <m/>
    <m/>
    <m/>
    <m/>
    <m/>
    <s v="Pledge Letter to ICRC for Somalia Emergency Appeal"/>
  </r>
  <r>
    <m/>
    <n v="147"/>
    <x v="156"/>
    <d v="2006-04-01T00:00:00"/>
    <x v="10"/>
    <x v="18"/>
    <m/>
    <n v="2006"/>
    <n v="9"/>
    <s v="Europe/Asia"/>
    <s v="Spain"/>
    <s v="Human Related"/>
    <s v="Terrorism"/>
    <s v="Terrorism"/>
    <s v="Terrorism"/>
    <m/>
    <m/>
    <m/>
    <m/>
    <m/>
    <s v=""/>
    <m/>
    <m/>
    <m/>
    <m/>
    <m/>
    <m/>
    <m/>
    <m/>
    <m/>
    <n v="20000"/>
    <m/>
    <n v="20000"/>
    <m/>
    <m/>
    <m/>
    <m/>
    <m/>
    <m/>
    <m/>
    <m/>
    <m/>
    <m/>
    <m/>
    <m/>
    <m/>
    <m/>
    <m/>
    <m/>
    <m/>
    <m/>
    <m/>
    <m/>
    <n v="20000"/>
    <m/>
    <m/>
    <m/>
    <x v="25"/>
    <s v="Y"/>
    <m/>
    <m/>
    <m/>
    <m/>
    <n v="2903"/>
    <m/>
    <m/>
    <m/>
    <m/>
    <m/>
    <m/>
    <m/>
    <m/>
    <m/>
    <m/>
    <m/>
    <s v="April 2004 MadridTrain Bombing"/>
    <s v="Suspense acct contribution following April 2004 bombing. Grant to Spain RC for DPP"/>
  </r>
  <r>
    <m/>
    <n v="148"/>
    <x v="157"/>
    <d v="2006-05-01T00:00:00"/>
    <x v="10"/>
    <x v="19"/>
    <m/>
    <n v="2006"/>
    <n v="10"/>
    <s v="LAC"/>
    <s v="Colombia"/>
    <s v="Hydrometerological"/>
    <s v="Floods"/>
    <s v="General Floods"/>
    <m/>
    <m/>
    <m/>
    <m/>
    <m/>
    <m/>
    <s v=""/>
    <m/>
    <m/>
    <m/>
    <m/>
    <m/>
    <n v="2500"/>
    <m/>
    <m/>
    <m/>
    <n v="50000"/>
    <m/>
    <n v="50000"/>
    <m/>
    <m/>
    <m/>
    <m/>
    <m/>
    <m/>
    <m/>
    <m/>
    <m/>
    <m/>
    <m/>
    <m/>
    <m/>
    <m/>
    <m/>
    <m/>
    <m/>
    <m/>
    <m/>
    <m/>
    <n v="50000"/>
    <m/>
    <m/>
    <m/>
    <x v="16"/>
    <s v="N"/>
    <m/>
    <m/>
    <m/>
    <m/>
    <n v="2799"/>
    <m/>
    <m/>
    <m/>
    <m/>
    <m/>
    <m/>
    <m/>
    <m/>
    <m/>
    <m/>
    <m/>
    <m/>
    <s v="OFDA award in support of ARC's proposal &quot;Colombia Floods 2006&quot; to support CRC emergency relief response."/>
  </r>
  <r>
    <s v="EQ-2006-000064-IDN"/>
    <n v="149"/>
    <x v="158"/>
    <d v="2006-05-01T00:00:00"/>
    <x v="10"/>
    <x v="23"/>
    <m/>
    <n v="2006"/>
    <n v="11"/>
    <s v="Europe/Asia"/>
    <s v="Indonesia"/>
    <s v="Geophysical"/>
    <s v="Earthquake"/>
    <s v="Earthquake"/>
    <s v="Earthquake"/>
    <m/>
    <s v="Y"/>
    <s v="IFRC"/>
    <n v="31000000"/>
    <s v="MDRID001"/>
    <n v="4.5104838709677422E-2"/>
    <m/>
    <m/>
    <m/>
    <n v="325000"/>
    <m/>
    <m/>
    <n v="1"/>
    <n v="1398250"/>
    <m/>
    <m/>
    <m/>
    <n v="1398250"/>
    <n v="7"/>
    <s v="Relief ERU"/>
    <m/>
    <m/>
    <m/>
    <m/>
    <m/>
    <m/>
    <m/>
    <m/>
    <m/>
    <m/>
    <m/>
    <m/>
    <m/>
    <m/>
    <m/>
    <m/>
    <m/>
    <n v="87500"/>
    <n v="1485750"/>
    <m/>
    <m/>
    <n v="13000"/>
    <x v="115"/>
    <s v="Y"/>
    <m/>
    <m/>
    <m/>
    <m/>
    <s v="2930 / 2799"/>
    <m/>
    <m/>
    <m/>
    <m/>
    <m/>
    <m/>
    <m/>
    <m/>
    <m/>
    <m/>
    <m/>
    <s v="Yogyakarta"/>
    <s v="CASH: 1. PMN to Fed 119,000 from AP2930  2. PMN to Fed 179,250 from AP2930 earmarked for 80K sleeping mats 3. PMN from AP2930 to Fed 1 million earmarked for tarps (600K), PSP (100K), DM (300K); PMN contribution to support Fed appeal relief operations - joint w/ 119,000 from AP 2930 4. PEOPLE: Relief ERU deployed with N. Cooper, C. Blake, S. Rahman, B. Riester, T. Betz, C. Chaperon. PA B. Gillespie, Health S. Shetty, PSP team"/>
  </r>
  <r>
    <m/>
    <n v="150"/>
    <x v="88"/>
    <d v="2006-07-01T00:00:00"/>
    <x v="11"/>
    <x v="1"/>
    <m/>
    <n v="2006"/>
    <n v="12"/>
    <s v="Europe/Asia"/>
    <s v="Romania"/>
    <s v="Hydrometerological"/>
    <s v="Floods"/>
    <s v="General Floods"/>
    <s v="General Floods"/>
    <m/>
    <s v="Y"/>
    <s v="IFRC"/>
    <n v="1900000"/>
    <s v="MDRRO001"/>
    <n v="2.631578947368421E-3"/>
    <m/>
    <m/>
    <m/>
    <n v="13000"/>
    <m/>
    <m/>
    <n v="0"/>
    <n v="5000"/>
    <m/>
    <m/>
    <m/>
    <n v="5000"/>
    <m/>
    <m/>
    <m/>
    <m/>
    <m/>
    <m/>
    <m/>
    <m/>
    <m/>
    <m/>
    <m/>
    <m/>
    <m/>
    <m/>
    <m/>
    <m/>
    <m/>
    <m/>
    <m/>
    <m/>
    <n v="5000"/>
    <m/>
    <m/>
    <m/>
    <x v="46"/>
    <s v="Y"/>
    <m/>
    <m/>
    <m/>
    <m/>
    <n v="2685"/>
    <m/>
    <m/>
    <m/>
    <m/>
    <m/>
    <m/>
    <m/>
    <m/>
    <m/>
    <m/>
    <m/>
    <s v="Country-Wide"/>
    <s v="PMN contribution to support Federation's Emergency Appeal - AmEx contribution - from suspense acct"/>
  </r>
  <r>
    <m/>
    <n v="151"/>
    <x v="159"/>
    <d v="2006-07-01T00:00:00"/>
    <x v="11"/>
    <x v="2"/>
    <m/>
    <n v="2006"/>
    <n v="13"/>
    <s v="Europe/Asia"/>
    <s v="Lebanon"/>
    <s v="Human Related"/>
    <s v="Conflict"/>
    <s v="Conflict"/>
    <s v="Conflict"/>
    <m/>
    <s v="Y"/>
    <s v="IFRC/ICRC"/>
    <n v="83131000"/>
    <s v="MDR81001 /REX 06/575"/>
    <n v="2.2730389385427818E-2"/>
    <m/>
    <m/>
    <m/>
    <n v="2000000"/>
    <m/>
    <m/>
    <n v="1"/>
    <n v="475000"/>
    <n v="1058600"/>
    <n v="356000"/>
    <m/>
    <n v="1889600"/>
    <m/>
    <m/>
    <m/>
    <m/>
    <m/>
    <m/>
    <m/>
    <m/>
    <m/>
    <m/>
    <m/>
    <m/>
    <m/>
    <m/>
    <m/>
    <m/>
    <m/>
    <m/>
    <m/>
    <m/>
    <n v="1889600"/>
    <m/>
    <m/>
    <m/>
    <x v="116"/>
    <s v="Y"/>
    <m/>
    <m/>
    <m/>
    <m/>
    <s v="2099 /2649"/>
    <m/>
    <m/>
    <m/>
    <m/>
    <m/>
    <m/>
    <m/>
    <m/>
    <m/>
    <m/>
    <m/>
    <s v="Humanitarian Crisis"/>
    <s v="CASH: Contributions to ICRC - 1. $500,000 2. $150,000 3. $211,136 to MDA specifically from AP2099; Contributions to ICRC - 1. $150,000 2. 47,500 (Dow Chemical Com from AP2649 pany), Contribution to Fed $475,000 (Coca Cola) from AP2649; $200,000 grant to Palestinian Red Crescent for southern Lebanon; $156,000 grant to Lebanese Red Cross for ambulances"/>
  </r>
  <r>
    <m/>
    <n v="152"/>
    <x v="8"/>
    <d v="2006-08-01T00:00:00"/>
    <x v="11"/>
    <x v="3"/>
    <m/>
    <n v="2006"/>
    <n v="14"/>
    <s v="Europe/Asia"/>
    <s v="China"/>
    <s v="Hydrometerological"/>
    <s v="Floods"/>
    <s v="General Floods"/>
    <s v="General Floods"/>
    <m/>
    <s v="Y"/>
    <s v="IFRC"/>
    <n v="4825791"/>
    <s v="MDRCN001"/>
    <n v="1.036099574142353E-2"/>
    <m/>
    <m/>
    <m/>
    <n v="240000"/>
    <m/>
    <m/>
    <n v="1"/>
    <n v="50000"/>
    <m/>
    <m/>
    <m/>
    <n v="50000"/>
    <m/>
    <m/>
    <m/>
    <m/>
    <m/>
    <m/>
    <m/>
    <m/>
    <m/>
    <m/>
    <m/>
    <m/>
    <m/>
    <m/>
    <m/>
    <m/>
    <m/>
    <m/>
    <m/>
    <m/>
    <n v="50000"/>
    <m/>
    <m/>
    <m/>
    <x v="16"/>
    <s v="N"/>
    <m/>
    <m/>
    <m/>
    <m/>
    <n v="2799"/>
    <m/>
    <m/>
    <m/>
    <m/>
    <m/>
    <m/>
    <m/>
    <m/>
    <m/>
    <m/>
    <m/>
    <m/>
    <s v="PMN contribution earmarked for procurement of rice to support Fed's China: Floods Appeal"/>
  </r>
  <r>
    <s v="VO-2006-"/>
    <n v="153"/>
    <x v="160"/>
    <d v="2006-08-01T00:00:00"/>
    <x v="11"/>
    <x v="4"/>
    <m/>
    <n v="2006"/>
    <n v="15"/>
    <s v="LAC"/>
    <s v="Ecuador"/>
    <s v="Geophysical"/>
    <s v="Volcano"/>
    <s v="Volcanic Eruption"/>
    <s v="Volcanic Eruption"/>
    <m/>
    <s v="Y"/>
    <s v="IFRC"/>
    <n v="514753"/>
    <s v="MDREC002"/>
    <n v="9.7133965222155089E-2"/>
    <n v="1"/>
    <m/>
    <m/>
    <n v="5475"/>
    <m/>
    <m/>
    <m/>
    <m/>
    <m/>
    <n v="50000"/>
    <m/>
    <n v="50000"/>
    <m/>
    <m/>
    <m/>
    <m/>
    <m/>
    <m/>
    <m/>
    <m/>
    <m/>
    <m/>
    <m/>
    <m/>
    <m/>
    <m/>
    <m/>
    <m/>
    <m/>
    <m/>
    <m/>
    <m/>
    <n v="50000"/>
    <m/>
    <m/>
    <m/>
    <x v="16"/>
    <s v="N"/>
    <m/>
    <m/>
    <m/>
    <m/>
    <n v="2799"/>
    <m/>
    <m/>
    <m/>
    <m/>
    <m/>
    <m/>
    <m/>
    <m/>
    <m/>
    <m/>
    <m/>
    <s v="Tungurahua"/>
    <s v="OFDA award in support of ARC's proposal &quot;Tungurahua Volcano eruption&quot; to support the ERC emergency relief response."/>
  </r>
  <r>
    <s v="FL-2006-000122-ETH"/>
    <n v="154"/>
    <x v="161"/>
    <d v="2006-08-01T00:00:00"/>
    <x v="11"/>
    <x v="5"/>
    <m/>
    <n v="2006"/>
    <n v="16"/>
    <s v="Africa"/>
    <s v="Ethiopia"/>
    <s v="Hydrometerological"/>
    <s v="Floods"/>
    <s v="General Floods"/>
    <s v="General Floods"/>
    <m/>
    <s v="Y"/>
    <s v="IFRC"/>
    <n v="4225070"/>
    <s v="MDRET003"/>
    <n v="2.0118009879126264E-2"/>
    <m/>
    <m/>
    <m/>
    <n v="25000"/>
    <m/>
    <m/>
    <n v="1"/>
    <n v="85000"/>
    <m/>
    <m/>
    <m/>
    <n v="85000"/>
    <n v="2"/>
    <m/>
    <m/>
    <m/>
    <m/>
    <m/>
    <m/>
    <m/>
    <m/>
    <m/>
    <m/>
    <m/>
    <m/>
    <m/>
    <m/>
    <m/>
    <m/>
    <m/>
    <m/>
    <m/>
    <n v="85000"/>
    <m/>
    <m/>
    <m/>
    <x v="117"/>
    <s v="Y"/>
    <m/>
    <m/>
    <m/>
    <m/>
    <s v="2099 / 2648"/>
    <m/>
    <m/>
    <m/>
    <m/>
    <m/>
    <m/>
    <m/>
    <m/>
    <m/>
    <m/>
    <m/>
    <s v="Amhara"/>
    <s v="CASH: PMN from 2099 contribution to Fed Appeal earmarked for tarps, blankets, sleeping mats PEOPLE: Deployed J. Manley, Prog Coordinator, 2 mo. AND K.White, Prog Delegate, 2 mo. From AP 2648."/>
  </r>
  <r>
    <s v="FL-2006-000123-SDN"/>
    <n v="155"/>
    <x v="162"/>
    <d v="2006-09-01T00:00:00"/>
    <x v="11"/>
    <x v="6"/>
    <m/>
    <n v="2006"/>
    <n v="17"/>
    <s v="Africa"/>
    <s v="Sudan"/>
    <s v="Hydrometerological"/>
    <s v="Floods"/>
    <s v="General Floods"/>
    <s v="General Floods"/>
    <m/>
    <s v="Y"/>
    <s v="IFRC"/>
    <n v="492625"/>
    <s v="MDRSD002"/>
    <n v="2.0299416391778735E-2"/>
    <m/>
    <m/>
    <m/>
    <n v="15000"/>
    <m/>
    <m/>
    <n v="0"/>
    <n v="10000"/>
    <m/>
    <m/>
    <m/>
    <n v="10000"/>
    <m/>
    <m/>
    <m/>
    <n v="10000"/>
    <m/>
    <m/>
    <m/>
    <m/>
    <m/>
    <m/>
    <m/>
    <m/>
    <n v="10000"/>
    <m/>
    <m/>
    <m/>
    <m/>
    <m/>
    <n v="36900"/>
    <m/>
    <n v="46900"/>
    <m/>
    <m/>
    <m/>
    <x v="118"/>
    <s v="Y"/>
    <m/>
    <m/>
    <m/>
    <m/>
    <n v="2802"/>
    <m/>
    <m/>
    <m/>
    <m/>
    <m/>
    <m/>
    <m/>
    <s v="N"/>
    <m/>
    <m/>
    <m/>
    <m/>
    <s v="Nets @ $3.69 each + $10,000 (transport) = $46,900"/>
  </r>
  <r>
    <s v="TC-2006-000175-PHL"/>
    <n v="156"/>
    <x v="163"/>
    <d v="2006-10-01T00:00:00"/>
    <x v="11"/>
    <x v="7"/>
    <m/>
    <n v="2006"/>
    <n v="18"/>
    <s v="Europe/Asia"/>
    <s v="Philippines"/>
    <s v="Hydrometerological"/>
    <s v="Storm"/>
    <s v="Tropical Cyclone"/>
    <s v="Typhoon"/>
    <m/>
    <s v="Y"/>
    <s v="IFRC"/>
    <n v="8637057"/>
    <s v="MDRPH002"/>
    <n v="9.1119000372464828E-2"/>
    <m/>
    <m/>
    <m/>
    <n v="1030000"/>
    <m/>
    <m/>
    <n v="1"/>
    <n v="787000"/>
    <m/>
    <m/>
    <m/>
    <n v="787000"/>
    <n v="2"/>
    <m/>
    <m/>
    <m/>
    <m/>
    <m/>
    <m/>
    <m/>
    <m/>
    <m/>
    <m/>
    <m/>
    <m/>
    <m/>
    <m/>
    <m/>
    <m/>
    <m/>
    <m/>
    <n v="6500"/>
    <n v="793500"/>
    <m/>
    <m/>
    <m/>
    <x v="119"/>
    <s v="Y"/>
    <m/>
    <m/>
    <m/>
    <m/>
    <n v="2032"/>
    <m/>
    <m/>
    <m/>
    <m/>
    <m/>
    <m/>
    <m/>
    <s v="N"/>
    <m/>
    <m/>
    <m/>
    <s v="Xangsane / Durian"/>
    <s v="PEOPLE: Deployed B. Gaillis, Ops Coordinator, 5 wks; Deployed C. Blake, FACT Relief, 3 wks. CASH: 2. PMN Fed Philippines: Typhoons $237,000 from AP2032; PMN Fed Philippines: Typhoon Xangsane Appeal $200,000 from AP2099;  3. PMN Fed Philippines: Typhoons $350K earmarked for CGI from AP2032;"/>
  </r>
  <r>
    <s v="TC-2006-000144-VNM; TC-2006-000175-VNM"/>
    <n v="157"/>
    <x v="164"/>
    <d v="2006-10-01T00:00:00"/>
    <x v="11"/>
    <x v="8"/>
    <m/>
    <n v="2006"/>
    <n v="19"/>
    <s v="Europe/Asia"/>
    <s v="Vietnam"/>
    <s v="Hydrometerological"/>
    <s v="Storm"/>
    <s v="Tropical Cyclone"/>
    <s v="Typhoon"/>
    <m/>
    <s v="Y"/>
    <s v="IFRC"/>
    <n v="1340000"/>
    <s v="MDRVN001"/>
    <n v="4.7014925373134328E-2"/>
    <m/>
    <m/>
    <m/>
    <n v="60400"/>
    <m/>
    <m/>
    <n v="1"/>
    <n v="63000"/>
    <m/>
    <m/>
    <m/>
    <n v="63000"/>
    <m/>
    <m/>
    <m/>
    <m/>
    <m/>
    <m/>
    <m/>
    <m/>
    <m/>
    <m/>
    <m/>
    <m/>
    <m/>
    <m/>
    <m/>
    <m/>
    <m/>
    <m/>
    <m/>
    <m/>
    <n v="63000"/>
    <m/>
    <m/>
    <m/>
    <x v="120"/>
    <s v="N"/>
    <m/>
    <m/>
    <m/>
    <m/>
    <n v="2799"/>
    <m/>
    <m/>
    <m/>
    <m/>
    <m/>
    <m/>
    <m/>
    <s v="Y"/>
    <m/>
    <m/>
    <m/>
    <s v="Xangsane"/>
    <s v="PMN Fed Vietnam from AP2799: Typhoon Xangsane Appeal $25,000; PMN Fed Vietnam from AP2870: Typhoon Xangsane $38,000"/>
  </r>
  <r>
    <m/>
    <n v="158"/>
    <x v="165"/>
    <d v="2006-11-01T00:00:00"/>
    <x v="11"/>
    <x v="9"/>
    <m/>
    <n v="2006"/>
    <n v="20"/>
    <s v="Africa"/>
    <s v="Somalia"/>
    <s v="Human Related"/>
    <s v="Conflict"/>
    <s v="Conflict"/>
    <s v="Conflict"/>
    <m/>
    <m/>
    <m/>
    <m/>
    <m/>
    <s v=""/>
    <m/>
    <m/>
    <m/>
    <m/>
    <m/>
    <m/>
    <m/>
    <m/>
    <n v="50000"/>
    <m/>
    <m/>
    <n v="50000"/>
    <m/>
    <m/>
    <m/>
    <m/>
    <m/>
    <m/>
    <m/>
    <m/>
    <m/>
    <m/>
    <m/>
    <m/>
    <m/>
    <m/>
    <m/>
    <m/>
    <m/>
    <m/>
    <m/>
    <m/>
    <n v="50000"/>
    <m/>
    <m/>
    <m/>
    <x v="16"/>
    <s v="N"/>
    <m/>
    <m/>
    <m/>
    <m/>
    <n v="2799"/>
    <m/>
    <m/>
    <m/>
    <m/>
    <m/>
    <m/>
    <m/>
    <s v="Y"/>
    <m/>
    <m/>
    <m/>
    <s v="IDP"/>
    <s v="Contribution to ICRC 2006 Somalia Emergency Appeal - spec IDPs"/>
  </r>
  <r>
    <s v="FL-2006-000159-KEN"/>
    <n v="159"/>
    <x v="81"/>
    <d v="2006-11-01T00:00:00"/>
    <x v="11"/>
    <x v="10"/>
    <m/>
    <n v="2006"/>
    <n v="21"/>
    <s v="Africa"/>
    <s v="Kenya"/>
    <s v="Hydrometerological"/>
    <s v="Floods"/>
    <s v="General Floods"/>
    <s v="General Floods"/>
    <m/>
    <s v="Y"/>
    <s v="IFRC"/>
    <n v="21832647"/>
    <s v="MDRKE003"/>
    <n v="3.6642373231244017E-3"/>
    <m/>
    <m/>
    <m/>
    <n v="563000"/>
    <m/>
    <m/>
    <n v="1"/>
    <n v="50000"/>
    <m/>
    <n v="30000"/>
    <m/>
    <n v="80000"/>
    <m/>
    <m/>
    <m/>
    <n v="20000"/>
    <m/>
    <m/>
    <m/>
    <m/>
    <m/>
    <m/>
    <m/>
    <m/>
    <n v="20000"/>
    <m/>
    <m/>
    <m/>
    <m/>
    <m/>
    <n v="120000"/>
    <m/>
    <n v="200000"/>
    <m/>
    <m/>
    <m/>
    <x v="121"/>
    <s v="Y"/>
    <m/>
    <m/>
    <m/>
    <m/>
    <s v="2925 / 2099"/>
    <m/>
    <m/>
    <m/>
    <m/>
    <m/>
    <m/>
    <m/>
    <s v="N"/>
    <m/>
    <m/>
    <m/>
    <m/>
    <s v="CASH: From AP2925: 30K - IDR/IP grant directly to Kenya Red Cross; PMN to Fed - 50k from LDS; SUPPLIES: 20,000 (mosquito nets) @ $4.44 each + PSR, etc + $20,000 (transport) = $120,000 from AP2099"/>
  </r>
  <r>
    <m/>
    <n v="160"/>
    <x v="166"/>
    <d v="2006-11-01T00:00:00"/>
    <x v="11"/>
    <x v="11"/>
    <m/>
    <n v="2006"/>
    <n v="22"/>
    <s v="Africa"/>
    <s v="Somalia"/>
    <s v="Hydrometerological"/>
    <s v="Floods"/>
    <s v="General Floods"/>
    <s v="General Floods"/>
    <m/>
    <s v="Y"/>
    <s v="ICRC"/>
    <n v="33508000"/>
    <s v="REX 06/813"/>
    <n v="2.9843619434164977E-3"/>
    <m/>
    <m/>
    <m/>
    <n v="324000"/>
    <m/>
    <m/>
    <m/>
    <m/>
    <n v="100000"/>
    <m/>
    <m/>
    <n v="100000"/>
    <m/>
    <m/>
    <m/>
    <m/>
    <m/>
    <m/>
    <m/>
    <m/>
    <m/>
    <m/>
    <m/>
    <m/>
    <m/>
    <m/>
    <m/>
    <m/>
    <m/>
    <m/>
    <m/>
    <m/>
    <n v="100000"/>
    <m/>
    <m/>
    <m/>
    <x v="5"/>
    <s v="N"/>
    <m/>
    <m/>
    <m/>
    <m/>
    <n v="2099"/>
    <m/>
    <m/>
    <m/>
    <m/>
    <m/>
    <m/>
    <m/>
    <s v="N"/>
    <m/>
    <m/>
    <m/>
    <m/>
    <s v="Contribution to ICRC 2006 Somalia Emergency Appeal - spec those affected by floods"/>
  </r>
  <r>
    <s v="FL-2006-000198-MOZ"/>
    <n v="161"/>
    <x v="46"/>
    <d v="2007-02-01T00:00:00"/>
    <x v="11"/>
    <x v="12"/>
    <m/>
    <n v="2007"/>
    <n v="1"/>
    <s v="Africa"/>
    <s v="Mozambique"/>
    <s v="Hydrometerological"/>
    <s v="Floods"/>
    <s v="General Floods"/>
    <s v="General Floods"/>
    <m/>
    <s v="Y"/>
    <s v="IFRC"/>
    <n v="5971938"/>
    <s v="MDRMZ002"/>
    <n v="0"/>
    <m/>
    <m/>
    <m/>
    <n v="100000"/>
    <m/>
    <m/>
    <m/>
    <m/>
    <m/>
    <m/>
    <m/>
    <n v="0"/>
    <n v="2"/>
    <s v="Relief ERU"/>
    <m/>
    <n v="26950"/>
    <m/>
    <m/>
    <n v="7050"/>
    <m/>
    <m/>
    <m/>
    <m/>
    <m/>
    <m/>
    <m/>
    <n v="3900"/>
    <m/>
    <m/>
    <m/>
    <n v="200000"/>
    <n v="45000"/>
    <n v="245000"/>
    <m/>
    <m/>
    <m/>
    <x v="122"/>
    <s v="Y"/>
    <m/>
    <m/>
    <m/>
    <m/>
    <s v="2099 /2936"/>
    <m/>
    <m/>
    <m/>
    <m/>
    <m/>
    <m/>
    <m/>
    <s v="N"/>
    <m/>
    <m/>
    <m/>
    <s v="Caia"/>
    <s v="SUPPLIES: 7050 blankets @ $3.75, 3900 tarps @ $14.20, 16,000 sleeping mats @ $1.70; PEOPLE: Relief ERU deployment - T. Reines, G. Guinta, 1 month, 2nd team rotation from  AP2936"/>
  </r>
  <r>
    <s v="FL-2007-000012-BOL"/>
    <n v="162"/>
    <x v="48"/>
    <d v="2007-02-01T00:00:00"/>
    <x v="11"/>
    <x v="13"/>
    <m/>
    <n v="2007"/>
    <n v="2"/>
    <s v="LAC"/>
    <s v="Bolivia"/>
    <s v="Hydrometerological"/>
    <s v="Floods"/>
    <s v="General Floods"/>
    <s v="General Floods"/>
    <m/>
    <s v="Y"/>
    <s v="IFRC"/>
    <n v="484360"/>
    <s v="MDRBO002"/>
    <n v="0.30968700966223472"/>
    <m/>
    <m/>
    <m/>
    <n v="35940"/>
    <m/>
    <m/>
    <n v="1"/>
    <n v="150000"/>
    <m/>
    <m/>
    <m/>
    <n v="150000"/>
    <m/>
    <m/>
    <m/>
    <m/>
    <m/>
    <m/>
    <m/>
    <m/>
    <m/>
    <m/>
    <m/>
    <m/>
    <m/>
    <m/>
    <m/>
    <m/>
    <m/>
    <m/>
    <m/>
    <m/>
    <n v="150000"/>
    <m/>
    <m/>
    <m/>
    <x v="13"/>
    <s v="Y"/>
    <m/>
    <m/>
    <m/>
    <m/>
    <s v="2099 / 2666"/>
    <m/>
    <m/>
    <m/>
    <m/>
    <m/>
    <m/>
    <m/>
    <s v="N"/>
    <m/>
    <m/>
    <m/>
    <m/>
    <s v="$50,000 PMN to Fed - unearmarked from 2099; $100,000  from 2666 - OFDA grant to Fed via PMN. Earmarked for 1500 food parcels, 1500 tool kits and remaining goes to transport costs."/>
  </r>
  <r>
    <m/>
    <n v="163"/>
    <x v="167"/>
    <d v="2007-03-01T00:00:00"/>
    <x v="11"/>
    <x v="14"/>
    <m/>
    <n v="2007"/>
    <n v="3"/>
    <s v="Europe/Asia"/>
    <s v="Sri Lanka"/>
    <s v="Human Related"/>
    <s v="Conflict"/>
    <s v="Conflict"/>
    <s v="Conflict"/>
    <m/>
    <s v="Y"/>
    <s v="ICRC"/>
    <n v="32018000"/>
    <s v="REX 07/376"/>
    <n v="6.2464863514273224E-2"/>
    <m/>
    <m/>
    <m/>
    <n v="150000"/>
    <m/>
    <m/>
    <m/>
    <m/>
    <n v="2000000"/>
    <m/>
    <m/>
    <n v="2000000"/>
    <m/>
    <m/>
    <m/>
    <m/>
    <m/>
    <m/>
    <m/>
    <m/>
    <m/>
    <m/>
    <m/>
    <m/>
    <m/>
    <m/>
    <m/>
    <m/>
    <m/>
    <m/>
    <m/>
    <m/>
    <n v="2000000"/>
    <m/>
    <m/>
    <m/>
    <x v="123"/>
    <s v="Y"/>
    <m/>
    <m/>
    <m/>
    <m/>
    <s v="2695 /2692"/>
    <m/>
    <m/>
    <m/>
    <m/>
    <m/>
    <m/>
    <m/>
    <s v="N"/>
    <m/>
    <m/>
    <m/>
    <m/>
    <s v="Contribution to ICRC 2007 Sri Lanka Emergency Appeal - to build the capacity of the SLRCS in disaster relief, IHL and overall cooperation. $320K earmarked to support ICRC HQ ops"/>
  </r>
  <r>
    <m/>
    <n v="164"/>
    <x v="168"/>
    <d v="2007-03-01T00:00:00"/>
    <x v="11"/>
    <x v="15"/>
    <m/>
    <n v="2007"/>
    <n v="4"/>
    <s v="Africa"/>
    <s v="Madagascar"/>
    <s v="Hydrometerological"/>
    <s v="Storm"/>
    <s v="Tropical Cyclone"/>
    <s v="Cyclone"/>
    <m/>
    <s v="Y"/>
    <s v="IFRC"/>
    <n v="1649430"/>
    <s v="MDRMG002"/>
    <n v="0"/>
    <m/>
    <m/>
    <m/>
    <n v="60000"/>
    <m/>
    <m/>
    <m/>
    <m/>
    <m/>
    <m/>
    <m/>
    <n v="0"/>
    <n v="5"/>
    <s v="Relief ERU"/>
    <m/>
    <n v="10000"/>
    <m/>
    <m/>
    <m/>
    <m/>
    <m/>
    <m/>
    <m/>
    <m/>
    <n v="1000"/>
    <m/>
    <m/>
    <m/>
    <m/>
    <m/>
    <n v="74000"/>
    <n v="28000"/>
    <n v="102000"/>
    <m/>
    <m/>
    <m/>
    <x v="124"/>
    <s v="Y"/>
    <m/>
    <m/>
    <m/>
    <m/>
    <s v="2936 / 2799"/>
    <m/>
    <m/>
    <m/>
    <m/>
    <m/>
    <m/>
    <m/>
    <s v="N"/>
    <m/>
    <m/>
    <m/>
    <s v="Indlala / Jaya"/>
    <s v="SUPPLIES: 1000 Mosquito Nets - $74,000 from 2799; PEOPLE: Deployed B. Gaillis, FACT, 3 wks; Deployed Relief ERU - C. Chaperon, G. Matthews 4 wks; Deployed 2nd rotation of Relief ERU - J. Manley, S. Hagerich, 4 wks - $18,000 cost from 2936"/>
  </r>
  <r>
    <s v="TS-2007-000042-SLB"/>
    <n v="165"/>
    <x v="169"/>
    <d v="2007-04-01T00:00:00"/>
    <x v="11"/>
    <x v="16"/>
    <m/>
    <n v="2007"/>
    <n v="5"/>
    <s v="Europe/Asia"/>
    <s v="Solomon Islands"/>
    <s v="Geophysical"/>
    <s v="Earthquake"/>
    <s v="Tsunami"/>
    <s v="Tsunami"/>
    <m/>
    <s v="Y"/>
    <s v="IFRC"/>
    <n v="1405645"/>
    <s v="MDRSB001"/>
    <n v="3.5570858929530574E-2"/>
    <m/>
    <m/>
    <m/>
    <n v="9000"/>
    <m/>
    <m/>
    <n v="1"/>
    <n v="50000"/>
    <m/>
    <m/>
    <m/>
    <n v="50000"/>
    <m/>
    <m/>
    <m/>
    <m/>
    <m/>
    <m/>
    <m/>
    <m/>
    <m/>
    <m/>
    <m/>
    <m/>
    <m/>
    <m/>
    <m/>
    <m/>
    <m/>
    <m/>
    <m/>
    <m/>
    <n v="50000"/>
    <m/>
    <m/>
    <m/>
    <x v="16"/>
    <s v="Y"/>
    <m/>
    <m/>
    <m/>
    <m/>
    <n v="2881"/>
    <m/>
    <m/>
    <m/>
    <m/>
    <m/>
    <m/>
    <m/>
    <s v="N"/>
    <m/>
    <m/>
    <m/>
    <m/>
    <s v="PMN to Fed - unearmarked"/>
  </r>
  <r>
    <m/>
    <n v="166"/>
    <x v="170"/>
    <d v="2007-05-01T00:00:00"/>
    <x v="11"/>
    <x v="17"/>
    <m/>
    <n v="2007"/>
    <n v="6"/>
    <s v="LAC"/>
    <s v="Colombia"/>
    <s v="Hydrometerological"/>
    <s v="Floods"/>
    <s v="General Floods"/>
    <s v="General Floods"/>
    <m/>
    <m/>
    <m/>
    <m/>
    <m/>
    <s v=""/>
    <m/>
    <m/>
    <m/>
    <m/>
    <m/>
    <n v="3600"/>
    <m/>
    <m/>
    <m/>
    <n v="5000"/>
    <m/>
    <n v="5000"/>
    <m/>
    <m/>
    <m/>
    <m/>
    <m/>
    <m/>
    <m/>
    <m/>
    <m/>
    <m/>
    <m/>
    <m/>
    <m/>
    <m/>
    <m/>
    <m/>
    <m/>
    <m/>
    <m/>
    <m/>
    <n v="5000"/>
    <m/>
    <m/>
    <m/>
    <x v="46"/>
    <s v="N"/>
    <m/>
    <m/>
    <m/>
    <m/>
    <n v="2799"/>
    <m/>
    <m/>
    <m/>
    <m/>
    <m/>
    <m/>
    <m/>
    <s v="Y"/>
    <m/>
    <m/>
    <m/>
    <s v="Tolima"/>
    <s v="Grant to NS for NFIs, health team visits, general admin costs"/>
  </r>
  <r>
    <m/>
    <n v="167"/>
    <x v="171"/>
    <d v="2007-05-01T00:00:00"/>
    <x v="11"/>
    <x v="18"/>
    <m/>
    <n v="2007"/>
    <n v="7"/>
    <s v="LAC"/>
    <s v="Mexico"/>
    <s v="Hydrometerological"/>
    <s v="Storm"/>
    <s v="Local Storm"/>
    <s v="Tornado"/>
    <m/>
    <m/>
    <s v="NS"/>
    <m/>
    <m/>
    <s v=""/>
    <m/>
    <m/>
    <m/>
    <m/>
    <m/>
    <n v="3000"/>
    <m/>
    <m/>
    <m/>
    <n v="20000"/>
    <m/>
    <n v="20000"/>
    <m/>
    <m/>
    <m/>
    <m/>
    <m/>
    <m/>
    <m/>
    <m/>
    <m/>
    <m/>
    <m/>
    <m/>
    <m/>
    <m/>
    <m/>
    <m/>
    <m/>
    <m/>
    <m/>
    <m/>
    <n v="20000"/>
    <m/>
    <m/>
    <m/>
    <x v="25"/>
    <s v="Y"/>
    <m/>
    <m/>
    <m/>
    <m/>
    <n v="2690"/>
    <m/>
    <m/>
    <m/>
    <m/>
    <m/>
    <m/>
    <m/>
    <s v="N"/>
    <m/>
    <m/>
    <m/>
    <s v="Coahuila"/>
    <s v="Grant to NS for NFIs - kitchen, hygiene, baby kits; laterns w/ radios"/>
  </r>
  <r>
    <m/>
    <n v="168"/>
    <x v="165"/>
    <d v="2007-06-01T00:00:00"/>
    <x v="11"/>
    <x v="19"/>
    <m/>
    <n v="2007"/>
    <n v="8"/>
    <s v="Africa"/>
    <s v="Somalia"/>
    <s v="Human Related"/>
    <s v="Conflict"/>
    <s v="Conflict"/>
    <s v="Conflict"/>
    <m/>
    <s v="Y"/>
    <s v="ICRC"/>
    <n v="38292000"/>
    <s v="REX 07/347"/>
    <n v="2.6115115428810196E-3"/>
    <m/>
    <m/>
    <m/>
    <n v="612000"/>
    <m/>
    <m/>
    <n v="1"/>
    <m/>
    <n v="100000"/>
    <m/>
    <m/>
    <n v="100000"/>
    <m/>
    <m/>
    <m/>
    <m/>
    <m/>
    <m/>
    <m/>
    <m/>
    <m/>
    <m/>
    <m/>
    <m/>
    <m/>
    <m/>
    <m/>
    <m/>
    <m/>
    <m/>
    <m/>
    <m/>
    <n v="100000"/>
    <m/>
    <m/>
    <m/>
    <x v="5"/>
    <s v="Y"/>
    <m/>
    <m/>
    <m/>
    <m/>
    <n v="2817"/>
    <m/>
    <m/>
    <m/>
    <m/>
    <m/>
    <m/>
    <m/>
    <s v="N"/>
    <m/>
    <m/>
    <m/>
    <m/>
    <s v="Contribution to ICRC 2007 Somalia Emergency Appeal: Budget Extension - support for capacity bldg."/>
  </r>
  <r>
    <m/>
    <n v="169"/>
    <x v="125"/>
    <d v="2007-06-01T00:00:00"/>
    <x v="11"/>
    <x v="23"/>
    <m/>
    <n v="2007"/>
    <n v="9"/>
    <s v="Africa"/>
    <s v="Sudan"/>
    <s v="Human Related"/>
    <s v="Conflict"/>
    <s v="Conflict"/>
    <s v="Conflict"/>
    <m/>
    <s v="Y"/>
    <s v="ICRC"/>
    <n v="86239000"/>
    <s v="REX 07/207"/>
    <n v="2.3191363536219111E-3"/>
    <m/>
    <m/>
    <m/>
    <n v="125000"/>
    <m/>
    <m/>
    <m/>
    <m/>
    <n v="200000"/>
    <m/>
    <m/>
    <n v="200000"/>
    <m/>
    <m/>
    <m/>
    <m/>
    <m/>
    <m/>
    <m/>
    <m/>
    <m/>
    <m/>
    <m/>
    <m/>
    <m/>
    <m/>
    <m/>
    <m/>
    <m/>
    <m/>
    <m/>
    <m/>
    <n v="200000"/>
    <m/>
    <m/>
    <m/>
    <x v="121"/>
    <s v="Y"/>
    <m/>
    <m/>
    <m/>
    <m/>
    <n v="2661"/>
    <m/>
    <m/>
    <m/>
    <m/>
    <m/>
    <m/>
    <m/>
    <s v="N"/>
    <m/>
    <m/>
    <m/>
    <m/>
    <s v="Contribution to ICRC 2007 Sudan Emergency Appeal: Budget Extension - support for capacity bldg."/>
  </r>
  <r>
    <s v="FF-2007-000082-PAK; and TC-2007-000084-PAK"/>
    <n v="170"/>
    <x v="172"/>
    <d v="2007-07-01T00:00:00"/>
    <x v="12"/>
    <x v="1"/>
    <m/>
    <n v="2007"/>
    <n v="10"/>
    <s v="Europe/Asia"/>
    <s v="Pakistan"/>
    <s v="Hydrometerological"/>
    <s v="Storm"/>
    <s v="Tropical Cyclone"/>
    <s v="Cyclone"/>
    <n v="1500000"/>
    <s v="Y"/>
    <s v="IFRC"/>
    <n v="17000000"/>
    <s v="MDRPK001"/>
    <n v="1.6764705882352942E-2"/>
    <m/>
    <m/>
    <m/>
    <n v="257500"/>
    <m/>
    <m/>
    <n v="1"/>
    <n v="285000"/>
    <m/>
    <m/>
    <m/>
    <n v="285000"/>
    <n v="1"/>
    <m/>
    <m/>
    <m/>
    <m/>
    <m/>
    <m/>
    <m/>
    <m/>
    <m/>
    <m/>
    <m/>
    <m/>
    <m/>
    <m/>
    <m/>
    <m/>
    <m/>
    <m/>
    <n v="10000"/>
    <n v="295000"/>
    <m/>
    <m/>
    <m/>
    <x v="125"/>
    <s v="Y"/>
    <m/>
    <m/>
    <m/>
    <m/>
    <s v="2099/2897"/>
    <m/>
    <m/>
    <m/>
    <m/>
    <m/>
    <m/>
    <m/>
    <s v="N"/>
    <m/>
    <m/>
    <m/>
    <s v="Yemyin"/>
    <s v="CASH: PMN to Fed - unearmarked; PEOPLE: T. Betz deployed on FACT as Relief/Logs Ap2897"/>
  </r>
  <r>
    <s v="FF-2007-000080-BGD"/>
    <n v="171"/>
    <x v="19"/>
    <d v="2007-07-01T00:00:00"/>
    <x v="12"/>
    <x v="2"/>
    <m/>
    <n v="2007"/>
    <n v="11"/>
    <s v="Europe/Asia"/>
    <s v="Bangladesh"/>
    <s v="Hydrometerological"/>
    <s v="Floods"/>
    <s v="General Floods"/>
    <s v="General Floods"/>
    <n v="2300000"/>
    <s v="Y"/>
    <s v="IFRC"/>
    <n v="4850000"/>
    <s v="MDRBD002"/>
    <n v="2.5670103092783506E-2"/>
    <n v="0.95"/>
    <m/>
    <m/>
    <n v="1200000"/>
    <m/>
    <m/>
    <n v="1"/>
    <n v="124500"/>
    <m/>
    <m/>
    <m/>
    <n v="124500"/>
    <m/>
    <m/>
    <m/>
    <m/>
    <m/>
    <m/>
    <m/>
    <m/>
    <m/>
    <m/>
    <m/>
    <m/>
    <m/>
    <m/>
    <m/>
    <m/>
    <m/>
    <m/>
    <m/>
    <m/>
    <n v="124500"/>
    <m/>
    <m/>
    <m/>
    <x v="126"/>
    <s v="Y"/>
    <m/>
    <m/>
    <m/>
    <m/>
    <s v="2017 / 2099"/>
    <m/>
    <m/>
    <m/>
    <m/>
    <m/>
    <m/>
    <m/>
    <s v="N"/>
    <m/>
    <m/>
    <m/>
    <m/>
    <s v="CASH: $24,500 PMN to Fed - unearmarked from 2017; $100,000 PMN to Fed - unearmarked from 2099;"/>
  </r>
  <r>
    <m/>
    <n v="172"/>
    <x v="105"/>
    <d v="2007-07-01T00:00:00"/>
    <x v="12"/>
    <x v="3"/>
    <m/>
    <n v="2007"/>
    <n v="12"/>
    <s v="Europe/Asia"/>
    <s v="Iraq"/>
    <s v="Human Related"/>
    <s v="Conflict"/>
    <s v="Conflict"/>
    <s v="Conflict"/>
    <n v="2000000"/>
    <s v="Y"/>
    <s v="IFRC"/>
    <n v="15000000"/>
    <s v="MDR81002"/>
    <n v="1.6666666666666666E-2"/>
    <m/>
    <m/>
    <m/>
    <n v="250000"/>
    <m/>
    <m/>
    <n v="1"/>
    <n v="250000"/>
    <m/>
    <m/>
    <m/>
    <n v="250000"/>
    <m/>
    <m/>
    <m/>
    <m/>
    <m/>
    <m/>
    <m/>
    <m/>
    <m/>
    <m/>
    <m/>
    <m/>
    <m/>
    <m/>
    <m/>
    <m/>
    <m/>
    <m/>
    <m/>
    <m/>
    <n v="250000"/>
    <m/>
    <m/>
    <m/>
    <x v="35"/>
    <s v="N"/>
    <m/>
    <m/>
    <m/>
    <m/>
    <n v="2099"/>
    <m/>
    <m/>
    <m/>
    <m/>
    <m/>
    <m/>
    <m/>
    <s v="N"/>
    <m/>
    <m/>
    <m/>
    <s v="Refugees from Iraq in Syria and Jordan"/>
    <s v="PMN to Fed - unearmarked"/>
  </r>
  <r>
    <s v="FL-2007-00093-SDN"/>
    <n v="173"/>
    <x v="162"/>
    <d v="2007-07-01T00:00:00"/>
    <x v="12"/>
    <x v="4"/>
    <m/>
    <n v="2007"/>
    <n v="13"/>
    <s v="Africa"/>
    <s v="Sudan"/>
    <s v="Hydrometerological"/>
    <s v="Floods"/>
    <s v="General Floods"/>
    <s v="General Floods"/>
    <n v="365000"/>
    <s v="Y"/>
    <s v="IFRC"/>
    <n v="6800000"/>
    <s v="MDRSD004"/>
    <n v="1.4705882352941176E-2"/>
    <m/>
    <m/>
    <m/>
    <n v="200000"/>
    <m/>
    <m/>
    <n v="1"/>
    <n v="100000"/>
    <m/>
    <m/>
    <m/>
    <n v="100000"/>
    <n v="1"/>
    <m/>
    <m/>
    <n v="10000"/>
    <m/>
    <m/>
    <m/>
    <m/>
    <m/>
    <m/>
    <m/>
    <m/>
    <n v="10000"/>
    <m/>
    <m/>
    <m/>
    <m/>
    <m/>
    <n v="44400"/>
    <n v="9000"/>
    <n v="153400"/>
    <m/>
    <m/>
    <m/>
    <x v="127"/>
    <s v="Y"/>
    <m/>
    <m/>
    <m/>
    <m/>
    <s v="2802 /2099"/>
    <m/>
    <m/>
    <m/>
    <m/>
    <m/>
    <m/>
    <m/>
    <s v="N"/>
    <m/>
    <m/>
    <m/>
    <m/>
    <s v="CASH: $100,000 PMN to Fed earmarked for improved emergency shelters (Appeal obj 1) and tree saplings (obj 4) for 500 families from AP 2099; PEOPLE: N.Cooper deployed on FACT as Relief/Shelter"/>
  </r>
  <r>
    <s v="FL-2007-000111-GBR"/>
    <n v="174"/>
    <x v="173"/>
    <d v="2007-07-01T00:00:00"/>
    <x v="12"/>
    <x v="5"/>
    <m/>
    <n v="2007"/>
    <n v="15"/>
    <s v="Europe/Asia"/>
    <s v="United Kingdom"/>
    <s v="Hydrometerological"/>
    <s v="Floods"/>
    <s v="General Floods"/>
    <s v="General Floods"/>
    <n v="1000000"/>
    <m/>
    <m/>
    <m/>
    <m/>
    <s v=""/>
    <m/>
    <m/>
    <m/>
    <m/>
    <m/>
    <m/>
    <m/>
    <m/>
    <m/>
    <n v="20188"/>
    <m/>
    <n v="20188"/>
    <m/>
    <m/>
    <m/>
    <m/>
    <m/>
    <m/>
    <m/>
    <m/>
    <m/>
    <m/>
    <m/>
    <m/>
    <m/>
    <m/>
    <m/>
    <m/>
    <m/>
    <m/>
    <m/>
    <m/>
    <n v="20188"/>
    <m/>
    <m/>
    <m/>
    <x v="128"/>
    <s v="Y"/>
    <m/>
    <m/>
    <m/>
    <m/>
    <n v="2605"/>
    <m/>
    <m/>
    <m/>
    <m/>
    <m/>
    <m/>
    <m/>
    <s v="N"/>
    <m/>
    <m/>
    <m/>
    <m/>
    <s v="Grant letter to British Red Cross; 10,000 GBP donation from Cargill + individual donations"/>
  </r>
  <r>
    <s v="FF-2007-000117-NPL"/>
    <n v="175"/>
    <x v="174"/>
    <d v="2007-08-01T00:00:00"/>
    <x v="12"/>
    <x v="6"/>
    <m/>
    <n v="2007"/>
    <n v="16"/>
    <s v="Europe/Asia"/>
    <s v="Nepal"/>
    <s v="Hydrometerological"/>
    <s v="Floods"/>
    <s v="General Floods"/>
    <s v="General Floods"/>
    <n v="645000"/>
    <s v="Y"/>
    <s v="IFRC"/>
    <n v="2340000"/>
    <m/>
    <n v="2.1367521367521368E-2"/>
    <m/>
    <s v="Y"/>
    <m/>
    <n v="150000"/>
    <m/>
    <m/>
    <n v="1"/>
    <n v="50000"/>
    <m/>
    <m/>
    <m/>
    <n v="50000"/>
    <m/>
    <m/>
    <m/>
    <m/>
    <m/>
    <m/>
    <m/>
    <m/>
    <m/>
    <m/>
    <m/>
    <m/>
    <m/>
    <m/>
    <m/>
    <m/>
    <m/>
    <m/>
    <m/>
    <m/>
    <n v="50000"/>
    <m/>
    <m/>
    <m/>
    <x v="16"/>
    <s v="N"/>
    <m/>
    <m/>
    <m/>
    <m/>
    <n v="2099"/>
    <m/>
    <m/>
    <m/>
    <m/>
    <m/>
    <m/>
    <m/>
    <s v="N"/>
    <m/>
    <m/>
    <m/>
    <m/>
    <s v="PMN to Fed - unearmarked"/>
  </r>
  <r>
    <s v="EQ-2007-000133-PER"/>
    <n v="176"/>
    <x v="54"/>
    <d v="2007-08-01T00:00:00"/>
    <x v="12"/>
    <x v="7"/>
    <m/>
    <n v="2007"/>
    <n v="17"/>
    <s v="LAC"/>
    <s v="Peru"/>
    <s v="Geophysical"/>
    <s v="Earthquake"/>
    <s v="Earthquake"/>
    <s v="Earthquake"/>
    <n v="655000"/>
    <s v="Y"/>
    <s v="IFRC"/>
    <n v="9600000"/>
    <s v="MDRPE003"/>
    <n v="3.125E-2"/>
    <n v="0.93"/>
    <m/>
    <m/>
    <n v="37500"/>
    <m/>
    <m/>
    <n v="1"/>
    <n v="300000"/>
    <m/>
    <m/>
    <m/>
    <n v="300000"/>
    <n v="6"/>
    <m/>
    <m/>
    <n v="16500"/>
    <m/>
    <n v="3500"/>
    <m/>
    <m/>
    <m/>
    <m/>
    <n v="2000"/>
    <m/>
    <m/>
    <m/>
    <n v="11000"/>
    <m/>
    <m/>
    <m/>
    <n v="214800"/>
    <n v="5000"/>
    <n v="519800"/>
    <m/>
    <m/>
    <m/>
    <x v="129"/>
    <s v="Y"/>
    <m/>
    <m/>
    <m/>
    <m/>
    <n v="2816"/>
    <m/>
    <m/>
    <m/>
    <m/>
    <m/>
    <m/>
    <m/>
    <s v="N"/>
    <m/>
    <m/>
    <s v="y"/>
    <m/>
    <s v="CASH: 100K PMN Unearmarked, 200K PMN earmarked for hygiene kits, jerry cans and shelter kits + ops costs; SUPPLIES: hygiene kits @ $13.55; tarps @ $11.30; kitchen sets @ $14.55 + PSR; PEOPLE: C Michaud deployed on Relief ERU (2 days) replaced by L Aceves for 1 month; C Chaperon sent to deliver equipment; Roberto Brito and Richard Urrutia (early recovery assmt); Shelley Cheatham (Admin/Ops), Lee Malany (shelter) and Jessica (PSP early recovery delegate)"/>
  </r>
  <r>
    <s v="TC-2007-000135"/>
    <n v="177"/>
    <x v="175"/>
    <d v="2007-08-01T00:00:00"/>
    <x v="12"/>
    <x v="8"/>
    <m/>
    <n v="2007"/>
    <n v="18"/>
    <s v="LAC"/>
    <s v="Jamaica"/>
    <s v="Hydrometerological"/>
    <s v="Storm"/>
    <s v="Tropical Cyclone"/>
    <s v="Hurricane"/>
    <n v="210000"/>
    <s v="Y"/>
    <s v="IFRC"/>
    <n v="2927000"/>
    <s v="MDR49001"/>
    <n v="0"/>
    <m/>
    <m/>
    <m/>
    <n v="108550"/>
    <m/>
    <n v="5000"/>
    <m/>
    <m/>
    <m/>
    <m/>
    <m/>
    <n v="0"/>
    <m/>
    <m/>
    <m/>
    <n v="2350"/>
    <m/>
    <n v="1000"/>
    <m/>
    <m/>
    <m/>
    <m/>
    <n v="1000"/>
    <m/>
    <m/>
    <m/>
    <n v="350"/>
    <m/>
    <m/>
    <m/>
    <n v="34565"/>
    <m/>
    <n v="34565"/>
    <m/>
    <m/>
    <m/>
    <x v="130"/>
    <s v="Y"/>
    <m/>
    <m/>
    <m/>
    <m/>
    <n v="2837"/>
    <m/>
    <m/>
    <m/>
    <m/>
    <m/>
    <m/>
    <m/>
    <s v="N"/>
    <m/>
    <m/>
    <m/>
    <s v="Dean"/>
    <m/>
  </r>
  <r>
    <s v="TC-2007-000135"/>
    <n v="177"/>
    <x v="175"/>
    <d v="2007-08-01T00:00:00"/>
    <x v="12"/>
    <x v="8"/>
    <m/>
    <n v="2007"/>
    <n v="18"/>
    <s v="LAC"/>
    <s v="Mexico"/>
    <s v="Hydrometerological"/>
    <s v="Storm"/>
    <s v="Tropical Cyclone"/>
    <s v="Hurricane"/>
    <m/>
    <m/>
    <m/>
    <m/>
    <m/>
    <s v=""/>
    <m/>
    <m/>
    <m/>
    <m/>
    <m/>
    <n v="24000"/>
    <m/>
    <m/>
    <m/>
    <n v="298680"/>
    <m/>
    <n v="298680"/>
    <n v="1"/>
    <m/>
    <m/>
    <m/>
    <m/>
    <m/>
    <m/>
    <m/>
    <m/>
    <m/>
    <m/>
    <m/>
    <m/>
    <m/>
    <m/>
    <m/>
    <m/>
    <m/>
    <m/>
    <m/>
    <n v="298680"/>
    <m/>
    <m/>
    <m/>
    <x v="131"/>
    <s v="Y"/>
    <m/>
    <m/>
    <m/>
    <m/>
    <s v="2868 / 2099"/>
    <m/>
    <m/>
    <m/>
    <m/>
    <m/>
    <m/>
    <m/>
    <s v="N"/>
    <m/>
    <m/>
    <m/>
    <s v="Dean"/>
    <s v="CASH:  ARC grant ($76k) to MRC for hygiene kits, kitchen sets, and roofing materials for 670 families; ARC/OFDA subgrant to MRC ($222k) for 1,830 families; PEOPLE: Shelley Cheatham (Monitoring)"/>
  </r>
  <r>
    <s v="TC-2007-000135"/>
    <n v="177"/>
    <x v="175"/>
    <d v="2007-08-01T00:00:00"/>
    <x v="12"/>
    <x v="8"/>
    <m/>
    <n v="2007"/>
    <n v="18"/>
    <s v="LAC"/>
    <s v="Haiti"/>
    <s v="Hydrometerological"/>
    <s v="Storm"/>
    <s v="Tropical Cyclone"/>
    <s v="Hurricane"/>
    <m/>
    <m/>
    <m/>
    <m/>
    <m/>
    <s v=""/>
    <m/>
    <m/>
    <m/>
    <m/>
    <m/>
    <m/>
    <m/>
    <m/>
    <m/>
    <n v="2500"/>
    <m/>
    <n v="2500"/>
    <n v="1"/>
    <m/>
    <m/>
    <m/>
    <m/>
    <m/>
    <m/>
    <m/>
    <m/>
    <m/>
    <m/>
    <m/>
    <m/>
    <m/>
    <m/>
    <m/>
    <m/>
    <m/>
    <m/>
    <m/>
    <n v="2500"/>
    <m/>
    <m/>
    <m/>
    <x v="132"/>
    <s v="Y"/>
    <m/>
    <m/>
    <m/>
    <m/>
    <n v="2837"/>
    <m/>
    <m/>
    <m/>
    <m/>
    <m/>
    <m/>
    <m/>
    <s v="N"/>
    <m/>
    <m/>
    <m/>
    <s v="Dean"/>
    <s v="CASH: Grant to Haitian Red Cross - restock relief supplies; PEOPLE: Brigitte Gaillis (Contingency Planning)"/>
  </r>
  <r>
    <s v="WF-2007-000148-GRC"/>
    <n v="178"/>
    <x v="176"/>
    <d v="2007-09-01T00:00:00"/>
    <x v="12"/>
    <x v="9"/>
    <m/>
    <n v="2007"/>
    <n v="19"/>
    <s v="Europe/Asia"/>
    <s v="Greece"/>
    <s v="Hydrometerological"/>
    <s v="Wildfire"/>
    <s v="Forest Fire"/>
    <s v="Fire"/>
    <m/>
    <m/>
    <m/>
    <m/>
    <m/>
    <s v=""/>
    <m/>
    <m/>
    <m/>
    <m/>
    <m/>
    <m/>
    <m/>
    <m/>
    <m/>
    <n v="40000"/>
    <m/>
    <n v="40000"/>
    <m/>
    <m/>
    <m/>
    <m/>
    <m/>
    <m/>
    <m/>
    <m/>
    <m/>
    <m/>
    <m/>
    <m/>
    <m/>
    <m/>
    <m/>
    <m/>
    <m/>
    <m/>
    <m/>
    <m/>
    <n v="40000"/>
    <m/>
    <m/>
    <m/>
    <x v="27"/>
    <s v="N"/>
    <m/>
    <m/>
    <m/>
    <m/>
    <n v="2099"/>
    <m/>
    <m/>
    <m/>
    <m/>
    <m/>
    <m/>
    <m/>
    <s v="N"/>
    <m/>
    <m/>
    <m/>
    <m/>
    <s v="UPS 25k, Gen Mills 15k - Grant letter"/>
  </r>
  <r>
    <s v="TC-2007-000157"/>
    <n v="179"/>
    <x v="177"/>
    <d v="2007-09-01T00:00:00"/>
    <x v="12"/>
    <x v="10"/>
    <m/>
    <n v="2007"/>
    <n v="20"/>
    <s v="LAC"/>
    <s v="Nicaragua"/>
    <s v="Hydrometerological"/>
    <s v="Storm"/>
    <s v="Tropical Cyclone"/>
    <s v="Hurricane"/>
    <n v="175000"/>
    <s v="Y"/>
    <s v="IFRC"/>
    <n v="1300000"/>
    <s v="MDR43002"/>
    <n v="3.8461538461538464E-2"/>
    <m/>
    <m/>
    <m/>
    <n v="31658"/>
    <m/>
    <m/>
    <n v="1"/>
    <n v="50000"/>
    <m/>
    <m/>
    <m/>
    <n v="50000"/>
    <m/>
    <m/>
    <m/>
    <m/>
    <m/>
    <m/>
    <m/>
    <m/>
    <m/>
    <m/>
    <m/>
    <m/>
    <m/>
    <m/>
    <m/>
    <m/>
    <m/>
    <m/>
    <m/>
    <m/>
    <n v="50000"/>
    <m/>
    <m/>
    <m/>
    <x v="16"/>
    <s v="N"/>
    <m/>
    <m/>
    <m/>
    <m/>
    <n v="2099"/>
    <m/>
    <m/>
    <m/>
    <m/>
    <m/>
    <m/>
    <m/>
    <s v="N"/>
    <m/>
    <m/>
    <m/>
    <s v="Felix"/>
    <s v="PMN to Fed - earmarked $50,000 for Nicaragua and $22,500 for Honduras (includes $25,000 from Exxon for Honduras); "/>
  </r>
  <r>
    <s v="TC-2007-000157"/>
    <n v="179"/>
    <x v="177"/>
    <d v="2007-09-01T00:00:00"/>
    <x v="12"/>
    <x v="10"/>
    <m/>
    <n v="2007"/>
    <n v="20"/>
    <s v="LAC"/>
    <s v="Honduras"/>
    <s v="Hydrometerological"/>
    <s v="Storm"/>
    <s v="Tropical Cyclone"/>
    <s v="Hurricane"/>
    <m/>
    <m/>
    <m/>
    <m/>
    <m/>
    <s v=""/>
    <m/>
    <m/>
    <m/>
    <m/>
    <m/>
    <m/>
    <n v="0"/>
    <n v="22500"/>
    <m/>
    <m/>
    <m/>
    <n v="22500"/>
    <m/>
    <m/>
    <m/>
    <m/>
    <m/>
    <m/>
    <m/>
    <m/>
    <m/>
    <m/>
    <m/>
    <m/>
    <m/>
    <m/>
    <m/>
    <m/>
    <m/>
    <m/>
    <m/>
    <m/>
    <n v="22500"/>
    <m/>
    <m/>
    <m/>
    <x v="133"/>
    <s v="N"/>
    <m/>
    <m/>
    <m/>
    <m/>
    <n v="2099"/>
    <m/>
    <m/>
    <m/>
    <m/>
    <m/>
    <m/>
    <m/>
    <s v="N"/>
    <m/>
    <m/>
    <m/>
    <s v="Felix"/>
    <m/>
  </r>
  <r>
    <s v="TC-2007-000157"/>
    <n v="179"/>
    <x v="177"/>
    <d v="2007-09-01T00:00:00"/>
    <x v="12"/>
    <x v="10"/>
    <m/>
    <n v="2007"/>
    <n v="20"/>
    <s v="LAC"/>
    <s v="Honduras"/>
    <s v="Hydrometerological"/>
    <s v="Storm"/>
    <s v="Tropical Cyclone"/>
    <s v="Hurricane"/>
    <m/>
    <m/>
    <m/>
    <m/>
    <m/>
    <s v=""/>
    <m/>
    <m/>
    <m/>
    <m/>
    <m/>
    <m/>
    <n v="0"/>
    <n v="47500"/>
    <m/>
    <m/>
    <m/>
    <n v="47500"/>
    <m/>
    <m/>
    <m/>
    <m/>
    <m/>
    <m/>
    <m/>
    <m/>
    <m/>
    <m/>
    <m/>
    <m/>
    <m/>
    <m/>
    <m/>
    <m/>
    <m/>
    <m/>
    <m/>
    <m/>
    <n v="47500"/>
    <m/>
    <m/>
    <m/>
    <x v="134"/>
    <s v="Y"/>
    <m/>
    <m/>
    <m/>
    <m/>
    <n v="2696"/>
    <m/>
    <m/>
    <m/>
    <m/>
    <m/>
    <m/>
    <m/>
    <s v="N"/>
    <m/>
    <m/>
    <m/>
    <s v="Felix"/>
    <s v="CASH: PMN to Fed - unearmarked"/>
  </r>
  <r>
    <s v="EQ-2007-000157-IDN"/>
    <n v="180"/>
    <x v="178"/>
    <d v="2007-09-01T00:00:00"/>
    <x v="12"/>
    <x v="11"/>
    <m/>
    <n v="2007"/>
    <n v="21"/>
    <s v="Europe/Asia"/>
    <s v="Indonesia"/>
    <s v="Geophysical"/>
    <s v="Earthquake"/>
    <s v="Earthquake"/>
    <s v="Earthquake"/>
    <m/>
    <m/>
    <m/>
    <m/>
    <m/>
    <s v=""/>
    <m/>
    <m/>
    <m/>
    <m/>
    <m/>
    <m/>
    <m/>
    <m/>
    <m/>
    <n v="3000"/>
    <m/>
    <n v="3000"/>
    <m/>
    <m/>
    <m/>
    <m/>
    <m/>
    <m/>
    <m/>
    <m/>
    <m/>
    <m/>
    <m/>
    <m/>
    <m/>
    <m/>
    <m/>
    <m/>
    <m/>
    <m/>
    <m/>
    <m/>
    <n v="3000"/>
    <m/>
    <m/>
    <m/>
    <x v="86"/>
    <s v="N"/>
    <m/>
    <m/>
    <m/>
    <m/>
    <n v="2799"/>
    <m/>
    <m/>
    <m/>
    <m/>
    <m/>
    <m/>
    <m/>
    <s v="Y"/>
    <m/>
    <m/>
    <m/>
    <s v="Bengkulu"/>
    <s v="Per diem for PMI response team"/>
  </r>
  <r>
    <s v="FL-2007-000138-UGA"/>
    <n v="181"/>
    <x v="179"/>
    <d v="2007-09-01T00:00:00"/>
    <x v="12"/>
    <x v="12"/>
    <m/>
    <n v="2007"/>
    <n v="22"/>
    <s v="Africa"/>
    <s v="Uganda"/>
    <s v="Hydrometerological"/>
    <s v="Floods"/>
    <s v="General Floods"/>
    <s v="General Floods"/>
    <n v="450000"/>
    <s v="Y"/>
    <s v="IFRC"/>
    <n v="9511366"/>
    <s v="MDRUG006"/>
    <n v="0"/>
    <n v="0.64"/>
    <m/>
    <m/>
    <n v="125000"/>
    <m/>
    <m/>
    <m/>
    <m/>
    <m/>
    <m/>
    <m/>
    <n v="0"/>
    <n v="3"/>
    <s v="IT/Telecoms"/>
    <m/>
    <m/>
    <m/>
    <m/>
    <m/>
    <m/>
    <m/>
    <m/>
    <m/>
    <m/>
    <m/>
    <m/>
    <m/>
    <m/>
    <m/>
    <m/>
    <m/>
    <n v="17400"/>
    <n v="17400"/>
    <m/>
    <m/>
    <m/>
    <x v="135"/>
    <s v="N"/>
    <m/>
    <m/>
    <m/>
    <m/>
    <n v="2799"/>
    <m/>
    <m/>
    <m/>
    <m/>
    <m/>
    <m/>
    <m/>
    <s v="Y"/>
    <m/>
    <m/>
    <m/>
    <m/>
    <s v="C Chaperon (relief) and B Nandiga (wat/san) deployed on FACT.  M Million deployed on joint Danish-American IT/Telecom ERU."/>
  </r>
  <r>
    <s v="FL-2007-000158-TGO; FL-2007-000132-BFA;FL-2007-000153-GHA"/>
    <n v="182"/>
    <x v="180"/>
    <d v="2007-09-01T00:00:00"/>
    <x v="12"/>
    <x v="13"/>
    <m/>
    <n v="2007"/>
    <n v="23"/>
    <s v="Africa"/>
    <s v="Togo"/>
    <s v="Hydrometerological"/>
    <s v="Floods"/>
    <s v="General Floods"/>
    <s v="General Floods"/>
    <n v="185000"/>
    <s v="Y"/>
    <s v="IFRC"/>
    <n v="3200000"/>
    <s v="MDR61002"/>
    <n v="6.2406249999999996E-3"/>
    <n v="0.95"/>
    <m/>
    <m/>
    <n v="94825"/>
    <m/>
    <m/>
    <n v="0"/>
    <n v="19970"/>
    <m/>
    <m/>
    <m/>
    <n v="19970"/>
    <m/>
    <m/>
    <m/>
    <m/>
    <m/>
    <m/>
    <m/>
    <m/>
    <m/>
    <m/>
    <m/>
    <m/>
    <m/>
    <m/>
    <m/>
    <m/>
    <m/>
    <m/>
    <m/>
    <m/>
    <n v="19970"/>
    <m/>
    <m/>
    <m/>
    <x v="136"/>
    <s v="N"/>
    <m/>
    <m/>
    <m/>
    <m/>
    <n v="2799"/>
    <m/>
    <m/>
    <m/>
    <m/>
    <m/>
    <m/>
    <m/>
    <s v="Y"/>
    <m/>
    <m/>
    <m/>
    <m/>
    <s v="PMN (CHF 10,300) to cover delegate costs for Youssouff Langui on FACT to Togo.  PMN (CHF 13,102) to cover costs for 3 RDRTs for one month."/>
  </r>
  <r>
    <s v="TC-000198-DOM/HTI;"/>
    <n v="183"/>
    <x v="181"/>
    <d v="2007-10-01T00:00:00"/>
    <x v="12"/>
    <x v="14"/>
    <m/>
    <n v="2007"/>
    <n v="24"/>
    <s v="LAC"/>
    <s v="Dominican Republic"/>
    <s v="Hydrometerological"/>
    <s v="Storm"/>
    <s v="Tropical Cyclone"/>
    <s v="Tropical Storm"/>
    <n v="200000"/>
    <s v="Y"/>
    <s v="IFRC"/>
    <n v="1544000"/>
    <s v="MDR49002"/>
    <n v="2.266839378238342E-2"/>
    <m/>
    <m/>
    <m/>
    <n v="52995"/>
    <m/>
    <m/>
    <n v="0"/>
    <n v="35000"/>
    <m/>
    <m/>
    <m/>
    <n v="35000"/>
    <m/>
    <m/>
    <m/>
    <n v="4000"/>
    <m/>
    <n v="1000"/>
    <m/>
    <m/>
    <m/>
    <m/>
    <n v="1000"/>
    <m/>
    <m/>
    <m/>
    <n v="2000"/>
    <m/>
    <m/>
    <m/>
    <n v="69055"/>
    <m/>
    <n v="104055"/>
    <m/>
    <m/>
    <m/>
    <x v="137"/>
    <s v="Y"/>
    <m/>
    <m/>
    <m/>
    <m/>
    <n v="2694"/>
    <m/>
    <m/>
    <m/>
    <m/>
    <m/>
    <m/>
    <m/>
    <s v="N"/>
    <m/>
    <m/>
    <m/>
    <s v="Noel"/>
    <s v="PSR"/>
  </r>
  <r>
    <s v="TC-000198-DOM/HTI;"/>
    <n v="183"/>
    <x v="181"/>
    <d v="2007-11-01T00:00:00"/>
    <x v="12"/>
    <x v="14"/>
    <m/>
    <n v="2007"/>
    <n v="24"/>
    <s v="LAC"/>
    <s v="Haiti"/>
    <s v="Hydrometerological"/>
    <s v="Storm"/>
    <s v="Tropical Cyclone"/>
    <s v="Tropical Storm"/>
    <m/>
    <m/>
    <m/>
    <m/>
    <s v="MDR49002"/>
    <s v=""/>
    <m/>
    <m/>
    <m/>
    <m/>
    <m/>
    <m/>
    <n v="1"/>
    <n v="50000"/>
    <m/>
    <m/>
    <m/>
    <n v="50000"/>
    <m/>
    <m/>
    <m/>
    <n v="2000"/>
    <m/>
    <m/>
    <n v="2000"/>
    <m/>
    <m/>
    <m/>
    <m/>
    <m/>
    <m/>
    <m/>
    <m/>
    <m/>
    <m/>
    <m/>
    <n v="8073"/>
    <m/>
    <n v="58073"/>
    <m/>
    <m/>
    <m/>
    <x v="138"/>
    <s v="Y"/>
    <m/>
    <m/>
    <m/>
    <m/>
    <n v="2024"/>
    <m/>
    <m/>
    <m/>
    <m/>
    <m/>
    <m/>
    <m/>
    <s v="N"/>
    <m/>
    <m/>
    <m/>
    <s v="Noel"/>
    <s v="PSR"/>
  </r>
  <r>
    <s v="TC-000198-DOM/HTI;"/>
    <n v="183"/>
    <x v="181"/>
    <d v="2007-11-01T00:00:00"/>
    <x v="12"/>
    <x v="14"/>
    <m/>
    <n v="2007"/>
    <n v="24"/>
    <s v="LAC"/>
    <s v="Bahamas"/>
    <s v="Hydrometerological"/>
    <s v="Storm"/>
    <s v="Tropical Cyclone"/>
    <s v="Tropical Storm"/>
    <m/>
    <m/>
    <m/>
    <m/>
    <s v="MDR49002"/>
    <s v=""/>
    <m/>
    <m/>
    <m/>
    <m/>
    <m/>
    <m/>
    <n v="0"/>
    <n v="30000"/>
    <m/>
    <m/>
    <m/>
    <n v="30000"/>
    <n v="2"/>
    <m/>
    <m/>
    <m/>
    <m/>
    <m/>
    <m/>
    <m/>
    <m/>
    <m/>
    <m/>
    <m/>
    <m/>
    <m/>
    <m/>
    <m/>
    <m/>
    <m/>
    <m/>
    <n v="7440"/>
    <n v="37440"/>
    <m/>
    <m/>
    <m/>
    <x v="139"/>
    <s v="Y"/>
    <m/>
    <m/>
    <m/>
    <m/>
    <n v="2024"/>
    <m/>
    <m/>
    <m/>
    <m/>
    <m/>
    <m/>
    <m/>
    <s v="N"/>
    <m/>
    <m/>
    <m/>
    <s v="Noel"/>
    <s v="PEOPLE: O Abou-Samra, J Ferguson (cash/livelihoods); CASH: PMN to Fed ($10k for cash distribution project, $20k operational costs)"/>
  </r>
  <r>
    <s v="FL-2007-000200-MEX"/>
    <n v="184"/>
    <x v="6"/>
    <d v="2007-11-01T00:00:00"/>
    <x v="12"/>
    <x v="15"/>
    <m/>
    <n v="2007"/>
    <n v="25"/>
    <s v="LAC"/>
    <s v="Mexico"/>
    <s v="Hydrometerological"/>
    <s v="Floods"/>
    <s v="General Floods"/>
    <s v="General Floods"/>
    <n v="1000000"/>
    <s v="Y"/>
    <s v="IFRC"/>
    <n v="1800000"/>
    <s v="MDRMX002"/>
    <n v="0.28726499999999999"/>
    <n v="1"/>
    <m/>
    <m/>
    <n v="44380"/>
    <m/>
    <n v="10000"/>
    <n v="1"/>
    <n v="167077"/>
    <m/>
    <n v="350000"/>
    <m/>
    <n v="517077"/>
    <n v="1"/>
    <m/>
    <m/>
    <n v="15500"/>
    <m/>
    <n v="3500"/>
    <m/>
    <m/>
    <m/>
    <m/>
    <n v="2000"/>
    <m/>
    <n v="10000"/>
    <m/>
    <m/>
    <m/>
    <m/>
    <m/>
    <n v="143415"/>
    <n v="357"/>
    <n v="660849"/>
    <m/>
    <m/>
    <m/>
    <x v="140"/>
    <s v="Y"/>
    <m/>
    <m/>
    <m/>
    <m/>
    <s v="2690/OFDA/2799 "/>
    <m/>
    <m/>
    <m/>
    <m/>
    <m/>
    <m/>
    <m/>
    <s v="N"/>
    <m/>
    <m/>
    <m/>
    <s v="Tabasco"/>
    <s v="CASH: Grants to MxRC ($50k from 2799 + $300k from 2690), PMN to Fed $167k (earmarked for 4,000 hygiene kits, 4,000 jerry cans, 4,000 buckets);  OFDA Grant; PEOPLE: W Romeril (info)"/>
  </r>
  <r>
    <s v="TC-2007-00178-VNM"/>
    <n v="185"/>
    <x v="182"/>
    <d v="2007-11-01T00:00:00"/>
    <x v="12"/>
    <x v="16"/>
    <m/>
    <n v="2007"/>
    <n v="26"/>
    <s v="Europe/Asia"/>
    <s v="Vietnam"/>
    <s v="Hydrometerological"/>
    <s v="Storm"/>
    <s v="Tropical Cyclone"/>
    <s v="Typhoon"/>
    <n v="600000"/>
    <s v="Y"/>
    <s v="IFRC"/>
    <n v="2700000"/>
    <s v="MDRVN002"/>
    <n v="4.2592592592592592E-2"/>
    <n v="0.77"/>
    <m/>
    <m/>
    <n v="180000"/>
    <m/>
    <m/>
    <n v="1"/>
    <n v="115000"/>
    <m/>
    <m/>
    <m/>
    <n v="115000"/>
    <m/>
    <m/>
    <m/>
    <m/>
    <m/>
    <m/>
    <m/>
    <m/>
    <m/>
    <m/>
    <m/>
    <m/>
    <m/>
    <m/>
    <m/>
    <m/>
    <m/>
    <m/>
    <m/>
    <m/>
    <n v="115000"/>
    <m/>
    <m/>
    <m/>
    <x v="141"/>
    <s v="Y"/>
    <m/>
    <m/>
    <m/>
    <m/>
    <s v="2099/ 2869"/>
    <m/>
    <m/>
    <m/>
    <m/>
    <m/>
    <m/>
    <m/>
    <s v="N"/>
    <m/>
    <s v="ARCT"/>
    <m/>
    <s v="Lekima"/>
    <s v="CASH: PMN  from AP 2099 to Fed unearmarked; PMN from AP 2869 to Fed earmarked purchase/dist household kits;  $100,000 from ARCT for shelter to Federation"/>
  </r>
  <r>
    <s v="FF-2007-000080-BGD"/>
    <n v="186"/>
    <x v="183"/>
    <d v="2007-11-01T00:00:00"/>
    <x v="12"/>
    <x v="17"/>
    <m/>
    <n v="2007"/>
    <n v="27"/>
    <s v="Europe/Asia"/>
    <s v="Bangladesh"/>
    <s v="Hydrometerological"/>
    <s v="Storm"/>
    <s v="Tropical Cyclone"/>
    <s v="Cyclone"/>
    <n v="8500000"/>
    <s v="Y"/>
    <s v="IFRC"/>
    <n v="22000000"/>
    <s v="MDRBD002"/>
    <n v="4.926618181818182E-2"/>
    <n v="0.66"/>
    <m/>
    <m/>
    <n v="1215000"/>
    <m/>
    <m/>
    <n v="1"/>
    <n v="1083856"/>
    <m/>
    <m/>
    <m/>
    <n v="1083856"/>
    <n v="3"/>
    <m/>
    <m/>
    <n v="39000"/>
    <m/>
    <n v="4000"/>
    <n v="25000"/>
    <m/>
    <m/>
    <m/>
    <m/>
    <m/>
    <m/>
    <m/>
    <n v="10000"/>
    <m/>
    <m/>
    <m/>
    <n v="260798"/>
    <n v="12000"/>
    <n v="1356654"/>
    <m/>
    <m/>
    <m/>
    <x v="142"/>
    <s v="Y"/>
    <m/>
    <m/>
    <m/>
    <m/>
    <s v="2017/OFDA"/>
    <m/>
    <m/>
    <m/>
    <m/>
    <m/>
    <m/>
    <m/>
    <s v="N"/>
    <m/>
    <m/>
    <m/>
    <s v="Sidr"/>
    <s v="CASH:  1st PMN ($100k unearmarked from AP 2099), 2nd PMN ($100k earmarked to tsunami affected areas from AP 2546), 3rd PMN ($300k earmarked for shelter and wat/san from OFDA), 4th PMN ($583k earmarked for shelter and wat/san from OFDA); SUPPLIES: + PSR; PEOPLE: Nek Alam (wat/san); S Wiseman (wat/san), L Malany (shelter)"/>
  </r>
  <r>
    <s v="FL-2007-000209-PNG"/>
    <n v="187"/>
    <x v="184"/>
    <d v="2007-11-01T00:00:00"/>
    <x v="12"/>
    <x v="18"/>
    <m/>
    <n v="2007"/>
    <n v="28"/>
    <s v="Europe/Asia"/>
    <s v="Papua New Guinea"/>
    <s v="Hydrometerological"/>
    <s v="Storm"/>
    <s v="Tropical Cyclone"/>
    <s v="Cyclone"/>
    <n v="162000"/>
    <s v="Y"/>
    <s v="IFRC"/>
    <n v="672000"/>
    <s v="MDRPG002"/>
    <n v="3.5342261904761904E-2"/>
    <n v="0.76"/>
    <m/>
    <m/>
    <n v="13000"/>
    <m/>
    <m/>
    <n v="0"/>
    <n v="23750"/>
    <m/>
    <m/>
    <m/>
    <n v="23750"/>
    <m/>
    <m/>
    <m/>
    <m/>
    <m/>
    <m/>
    <m/>
    <m/>
    <m/>
    <m/>
    <m/>
    <m/>
    <m/>
    <m/>
    <m/>
    <m/>
    <m/>
    <m/>
    <m/>
    <m/>
    <n v="23750"/>
    <m/>
    <m/>
    <m/>
    <x v="143"/>
    <s v="Y"/>
    <m/>
    <m/>
    <m/>
    <m/>
    <n v="2881"/>
    <m/>
    <m/>
    <m/>
    <m/>
    <m/>
    <m/>
    <m/>
    <s v="N"/>
    <m/>
    <m/>
    <m/>
    <s v="Guba"/>
    <s v="CASH: PMN to Fed unearmarked"/>
  </r>
  <r>
    <m/>
    <n v="188"/>
    <x v="185"/>
    <d v="2008-01-01T00:00:00"/>
    <x v="12"/>
    <x v="19"/>
    <m/>
    <n v="2008"/>
    <n v="1"/>
    <s v="Africa"/>
    <s v="Kenya"/>
    <s v="Human Related"/>
    <s v="Civil Unrest"/>
    <s v="Civil Unrest"/>
    <s v="Civil Unrest"/>
    <n v="500000"/>
    <s v="Y"/>
    <s v="ICRC"/>
    <n v="14200000"/>
    <m/>
    <n v="2.1126760563380281E-2"/>
    <m/>
    <m/>
    <m/>
    <n v="500000"/>
    <m/>
    <m/>
    <n v="1"/>
    <m/>
    <n v="250000"/>
    <n v="50000"/>
    <m/>
    <n v="300000"/>
    <m/>
    <m/>
    <m/>
    <m/>
    <m/>
    <m/>
    <m/>
    <m/>
    <m/>
    <m/>
    <m/>
    <m/>
    <m/>
    <m/>
    <m/>
    <m/>
    <m/>
    <m/>
    <m/>
    <m/>
    <n v="300000"/>
    <m/>
    <m/>
    <m/>
    <x v="144"/>
    <s v="Y"/>
    <m/>
    <m/>
    <m/>
    <m/>
    <s v="2002 / 2099"/>
    <m/>
    <m/>
    <m/>
    <m/>
    <m/>
    <m/>
    <m/>
    <s v="N"/>
    <m/>
    <m/>
    <m/>
    <s v="Elections"/>
    <s v="CASH: 50k to KRCS  from 2799 and 50k to ICRC from 2002; CASH from 2099: 200k to ICRC"/>
  </r>
  <r>
    <s v="CW-2008-000013-CHN"/>
    <n v="189"/>
    <x v="186"/>
    <d v="2008-02-01T00:00:00"/>
    <x v="12"/>
    <x v="23"/>
    <m/>
    <n v="2008"/>
    <n v="2"/>
    <s v="Europe/Asia"/>
    <s v="China"/>
    <s v="Hydrometerological"/>
    <s v="Storm"/>
    <s v="Winter Storm"/>
    <s v="Snowstorm"/>
    <n v="7800000"/>
    <m/>
    <m/>
    <s v="n/a"/>
    <m/>
    <s v=""/>
    <m/>
    <m/>
    <m/>
    <s v="n/a"/>
    <m/>
    <s v="n/a"/>
    <m/>
    <m/>
    <m/>
    <n v="867000"/>
    <m/>
    <n v="867000"/>
    <m/>
    <m/>
    <m/>
    <m/>
    <m/>
    <m/>
    <m/>
    <m/>
    <m/>
    <m/>
    <m/>
    <m/>
    <m/>
    <m/>
    <m/>
    <m/>
    <m/>
    <m/>
    <m/>
    <m/>
    <n v="867000"/>
    <m/>
    <m/>
    <m/>
    <x v="145"/>
    <s v="Y"/>
    <m/>
    <m/>
    <m/>
    <m/>
    <n v="2060"/>
    <m/>
    <m/>
    <m/>
    <m/>
    <m/>
    <m/>
    <m/>
    <s v="N"/>
    <m/>
    <m/>
    <s v="y"/>
    <m/>
    <s v="CASH: Bilateral to RCSC"/>
  </r>
  <r>
    <m/>
    <n v="190"/>
    <x v="187"/>
    <d v="2008-02-01T00:00:00"/>
    <x v="12"/>
    <x v="20"/>
    <m/>
    <n v="2008"/>
    <n v="3"/>
    <s v="Africa"/>
    <s v="Guyana"/>
    <s v="Human Related"/>
    <s v="Civil Unrest"/>
    <s v="Civil Unrest"/>
    <s v="Civil Unrest"/>
    <m/>
    <m/>
    <m/>
    <s v="n/a"/>
    <m/>
    <s v=""/>
    <m/>
    <m/>
    <m/>
    <n v="0"/>
    <m/>
    <n v="0"/>
    <m/>
    <m/>
    <m/>
    <n v="2400"/>
    <m/>
    <n v="2400"/>
    <n v="2"/>
    <m/>
    <m/>
    <m/>
    <m/>
    <m/>
    <m/>
    <m/>
    <m/>
    <m/>
    <m/>
    <m/>
    <m/>
    <m/>
    <m/>
    <m/>
    <m/>
    <m/>
    <m/>
    <n v="10000"/>
    <n v="12400"/>
    <m/>
    <m/>
    <m/>
    <x v="146"/>
    <s v="N"/>
    <m/>
    <m/>
    <m/>
    <m/>
    <n v="2799"/>
    <m/>
    <m/>
    <m/>
    <m/>
    <m/>
    <m/>
    <m/>
    <s v="Y"/>
    <m/>
    <m/>
    <m/>
    <s v="Violence"/>
    <s v="PEOPLE: G. Dodge, V. Vibhakar to Guyana for PSP ($10k) CASH: cash to NS $2,400 - total both $12,400"/>
  </r>
  <r>
    <m/>
    <n v="191"/>
    <x v="125"/>
    <d v="2008-02-01T00:00:00"/>
    <x v="12"/>
    <x v="21"/>
    <m/>
    <n v="2008"/>
    <n v="4"/>
    <s v="Africa"/>
    <s v="Sudan"/>
    <s v="Human Related"/>
    <s v="Conflict"/>
    <s v="Conflict"/>
    <s v="Conflict"/>
    <n v="2000000"/>
    <s v="Y"/>
    <s v="ICRC"/>
    <n v="94000000"/>
    <m/>
    <n v="7.5957446808510637E-3"/>
    <m/>
    <m/>
    <m/>
    <n v="600000"/>
    <m/>
    <m/>
    <n v="1"/>
    <m/>
    <n v="714000"/>
    <m/>
    <m/>
    <n v="714000"/>
    <m/>
    <m/>
    <m/>
    <m/>
    <m/>
    <m/>
    <m/>
    <m/>
    <m/>
    <m/>
    <m/>
    <m/>
    <m/>
    <m/>
    <m/>
    <m/>
    <m/>
    <m/>
    <m/>
    <m/>
    <n v="714000"/>
    <m/>
    <m/>
    <m/>
    <x v="147"/>
    <s v="Y"/>
    <m/>
    <m/>
    <m/>
    <m/>
    <n v="2661"/>
    <m/>
    <m/>
    <m/>
    <m/>
    <m/>
    <m/>
    <m/>
    <s v="N"/>
    <m/>
    <m/>
    <m/>
    <m/>
    <s v="CASH: 714k to ICRC from Coca Cola"/>
  </r>
  <r>
    <s v="FL-2008-000018-ECU"/>
    <n v="192"/>
    <x v="188"/>
    <d v="2008-02-01T00:00:00"/>
    <x v="12"/>
    <x v="22"/>
    <m/>
    <n v="2008"/>
    <n v="5"/>
    <s v="LAC"/>
    <s v="Ecuador"/>
    <s v="Hydrometerological"/>
    <s v="Floods"/>
    <s v="General Floods"/>
    <s v="General Floods"/>
    <n v="315000"/>
    <m/>
    <s v="?"/>
    <n v="700000"/>
    <m/>
    <n v="0.35"/>
    <m/>
    <m/>
    <m/>
    <n v="15220"/>
    <m/>
    <n v="6445"/>
    <m/>
    <m/>
    <m/>
    <n v="245000"/>
    <m/>
    <n v="245000"/>
    <m/>
    <m/>
    <m/>
    <m/>
    <m/>
    <m/>
    <m/>
    <m/>
    <m/>
    <m/>
    <m/>
    <m/>
    <m/>
    <m/>
    <m/>
    <m/>
    <m/>
    <m/>
    <m/>
    <m/>
    <n v="245000"/>
    <m/>
    <m/>
    <m/>
    <x v="122"/>
    <s v="Y"/>
    <m/>
    <m/>
    <m/>
    <m/>
    <s v="2597 / 2099"/>
    <m/>
    <m/>
    <m/>
    <m/>
    <m/>
    <m/>
    <m/>
    <s v="N"/>
    <m/>
    <m/>
    <m/>
    <s v="Pacific Coast"/>
    <s v="CASH from 2597: OFDA grant for procurement of NFIs - nets, clean-up kits, kitchen sets;  CASH from 2099: To ERC for purchase of food parcels "/>
  </r>
  <r>
    <m/>
    <n v="193"/>
    <x v="105"/>
    <d v="2008-03-08T00:00:00"/>
    <x v="12"/>
    <x v="24"/>
    <m/>
    <n v="2008"/>
    <n v="6"/>
    <s v="Europe/Asia"/>
    <s v="Iraq"/>
    <s v="Human Related"/>
    <s v="Conflict"/>
    <s v="Conflict"/>
    <s v="Conflict"/>
    <n v="4000000"/>
    <s v="Y"/>
    <s v="IFRC"/>
    <n v="18900000"/>
    <m/>
    <n v="1.4232804232804232E-2"/>
    <m/>
    <m/>
    <m/>
    <n v="900000"/>
    <m/>
    <m/>
    <n v="1"/>
    <n v="269000"/>
    <m/>
    <m/>
    <m/>
    <n v="269000"/>
    <m/>
    <m/>
    <m/>
    <m/>
    <m/>
    <m/>
    <m/>
    <m/>
    <m/>
    <m/>
    <m/>
    <m/>
    <m/>
    <m/>
    <m/>
    <m/>
    <m/>
    <m/>
    <m/>
    <m/>
    <n v="269000"/>
    <m/>
    <m/>
    <m/>
    <x v="148"/>
    <s v="Y"/>
    <m/>
    <m/>
    <m/>
    <m/>
    <s v="2099/2689"/>
    <m/>
    <m/>
    <m/>
    <m/>
    <m/>
    <m/>
    <m/>
    <s v="N"/>
    <m/>
    <m/>
    <m/>
    <s v="Country-wide"/>
    <s v="CASH from 2099: $250k Earmarked for OD and M&amp;E; CASH from 2689: $19k Earmarked for OD and M&amp;E;"/>
  </r>
  <r>
    <s v="TC-2008-000023-MDG"/>
    <n v="194"/>
    <x v="189"/>
    <d v="2008-03-08T00:00:00"/>
    <x v="12"/>
    <x v="25"/>
    <m/>
    <n v="2008"/>
    <n v="7"/>
    <s v="Africa"/>
    <s v="Madagascar"/>
    <s v="Hydrometerological"/>
    <s v="Storm"/>
    <s v="Tropical Cyclone"/>
    <s v="Cyclone"/>
    <n v="322000"/>
    <s v="Y"/>
    <s v="IFRC"/>
    <n v="1000000"/>
    <s v="MDRMG003"/>
    <n v="0"/>
    <m/>
    <m/>
    <m/>
    <n v="50000"/>
    <m/>
    <m/>
    <m/>
    <m/>
    <m/>
    <m/>
    <m/>
    <n v="0"/>
    <m/>
    <m/>
    <m/>
    <n v="10000"/>
    <m/>
    <m/>
    <m/>
    <m/>
    <m/>
    <m/>
    <m/>
    <m/>
    <n v="10000"/>
    <m/>
    <m/>
    <m/>
    <m/>
    <m/>
    <n v="50000"/>
    <m/>
    <n v="50000"/>
    <m/>
    <m/>
    <m/>
    <x v="16"/>
    <s v="N"/>
    <m/>
    <m/>
    <m/>
    <m/>
    <n v="2799"/>
    <m/>
    <m/>
    <m/>
    <m/>
    <m/>
    <m/>
    <m/>
    <s v="Y"/>
    <m/>
    <m/>
    <m/>
    <s v="Ivan"/>
    <m/>
  </r>
  <r>
    <s v="TC-2008-000033-MOZ"/>
    <n v="195"/>
    <x v="190"/>
    <d v="2008-03-08T00:00:00"/>
    <x v="12"/>
    <x v="26"/>
    <m/>
    <n v="2008"/>
    <n v="8"/>
    <s v="Africa"/>
    <s v="Mozambique"/>
    <s v="Hydrometerological"/>
    <s v="Floods"/>
    <s v="General Floods"/>
    <s v="General Floods"/>
    <n v="400000"/>
    <s v="Y"/>
    <m/>
    <n v="8400000"/>
    <m/>
    <n v="3.5714285714285712E-2"/>
    <m/>
    <m/>
    <m/>
    <n v="97550"/>
    <m/>
    <n v="15000"/>
    <n v="1"/>
    <n v="300000"/>
    <m/>
    <m/>
    <m/>
    <n v="300000"/>
    <m/>
    <m/>
    <m/>
    <m/>
    <m/>
    <m/>
    <m/>
    <m/>
    <m/>
    <m/>
    <m/>
    <m/>
    <m/>
    <m/>
    <m/>
    <m/>
    <m/>
    <m/>
    <m/>
    <m/>
    <n v="300000"/>
    <m/>
    <m/>
    <m/>
    <x v="144"/>
    <s v="Y"/>
    <m/>
    <m/>
    <m/>
    <m/>
    <s v="2099/($200k)/2869 ($100k)"/>
    <m/>
    <m/>
    <m/>
    <m/>
    <m/>
    <m/>
    <m/>
    <s v="N"/>
    <m/>
    <s v="ARCT"/>
    <m/>
    <s v="Southern Africa"/>
    <s v="CASH: 285k earmarked shelter/relief activities, 15k earmarked for RDRT costs x3; 2099 = $200k/ 2869 = $100k. Note ARCT funds used - $100,000 to Federation for shelter, see ARCT 2008 report."/>
  </r>
  <r>
    <s v="TC-2008-000033-MOZ"/>
    <n v="196"/>
    <x v="190"/>
    <d v="2008-03-08T00:00:00"/>
    <x v="12"/>
    <x v="27"/>
    <m/>
    <n v="2008"/>
    <n v="9"/>
    <s v="Africa"/>
    <s v="Tanzania"/>
    <s v="Hydrometerological"/>
    <s v="Floods"/>
    <s v="General Floods"/>
    <s v="General Floods"/>
    <n v="2700"/>
    <m/>
    <m/>
    <s v="n/a"/>
    <m/>
    <s v=""/>
    <m/>
    <m/>
    <m/>
    <n v="2700"/>
    <m/>
    <m/>
    <m/>
    <m/>
    <m/>
    <n v="48500"/>
    <m/>
    <n v="48500"/>
    <m/>
    <m/>
    <m/>
    <m/>
    <m/>
    <m/>
    <m/>
    <m/>
    <m/>
    <m/>
    <m/>
    <m/>
    <m/>
    <m/>
    <m/>
    <m/>
    <m/>
    <m/>
    <m/>
    <m/>
    <n v="48500"/>
    <m/>
    <m/>
    <m/>
    <x v="149"/>
    <s v="Y"/>
    <m/>
    <m/>
    <m/>
    <m/>
    <n v="2002"/>
    <m/>
    <m/>
    <m/>
    <m/>
    <m/>
    <m/>
    <m/>
    <s v="N"/>
    <m/>
    <m/>
    <m/>
    <s v="Flood/Mine"/>
    <s v="CASH: Grant letter to TRCS, relief/shelter"/>
  </r>
  <r>
    <s v="TC-2008-000057-MMR"/>
    <n v="197"/>
    <x v="191"/>
    <d v="2008-05-08T00:00:00"/>
    <x v="12"/>
    <x v="28"/>
    <m/>
    <n v="2008"/>
    <n v="10"/>
    <s v="Europe/Asia"/>
    <s v="Myanmar"/>
    <s v="Hydrometerological"/>
    <s v="Storm"/>
    <s v="Tropical Cyclone"/>
    <s v="Cyclone"/>
    <n v="2400000"/>
    <s v="Y"/>
    <s v="IFRC"/>
    <n v="72537164"/>
    <s v="MDRMM002"/>
    <n v="3.446509157705697E-3"/>
    <n v="0.9"/>
    <m/>
    <m/>
    <n v="500000"/>
    <m/>
    <m/>
    <n v="1"/>
    <n v="250000"/>
    <m/>
    <m/>
    <m/>
    <n v="250000"/>
    <n v="1"/>
    <m/>
    <n v="1"/>
    <n v="205000"/>
    <m/>
    <m/>
    <n v="25000"/>
    <m/>
    <m/>
    <m/>
    <n v="5000"/>
    <m/>
    <n v="20000"/>
    <m/>
    <n v="9995"/>
    <m/>
    <m/>
    <m/>
    <n v="900000"/>
    <m/>
    <n v="1150000"/>
    <m/>
    <m/>
    <m/>
    <x v="129"/>
    <s v="Y"/>
    <m/>
    <m/>
    <m/>
    <m/>
    <s v="2594 / 2875"/>
    <m/>
    <m/>
    <m/>
    <m/>
    <m/>
    <m/>
    <m/>
    <s v="N"/>
    <m/>
    <m/>
    <s v="y"/>
    <s v="Nargis"/>
    <s v="SUPPLIES from 2594: OFDA  jerry cans, plus roughly 60k transport and associated costs; SUPPLIES from 2875: $1,150,000 plus transport"/>
  </r>
  <r>
    <s v="EQ-2008-000062-CHN"/>
    <n v="198"/>
    <x v="192"/>
    <d v="2008-05-08T00:00:00"/>
    <x v="12"/>
    <x v="29"/>
    <m/>
    <n v="2008"/>
    <n v="11"/>
    <s v="Europe/Asia"/>
    <s v="China"/>
    <s v="Geophysical"/>
    <s v="Earthquake"/>
    <s v="Earthquake"/>
    <s v="Earthquake"/>
    <n v="10000000"/>
    <s v="Y"/>
    <s v="IFRC"/>
    <n v="92700000"/>
    <s v="MDRCN003"/>
    <n v="0.10787486515641856"/>
    <n v="0.65"/>
    <m/>
    <m/>
    <n v="500000"/>
    <m/>
    <m/>
    <n v="1"/>
    <n v="10000000"/>
    <m/>
    <m/>
    <m/>
    <n v="10000000"/>
    <n v="3"/>
    <m/>
    <m/>
    <m/>
    <m/>
    <m/>
    <m/>
    <m/>
    <m/>
    <m/>
    <m/>
    <m/>
    <m/>
    <m/>
    <m/>
    <m/>
    <m/>
    <m/>
    <m/>
    <m/>
    <n v="10000000"/>
    <m/>
    <m/>
    <m/>
    <x v="150"/>
    <s v="Y"/>
    <m/>
    <m/>
    <m/>
    <m/>
    <n v="2060"/>
    <m/>
    <m/>
    <m/>
    <m/>
    <m/>
    <m/>
    <m/>
    <s v="N"/>
    <m/>
    <m/>
    <s v="y"/>
    <s v="Sichuan"/>
    <s v="CASH: Unearmarked PMN; PEOPLE: R. Rayyis 1 wk info gathering, T. Betz 3 wk relief/logs/monitoring del; S. Thornton 6 mo relief del"/>
  </r>
  <r>
    <s v="DR-2008-000043-ETH"/>
    <n v="199"/>
    <x v="193"/>
    <d v="2008-06-08T00:00:00"/>
    <x v="12"/>
    <x v="30"/>
    <m/>
    <n v="2008"/>
    <n v="14"/>
    <s v="Africa"/>
    <s v="Ethiopia"/>
    <s v="Human Related"/>
    <s v="Food Insecurity"/>
    <s v="Food Insecurity"/>
    <s v="Food Insecurity"/>
    <n v="4500000"/>
    <s v="Y"/>
    <s v="IFRC"/>
    <n v="7920006"/>
    <s v="MDRET005"/>
    <n v="1.2626253060919398E-2"/>
    <m/>
    <m/>
    <m/>
    <n v="76075"/>
    <m/>
    <m/>
    <n v="1"/>
    <n v="100000"/>
    <m/>
    <m/>
    <m/>
    <n v="100000"/>
    <m/>
    <m/>
    <m/>
    <m/>
    <m/>
    <m/>
    <m/>
    <m/>
    <m/>
    <m/>
    <m/>
    <m/>
    <m/>
    <m/>
    <m/>
    <m/>
    <m/>
    <m/>
    <m/>
    <m/>
    <n v="100000"/>
    <m/>
    <m/>
    <m/>
    <x v="5"/>
    <s v="Y"/>
    <m/>
    <m/>
    <m/>
    <m/>
    <n v="2949"/>
    <m/>
    <m/>
    <m/>
    <m/>
    <m/>
    <m/>
    <m/>
    <s v="N"/>
    <m/>
    <m/>
    <m/>
    <m/>
    <s v="CASH: PMN earmarked for procurement, transport, distribution of food"/>
  </r>
  <r>
    <m/>
    <n v="200"/>
    <x v="194"/>
    <d v="2008-06-08T00:00:00"/>
    <x v="12"/>
    <x v="31"/>
    <m/>
    <n v="2008"/>
    <n v="12"/>
    <s v="Africa"/>
    <s v="South Africa"/>
    <s v="Human Related"/>
    <s v="Civil Unrest"/>
    <s v="Civil Unrest"/>
    <s v="Civil Unrest"/>
    <n v="50000"/>
    <m/>
    <m/>
    <s v="n/a"/>
    <m/>
    <s v=""/>
    <m/>
    <m/>
    <m/>
    <n v="30000"/>
    <m/>
    <n v="0"/>
    <m/>
    <m/>
    <m/>
    <m/>
    <m/>
    <n v="0"/>
    <n v="1"/>
    <m/>
    <m/>
    <m/>
    <m/>
    <m/>
    <m/>
    <m/>
    <m/>
    <m/>
    <m/>
    <m/>
    <m/>
    <m/>
    <m/>
    <m/>
    <m/>
    <m/>
    <m/>
    <n v="10000"/>
    <n v="10000"/>
    <m/>
    <m/>
    <m/>
    <x v="6"/>
    <s v="N"/>
    <m/>
    <m/>
    <m/>
    <m/>
    <n v="2799"/>
    <m/>
    <m/>
    <m/>
    <m/>
    <m/>
    <m/>
    <m/>
    <s v="Y"/>
    <m/>
    <m/>
    <m/>
    <s v="Urban Violence"/>
    <s v="PEOPLE: C. Bell bilateral - dev systems/tracking"/>
  </r>
  <r>
    <s v="FL-2008-000069-CHL"/>
    <n v="201"/>
    <x v="195"/>
    <d v="2008-06-08T00:00:00"/>
    <x v="12"/>
    <x v="32"/>
    <m/>
    <n v="2008"/>
    <n v="13"/>
    <s v="LAC"/>
    <s v="Chile"/>
    <s v="Hydrometerological"/>
    <s v="Floods"/>
    <s v="General Floods"/>
    <s v="General Floods"/>
    <n v="50000"/>
    <m/>
    <m/>
    <s v="n/a"/>
    <m/>
    <s v=""/>
    <m/>
    <m/>
    <m/>
    <n v="4000"/>
    <m/>
    <n v="1250"/>
    <n v="0"/>
    <n v="2000"/>
    <m/>
    <m/>
    <m/>
    <n v="2000"/>
    <n v="1"/>
    <m/>
    <m/>
    <m/>
    <m/>
    <m/>
    <m/>
    <m/>
    <m/>
    <m/>
    <m/>
    <m/>
    <m/>
    <m/>
    <m/>
    <m/>
    <m/>
    <m/>
    <m/>
    <m/>
    <n v="2000"/>
    <m/>
    <m/>
    <m/>
    <x v="55"/>
    <s v="N"/>
    <m/>
    <m/>
    <m/>
    <m/>
    <n v="2799"/>
    <m/>
    <m/>
    <m/>
    <m/>
    <m/>
    <m/>
    <m/>
    <s v="Y"/>
    <m/>
    <m/>
    <m/>
    <m/>
    <s v="PEOPLE: S. DiPretoro, w/RIT, cash voucher/market assessment"/>
  </r>
  <r>
    <s v="TC-2008-000093-PHL"/>
    <n v="202"/>
    <x v="196"/>
    <d v="2008-06-08T00:00:00"/>
    <x v="12"/>
    <x v="33"/>
    <m/>
    <n v="2008"/>
    <n v="15"/>
    <s v="Europe/Asia"/>
    <s v="Philippines"/>
    <s v="Hydrometerological"/>
    <s v="Storm"/>
    <s v="Tropical Cyclone"/>
    <s v="Typhoon"/>
    <n v="4800000"/>
    <s v="Y"/>
    <s v="IFRC"/>
    <n v="8000000"/>
    <s v="MDRPH004"/>
    <n v="2.3125E-2"/>
    <n v="1"/>
    <m/>
    <m/>
    <n v="30000"/>
    <m/>
    <m/>
    <n v="1"/>
    <n v="185000"/>
    <m/>
    <m/>
    <m/>
    <n v="185000"/>
    <n v="1"/>
    <m/>
    <m/>
    <m/>
    <m/>
    <m/>
    <m/>
    <m/>
    <m/>
    <m/>
    <m/>
    <m/>
    <m/>
    <m/>
    <m/>
    <m/>
    <m/>
    <m/>
    <m/>
    <m/>
    <n v="185000"/>
    <m/>
    <m/>
    <m/>
    <x v="151"/>
    <s v="Y"/>
    <m/>
    <m/>
    <m/>
    <m/>
    <s v="2032/2799/2869"/>
    <m/>
    <m/>
    <m/>
    <m/>
    <m/>
    <m/>
    <m/>
    <s v="N"/>
    <m/>
    <s v="ARCT"/>
    <m/>
    <s v="Fengshen"/>
    <s v="CASH: 1st PMN (135K)earmarked for typhoon-resistant shelter construction, and DP programs, 2nd (50k) earmarked for shelters after IFRC reported severe underfunding; 1st PMN: AP 2869 - $80,938.17, AP 2799 - $45,211.83. AP 2032 - $8,850.00 / 2nd PMN: AP 2799 - $50,000 PEOPLE: G. Bicego, wat/san assessment team, Fed will pay all expenses. Note: ARCT Funds $100,000 used for shelter to Federation as noted in ARCT report for 2008."/>
  </r>
  <r>
    <m/>
    <n v="203"/>
    <x v="197"/>
    <d v="2008-07-08T00:00:00"/>
    <x v="13"/>
    <x v="1"/>
    <m/>
    <n v="2008"/>
    <n v="16"/>
    <s v="Europe/Asia"/>
    <s v="Yemen"/>
    <s v="Human Related"/>
    <s v="Conflict"/>
    <s v="Conflict"/>
    <s v="Conflict"/>
    <n v="77000"/>
    <s v="Y"/>
    <s v="ICRC"/>
    <n v="13707000"/>
    <m/>
    <n v="3.6477712117895965E-3"/>
    <m/>
    <m/>
    <m/>
    <n v="80500"/>
    <m/>
    <m/>
    <n v="1"/>
    <m/>
    <n v="50000"/>
    <m/>
    <m/>
    <n v="50000"/>
    <m/>
    <m/>
    <m/>
    <s v="-"/>
    <m/>
    <m/>
    <m/>
    <m/>
    <m/>
    <m/>
    <m/>
    <m/>
    <m/>
    <m/>
    <m/>
    <m/>
    <m/>
    <m/>
    <m/>
    <m/>
    <n v="50000"/>
    <m/>
    <m/>
    <m/>
    <x v="16"/>
    <s v="N"/>
    <m/>
    <m/>
    <m/>
    <m/>
    <n v="2799"/>
    <m/>
    <m/>
    <m/>
    <m/>
    <m/>
    <m/>
    <m/>
    <s v="Y"/>
    <m/>
    <m/>
    <m/>
    <s v="Believing Youth"/>
    <s v="CASH: $50,000 Pledge Letter to ICRC"/>
  </r>
  <r>
    <s v="FL-2008-000095-SUR"/>
    <n v="204"/>
    <x v="198"/>
    <d v="2008-07-01T00:00:00"/>
    <x v="13"/>
    <x v="2"/>
    <m/>
    <n v="2008"/>
    <n v="17"/>
    <s v="LAC"/>
    <s v="Suriname"/>
    <s v="Hydrometerological"/>
    <s v="Floods"/>
    <s v="General Floods"/>
    <s v="General Floods"/>
    <n v="49090"/>
    <s v="Y"/>
    <s v="IFRC"/>
    <n v="861000"/>
    <s v="MDRSR002"/>
    <n v="0"/>
    <m/>
    <m/>
    <m/>
    <n v="3000"/>
    <m/>
    <m/>
    <m/>
    <m/>
    <m/>
    <m/>
    <m/>
    <s v="-"/>
    <n v="2"/>
    <s v="IT/Telecoms"/>
    <n v="2"/>
    <s v="-"/>
    <m/>
    <m/>
    <m/>
    <m/>
    <m/>
    <m/>
    <m/>
    <m/>
    <m/>
    <m/>
    <m/>
    <m/>
    <m/>
    <m/>
    <s v="-"/>
    <s v="-"/>
    <m/>
    <m/>
    <m/>
    <m/>
    <x v="152"/>
    <s v="N"/>
    <m/>
    <m/>
    <m/>
    <m/>
    <n v="2799"/>
    <m/>
    <m/>
    <m/>
    <m/>
    <m/>
    <m/>
    <m/>
    <s v="Y"/>
    <m/>
    <m/>
    <m/>
    <m/>
    <s v="PEOPLE: M. Million, R. Palmer IT capacity bldg"/>
  </r>
  <r>
    <s v="FL-2008-000122-UKR/MDA"/>
    <n v="205"/>
    <x v="199"/>
    <d v="2008-08-01T00:00:00"/>
    <x v="13"/>
    <x v="3"/>
    <m/>
    <n v="2008"/>
    <n v="18"/>
    <s v="Europe/Asia"/>
    <s v="Ukraine"/>
    <s v="Hydrometerological"/>
    <s v="Floods"/>
    <s v="General Floods"/>
    <s v="General Floods"/>
    <n v="30000"/>
    <s v="Y"/>
    <s v="IFRC"/>
    <n v="1193000"/>
    <s v="MDR67003"/>
    <n v="3.7091366303436714E-2"/>
    <n v="0.54"/>
    <m/>
    <m/>
    <n v="60000"/>
    <m/>
    <m/>
    <n v="1"/>
    <n v="44250"/>
    <m/>
    <m/>
    <m/>
    <n v="44250"/>
    <m/>
    <m/>
    <m/>
    <s v="-"/>
    <m/>
    <m/>
    <m/>
    <m/>
    <m/>
    <m/>
    <m/>
    <m/>
    <m/>
    <m/>
    <m/>
    <m/>
    <m/>
    <m/>
    <m/>
    <m/>
    <n v="44250"/>
    <m/>
    <m/>
    <m/>
    <x v="153"/>
    <s v="Y"/>
    <m/>
    <m/>
    <m/>
    <m/>
    <n v="2048"/>
    <m/>
    <m/>
    <m/>
    <m/>
    <m/>
    <m/>
    <m/>
    <s v="N"/>
    <m/>
    <m/>
    <m/>
    <m/>
    <s v="CASH: $44,280 PMN unearmarked, Boeing donation"/>
  </r>
  <r>
    <m/>
    <n v="206"/>
    <x v="200"/>
    <d v="2008-08-01T00:00:00"/>
    <x v="13"/>
    <x v="4"/>
    <m/>
    <n v="2008"/>
    <n v="19"/>
    <s v="Europe/Asia"/>
    <s v="Georgia"/>
    <s v="Human Related"/>
    <s v="Conflict"/>
    <s v="Conflict"/>
    <s v="Conflict"/>
    <n v="72000"/>
    <s v="Y"/>
    <s v="ICRC"/>
    <n v="7395000"/>
    <s v="REX08/555"/>
    <n v="1.3522650439486139E-2"/>
    <m/>
    <m/>
    <m/>
    <n v="50000"/>
    <m/>
    <m/>
    <n v="1"/>
    <m/>
    <n v="100000"/>
    <m/>
    <m/>
    <n v="100000"/>
    <m/>
    <m/>
    <m/>
    <s v="-"/>
    <m/>
    <m/>
    <m/>
    <m/>
    <m/>
    <m/>
    <m/>
    <m/>
    <m/>
    <m/>
    <m/>
    <m/>
    <m/>
    <m/>
    <m/>
    <m/>
    <n v="100000"/>
    <m/>
    <m/>
    <m/>
    <x v="5"/>
    <s v="N"/>
    <m/>
    <m/>
    <m/>
    <m/>
    <n v="2799"/>
    <m/>
    <m/>
    <m/>
    <m/>
    <m/>
    <m/>
    <m/>
    <s v="Y"/>
    <m/>
    <m/>
    <m/>
    <s v="S. Ossetia"/>
    <s v="CASH: $100,000 Pledge Letter to ICRC"/>
  </r>
  <r>
    <s v="FL-2008-000104-NPL"/>
    <n v="207"/>
    <x v="174"/>
    <d v="2008-09-08T00:00:00"/>
    <x v="13"/>
    <x v="5"/>
    <m/>
    <n v="2008"/>
    <n v="20"/>
    <s v="Europe/Asia"/>
    <s v="Nepal"/>
    <s v="Hydrometerological"/>
    <s v="Floods"/>
    <s v="General Floods"/>
    <s v="General Floods"/>
    <n v="70000"/>
    <s v="Y"/>
    <s v="IFRC"/>
    <n v="2647699"/>
    <s v="MDRNP002"/>
    <n v="1.8884321820569483E-2"/>
    <n v="0.72"/>
    <m/>
    <m/>
    <n v="150000"/>
    <m/>
    <m/>
    <n v="1"/>
    <n v="50000"/>
    <m/>
    <m/>
    <m/>
    <n v="50000"/>
    <m/>
    <m/>
    <m/>
    <s v="-"/>
    <m/>
    <m/>
    <m/>
    <m/>
    <m/>
    <m/>
    <m/>
    <m/>
    <m/>
    <m/>
    <m/>
    <m/>
    <m/>
    <m/>
    <m/>
    <m/>
    <n v="50000"/>
    <m/>
    <m/>
    <m/>
    <x v="16"/>
    <s v="N"/>
    <m/>
    <m/>
    <m/>
    <m/>
    <n v="2799"/>
    <m/>
    <m/>
    <m/>
    <m/>
    <m/>
    <m/>
    <m/>
    <s v="Y"/>
    <m/>
    <m/>
    <m/>
    <s v="Koshi River Embankment Breach"/>
    <s v="CASH: PMN $50,000 unearmarked to Fed"/>
  </r>
  <r>
    <s v="TC-2008-000147-HTI"/>
    <n v="208"/>
    <x v="201"/>
    <d v="2008-09-08T00:00:00"/>
    <x v="13"/>
    <x v="6"/>
    <m/>
    <n v="2008"/>
    <n v="21"/>
    <s v="LAC"/>
    <s v="Haiti"/>
    <s v="Hydrometerological"/>
    <s v="Storm"/>
    <s v="Tropical Cyclone"/>
    <s v="Hurricane"/>
    <n v="800000"/>
    <s v="Y"/>
    <s v="IFRC"/>
    <n v="7600000"/>
    <s v="MDRHT005"/>
    <n v="3.7326578947368419E-2"/>
    <n v="1.04"/>
    <m/>
    <m/>
    <n v="50000"/>
    <m/>
    <m/>
    <n v="1"/>
    <n v="283682"/>
    <m/>
    <m/>
    <m/>
    <n v="283682"/>
    <n v="5"/>
    <s v="Relief ERU"/>
    <n v="5"/>
    <n v="19100"/>
    <m/>
    <n v="4000"/>
    <m/>
    <m/>
    <n v="4800"/>
    <m/>
    <n v="3000"/>
    <m/>
    <n v="6000"/>
    <m/>
    <n v="1300"/>
    <m/>
    <m/>
    <m/>
    <n v="340000"/>
    <m/>
    <n v="1532876"/>
    <m/>
    <m/>
    <m/>
    <x v="154"/>
    <s v="Y"/>
    <m/>
    <m/>
    <m/>
    <m/>
    <s v="2869/2885/ 2591"/>
    <m/>
    <m/>
    <m/>
    <m/>
    <m/>
    <m/>
    <m/>
    <s v="N"/>
    <m/>
    <s v="OFDA grant for $500,000; ARCT funds used - $100,000"/>
    <s v="y"/>
    <s v="Gustav, Hanna, Ike"/>
    <s v="CASH: $100K PMN from AP 2885 earmarked for shelter kits from ARCT; PEOPLE: B. Gaillis (FACT TL), Relief ERU - C. Chaperon (TL), M. Marek, 2nd round - M. Marek (TL), J. Manley, G. Matthews, value at 50k to Fed;  OFDA grant for $500,000. SUPPLIES plus transport/PSR"/>
  </r>
  <r>
    <s v="TC-2008-000143"/>
    <n v="209"/>
    <x v="202"/>
    <d v="2008-09-08T00:00:00"/>
    <x v="13"/>
    <x v="7"/>
    <m/>
    <n v="2008"/>
    <n v="22"/>
    <s v="LAC"/>
    <s v="Bahamas"/>
    <s v="Hydrometerological"/>
    <s v="Storm"/>
    <s v="Tropical Cyclone"/>
    <s v="Hurricane"/>
    <n v="9750"/>
    <s v="Y"/>
    <s v="IFRC"/>
    <n v="1638300"/>
    <s v="MDR49003"/>
    <n v="7.3883904046877863E-2"/>
    <n v="0.77"/>
    <m/>
    <m/>
    <n v="20000"/>
    <m/>
    <m/>
    <n v="1"/>
    <n v="121044"/>
    <m/>
    <m/>
    <m/>
    <n v="121044"/>
    <n v="1"/>
    <m/>
    <n v="1"/>
    <s v="-"/>
    <m/>
    <m/>
    <m/>
    <m/>
    <m/>
    <m/>
    <m/>
    <m/>
    <m/>
    <m/>
    <m/>
    <m/>
    <m/>
    <m/>
    <m/>
    <m/>
    <n v="121044"/>
    <m/>
    <m/>
    <m/>
    <x v="155"/>
    <s v="N"/>
    <m/>
    <m/>
    <m/>
    <m/>
    <n v="2799"/>
    <m/>
    <m/>
    <m/>
    <m/>
    <m/>
    <m/>
    <m/>
    <s v="Y"/>
    <m/>
    <m/>
    <s v="y"/>
    <s v="Bahamas, Jamaica"/>
    <s v="CASH: PMN $100,000 earmarked for Bahamas and Jamaica; PEOPLE: C. Hammond (RIT)"/>
  </r>
  <r>
    <s v="TC-2008-000143"/>
    <n v="209"/>
    <x v="203"/>
    <d v="2008-09-08T00:00:00"/>
    <x v="13"/>
    <x v="7"/>
    <m/>
    <n v="2008"/>
    <n v="22"/>
    <s v="LAC"/>
    <s v="Jamaica"/>
    <s v="Hydrometerological"/>
    <s v="Storm"/>
    <s v="Tropical Cyclone"/>
    <s v="Hurricane"/>
    <n v="4000"/>
    <m/>
    <m/>
    <s v="-"/>
    <s v="MDR49003"/>
    <s v=""/>
    <m/>
    <m/>
    <m/>
    <s v="-"/>
    <m/>
    <s v="-"/>
    <m/>
    <m/>
    <m/>
    <m/>
    <m/>
    <m/>
    <m/>
    <m/>
    <m/>
    <s v="-"/>
    <m/>
    <m/>
    <m/>
    <m/>
    <m/>
    <m/>
    <m/>
    <m/>
    <m/>
    <m/>
    <m/>
    <m/>
    <m/>
    <m/>
    <m/>
    <m/>
    <s v="-"/>
    <m/>
    <m/>
    <m/>
    <x v="156"/>
    <s v="Y"/>
    <m/>
    <m/>
    <m/>
    <m/>
    <m/>
    <m/>
    <m/>
    <m/>
    <m/>
    <m/>
    <m/>
    <m/>
    <s v="N"/>
    <m/>
    <m/>
    <s v="y"/>
    <s v="Bahamas, Jamaica"/>
    <s v="CASH: PMN earmarked for Bahamas and Jamaica"/>
  </r>
  <r>
    <s v="TC-2008-000143"/>
    <n v="210"/>
    <x v="204"/>
    <d v="2008-09-08T00:00:00"/>
    <x v="13"/>
    <x v="8"/>
    <m/>
    <n v="2008"/>
    <n v="23"/>
    <s v="LAC"/>
    <s v="Cuba"/>
    <s v="Hydrometerological"/>
    <s v="Storm"/>
    <s v="Tropical Cyclone"/>
    <s v="Hurricane"/>
    <n v="2900000"/>
    <s v="Y"/>
    <s v="IFRC"/>
    <n v="8811345"/>
    <s v="MDRCU001"/>
    <n v="0.12823728953979216"/>
    <n v="0.66"/>
    <m/>
    <m/>
    <n v="60000"/>
    <m/>
    <n v="10380"/>
    <n v="1"/>
    <n v="1129943"/>
    <m/>
    <m/>
    <m/>
    <n v="1129943"/>
    <m/>
    <m/>
    <m/>
    <s v="-"/>
    <m/>
    <m/>
    <m/>
    <m/>
    <m/>
    <m/>
    <m/>
    <m/>
    <m/>
    <m/>
    <m/>
    <m/>
    <m/>
    <m/>
    <m/>
    <m/>
    <n v="1129943"/>
    <m/>
    <m/>
    <m/>
    <x v="157"/>
    <s v="N"/>
    <m/>
    <m/>
    <m/>
    <m/>
    <n v="2099"/>
    <m/>
    <m/>
    <m/>
    <m/>
    <m/>
    <m/>
    <m/>
    <s v="N"/>
    <m/>
    <m/>
    <s v="y"/>
    <s v="Gustav, Ike"/>
    <s v="CASH: PMN unearmarked - OFAC license received"/>
  </r>
  <r>
    <s v="FL-2008-000198"/>
    <n v="211"/>
    <x v="205"/>
    <d v="2008-10-01T00:00:00"/>
    <x v="13"/>
    <x v="9"/>
    <m/>
    <n v="2008"/>
    <n v="24"/>
    <s v="LAC"/>
    <s v="Nicaragua"/>
    <s v="Hydrometerological"/>
    <s v="Floods"/>
    <s v="Storm Surge"/>
    <s v="Storm Surge"/>
    <s v="-"/>
    <m/>
    <m/>
    <s v="-"/>
    <m/>
    <s v=""/>
    <m/>
    <m/>
    <m/>
    <s v="-"/>
    <m/>
    <s v="-"/>
    <m/>
    <m/>
    <m/>
    <m/>
    <m/>
    <m/>
    <m/>
    <m/>
    <m/>
    <s v="-"/>
    <m/>
    <m/>
    <m/>
    <m/>
    <m/>
    <m/>
    <m/>
    <m/>
    <m/>
    <m/>
    <m/>
    <m/>
    <m/>
    <m/>
    <m/>
    <m/>
    <s v="-"/>
    <m/>
    <m/>
    <m/>
    <x v="156"/>
    <s v="Y"/>
    <m/>
    <m/>
    <m/>
    <m/>
    <m/>
    <m/>
    <m/>
    <m/>
    <m/>
    <m/>
    <m/>
    <m/>
    <s v="N"/>
    <m/>
    <m/>
    <s v="y"/>
    <m/>
    <m/>
  </r>
  <r>
    <s v="FL-2008-000198"/>
    <n v="211"/>
    <x v="205"/>
    <d v="2008-10-01T00:00:00"/>
    <x v="13"/>
    <x v="9"/>
    <m/>
    <n v="2008"/>
    <n v="24"/>
    <s v="LAC"/>
    <s v="Honduras"/>
    <s v="Hydrometerological"/>
    <s v="Floods"/>
    <s v="Storm Surge"/>
    <s v="Storm Surge"/>
    <s v="-"/>
    <m/>
    <m/>
    <s v="-"/>
    <m/>
    <s v=""/>
    <m/>
    <m/>
    <m/>
    <s v="-"/>
    <m/>
    <s v="-"/>
    <n v="0"/>
    <n v="25000"/>
    <m/>
    <m/>
    <m/>
    <m/>
    <m/>
    <m/>
    <m/>
    <s v="-"/>
    <m/>
    <m/>
    <m/>
    <m/>
    <m/>
    <m/>
    <m/>
    <m/>
    <m/>
    <m/>
    <m/>
    <m/>
    <m/>
    <m/>
    <m/>
    <m/>
    <s v="-"/>
    <m/>
    <m/>
    <m/>
    <x v="156"/>
    <s v="Y"/>
    <m/>
    <m/>
    <m/>
    <m/>
    <n v="2882"/>
    <m/>
    <m/>
    <m/>
    <m/>
    <m/>
    <m/>
    <m/>
    <s v="N"/>
    <m/>
    <m/>
    <s v="y"/>
    <m/>
    <s v="CASH: PMN 25k earmarked to Honduras from 2882"/>
  </r>
  <r>
    <s v="FL-2008-000198"/>
    <n v="211"/>
    <x v="205"/>
    <d v="2008-10-01T00:00:00"/>
    <x v="13"/>
    <x v="9"/>
    <m/>
    <n v="2008"/>
    <n v="24"/>
    <s v="LAC"/>
    <s v="[rollup]"/>
    <s v="Hydrometerological"/>
    <s v="Floods"/>
    <s v="Storm Surge"/>
    <s v="Storm Surge"/>
    <n v="328000"/>
    <s v="Y"/>
    <s v="IFRC"/>
    <n v="1388924"/>
    <s v="MDR43004"/>
    <n v="0.17760727008821217"/>
    <n v="0.67"/>
    <m/>
    <m/>
    <n v="32000"/>
    <m/>
    <m/>
    <n v="1"/>
    <n v="246683"/>
    <m/>
    <m/>
    <m/>
    <n v="246683"/>
    <m/>
    <m/>
    <m/>
    <s v="-"/>
    <m/>
    <m/>
    <m/>
    <m/>
    <m/>
    <m/>
    <m/>
    <m/>
    <m/>
    <m/>
    <m/>
    <m/>
    <m/>
    <m/>
    <m/>
    <m/>
    <n v="246683"/>
    <m/>
    <m/>
    <m/>
    <x v="158"/>
    <s v="Y"/>
    <m/>
    <m/>
    <m/>
    <m/>
    <s v="2799 /2882 /2869"/>
    <m/>
    <m/>
    <m/>
    <m/>
    <m/>
    <m/>
    <m/>
    <s v="N"/>
    <m/>
    <s v="ARCT funds used - $100,000"/>
    <s v="y"/>
    <m/>
    <s v="CASH: PMN 100k from 2799 unearmarked; PMN 91k - ( $88,500 from 2869 ARCT and $2,500 from 2799); $25,000 from 2882 earmarked for Honduras"/>
  </r>
  <r>
    <s v="FL-2008-000198"/>
    <n v="211"/>
    <x v="205"/>
    <d v="2008-10-01T00:00:00"/>
    <x v="13"/>
    <x v="9"/>
    <m/>
    <n v="2008"/>
    <n v="24"/>
    <s v="LAC"/>
    <s v="Guatemala"/>
    <s v="Hydrometerological"/>
    <s v="Floods"/>
    <s v="Storm Surge"/>
    <s v="Storm Surge"/>
    <m/>
    <m/>
    <m/>
    <m/>
    <m/>
    <s v=""/>
    <m/>
    <m/>
    <m/>
    <m/>
    <m/>
    <m/>
    <m/>
    <m/>
    <m/>
    <m/>
    <m/>
    <m/>
    <m/>
    <m/>
    <m/>
    <s v="-"/>
    <m/>
    <m/>
    <m/>
    <m/>
    <m/>
    <m/>
    <m/>
    <m/>
    <m/>
    <m/>
    <m/>
    <m/>
    <m/>
    <m/>
    <m/>
    <m/>
    <m/>
    <m/>
    <m/>
    <m/>
    <x v="7"/>
    <s v="Y"/>
    <m/>
    <m/>
    <m/>
    <m/>
    <m/>
    <m/>
    <m/>
    <m/>
    <m/>
    <m/>
    <m/>
    <m/>
    <s v="N"/>
    <m/>
    <m/>
    <s v="y"/>
    <m/>
    <m/>
  </r>
  <r>
    <s v="EQ-2008-000206-PAK"/>
    <n v="212"/>
    <x v="206"/>
    <d v="2008-11-08T00:00:00"/>
    <x v="13"/>
    <x v="10"/>
    <m/>
    <n v="2008"/>
    <n v="25"/>
    <s v="Europe/Asia"/>
    <s v="Pakistan"/>
    <s v="Geophysical"/>
    <s v="Earthquake"/>
    <s v="Earthquake"/>
    <s v="Earthquake"/>
    <n v="366000"/>
    <s v="Y"/>
    <s v="ICRC &amp; IFRC"/>
    <n v="9880000"/>
    <s v="REX08/722 &amp; MDRPK002"/>
    <n v="1.0121457489878543E-2"/>
    <m/>
    <m/>
    <m/>
    <n v="37930"/>
    <m/>
    <m/>
    <m/>
    <m/>
    <m/>
    <n v="100000"/>
    <m/>
    <n v="100000"/>
    <m/>
    <m/>
    <m/>
    <s v="-"/>
    <m/>
    <m/>
    <m/>
    <m/>
    <m/>
    <m/>
    <m/>
    <m/>
    <m/>
    <m/>
    <m/>
    <m/>
    <m/>
    <m/>
    <m/>
    <m/>
    <n v="100000"/>
    <m/>
    <m/>
    <n v="37930"/>
    <x v="5"/>
    <s v="N"/>
    <m/>
    <m/>
    <m/>
    <m/>
    <n v="2799"/>
    <m/>
    <m/>
    <m/>
    <m/>
    <m/>
    <m/>
    <m/>
    <s v="Y"/>
    <m/>
    <m/>
    <m/>
    <s v="Baluchistan"/>
    <s v="CASH: $100,000 to purchase relief supplies."/>
  </r>
  <r>
    <s v="FF-2008-000211-VNM"/>
    <n v="213"/>
    <x v="21"/>
    <d v="2008-11-08T00:00:00"/>
    <x v="13"/>
    <x v="11"/>
    <m/>
    <n v="2008"/>
    <n v="26"/>
    <s v="Europe/Asia"/>
    <s v="Vietnam"/>
    <s v="Hydrometerological"/>
    <s v="Floods"/>
    <s v="General Floods"/>
    <s v="General Floods"/>
    <n v="600000"/>
    <s v="Y"/>
    <s v="IFRC"/>
    <n v="4000000"/>
    <s v="MDRVN005"/>
    <n v="1.2500000000000001E-2"/>
    <n v="0.47"/>
    <m/>
    <m/>
    <n v="300000"/>
    <m/>
    <m/>
    <n v="1"/>
    <n v="50000"/>
    <m/>
    <m/>
    <m/>
    <n v="50000"/>
    <m/>
    <m/>
    <m/>
    <s v="-"/>
    <m/>
    <m/>
    <m/>
    <m/>
    <m/>
    <m/>
    <m/>
    <m/>
    <m/>
    <m/>
    <m/>
    <m/>
    <m/>
    <m/>
    <m/>
    <m/>
    <n v="50000"/>
    <m/>
    <m/>
    <m/>
    <x v="16"/>
    <s v="N"/>
    <m/>
    <m/>
    <m/>
    <m/>
    <n v="2799"/>
    <m/>
    <m/>
    <m/>
    <m/>
    <m/>
    <m/>
    <m/>
    <s v="Y"/>
    <m/>
    <m/>
    <m/>
    <s v="North and Central Regions"/>
    <s v="CASH: PMN 50k unearmarked "/>
  </r>
  <r>
    <s v="FL-2008-000232-CRI"/>
    <n v="214"/>
    <x v="207"/>
    <d v="2008-12-09T00:00:00"/>
    <x v="13"/>
    <x v="12"/>
    <m/>
    <n v="2008"/>
    <n v="27"/>
    <s v="LAC"/>
    <s v="Costa Rica"/>
    <s v="Hydrometerological"/>
    <s v="Floods"/>
    <s v="General Floods"/>
    <m/>
    <s v="-"/>
    <m/>
    <m/>
    <s v="-"/>
    <m/>
    <s v=""/>
    <m/>
    <m/>
    <m/>
    <s v="-"/>
    <m/>
    <s v="-"/>
    <m/>
    <m/>
    <m/>
    <m/>
    <m/>
    <m/>
    <m/>
    <m/>
    <m/>
    <s v="-"/>
    <m/>
    <m/>
    <m/>
    <m/>
    <m/>
    <m/>
    <m/>
    <m/>
    <m/>
    <m/>
    <m/>
    <m/>
    <m/>
    <m/>
    <m/>
    <m/>
    <s v="-"/>
    <m/>
    <m/>
    <m/>
    <x v="156"/>
    <s v="Y"/>
    <m/>
    <m/>
    <m/>
    <m/>
    <m/>
    <m/>
    <m/>
    <m/>
    <m/>
    <m/>
    <m/>
    <m/>
    <s v="N"/>
    <m/>
    <m/>
    <m/>
    <m/>
    <m/>
  </r>
  <r>
    <s v="FL-2008-000158-PAN"/>
    <n v="214"/>
    <x v="207"/>
    <d v="2008-12-08T00:00:00"/>
    <x v="13"/>
    <x v="12"/>
    <m/>
    <n v="2008"/>
    <n v="27"/>
    <s v="LAC"/>
    <s v="Panama"/>
    <s v="Hydrometerological"/>
    <s v="Floods"/>
    <s v="General Floods"/>
    <m/>
    <n v="40158"/>
    <s v="Y"/>
    <s v="IFRC"/>
    <n v="571953"/>
    <s v="MDR43005"/>
    <n v="0.17483954101123694"/>
    <n v="0.39"/>
    <m/>
    <m/>
    <n v="15000"/>
    <m/>
    <m/>
    <n v="1"/>
    <n v="100000"/>
    <m/>
    <m/>
    <m/>
    <n v="100000"/>
    <m/>
    <m/>
    <m/>
    <s v="-"/>
    <m/>
    <m/>
    <m/>
    <m/>
    <m/>
    <m/>
    <m/>
    <m/>
    <m/>
    <m/>
    <m/>
    <m/>
    <m/>
    <m/>
    <m/>
    <m/>
    <n v="100000"/>
    <m/>
    <m/>
    <m/>
    <x v="5"/>
    <s v="N"/>
    <m/>
    <m/>
    <m/>
    <m/>
    <n v="2799"/>
    <m/>
    <m/>
    <m/>
    <m/>
    <m/>
    <m/>
    <m/>
    <s v="Y"/>
    <m/>
    <m/>
    <m/>
    <m/>
    <s v="CASH: PMN $100,000 for Fed Appeal"/>
  </r>
  <r>
    <m/>
    <n v="215"/>
    <x v="208"/>
    <d v="2008-12-11T00:00:00"/>
    <x v="13"/>
    <x v="13"/>
    <m/>
    <n v="2008"/>
    <n v="28"/>
    <s v="Africa"/>
    <s v="Ethiopia"/>
    <s v="Human Related"/>
    <s v="Food Insecurity"/>
    <s v="Food Insecurity"/>
    <m/>
    <s v="-"/>
    <m/>
    <m/>
    <s v="-"/>
    <m/>
    <s v=""/>
    <m/>
    <m/>
    <m/>
    <s v="-"/>
    <m/>
    <s v="-"/>
    <m/>
    <m/>
    <m/>
    <m/>
    <m/>
    <m/>
    <m/>
    <m/>
    <m/>
    <s v="-"/>
    <m/>
    <m/>
    <m/>
    <m/>
    <m/>
    <m/>
    <m/>
    <m/>
    <m/>
    <m/>
    <m/>
    <m/>
    <m/>
    <m/>
    <m/>
    <m/>
    <s v="-"/>
    <m/>
    <m/>
    <m/>
    <x v="156"/>
    <s v="Y"/>
    <m/>
    <m/>
    <m/>
    <m/>
    <m/>
    <m/>
    <m/>
    <m/>
    <m/>
    <m/>
    <m/>
    <m/>
    <s v="N"/>
    <m/>
    <m/>
    <m/>
    <m/>
    <m/>
  </r>
  <r>
    <m/>
    <n v="215"/>
    <x v="208"/>
    <d v="2008-12-12T00:00:00"/>
    <x v="13"/>
    <x v="13"/>
    <m/>
    <n v="2008"/>
    <n v="28"/>
    <s v="Africa"/>
    <s v="Kenya"/>
    <s v="Human Related"/>
    <s v="Food Insecurity"/>
    <s v="Food Insecurity"/>
    <m/>
    <s v="-"/>
    <m/>
    <m/>
    <s v="-"/>
    <m/>
    <s v=""/>
    <m/>
    <m/>
    <m/>
    <s v="-"/>
    <m/>
    <s v="-"/>
    <m/>
    <m/>
    <m/>
    <m/>
    <m/>
    <m/>
    <m/>
    <m/>
    <m/>
    <s v="-"/>
    <m/>
    <m/>
    <m/>
    <m/>
    <m/>
    <m/>
    <m/>
    <m/>
    <m/>
    <m/>
    <m/>
    <m/>
    <m/>
    <m/>
    <m/>
    <m/>
    <s v="-"/>
    <m/>
    <m/>
    <m/>
    <x v="156"/>
    <s v="Y"/>
    <m/>
    <m/>
    <m/>
    <m/>
    <m/>
    <m/>
    <m/>
    <m/>
    <m/>
    <m/>
    <m/>
    <m/>
    <s v="N"/>
    <m/>
    <m/>
    <m/>
    <m/>
    <m/>
  </r>
  <r>
    <m/>
    <n v="215"/>
    <x v="208"/>
    <d v="2008-12-13T00:00:00"/>
    <x v="13"/>
    <x v="13"/>
    <m/>
    <n v="2008"/>
    <n v="28"/>
    <s v="Africa"/>
    <s v="Somalia"/>
    <s v="Human Related"/>
    <s v="Food Insecurity"/>
    <s v="Food Insecurity"/>
    <m/>
    <s v="-"/>
    <m/>
    <m/>
    <s v="-"/>
    <m/>
    <s v=""/>
    <m/>
    <m/>
    <m/>
    <s v="-"/>
    <m/>
    <s v="-"/>
    <m/>
    <m/>
    <m/>
    <m/>
    <m/>
    <m/>
    <m/>
    <m/>
    <m/>
    <s v="-"/>
    <m/>
    <m/>
    <m/>
    <m/>
    <m/>
    <m/>
    <m/>
    <m/>
    <m/>
    <m/>
    <m/>
    <m/>
    <m/>
    <m/>
    <m/>
    <m/>
    <s v="-"/>
    <m/>
    <m/>
    <m/>
    <x v="156"/>
    <s v="Y"/>
    <m/>
    <m/>
    <m/>
    <m/>
    <m/>
    <m/>
    <m/>
    <m/>
    <m/>
    <m/>
    <m/>
    <m/>
    <s v="N"/>
    <m/>
    <m/>
    <m/>
    <m/>
    <m/>
  </r>
  <r>
    <s v="OT-2008-000196-DJI/ERI/ETH/KEN/SOM"/>
    <n v="215"/>
    <x v="208"/>
    <d v="2008-12-10T00:00:00"/>
    <x v="13"/>
    <x v="13"/>
    <m/>
    <n v="2008"/>
    <n v="28"/>
    <s v="Africa"/>
    <s v="Djibouti"/>
    <s v="Human Related"/>
    <s v="Food Insecurity"/>
    <s v="Food Insecurity"/>
    <m/>
    <n v="16800000"/>
    <s v="Y"/>
    <s v="IFRC"/>
    <n v="66586679"/>
    <s v="MDR64003"/>
    <n v="7.5090094221398245E-3"/>
    <n v="0.09"/>
    <s v="Y"/>
    <n v="118830"/>
    <n v="2488500"/>
    <m/>
    <m/>
    <m/>
    <m/>
    <m/>
    <n v="500000"/>
    <m/>
    <m/>
    <n v="1"/>
    <m/>
    <n v="1"/>
    <s v="-"/>
    <m/>
    <m/>
    <m/>
    <m/>
    <m/>
    <m/>
    <m/>
    <m/>
    <m/>
    <m/>
    <m/>
    <m/>
    <m/>
    <m/>
    <m/>
    <m/>
    <n v="0"/>
    <m/>
    <m/>
    <m/>
    <x v="7"/>
    <s v="N"/>
    <m/>
    <m/>
    <m/>
    <m/>
    <n v="2799"/>
    <m/>
    <m/>
    <m/>
    <m/>
    <m/>
    <m/>
    <m/>
    <s v="Y"/>
    <m/>
    <m/>
    <m/>
    <m/>
    <s v="PEOPLE: T. Reines, relief del on Fed assessment team x3 wks (entire Horn of Africa); CASH: Intially $500,000 was approved but issues related to the programming and the appeal kept these funds from being disbursed to IFRC appeal. Eventually appeal was cancelled. Instead, ARC provided the resources to a British Red Cross led effort in Djibouti around livelihoods that was consistent with the appeal and recognized by the Federation as such."/>
  </r>
  <r>
    <m/>
    <n v="216"/>
    <x v="209"/>
    <d v="2008-12-14T00:00:00"/>
    <x v="13"/>
    <x v="14"/>
    <m/>
    <n v="2008"/>
    <n v="29"/>
    <s v="Africa"/>
    <s v="Uganda"/>
    <s v="Human Related"/>
    <s v="Conflict"/>
    <s v="Conflict"/>
    <s v="Conflict"/>
    <n v="280000"/>
    <s v="Y"/>
    <s v="IFRC"/>
    <n v="1437632"/>
    <s v="MDR64004"/>
    <n v="3.4779415038062589E-2"/>
    <n v="0.62"/>
    <s v="Y"/>
    <n v="201571"/>
    <n v="60000"/>
    <m/>
    <m/>
    <n v="1"/>
    <n v="50000"/>
    <m/>
    <m/>
    <m/>
    <n v="50000"/>
    <n v="1"/>
    <m/>
    <n v="1"/>
    <s v="-"/>
    <m/>
    <m/>
    <m/>
    <m/>
    <m/>
    <m/>
    <m/>
    <m/>
    <m/>
    <m/>
    <m/>
    <m/>
    <m/>
    <m/>
    <m/>
    <m/>
    <n v="50000"/>
    <m/>
    <m/>
    <m/>
    <x v="16"/>
    <s v="N"/>
    <m/>
    <m/>
    <m/>
    <m/>
    <n v="2799"/>
    <m/>
    <m/>
    <m/>
    <m/>
    <m/>
    <m/>
    <m/>
    <s v="Y"/>
    <m/>
    <m/>
    <m/>
    <m/>
    <s v="CASH: $50,000 PMN to Appeal earmarked to Uganda. PEOPLE: B. Banks, seconded to NBO as backfill DM coordinator deployed to Uganda on Fed assessment"/>
  </r>
  <r>
    <s v="EP-2008-000218-ZWE"/>
    <n v="217"/>
    <x v="210"/>
    <d v="2008-12-17T00:00:00"/>
    <x v="13"/>
    <x v="15"/>
    <m/>
    <n v="2008"/>
    <n v="30"/>
    <s v="Africa"/>
    <s v="Zimbabwe"/>
    <s v="Biological"/>
    <s v="Epidemic"/>
    <s v="Disease"/>
    <s v="Cholera"/>
    <n v="50000"/>
    <s v="Y"/>
    <s v="IFRC"/>
    <n v="9200000"/>
    <s v="MDRZW004"/>
    <n v="1.0869565217391304E-2"/>
    <n v="0.64"/>
    <s v="Y"/>
    <n v="359374"/>
    <n v="1500000"/>
    <m/>
    <m/>
    <n v="1"/>
    <n v="100000"/>
    <m/>
    <m/>
    <m/>
    <n v="100000"/>
    <m/>
    <m/>
    <m/>
    <s v="-"/>
    <m/>
    <m/>
    <m/>
    <m/>
    <m/>
    <m/>
    <m/>
    <m/>
    <m/>
    <m/>
    <m/>
    <m/>
    <m/>
    <m/>
    <m/>
    <m/>
    <n v="100000"/>
    <m/>
    <m/>
    <m/>
    <x v="5"/>
    <s v="N"/>
    <m/>
    <m/>
    <m/>
    <m/>
    <n v="2799"/>
    <m/>
    <m/>
    <m/>
    <m/>
    <m/>
    <m/>
    <m/>
    <s v="Y"/>
    <m/>
    <m/>
    <m/>
    <m/>
    <s v="CASH: PMN $100k to IFRC from 2799 - 75% operational needs, 25% support costs."/>
  </r>
  <r>
    <m/>
    <n v="218"/>
    <x v="211"/>
    <d v="2008-12-17T00:00:00"/>
    <x v="13"/>
    <x v="16"/>
    <m/>
    <n v="2008"/>
    <n v="31"/>
    <s v="Europe/Asia"/>
    <s v="Israel"/>
    <s v="Human Related"/>
    <s v="Conflict"/>
    <s v="Conflict"/>
    <s v="Conflict"/>
    <s v="-"/>
    <s v="Y"/>
    <s v="ICRC/Ntl Socs"/>
    <s v="-"/>
    <m/>
    <s v=""/>
    <m/>
    <m/>
    <m/>
    <s v="-"/>
    <m/>
    <s v="-"/>
    <m/>
    <m/>
    <s v=" "/>
    <n v="200000"/>
    <m/>
    <m/>
    <m/>
    <m/>
    <m/>
    <s v="-"/>
    <m/>
    <m/>
    <m/>
    <m/>
    <m/>
    <m/>
    <m/>
    <m/>
    <m/>
    <m/>
    <m/>
    <m/>
    <m/>
    <m/>
    <m/>
    <m/>
    <s v="-"/>
    <m/>
    <m/>
    <m/>
    <x v="156"/>
    <s v="N"/>
    <m/>
    <m/>
    <m/>
    <m/>
    <n v="2099"/>
    <m/>
    <m/>
    <m/>
    <m/>
    <m/>
    <m/>
    <m/>
    <s v="N"/>
    <m/>
    <m/>
    <m/>
    <m/>
    <s v="CASH: 5 Jan 09 - $250,000 from 2799 RRF to ICRC;  9 Jan 09 $250,000 from 2799 RRF, to PRCS;  30 Jan 09 $200,000 from 2099 IRF to MDA;  5 Feb 09: $110,625 from 2010 Middle East, to PRCS appeal, and $110,625, 2010 Middle East to ICRC appeal."/>
  </r>
  <r>
    <m/>
    <n v="218"/>
    <x v="212"/>
    <d v="2008-12-17T00:00:00"/>
    <x v="13"/>
    <x v="16"/>
    <m/>
    <n v="2008"/>
    <n v="31"/>
    <s v="Europe/Asia"/>
    <s v="Palestine"/>
    <s v="Human Related"/>
    <s v="Conflict"/>
    <s v="Conflict"/>
    <s v="Conflict"/>
    <n v="90000"/>
    <s v="Y"/>
    <s v="ICRC/Ntl Socs"/>
    <m/>
    <m/>
    <s v=""/>
    <m/>
    <s v="Y"/>
    <n v="310244"/>
    <n v="50000"/>
    <m/>
    <m/>
    <n v="1"/>
    <m/>
    <n v="360625"/>
    <n v="560625"/>
    <m/>
    <n v="921250"/>
    <m/>
    <m/>
    <m/>
    <s v="-"/>
    <m/>
    <m/>
    <m/>
    <m/>
    <m/>
    <m/>
    <m/>
    <m/>
    <m/>
    <m/>
    <m/>
    <m/>
    <m/>
    <m/>
    <m/>
    <m/>
    <n v="921250"/>
    <m/>
    <m/>
    <m/>
    <x v="159"/>
    <s v="Y"/>
    <m/>
    <m/>
    <m/>
    <m/>
    <s v="2799/2099/2010"/>
    <m/>
    <m/>
    <m/>
    <m/>
    <m/>
    <m/>
    <m/>
    <s v="N"/>
    <m/>
    <m/>
    <m/>
    <m/>
    <s v="CASH: 5 Jan 09 - $250,000 from 2799 RRF to ICRC;  9 Jan 09 $250,000 from 2799 RRF, to PRCS;  30 Jan 09 $200,000 from 2099 IRF to MDA;  5 Feb 09: $110,625 from 2010 Middle East, to PRCS appeal, and $110,625, 2010 Middle East to ICRC appeal."/>
  </r>
  <r>
    <s v="EQ-2009-000009-CRI"/>
    <n v="219"/>
    <x v="213"/>
    <d v="2009-01-08T00:00:00"/>
    <x v="13"/>
    <x v="17"/>
    <s v="Q3"/>
    <n v="2009"/>
    <n v="2"/>
    <s v="LAC"/>
    <s v="Costa Rica"/>
    <s v="Geophysical"/>
    <s v="Earthquake"/>
    <s v="Earthquake"/>
    <s v="Earthquake"/>
    <n v="2943"/>
    <s v="N"/>
    <m/>
    <s v="-"/>
    <m/>
    <s v=""/>
    <m/>
    <s v="Y"/>
    <n v="49273"/>
    <s v="-"/>
    <s v="Y"/>
    <n v="640"/>
    <m/>
    <m/>
    <m/>
    <n v="62250"/>
    <m/>
    <n v="62250"/>
    <n v="2"/>
    <m/>
    <n v="2"/>
    <m/>
    <m/>
    <m/>
    <m/>
    <m/>
    <m/>
    <m/>
    <m/>
    <m/>
    <m/>
    <m/>
    <m/>
    <m/>
    <m/>
    <m/>
    <m/>
    <n v="11950"/>
    <n v="74200"/>
    <m/>
    <m/>
    <m/>
    <x v="160"/>
    <s v="Y"/>
    <m/>
    <m/>
    <m/>
    <m/>
    <n v="2882"/>
    <m/>
    <m/>
    <m/>
    <m/>
    <m/>
    <m/>
    <m/>
    <s v="N"/>
    <m/>
    <m/>
    <m/>
    <s v="Earthquake"/>
    <s v="CASH: Bilateral to CRRC; PEOPLE: S. DiPretoro, A. Vargas"/>
  </r>
  <r>
    <s v="WF-2009-000035-AUS"/>
    <n v="220"/>
    <x v="214"/>
    <d v="2009-02-07T00:00:00"/>
    <x v="13"/>
    <x v="18"/>
    <s v="Q3"/>
    <n v="2009"/>
    <n v="3"/>
    <s v="Europe/Asia"/>
    <s v="Australia"/>
    <s v="Hydrometerological"/>
    <s v="Wildfire"/>
    <m/>
    <m/>
    <n v="22000"/>
    <s v="N"/>
    <m/>
    <m/>
    <m/>
    <s v=""/>
    <m/>
    <m/>
    <m/>
    <m/>
    <s v="Y"/>
    <m/>
    <m/>
    <m/>
    <m/>
    <n v="1520000"/>
    <m/>
    <n v="1520000"/>
    <m/>
    <m/>
    <m/>
    <m/>
    <m/>
    <m/>
    <m/>
    <m/>
    <m/>
    <m/>
    <m/>
    <m/>
    <m/>
    <m/>
    <m/>
    <m/>
    <m/>
    <m/>
    <m/>
    <m/>
    <n v="1520000"/>
    <m/>
    <m/>
    <m/>
    <x v="161"/>
    <s v="Y"/>
    <m/>
    <m/>
    <m/>
    <m/>
    <n v="2881"/>
    <m/>
    <m/>
    <m/>
    <m/>
    <m/>
    <m/>
    <m/>
    <s v="N"/>
    <m/>
    <m/>
    <m/>
    <m/>
    <s v="CASH: ARC coordinated US corporate donations to joint domestic AusRC &amp; Ntl Govt appeal -  totaled $1,250,000 - sent August 2009"/>
  </r>
  <r>
    <m/>
    <n v="221"/>
    <x v="167"/>
    <d v="2009-03-05T00:00:00"/>
    <x v="13"/>
    <x v="19"/>
    <s v="Q3"/>
    <n v="2009"/>
    <n v="4"/>
    <s v="Europe/Asia"/>
    <s v="Sri Lanka"/>
    <s v="Human Related"/>
    <s v="Conflict"/>
    <m/>
    <m/>
    <n v="250000"/>
    <s v="Y"/>
    <s v="ICRC"/>
    <m/>
    <m/>
    <s v=""/>
    <m/>
    <m/>
    <m/>
    <m/>
    <m/>
    <n v="20000"/>
    <n v="1"/>
    <m/>
    <n v="500000"/>
    <m/>
    <m/>
    <n v="500000"/>
    <n v="1"/>
    <m/>
    <n v="1"/>
    <m/>
    <m/>
    <m/>
    <m/>
    <m/>
    <m/>
    <m/>
    <m/>
    <m/>
    <m/>
    <m/>
    <m/>
    <m/>
    <m/>
    <m/>
    <m/>
    <m/>
    <n v="500000"/>
    <m/>
    <m/>
    <m/>
    <x v="162"/>
    <s v="Y"/>
    <m/>
    <m/>
    <m/>
    <m/>
    <s v="TRP"/>
    <m/>
    <m/>
    <m/>
    <m/>
    <m/>
    <m/>
    <m/>
    <s v="N"/>
    <m/>
    <m/>
    <m/>
    <s v="Sri Lanka Conflict"/>
    <s v="CASH: $500,000 to ICRC for baby kits to IDPs in camps. PEOPLE: Gina Guinta ICRC volunteer to work in IDP camps doing relief distribution, 30 days."/>
  </r>
  <r>
    <s v="FL-2009-000052-COL"/>
    <n v="222"/>
    <x v="157"/>
    <d v="2009-03-19T00:00:00"/>
    <x v="13"/>
    <x v="23"/>
    <s v="Q3"/>
    <n v="2009"/>
    <n v="5"/>
    <s v="LAC"/>
    <s v="Colombia"/>
    <s v="Hydrometerological"/>
    <s v="Floods"/>
    <m/>
    <m/>
    <n v="31250"/>
    <s v="Y"/>
    <s v="IFRC"/>
    <n v="957924"/>
    <s v="MDRCO006"/>
    <n v="0"/>
    <n v="0.99"/>
    <s v="Y"/>
    <n v="152369"/>
    <n v="25000"/>
    <m/>
    <m/>
    <m/>
    <m/>
    <m/>
    <m/>
    <m/>
    <m/>
    <m/>
    <m/>
    <m/>
    <n v="8000"/>
    <m/>
    <m/>
    <m/>
    <n v="8000"/>
    <m/>
    <m/>
    <m/>
    <m/>
    <m/>
    <m/>
    <m/>
    <m/>
    <m/>
    <m/>
    <n v="30000"/>
    <m/>
    <n v="30000"/>
    <m/>
    <m/>
    <m/>
    <x v="163"/>
    <s v="N"/>
    <m/>
    <m/>
    <m/>
    <m/>
    <n v="2799"/>
    <m/>
    <m/>
    <m/>
    <m/>
    <m/>
    <m/>
    <m/>
    <s v="Y"/>
    <m/>
    <m/>
    <m/>
    <s v="Colombia Floods"/>
    <s v="SUPPLIES: 8,000 ARC Jerry Cans from stock at PADRU shipped to IFRC in Colombia."/>
  </r>
  <r>
    <s v="EQ-2009-000072-ITA"/>
    <n v="223"/>
    <x v="96"/>
    <d v="2009-04-07T00:00:00"/>
    <x v="13"/>
    <x v="20"/>
    <s v="Q4"/>
    <n v="2009"/>
    <n v="6"/>
    <s v="Europe/Asia"/>
    <s v="Italy"/>
    <s v="Geophysical"/>
    <s v="Earthquake"/>
    <m/>
    <m/>
    <n v="48000"/>
    <s v="N"/>
    <m/>
    <m/>
    <m/>
    <s v=""/>
    <m/>
    <s v="Y"/>
    <n v="613944"/>
    <m/>
    <s v="Y"/>
    <m/>
    <m/>
    <m/>
    <m/>
    <n v="981315"/>
    <m/>
    <n v="981315"/>
    <m/>
    <m/>
    <m/>
    <m/>
    <m/>
    <m/>
    <m/>
    <m/>
    <m/>
    <m/>
    <m/>
    <m/>
    <m/>
    <m/>
    <m/>
    <m/>
    <m/>
    <m/>
    <m/>
    <m/>
    <n v="981315"/>
    <m/>
    <m/>
    <m/>
    <x v="164"/>
    <s v="Y"/>
    <m/>
    <m/>
    <m/>
    <m/>
    <s v="2799/2697"/>
    <m/>
    <m/>
    <m/>
    <m/>
    <m/>
    <m/>
    <m/>
    <s v="N"/>
    <m/>
    <m/>
    <m/>
    <s v="L'Aquila Earthquake"/>
    <s v="CASH: $50,000 to Italian Red Cross from RRF 2799 - later repaid by 2697 when raised; Receiving donor funds to AP 2697 from public and chapters. Additional $522,180 from donor funds sent 5/29/09. Final amount in Aug. 2009"/>
  </r>
  <r>
    <s v="Fl-2009-000062-NAM"/>
    <n v="224"/>
    <x v="215"/>
    <d v="2009-05-15T00:00:00"/>
    <x v="13"/>
    <x v="21"/>
    <s v="Q4"/>
    <n v="2009"/>
    <n v="7"/>
    <s v="Africa"/>
    <s v="Namibia"/>
    <s v="Hydrometerological"/>
    <s v="Floods"/>
    <m/>
    <m/>
    <n v="700000"/>
    <s v="Y"/>
    <s v="IFRC"/>
    <n v="1878181"/>
    <s v="MDRNA004"/>
    <n v="2.6621502400460871E-2"/>
    <n v="0.91"/>
    <s v="Y"/>
    <n v="128552"/>
    <n v="20000"/>
    <m/>
    <m/>
    <n v="1"/>
    <n v="50000"/>
    <m/>
    <m/>
    <m/>
    <n v="50000"/>
    <m/>
    <m/>
    <m/>
    <m/>
    <m/>
    <m/>
    <m/>
    <m/>
    <m/>
    <m/>
    <m/>
    <m/>
    <m/>
    <m/>
    <m/>
    <m/>
    <m/>
    <m/>
    <m/>
    <m/>
    <n v="50000"/>
    <m/>
    <m/>
    <m/>
    <x v="16"/>
    <s v="N"/>
    <m/>
    <m/>
    <m/>
    <m/>
    <n v="2799"/>
    <m/>
    <m/>
    <m/>
    <m/>
    <m/>
    <m/>
    <m/>
    <s v="Y"/>
    <m/>
    <m/>
    <m/>
    <m/>
    <s v="CASH: $50k to IFRC from 2799 earmarked for relief supplies"/>
  </r>
  <r>
    <m/>
    <n v="225"/>
    <x v="216"/>
    <d v="2009-05-15T00:00:00"/>
    <x v="13"/>
    <x v="22"/>
    <s v="Q4"/>
    <n v="2009"/>
    <n v="8"/>
    <s v="Africa"/>
    <s v="Sudan"/>
    <s v="Biological"/>
    <s v="Epidemic"/>
    <m/>
    <m/>
    <n v="25000000"/>
    <s v="Y"/>
    <s v="IFRC"/>
    <n v="2200000"/>
    <s v="MDR61004; MDR64004; MDR63002"/>
    <n v="9.0909090909090912E-2"/>
    <s v="various"/>
    <s v="Y"/>
    <n v="315628"/>
    <n v="25000000"/>
    <m/>
    <m/>
    <n v="1"/>
    <n v="200000"/>
    <m/>
    <m/>
    <m/>
    <n v="200000"/>
    <m/>
    <m/>
    <m/>
    <m/>
    <m/>
    <m/>
    <m/>
    <m/>
    <m/>
    <m/>
    <m/>
    <m/>
    <m/>
    <m/>
    <m/>
    <m/>
    <m/>
    <m/>
    <m/>
    <m/>
    <n v="200000"/>
    <m/>
    <m/>
    <m/>
    <x v="121"/>
    <s v="Y"/>
    <m/>
    <m/>
    <m/>
    <m/>
    <n v="2869"/>
    <m/>
    <m/>
    <m/>
    <m/>
    <m/>
    <s v="Y"/>
    <m/>
    <s v="N"/>
    <m/>
    <s v="ARCT Funds used - $200,000"/>
    <m/>
    <s v="Polio - Sudan"/>
    <s v="CASH: $200k to IFRC earmarked for Sudan vaccination campaign from ARCT - funds went out as of August 2009."/>
  </r>
  <r>
    <m/>
    <n v="226"/>
    <x v="217"/>
    <d v="2009-05-15T00:00:00"/>
    <x v="13"/>
    <x v="24"/>
    <s v="Q4"/>
    <n v="2009"/>
    <n v="9"/>
    <s v="Europe/Asia"/>
    <s v="Pakistan"/>
    <s v="Human Related"/>
    <s v="Conflict"/>
    <m/>
    <m/>
    <n v="2000000"/>
    <s v="Y"/>
    <s v="IFRC"/>
    <n v="7300000"/>
    <s v="MDRPK003"/>
    <n v="3.4246575342465752E-2"/>
    <n v="0.45"/>
    <m/>
    <m/>
    <n v="91000"/>
    <m/>
    <m/>
    <n v="1"/>
    <n v="250000"/>
    <m/>
    <m/>
    <m/>
    <n v="250000"/>
    <m/>
    <m/>
    <m/>
    <n v="5150"/>
    <m/>
    <m/>
    <m/>
    <m/>
    <m/>
    <m/>
    <m/>
    <m/>
    <m/>
    <m/>
    <m/>
    <m/>
    <m/>
    <m/>
    <n v="80000"/>
    <m/>
    <n v="330000"/>
    <m/>
    <m/>
    <m/>
    <x v="165"/>
    <s v="N"/>
    <m/>
    <m/>
    <m/>
    <m/>
    <n v="2799"/>
    <m/>
    <m/>
    <m/>
    <m/>
    <m/>
    <m/>
    <m/>
    <s v="Y"/>
    <m/>
    <m/>
    <m/>
    <s v="Pakistan Complex Emergency"/>
    <s v="SUPPLIES: $80,000 bilateral for beds and mattresses to be transported to PRCS for IDP camps. CASH: $250,000 earmarked for NFIs. on June 26 to support Federation Appeal. "/>
  </r>
  <r>
    <s v="TC-2009-000105-BGD"/>
    <n v="227"/>
    <x v="218"/>
    <d v="2009-06-26T00:00:00"/>
    <x v="13"/>
    <x v="25"/>
    <s v="Q4"/>
    <n v="2009"/>
    <n v="10"/>
    <s v="Europe/Asia"/>
    <s v="Bangladesh"/>
    <s v="Hydrometerological"/>
    <s v="Storm"/>
    <m/>
    <m/>
    <n v="3928238"/>
    <s v="Y"/>
    <s v="IFRC"/>
    <n v="2200000"/>
    <s v="MDRBD004"/>
    <n v="0"/>
    <m/>
    <s v="Y"/>
    <n v="230677"/>
    <n v="184000"/>
    <m/>
    <m/>
    <m/>
    <m/>
    <m/>
    <m/>
    <m/>
    <m/>
    <n v="1"/>
    <m/>
    <n v="1"/>
    <m/>
    <m/>
    <m/>
    <m/>
    <m/>
    <m/>
    <m/>
    <m/>
    <m/>
    <m/>
    <m/>
    <m/>
    <m/>
    <m/>
    <m/>
    <m/>
    <m/>
    <n v="0"/>
    <m/>
    <m/>
    <m/>
    <x v="7"/>
    <s v="Y"/>
    <m/>
    <m/>
    <m/>
    <m/>
    <n v="2017"/>
    <m/>
    <m/>
    <m/>
    <m/>
    <m/>
    <m/>
    <m/>
    <s v="N"/>
    <m/>
    <m/>
    <m/>
    <s v="Bangladesh Cyclone Aila"/>
    <s v="PEOPLE: Relief Operations Support Delegate: Travis Betz deployed 4 weeks as a Relief Operations Support Delegate to provide support to the Bangladesh Delegation and affected National Society in response to Cyclone Aila. "/>
  </r>
  <r>
    <s v="FL-2009-000095-TJK"/>
    <n v="228"/>
    <x v="219"/>
    <d v="2009-08-12T00:00:00"/>
    <x v="14"/>
    <x v="1"/>
    <s v="Q1"/>
    <n v="2009"/>
    <n v="11"/>
    <s v="Europe/Asia"/>
    <s v="Tajikistan"/>
    <s v="Hydrometerological"/>
    <s v="Floods"/>
    <m/>
    <m/>
    <n v="12000"/>
    <s v="Y"/>
    <s v="IFRC"/>
    <n v="806936"/>
    <s v="MDRTJ005"/>
    <n v="1.4251440015069349E-2"/>
    <n v="0.61"/>
    <s v="Y"/>
    <n v="118472"/>
    <n v="4320"/>
    <m/>
    <n v="165"/>
    <m/>
    <n v="11500"/>
    <m/>
    <m/>
    <m/>
    <n v="11500"/>
    <m/>
    <m/>
    <m/>
    <m/>
    <m/>
    <m/>
    <m/>
    <m/>
    <m/>
    <m/>
    <m/>
    <m/>
    <m/>
    <m/>
    <m/>
    <m/>
    <m/>
    <m/>
    <m/>
    <m/>
    <n v="11500"/>
    <m/>
    <m/>
    <m/>
    <x v="166"/>
    <s v="N"/>
    <m/>
    <m/>
    <m/>
    <m/>
    <n v="2799"/>
    <m/>
    <m/>
    <m/>
    <m/>
    <m/>
    <m/>
    <m/>
    <s v="Y"/>
    <m/>
    <m/>
    <m/>
    <m/>
    <s v="CASH: $11,500 (plus cost recovery) to IFRC Appeal from 2799"/>
  </r>
  <r>
    <s v="DR-2009-00149-SYR"/>
    <n v="229"/>
    <x v="220"/>
    <d v="2009-09-01T00:00:00"/>
    <x v="14"/>
    <x v="2"/>
    <s v="Q1"/>
    <n v="2009"/>
    <n v="12"/>
    <s v="Europe/Asia"/>
    <s v="Syria"/>
    <s v="Hydrometerological"/>
    <s v="Drought"/>
    <m/>
    <m/>
    <n v="1300000"/>
    <s v="Y"/>
    <s v="IFRC"/>
    <n v="3076415"/>
    <s v="MDRSY001"/>
    <n v="1.6252683724399992E-2"/>
    <n v="0.34"/>
    <s v="Y"/>
    <n v="303195"/>
    <n v="260000"/>
    <m/>
    <m/>
    <n v="1"/>
    <n v="50000"/>
    <m/>
    <m/>
    <m/>
    <n v="50000"/>
    <m/>
    <m/>
    <m/>
    <m/>
    <m/>
    <m/>
    <m/>
    <m/>
    <m/>
    <m/>
    <m/>
    <m/>
    <m/>
    <m/>
    <m/>
    <m/>
    <m/>
    <m/>
    <m/>
    <m/>
    <n v="50000"/>
    <m/>
    <m/>
    <m/>
    <x v="16"/>
    <s v="Y"/>
    <m/>
    <m/>
    <m/>
    <m/>
    <n v="2869"/>
    <m/>
    <m/>
    <m/>
    <m/>
    <m/>
    <s v="Y"/>
    <m/>
    <s v="N"/>
    <m/>
    <s v="ARCT Funds used"/>
    <m/>
    <m/>
    <s v="CASH: $50,000 from ARCT for Overlooked Disasters Fund (plus cost recovery to be covered from RRF 2799)"/>
  </r>
  <r>
    <s v="FL-2009-000172-BFA "/>
    <n v="230"/>
    <x v="221"/>
    <d v="2009-09-10T00:00:00"/>
    <x v="14"/>
    <x v="3"/>
    <s v="Q1"/>
    <n v="2009"/>
    <n v="13"/>
    <s v="Africa"/>
    <s v="Burkina Faso"/>
    <s v="Hydrometerological"/>
    <s v="Floods"/>
    <m/>
    <m/>
    <n v="600000"/>
    <s v="Y"/>
    <s v="IFRC"/>
    <n v="2600000"/>
    <s v="MDRBF008 &amp; MDRSN002"/>
    <n v="0"/>
    <n v="0.32"/>
    <s v="Y"/>
    <n v="419190"/>
    <n v="40000"/>
    <m/>
    <m/>
    <m/>
    <m/>
    <m/>
    <m/>
    <m/>
    <n v="0"/>
    <n v="1"/>
    <m/>
    <n v="1"/>
    <m/>
    <m/>
    <n v="7500"/>
    <n v="37500"/>
    <n v="7500"/>
    <n v="7500"/>
    <n v="500"/>
    <n v="7500"/>
    <m/>
    <m/>
    <m/>
    <m/>
    <m/>
    <m/>
    <m/>
    <m/>
    <m/>
    <n v="0"/>
    <m/>
    <m/>
    <m/>
    <x v="7"/>
    <s v="N"/>
    <m/>
    <m/>
    <m/>
    <m/>
    <n v="2799"/>
    <m/>
    <m/>
    <m/>
    <m/>
    <m/>
    <m/>
    <m/>
    <s v="Y"/>
    <m/>
    <m/>
    <m/>
    <m/>
    <s v="PEOPLE: John Manley deployed to Burkina Faso as FACT team member for 1 month. "/>
  </r>
  <r>
    <s v="FL-2009-000164-SEN"/>
    <n v="230"/>
    <x v="222"/>
    <d v="2009-09-10T00:00:00"/>
    <x v="14"/>
    <x v="3"/>
    <s v="Q1"/>
    <n v="2009"/>
    <n v="13"/>
    <s v="Africa"/>
    <s v="Senegal"/>
    <s v="Hydrometerological"/>
    <s v="Floods"/>
    <m/>
    <m/>
    <n v="156000"/>
    <s v="Y"/>
    <s v="IFRC"/>
    <n v="2000000"/>
    <s v="MDRBF008 &amp; MDRSN002"/>
    <n v="0"/>
    <n v="0.47"/>
    <s v="Y"/>
    <n v="419190"/>
    <n v="25000"/>
    <m/>
    <m/>
    <m/>
    <m/>
    <m/>
    <m/>
    <m/>
    <n v="0"/>
    <n v="3"/>
    <s v="Relief ERU"/>
    <n v="3"/>
    <m/>
    <m/>
    <m/>
    <m/>
    <m/>
    <m/>
    <m/>
    <m/>
    <m/>
    <m/>
    <m/>
    <m/>
    <m/>
    <m/>
    <m/>
    <m/>
    <m/>
    <n v="0"/>
    <m/>
    <m/>
    <m/>
    <x v="7"/>
    <s v="N"/>
    <m/>
    <m/>
    <m/>
    <m/>
    <n v="2799"/>
    <m/>
    <m/>
    <m/>
    <m/>
    <m/>
    <m/>
    <m/>
    <s v="Y"/>
    <m/>
    <m/>
    <m/>
    <m/>
    <s v="PEOPLE: 3 ERU team members deployed jointly with DanishRC for 1 month: Steve McAndrew – ERU Team leader, Shinko Mondori- ERU team member, Luis Matnog- ERU team member . ERUs are part of Appeal Mob table so we can claim multilateral beneficiaries."/>
  </r>
  <r>
    <s v="TC-2009-000167-MEX"/>
    <n v="231"/>
    <x v="223"/>
    <d v="2009-09-03T00:00:00"/>
    <x v="14"/>
    <x v="4"/>
    <s v="Q1"/>
    <n v="2009"/>
    <n v="14"/>
    <s v="LAC"/>
    <s v="Mexico"/>
    <s v="Hydrometerological"/>
    <s v="Tropical Storm"/>
    <m/>
    <m/>
    <n v="100000"/>
    <s v="N"/>
    <m/>
    <m/>
    <m/>
    <s v=""/>
    <m/>
    <s v="Y"/>
    <n v="319632"/>
    <m/>
    <s v="Y"/>
    <n v="15000"/>
    <m/>
    <m/>
    <m/>
    <m/>
    <m/>
    <n v="0"/>
    <n v="1"/>
    <m/>
    <n v="1"/>
    <n v="13840"/>
    <s v="mixed"/>
    <n v="1840"/>
    <m/>
    <m/>
    <m/>
    <m/>
    <n v="3000"/>
    <m/>
    <n v="6000"/>
    <m/>
    <m/>
    <m/>
    <n v="3000"/>
    <m/>
    <n v="259500"/>
    <m/>
    <n v="259500"/>
    <m/>
    <m/>
    <m/>
    <x v="167"/>
    <s v="N"/>
    <m/>
    <m/>
    <m/>
    <m/>
    <s v="2799  + OFDA"/>
    <m/>
    <m/>
    <m/>
    <m/>
    <m/>
    <m/>
    <s v="Y"/>
    <s v="N"/>
    <m/>
    <m/>
    <m/>
    <m/>
    <s v="SUPPLIES: Bilateral to Mexican RC: 1,840 hygiene kits from stock at PADRU, 3,000 kitchen sets from stock at PADRU, 3,000 reconstruction kits to be procured locally. Funding: For 1,840  hygiene kits ($60,000) from 2799; 3,000 kitchen sets ($75,000) from OFDA; 3,000 reconstruction kits ($124,500) from OFDA.  PEOPLE: Jono Anzalone deployed to do M &amp; E for relief distribution."/>
  </r>
  <r>
    <s v="EQ-2009-000173-IDN"/>
    <n v="232"/>
    <x v="224"/>
    <d v="2009-09-02T00:00:00"/>
    <x v="14"/>
    <x v="5"/>
    <s v="Q1"/>
    <n v="2009"/>
    <n v="15"/>
    <s v="Europe/Asia"/>
    <s v="Indonesia"/>
    <s v="Geophysical"/>
    <s v="Earthquake"/>
    <m/>
    <m/>
    <n v="90000"/>
    <s v="N"/>
    <m/>
    <m/>
    <m/>
    <s v=""/>
    <m/>
    <s v="N"/>
    <m/>
    <m/>
    <s v="Y"/>
    <m/>
    <m/>
    <m/>
    <m/>
    <m/>
    <m/>
    <n v="0"/>
    <n v="1"/>
    <m/>
    <n v="1"/>
    <m/>
    <m/>
    <m/>
    <m/>
    <m/>
    <m/>
    <m/>
    <m/>
    <m/>
    <m/>
    <m/>
    <m/>
    <m/>
    <m/>
    <m/>
    <m/>
    <m/>
    <n v="0"/>
    <m/>
    <m/>
    <m/>
    <x v="7"/>
    <s v="N"/>
    <m/>
    <m/>
    <m/>
    <m/>
    <n v="2799"/>
    <m/>
    <m/>
    <m/>
    <m/>
    <m/>
    <m/>
    <m/>
    <s v="Y"/>
    <m/>
    <m/>
    <m/>
    <m/>
    <s v="PEOPLE: Cristina Hammond deployed to fill the role of IFRC Shelter Cluster Information Manager for Java Earthquake response - 4 weeks."/>
  </r>
  <r>
    <s v="TC-2009-000205-PHL"/>
    <n v="233"/>
    <x v="225"/>
    <d v="2009-09-02T00:00:00"/>
    <x v="14"/>
    <x v="6"/>
    <s v="Q1"/>
    <n v="2009"/>
    <n v="16"/>
    <s v="Europe/Asia"/>
    <s v="Philippines"/>
    <s v="Hydrometerological"/>
    <s v="Tropical Storm"/>
    <m/>
    <m/>
    <n v="1000000"/>
    <s v="Y"/>
    <s v="IFRC"/>
    <n v="6650000"/>
    <s v="MDRPH005"/>
    <n v="0.15789473684210525"/>
    <n v="0.53"/>
    <s v="Y"/>
    <n v="242000"/>
    <n v="200000"/>
    <m/>
    <n v="50000"/>
    <n v="1"/>
    <n v="550000"/>
    <m/>
    <n v="500000"/>
    <m/>
    <n v="1050000"/>
    <n v="2"/>
    <m/>
    <n v="2"/>
    <n v="22300"/>
    <s v="Y"/>
    <m/>
    <n v="4000"/>
    <n v="10000"/>
    <m/>
    <m/>
    <n v="1500"/>
    <m/>
    <n v="6800"/>
    <m/>
    <m/>
    <m/>
    <m/>
    <m/>
    <n v="118000"/>
    <m/>
    <n v="1168000"/>
    <m/>
    <m/>
    <m/>
    <x v="168"/>
    <s v="Y"/>
    <m/>
    <m/>
    <m/>
    <m/>
    <n v="2698"/>
    <m/>
    <m/>
    <m/>
    <m/>
    <m/>
    <m/>
    <s v="Y"/>
    <s v="N"/>
    <m/>
    <s v="OFDA grant for $500,000 for NFIs"/>
    <m/>
    <m/>
    <s v="Philippines: SUPPLIES: approx $118,000 in relief supplies from KL warehouse. CASH: $550,000 = $250,000 PMN to Philippines Appeal for early recovery (plus cost recovery) +$300,000 PMN to Philippines appeal for shelter, relief and watsan (plus cost recovery); plus OFDA grant for $500,000 for locally procured NFIs l w/ARC mgmt through Philippines RC (counted as cash to Ntl Soc). PEOPLE: 1) Mariza Rogers deployed as shelter coordinator delegate for one month - started Oct. 5.  2) Cristina Hammond deployed to implement OFDA NFI distribution Oct. 16 for one month"/>
  </r>
  <r>
    <s v="FL-2009-000207-VNM"/>
    <n v="233"/>
    <x v="226"/>
    <d v="2009-09-02T00:00:00"/>
    <x v="14"/>
    <x v="6"/>
    <s v="Q1"/>
    <n v="2009"/>
    <n v="16"/>
    <s v="Europe/Asia"/>
    <s v="Vietnam"/>
    <s v="Hydrometerological"/>
    <s v="Tropical Storm"/>
    <m/>
    <m/>
    <n v="3000000"/>
    <s v="Y"/>
    <s v="IFRC"/>
    <n v="5470000"/>
    <s v="MDRRVN006"/>
    <n v="0.17367458866544791"/>
    <n v="0.77"/>
    <s v="Y"/>
    <n v="324167"/>
    <n v="270000"/>
    <m/>
    <m/>
    <n v="1"/>
    <n v="450000"/>
    <m/>
    <n v="500000"/>
    <m/>
    <n v="950000"/>
    <n v="1"/>
    <m/>
    <n v="1"/>
    <m/>
    <m/>
    <m/>
    <m/>
    <m/>
    <m/>
    <m/>
    <m/>
    <m/>
    <m/>
    <m/>
    <m/>
    <m/>
    <m/>
    <m/>
    <m/>
    <m/>
    <n v="950000"/>
    <n v="1200000"/>
    <m/>
    <m/>
    <x v="169"/>
    <s v="Y"/>
    <m/>
    <m/>
    <m/>
    <m/>
    <n v="2698"/>
    <m/>
    <m/>
    <m/>
    <m/>
    <m/>
    <m/>
    <s v="Y"/>
    <s v="N"/>
    <m/>
    <s v="OFDA grant for $500,000 for cash transfer programming"/>
    <m/>
    <m/>
    <s v="Vietnam: CASH: Cash: $450,000 total:  $50,000 PMN Oct. 2 + $300,000 PMN Oct. 5 to Federation Vietnam Appeal - earmarked for shelter, NFIs and Wat/San + $100,000 PMN to Vietnam Appeal for DRR (plus cost recovery). OFDA grant for $500,000 for cash programming; PEOPLE: Michael Zeleke delegate to Vietnam to work on cash programming."/>
  </r>
  <r>
    <s v="TS-2009-000211-IDN"/>
    <n v="234"/>
    <x v="227"/>
    <d v="2009-09-02T00:00:00"/>
    <x v="14"/>
    <x v="7"/>
    <s v="Q1"/>
    <n v="2009"/>
    <n v="17"/>
    <s v="Europe/Asia"/>
    <s v="Indonesia"/>
    <s v="Geophysical"/>
    <s v="Earthquake"/>
    <m/>
    <m/>
    <n v="1000000"/>
    <s v="Y"/>
    <s v="IFRC"/>
    <n v="18600000"/>
    <s v="MDRID004"/>
    <n v="2.6881720430107527E-2"/>
    <n v="0.93"/>
    <s v="Y"/>
    <n v="227106"/>
    <n v="100000"/>
    <m/>
    <n v="25000"/>
    <n v="1"/>
    <m/>
    <m/>
    <n v="500000"/>
    <m/>
    <n v="500000"/>
    <n v="1"/>
    <m/>
    <n v="1"/>
    <n v="44181"/>
    <s v="Y"/>
    <m/>
    <n v="20981"/>
    <m/>
    <m/>
    <m/>
    <m/>
    <m/>
    <n v="13200"/>
    <m/>
    <n v="10000"/>
    <m/>
    <m/>
    <m/>
    <n v="400000"/>
    <m/>
    <n v="900000"/>
    <n v="764192.86"/>
    <m/>
    <m/>
    <x v="170"/>
    <s v="Y"/>
    <m/>
    <m/>
    <m/>
    <m/>
    <n v="2930"/>
    <m/>
    <m/>
    <m/>
    <m/>
    <m/>
    <m/>
    <s v="Y"/>
    <s v="N"/>
    <m/>
    <s v="OFDA grant for $500,000 for NFIs"/>
    <m/>
    <m/>
    <s v="CASH: OFDA grant for $500,000 to fund NFIs; SUPPLIES: 44,180 supplies (cost: $400,000) from KL warehouse; PEOPLE: Alex Mahoney onsite 3 weeks to coordinate OFDA NFIs distribution."/>
  </r>
  <r>
    <s v="2009-000209 - ASM; 2009-000210-WSM"/>
    <n v="235"/>
    <x v="228"/>
    <d v="2009-10-01T00:00:00"/>
    <x v="14"/>
    <x v="8"/>
    <s v="Q2"/>
    <n v="2009"/>
    <n v="18"/>
    <s v="Europe/Asia"/>
    <s v="Samoa"/>
    <s v="Hydrometerological"/>
    <s v="Tsunami"/>
    <m/>
    <m/>
    <n v="10000"/>
    <s v="Y"/>
    <s v="IFRC"/>
    <n v="2450000"/>
    <s v="MDRWS001"/>
    <n v="4.0816326530612242E-2"/>
    <n v="0.25"/>
    <s v="Y"/>
    <n v="313729"/>
    <n v="5000"/>
    <m/>
    <n v="2500"/>
    <n v="1"/>
    <n v="100000"/>
    <m/>
    <m/>
    <m/>
    <n v="100000"/>
    <m/>
    <m/>
    <m/>
    <m/>
    <m/>
    <m/>
    <m/>
    <m/>
    <m/>
    <m/>
    <m/>
    <m/>
    <m/>
    <m/>
    <m/>
    <m/>
    <m/>
    <m/>
    <m/>
    <m/>
    <n v="100000"/>
    <m/>
    <m/>
    <m/>
    <x v="5"/>
    <s v="N"/>
    <m/>
    <m/>
    <m/>
    <m/>
    <n v="2799"/>
    <m/>
    <m/>
    <m/>
    <m/>
    <m/>
    <m/>
    <m/>
    <s v="Y"/>
    <m/>
    <m/>
    <m/>
    <m/>
    <s v="CASH: $100,000 PMN to Federation Appeal from Rapid Response Fund"/>
  </r>
  <r>
    <s v="FL-2009-000217-IND"/>
    <n v="236"/>
    <x v="33"/>
    <d v="2009-10-27T00:00:00"/>
    <x v="14"/>
    <x v="9"/>
    <s v="Q2"/>
    <n v="2009"/>
    <n v="19"/>
    <s v="Europe/Asia"/>
    <s v="India"/>
    <s v="Hydrometerological"/>
    <s v="Floods"/>
    <m/>
    <m/>
    <n v="4100000"/>
    <s v="Y"/>
    <s v="NS"/>
    <n v="3100000"/>
    <s v="MDRIN004"/>
    <n v="0"/>
    <m/>
    <s v="Y"/>
    <n v="51364"/>
    <n v="125000"/>
    <m/>
    <m/>
    <m/>
    <m/>
    <m/>
    <m/>
    <m/>
    <n v="0"/>
    <m/>
    <m/>
    <m/>
    <n v="7500"/>
    <s v="N"/>
    <m/>
    <m/>
    <m/>
    <m/>
    <m/>
    <n v="7500"/>
    <m/>
    <m/>
    <m/>
    <m/>
    <m/>
    <m/>
    <m/>
    <n v="190000"/>
    <m/>
    <n v="190000"/>
    <m/>
    <m/>
    <m/>
    <x v="171"/>
    <s v="Y"/>
    <m/>
    <m/>
    <m/>
    <m/>
    <s v="2003/2695"/>
    <m/>
    <m/>
    <m/>
    <m/>
    <m/>
    <m/>
    <m/>
    <s v="N"/>
    <m/>
    <m/>
    <m/>
    <m/>
    <s v="SUPPLIES: In response to Indian RC national appeal, ARC locally procured approx 2,700 kitchen sets to deliver to Indian RC, using APs 2003 (India R &amp; D) and 2695 (TRP funds for Andra Pradesh DM) - this effectively closes out these APs ($190,000 spent total)"/>
  </r>
  <r>
    <s v="DR-2009-000197-KEN"/>
    <n v="237"/>
    <x v="229"/>
    <d v="2009-11-05T00:00:00"/>
    <x v="14"/>
    <x v="10"/>
    <s v="Q2"/>
    <n v="2009"/>
    <n v="20"/>
    <s v="Africa"/>
    <s v="Kenya"/>
    <s v="Hydrometerological"/>
    <s v="Drought"/>
    <m/>
    <m/>
    <n v="3800000"/>
    <s v="Y"/>
    <s v="IFRC"/>
    <n v="8427856"/>
    <s v="MDRKE009"/>
    <n v="1.1865413932084269E-2"/>
    <n v="0.06"/>
    <s v="Y"/>
    <n v="500000"/>
    <n v="1692428"/>
    <m/>
    <n v="21668"/>
    <n v="1"/>
    <n v="100000"/>
    <m/>
    <m/>
    <m/>
    <n v="100000"/>
    <m/>
    <m/>
    <m/>
    <m/>
    <m/>
    <m/>
    <m/>
    <m/>
    <m/>
    <m/>
    <m/>
    <m/>
    <m/>
    <m/>
    <m/>
    <m/>
    <m/>
    <m/>
    <m/>
    <m/>
    <n v="100000"/>
    <m/>
    <m/>
    <m/>
    <x v="5"/>
    <s v="N"/>
    <m/>
    <m/>
    <m/>
    <m/>
    <n v="2799"/>
    <m/>
    <m/>
    <m/>
    <m/>
    <m/>
    <m/>
    <m/>
    <s v="Y"/>
    <m/>
    <m/>
    <m/>
    <m/>
    <s v="CASH: $100,000 PMN to Federation Appeal from Rapid Response Fund earmarked for seeds."/>
  </r>
  <r>
    <s v="FL-2009-000206-HTI"/>
    <n v="238"/>
    <x v="120"/>
    <d v="2009-11-12T00:00:00"/>
    <x v="14"/>
    <x v="11"/>
    <s v="Q2"/>
    <n v="2009"/>
    <n v="21"/>
    <s v="LAC"/>
    <s v="Haiti"/>
    <s v="Hydrometerological"/>
    <s v="Floods"/>
    <m/>
    <m/>
    <n v="2500"/>
    <s v="N"/>
    <m/>
    <m/>
    <m/>
    <s v=""/>
    <m/>
    <s v="Y"/>
    <n v="103918"/>
    <n v="2500"/>
    <s v="Y"/>
    <m/>
    <m/>
    <m/>
    <m/>
    <m/>
    <m/>
    <n v="0"/>
    <n v="1"/>
    <m/>
    <n v="1"/>
    <m/>
    <m/>
    <m/>
    <m/>
    <m/>
    <m/>
    <m/>
    <m/>
    <m/>
    <m/>
    <m/>
    <m/>
    <m/>
    <m/>
    <m/>
    <m/>
    <m/>
    <n v="0"/>
    <m/>
    <m/>
    <m/>
    <x v="7"/>
    <s v="Y"/>
    <m/>
    <m/>
    <m/>
    <m/>
    <n v="2885"/>
    <m/>
    <m/>
    <m/>
    <m/>
    <m/>
    <m/>
    <m/>
    <s v="N"/>
    <m/>
    <m/>
    <m/>
    <m/>
    <s v="PEOPLE: John Manley deployed to Haiti NRC as a RIT for DREF operation."/>
  </r>
  <r>
    <s v="FL-2009-000238-SLV"/>
    <n v="239"/>
    <x v="230"/>
    <d v="2009-11-16T00:00:00"/>
    <x v="14"/>
    <x v="12"/>
    <s v="Q2"/>
    <n v="2009"/>
    <n v="22"/>
    <s v="LAC"/>
    <s v="El Salvador"/>
    <s v="Hydrometerological"/>
    <s v="Floods"/>
    <m/>
    <m/>
    <n v="75000"/>
    <s v="Y"/>
    <s v="IFRC"/>
    <n v="1681039"/>
    <s v="MDRSV002"/>
    <n v="0.14491335418155082"/>
    <n v="0.92"/>
    <s v="Y"/>
    <n v="180614"/>
    <n v="10000"/>
    <m/>
    <m/>
    <n v="1"/>
    <n v="243605"/>
    <m/>
    <m/>
    <m/>
    <n v="243605"/>
    <m/>
    <m/>
    <m/>
    <n v="1000"/>
    <s v="Y"/>
    <n v="500"/>
    <m/>
    <m/>
    <m/>
    <m/>
    <n v="500"/>
    <m/>
    <m/>
    <m/>
    <m/>
    <m/>
    <m/>
    <m/>
    <n v="31240"/>
    <m/>
    <n v="274845"/>
    <m/>
    <m/>
    <m/>
    <x v="172"/>
    <s v="Y"/>
    <m/>
    <m/>
    <m/>
    <m/>
    <n v="2882"/>
    <m/>
    <m/>
    <m/>
    <m/>
    <m/>
    <s v="Y"/>
    <m/>
    <s v="N"/>
    <m/>
    <s v="UPS donated $50,000; ARCT Funds applied for as of 11/18/09"/>
    <s v="ARCT"/>
    <m/>
    <s v="CASH: $193,603 to Federation Appeal earmarked for transitional shelter; SUPPLIES: $24,500 in kitchen sets and hygiene kits. "/>
  </r>
  <r>
    <s v="EQ-2010-000009-HTI"/>
    <n v="240"/>
    <x v="231"/>
    <d v="2010-01-12T00:00:00"/>
    <x v="14"/>
    <x v="13"/>
    <s v="Q3"/>
    <n v="2010"/>
    <n v="1"/>
    <s v="LAC"/>
    <s v="Haiti"/>
    <s v="Geophysical"/>
    <s v="Earthquake"/>
    <m/>
    <m/>
    <n v="2000000"/>
    <s v="Y"/>
    <s v="IFRC"/>
    <n v="200000000"/>
    <s v="MDRHT008"/>
    <n v="0.17188673215"/>
    <n v="0.94"/>
    <s v="Y"/>
    <n v="491265"/>
    <n v="400000"/>
    <m/>
    <m/>
    <n v="1"/>
    <n v="30000000"/>
    <n v="4377346.43"/>
    <m/>
    <m/>
    <m/>
    <n v="82"/>
    <s v=" IT/Telecoms; Relief ERU"/>
    <n v="85"/>
    <n v="5143307"/>
    <s v="Y"/>
    <m/>
    <m/>
    <m/>
    <m/>
    <m/>
    <m/>
    <m/>
    <m/>
    <m/>
    <m/>
    <m/>
    <m/>
    <m/>
    <n v="15266353"/>
    <m/>
    <n v="139611532"/>
    <n v="337000000"/>
    <m/>
    <m/>
    <x v="173"/>
    <s v="Y"/>
    <m/>
    <m/>
    <m/>
    <m/>
    <n v="2888"/>
    <m/>
    <m/>
    <m/>
    <m/>
    <m/>
    <m/>
    <m/>
    <s v="N"/>
    <m/>
    <s v="various - notably online and text donations from individuals; telethons. "/>
    <s v="definitely!"/>
    <n v="476611532"/>
    <s v="As of June 30 2010: CASH &amp; SUPPLIES: See detailed donor report, mob table, etc. for specific amounts to Federation, amount spent, etc. Raised: $468 million. PEOPLE: 65+ deployed to Haiti, DR and PADRU: Relief and IT/Telecoms ERU deployed, and various delegates to Fed and ARC delegation in Haiti, to Fed at PADRU, to Fed logistics in Santo Domingo, DR, plus NHQ to backfill. See the Deployments History tab in this spreadsheet or the RAPs for list of all personnel deploying and roles. "/>
  </r>
  <r>
    <s v="FL-2009-000264-TZA"/>
    <n v="241"/>
    <x v="232"/>
    <d v="2010-01-25T00:00:00"/>
    <x v="14"/>
    <x v="14"/>
    <s v="Q3"/>
    <n v="2010"/>
    <n v="2"/>
    <s v="Africa"/>
    <s v="Tanzania"/>
    <m/>
    <s v="Floods"/>
    <m/>
    <m/>
    <n v="50000"/>
    <s v="Y"/>
    <s v="IFRC"/>
    <n v="1625152"/>
    <s v="MDRTZ010"/>
    <n v="0.12306541172764147"/>
    <n v="0.89"/>
    <s v="Y"/>
    <n v="313536"/>
    <n v="23000"/>
    <m/>
    <m/>
    <n v="1"/>
    <n v="200000"/>
    <m/>
    <m/>
    <m/>
    <n v="200000"/>
    <m/>
    <m/>
    <m/>
    <m/>
    <m/>
    <m/>
    <m/>
    <m/>
    <m/>
    <m/>
    <m/>
    <m/>
    <m/>
    <m/>
    <m/>
    <m/>
    <m/>
    <m/>
    <m/>
    <m/>
    <n v="200000"/>
    <m/>
    <m/>
    <m/>
    <x v="121"/>
    <s v="Y"/>
    <m/>
    <m/>
    <m/>
    <m/>
    <n v="2869"/>
    <m/>
    <m/>
    <m/>
    <m/>
    <m/>
    <s v="Y"/>
    <m/>
    <s v="N"/>
    <m/>
    <s v="ARCT funds - $200,000"/>
    <s v="ARCT"/>
    <m/>
    <s v="CASH: Anne Ray Charitable Trust funds applied $200,000 towards water and sanitation equipment."/>
  </r>
  <r>
    <s v="EQ-2010-000034-CHL "/>
    <n v="242"/>
    <x v="233"/>
    <d v="2010-02-27T00:00:00"/>
    <x v="14"/>
    <x v="15"/>
    <s v="Q3"/>
    <n v="2010"/>
    <n v="3"/>
    <s v="LAC"/>
    <s v="Chile"/>
    <m/>
    <s v="Earthquake"/>
    <m/>
    <m/>
    <n v="2000000"/>
    <s v="Y"/>
    <s v="IFRC"/>
    <n v="6400000"/>
    <s v="MDRCL006"/>
    <n v="0.15625"/>
    <n v="0.79"/>
    <s v="Y"/>
    <n v="279350"/>
    <n v="100000"/>
    <m/>
    <m/>
    <n v="1"/>
    <n v="500000"/>
    <m/>
    <n v="500000"/>
    <m/>
    <n v="1000000"/>
    <n v="2"/>
    <m/>
    <n v="2"/>
    <n v="6160"/>
    <s v="Y"/>
    <n v="1160"/>
    <m/>
    <n v="5000"/>
    <m/>
    <m/>
    <m/>
    <m/>
    <m/>
    <m/>
    <m/>
    <m/>
    <m/>
    <m/>
    <n v="96000"/>
    <m/>
    <n v="1096000"/>
    <n v="5304000"/>
    <m/>
    <m/>
    <x v="174"/>
    <s v="Y"/>
    <m/>
    <m/>
    <m/>
    <m/>
    <n v="2896"/>
    <m/>
    <m/>
    <m/>
    <m/>
    <m/>
    <m/>
    <m/>
    <s v="N"/>
    <m/>
    <m/>
    <m/>
    <m/>
    <s v="CASH: $50,000 made available from IRF as initial response. $450,000 made available in subsequent week. SUPPLIES: 5,000 jerry cans; 1,160 hygiene kits. PEOPLE: Alvaro Garita  - Relief delegate, Gonzalo Aquino - Water and Sanitation  delegate."/>
  </r>
  <r>
    <s v="EQ-2010-000073-CHN"/>
    <n v="243"/>
    <x v="104"/>
    <d v="2010-04-10T00:00:00"/>
    <x v="14"/>
    <x v="16"/>
    <s v="Q4"/>
    <n v="2010"/>
    <n v="4"/>
    <s v="Europe/Asia"/>
    <s v="China"/>
    <m/>
    <s v="Earthquake"/>
    <m/>
    <m/>
    <n v="100000"/>
    <s v="Y"/>
    <s v="NS"/>
    <m/>
    <m/>
    <s v=""/>
    <m/>
    <m/>
    <m/>
    <s v="tbd"/>
    <m/>
    <m/>
    <m/>
    <n v="0"/>
    <m/>
    <n v="500000"/>
    <m/>
    <n v="500000"/>
    <m/>
    <m/>
    <m/>
    <m/>
    <m/>
    <m/>
    <n v="198970"/>
    <m/>
    <m/>
    <m/>
    <m/>
    <m/>
    <m/>
    <m/>
    <m/>
    <m/>
    <m/>
    <m/>
    <m/>
    <m/>
    <n v="500000"/>
    <m/>
    <n v="500000"/>
    <m/>
    <x v="175"/>
    <s v="Y"/>
    <m/>
    <m/>
    <m/>
    <m/>
    <n v="2571"/>
    <m/>
    <m/>
    <m/>
    <m/>
    <m/>
    <m/>
    <m/>
    <s v="N"/>
    <m/>
    <m/>
    <m/>
    <m/>
    <s v="National Society has issued it own appeal. ARC decided to contribute $500,000 after June 30 2010.  An additional $500,000 will go to future community disaster preparedness."/>
  </r>
  <r>
    <s v="CW-2010-000010-MNG"/>
    <n v="244"/>
    <x v="234"/>
    <d v="2010-05-10T00:00:00"/>
    <x v="14"/>
    <x v="17"/>
    <s v="Q4"/>
    <n v="2010"/>
    <n v="5"/>
    <s v="Europe/Asia"/>
    <s v="Mongolia"/>
    <m/>
    <s v="Winter storm"/>
    <m/>
    <m/>
    <n v="507000"/>
    <s v="Y"/>
    <s v="IFRC"/>
    <n v="991697"/>
    <s v="    MDRMN004"/>
    <n v="0.1462140149662649"/>
    <n v="0.35"/>
    <s v="Y"/>
    <n v="93924"/>
    <n v="13600"/>
    <m/>
    <m/>
    <n v="1"/>
    <n v="145000"/>
    <m/>
    <m/>
    <m/>
    <n v="145000"/>
    <m/>
    <m/>
    <m/>
    <m/>
    <m/>
    <m/>
    <m/>
    <m/>
    <m/>
    <m/>
    <m/>
    <m/>
    <m/>
    <m/>
    <m/>
    <m/>
    <m/>
    <m/>
    <m/>
    <m/>
    <n v="145000"/>
    <m/>
    <m/>
    <m/>
    <x v="176"/>
    <s v="Y"/>
    <m/>
    <m/>
    <m/>
    <m/>
    <n v="2869"/>
    <m/>
    <m/>
    <m/>
    <m/>
    <m/>
    <s v="Y"/>
    <m/>
    <s v="N"/>
    <m/>
    <s v="ARCT"/>
    <s v="ARCT"/>
    <m/>
    <s v="CASH: $145,000 contribution made to Federation appeal from Anne Ray Charitable Trust (ARCT) funds"/>
  </r>
  <r>
    <m/>
    <n v="245"/>
    <x v="235"/>
    <d v="2010-05-20T00:00:00"/>
    <x v="14"/>
    <x v="18"/>
    <s v="Q4"/>
    <n v="2010"/>
    <n v="6"/>
    <s v="Europe/Asia"/>
    <s v="Nepal"/>
    <m/>
    <s v="Epidemic"/>
    <m/>
    <m/>
    <n v="67000"/>
    <s v="Y"/>
    <s v="IFRC"/>
    <n v="664175"/>
    <m/>
    <n v="7.5281364098317455E-2"/>
    <m/>
    <s v="Y"/>
    <n v="179855"/>
    <n v="189000"/>
    <m/>
    <m/>
    <n v="1"/>
    <n v="50000"/>
    <m/>
    <m/>
    <m/>
    <n v="50000"/>
    <m/>
    <m/>
    <m/>
    <m/>
    <m/>
    <m/>
    <m/>
    <m/>
    <m/>
    <m/>
    <m/>
    <m/>
    <m/>
    <m/>
    <m/>
    <m/>
    <m/>
    <m/>
    <m/>
    <m/>
    <n v="50000"/>
    <m/>
    <m/>
    <m/>
    <x v="16"/>
    <s v="N"/>
    <m/>
    <m/>
    <m/>
    <m/>
    <n v="2799"/>
    <m/>
    <m/>
    <m/>
    <m/>
    <m/>
    <m/>
    <m/>
    <s v="Y"/>
    <m/>
    <m/>
    <m/>
    <m/>
    <s v="CASH: $50,000 towards Federation appeal."/>
  </r>
  <r>
    <s v="TC-2010-000105-GTM"/>
    <n v="246"/>
    <x v="236"/>
    <d v="2010-06-01T00:00:00"/>
    <x v="14"/>
    <x v="19"/>
    <s v="Q4"/>
    <n v="2010"/>
    <n v="7"/>
    <s v="LAC"/>
    <s v="Guatemala"/>
    <m/>
    <s v="Tropical Storm"/>
    <m/>
    <m/>
    <n v="173518"/>
    <s v="Y"/>
    <s v="IFRC"/>
    <n v="1112170"/>
    <s v="MDRGT002"/>
    <n v="8.9914311660987081E-2"/>
    <m/>
    <s v="Y"/>
    <n v="307254"/>
    <n v="7500"/>
    <m/>
    <n v="1250"/>
    <n v="1"/>
    <n v="100000"/>
    <m/>
    <m/>
    <m/>
    <n v="100000"/>
    <m/>
    <m/>
    <m/>
    <n v="9900"/>
    <s v="Y"/>
    <n v="1000"/>
    <n v="7500"/>
    <n v="900"/>
    <m/>
    <m/>
    <n v="500"/>
    <m/>
    <m/>
    <m/>
    <m/>
    <m/>
    <m/>
    <m/>
    <n v="80000"/>
    <m/>
    <n v="180000"/>
    <m/>
    <m/>
    <m/>
    <x v="177"/>
    <s v="N"/>
    <m/>
    <m/>
    <m/>
    <m/>
    <n v="2799"/>
    <m/>
    <m/>
    <m/>
    <m/>
    <m/>
    <m/>
    <m/>
    <s v="Y"/>
    <m/>
    <m/>
    <m/>
    <m/>
    <s v="CASH: $100,000 to Federation appeal. SUPPLIES: $80,000 in relief supplies from PADRU."/>
  </r>
  <r>
    <s v="OT-2010-000113-KGZ"/>
    <n v="247"/>
    <x v="237"/>
    <d v="2010-06-01T00:00:00"/>
    <x v="14"/>
    <x v="23"/>
    <s v="Q4"/>
    <n v="2010"/>
    <n v="8"/>
    <s v="Europe/Asia"/>
    <s v="Kyrgyzstan"/>
    <m/>
    <s v="Conflict"/>
    <m/>
    <m/>
    <n v="375000"/>
    <s v="Y"/>
    <s v="ICRC /IFRC"/>
    <n v="9966159"/>
    <s v="MDRUZ002"/>
    <n v="1.0033955910195694E-2"/>
    <m/>
    <s v="Y"/>
    <n v="269348"/>
    <n v="124000"/>
    <m/>
    <m/>
    <n v="1"/>
    <n v="50000"/>
    <n v="50000"/>
    <m/>
    <m/>
    <n v="100000"/>
    <m/>
    <m/>
    <m/>
    <m/>
    <m/>
    <m/>
    <m/>
    <m/>
    <m/>
    <m/>
    <m/>
    <m/>
    <m/>
    <m/>
    <m/>
    <m/>
    <m/>
    <m/>
    <m/>
    <m/>
    <n v="100000"/>
    <m/>
    <m/>
    <m/>
    <x v="5"/>
    <s v="Y"/>
    <m/>
    <m/>
    <m/>
    <m/>
    <s v="2955/2799"/>
    <m/>
    <m/>
    <m/>
    <m/>
    <m/>
    <m/>
    <m/>
    <s v="Y"/>
    <m/>
    <m/>
    <m/>
    <m/>
    <s v="CASH: $50,000 to ICRC Kyrgyzstan appeal; $50,000 to IFRC Kyrgyzstan appeal; $100,000 to IFRC Uzbekistan appeal (this amount from GM donation). "/>
  </r>
  <r>
    <s v="OT-2010-000113-KGZ"/>
    <n v="247"/>
    <x v="237"/>
    <d v="2010-06-01T00:00:00"/>
    <x v="14"/>
    <x v="23"/>
    <s v="Q4"/>
    <n v="2010"/>
    <n v="8"/>
    <s v="Europe/Asia"/>
    <s v="Uzbekistan"/>
    <m/>
    <s v="Conflict"/>
    <m/>
    <m/>
    <m/>
    <s v="Y"/>
    <s v="IFRC"/>
    <n v="911836"/>
    <s v="MDRKG007"/>
    <n v="0.10966884395878206"/>
    <m/>
    <m/>
    <m/>
    <n v="5265"/>
    <m/>
    <m/>
    <n v="1"/>
    <n v="100000"/>
    <m/>
    <m/>
    <m/>
    <n v="100000"/>
    <m/>
    <m/>
    <m/>
    <m/>
    <m/>
    <m/>
    <m/>
    <m/>
    <m/>
    <m/>
    <m/>
    <m/>
    <m/>
    <m/>
    <m/>
    <m/>
    <m/>
    <m/>
    <m/>
    <m/>
    <n v="100000"/>
    <m/>
    <m/>
    <m/>
    <x v="5"/>
    <s v="Y"/>
    <m/>
    <m/>
    <m/>
    <m/>
    <s v="2955/2799"/>
    <m/>
    <m/>
    <m/>
    <m/>
    <m/>
    <m/>
    <m/>
    <s v="Y"/>
    <m/>
    <m/>
    <m/>
    <m/>
    <s v="see above"/>
  </r>
  <r>
    <s v="FL-2010-00141-PAK"/>
    <n v="248"/>
    <x v="238"/>
    <d v="2010-08-02T00:00:00"/>
    <x v="15"/>
    <x v="1"/>
    <s v="Q1"/>
    <n v="2010"/>
    <n v="9"/>
    <s v="Europe/Asia"/>
    <s v="Pakistan"/>
    <m/>
    <s v="Floods"/>
    <m/>
    <m/>
    <n v="20000000"/>
    <s v="Y"/>
    <s v="IFRC &amp; ICRC"/>
    <n v="148500000"/>
    <s v="MDRPK006"/>
    <n v="2.7609427609427608E-2"/>
    <m/>
    <s v="Y"/>
    <n v="239406"/>
    <n v="2600000"/>
    <m/>
    <m/>
    <n v="1"/>
    <n v="4100000"/>
    <m/>
    <m/>
    <m/>
    <n v="4850000"/>
    <n v="2"/>
    <m/>
    <n v="2"/>
    <n v="99900"/>
    <s v="Y"/>
    <m/>
    <n v="35000"/>
    <n v="15000"/>
    <n v="3650"/>
    <m/>
    <n v="10000"/>
    <m/>
    <n v="20000"/>
    <m/>
    <n v="10000"/>
    <m/>
    <n v="6250"/>
    <m/>
    <n v="824977"/>
    <m/>
    <n v="5674977"/>
    <n v="2525023"/>
    <m/>
    <m/>
    <x v="178"/>
    <s v="Y"/>
    <m/>
    <m/>
    <m/>
    <m/>
    <n v="2799"/>
    <m/>
    <n v="2699"/>
    <m/>
    <m/>
    <m/>
    <m/>
    <m/>
    <s v="Y"/>
    <m/>
    <m/>
    <m/>
    <m/>
    <s v="CASH: $100,000 PMN to Federation Appeal from AP2799/RRF - not to be replenished; $3,000,000 ($3M) PMN to Federation Appeal from AP2699 earmarked for relief &amp; emergency shelter;  $300,000 PMN to Federation Appeal from AP 2699 earmarked for relief &amp; emergency shelter; $700,000 PMN to Federation Appeal from AP2699 earmarked for relief; $1,000,000 allocated to contribution to the Measles Initiative, recipient organization TBD._x000a_SUPPLIES: Relief supplies from both KL and Dubai warehouses - emptied both - approx $1M total including transport; PEOPLE: Robin Younger and Christophe Lobry-Boulanger deployed fro Relief coordination cell to PRCS support. Raj Zafar was used from Federation Delegation for surge support for  Federation in Islamabad._x000a_$8.2M raised - remainder put into 'early recovery' column"/>
  </r>
  <r>
    <m/>
    <n v="249"/>
    <x v="6"/>
    <d v="2010-10-01T00:00:00"/>
    <x v="15"/>
    <x v="2"/>
    <s v="Q2"/>
    <n v="2010"/>
    <n v="10"/>
    <s v="LAC"/>
    <s v="Mexico"/>
    <m/>
    <s v="Floods"/>
    <m/>
    <m/>
    <n v="500000"/>
    <s v="N"/>
    <m/>
    <m/>
    <m/>
    <s v=""/>
    <m/>
    <s v="N"/>
    <m/>
    <m/>
    <s v="Y"/>
    <n v="50000"/>
    <m/>
    <m/>
    <m/>
    <n v="200000"/>
    <m/>
    <n v="200000"/>
    <m/>
    <m/>
    <m/>
    <m/>
    <m/>
    <m/>
    <m/>
    <m/>
    <m/>
    <m/>
    <m/>
    <m/>
    <m/>
    <m/>
    <m/>
    <m/>
    <m/>
    <m/>
    <m/>
    <m/>
    <n v="200000"/>
    <m/>
    <m/>
    <m/>
    <x v="121"/>
    <s v="N"/>
    <m/>
    <m/>
    <m/>
    <m/>
    <s v="2869/ARCT"/>
    <m/>
    <m/>
    <m/>
    <m/>
    <m/>
    <s v="Y"/>
    <m/>
    <s v="N"/>
    <m/>
    <s v="ARCT funds - $200,000"/>
    <s v="ARCT"/>
    <m/>
    <s v="CASH: $200,000 bilateral contribution/grant letter to Mexican Red Cross for relief - paid by ARCT funds."/>
  </r>
  <r>
    <s v="FL-2010-00194-VNM"/>
    <n v="250"/>
    <x v="21"/>
    <d v="2010-10-18T00:00:00"/>
    <x v="15"/>
    <x v="3"/>
    <s v="Q2"/>
    <n v="2010"/>
    <n v="11"/>
    <s v="Europe/Asia"/>
    <s v="Vietnam"/>
    <m/>
    <s v="Floods"/>
    <m/>
    <m/>
    <n v="660000"/>
    <s v="Y"/>
    <s v="IFRC"/>
    <n v="1080000"/>
    <s v="MDRVN007"/>
    <n v="2.7777777777777776E-2"/>
    <m/>
    <s v="Y"/>
    <n v="160853"/>
    <n v="120000"/>
    <m/>
    <m/>
    <m/>
    <n v="30000"/>
    <m/>
    <m/>
    <m/>
    <n v="30000"/>
    <m/>
    <m/>
    <m/>
    <m/>
    <m/>
    <m/>
    <m/>
    <m/>
    <m/>
    <m/>
    <m/>
    <m/>
    <m/>
    <m/>
    <m/>
    <m/>
    <m/>
    <m/>
    <m/>
    <m/>
    <n v="30000"/>
    <m/>
    <m/>
    <m/>
    <x v="163"/>
    <s v="N"/>
    <m/>
    <m/>
    <m/>
    <m/>
    <n v="2799"/>
    <m/>
    <m/>
    <m/>
    <m/>
    <m/>
    <m/>
    <m/>
    <s v="Y"/>
    <m/>
    <m/>
    <m/>
    <m/>
    <s v="CASH: $30,000 PMN to Federation Appeal from 2799 (RRF) earmarked for relief."/>
  </r>
  <r>
    <s v="EP-2010-000210-HTI"/>
    <n v="251"/>
    <x v="239"/>
    <d v="2010-10-24T00:00:00"/>
    <x v="15"/>
    <x v="4"/>
    <s v="Q2"/>
    <n v="2010"/>
    <n v="12"/>
    <s v="LAC"/>
    <s v="Haiti"/>
    <m/>
    <s v="Epidemic"/>
    <m/>
    <m/>
    <m/>
    <s v="Y"/>
    <s v="IFRC"/>
    <n v="6000000"/>
    <s v="MDR49007"/>
    <n v="0.36102216666666664"/>
    <m/>
    <s v="Y"/>
    <n v="80618"/>
    <n v="1500000"/>
    <m/>
    <m/>
    <n v="1"/>
    <n v="2166133"/>
    <m/>
    <m/>
    <m/>
    <n v="2320081"/>
    <m/>
    <m/>
    <m/>
    <m/>
    <m/>
    <m/>
    <m/>
    <m/>
    <m/>
    <m/>
    <m/>
    <m/>
    <m/>
    <m/>
    <m/>
    <m/>
    <m/>
    <m/>
    <n v="694910"/>
    <m/>
    <n v="16068357"/>
    <m/>
    <m/>
    <m/>
    <x v="179"/>
    <s v="Y"/>
    <s v="P"/>
    <m/>
    <m/>
    <m/>
    <n v="2888"/>
    <m/>
    <m/>
    <m/>
    <m/>
    <m/>
    <m/>
    <m/>
    <s v="N"/>
    <m/>
    <m/>
    <m/>
    <m/>
    <s v="Spent figure directly from HAP as of May 2011. ARC committed to spend $14 million on Cholera. See HAP for additional details._x000a_CASH: $566,133 PMN to Federation Appeal: $537,500 earmarked for Haiti AP2888; $28,634 earmarked for Dominican Republic from AP2884; $1.6 million PMN for relief supplies; Funding transportation/flights of supplies for Partners in Health etc. Funding supplies, etc._x000a_SUPPLIES:Hygiene promotion, soap, oral rehydration salts, water tablets and chlorine for water purification, 5,000 Cots for medical facilities, Transport of medical supplies, vehicle for Haitian Red Cross. _x000a_PEOPLE: 6 ARC Haiti staff deployed for Red Cross Emergency Response Teams for Cholera outbreak in northern Haiti. _x000a_See latest response report and RAP for full details of items provided. "/>
  </r>
  <r>
    <s v="EP-2010-000210-HTI"/>
    <n v="251"/>
    <x v="239"/>
    <d v="2010-10-24T00:00:00"/>
    <x v="15"/>
    <x v="4"/>
    <s v="Q2"/>
    <n v="2010"/>
    <n v="12"/>
    <s v="LAC"/>
    <s v="Dominican Republic"/>
    <m/>
    <m/>
    <m/>
    <m/>
    <m/>
    <m/>
    <m/>
    <m/>
    <m/>
    <s v=""/>
    <m/>
    <m/>
    <m/>
    <m/>
    <m/>
    <m/>
    <m/>
    <m/>
    <m/>
    <m/>
    <m/>
    <m/>
    <m/>
    <m/>
    <m/>
    <m/>
    <m/>
    <m/>
    <m/>
    <m/>
    <m/>
    <m/>
    <m/>
    <m/>
    <m/>
    <m/>
    <m/>
    <m/>
    <m/>
    <m/>
    <m/>
    <m/>
    <m/>
    <m/>
    <m/>
    <m/>
    <x v="152"/>
    <m/>
    <m/>
    <m/>
    <m/>
    <m/>
    <m/>
    <m/>
    <m/>
    <m/>
    <m/>
    <m/>
    <m/>
    <m/>
    <m/>
    <m/>
    <m/>
    <m/>
    <m/>
    <m/>
  </r>
  <r>
    <s v="TC-2010-000205-PHL"/>
    <n v="252"/>
    <x v="240"/>
    <d v="2010-10-26T00:00:00"/>
    <x v="15"/>
    <x v="5"/>
    <s v="Q2"/>
    <n v="2010"/>
    <n v="13"/>
    <s v="Europe/Asia"/>
    <s v="Philippines"/>
    <m/>
    <s v="Tropical Storm"/>
    <m/>
    <m/>
    <n v="2000000"/>
    <s v="Y"/>
    <s v="IFRC"/>
    <n v="4310000"/>
    <s v="MDRPH006"/>
    <n v="6.9605568445475635E-3"/>
    <m/>
    <s v="Y"/>
    <n v="214855"/>
    <n v="60000"/>
    <m/>
    <m/>
    <m/>
    <n v="30000"/>
    <m/>
    <m/>
    <m/>
    <n v="30000"/>
    <m/>
    <m/>
    <m/>
    <m/>
    <m/>
    <m/>
    <m/>
    <m/>
    <m/>
    <m/>
    <m/>
    <m/>
    <m/>
    <m/>
    <m/>
    <m/>
    <m/>
    <m/>
    <m/>
    <m/>
    <n v="30000"/>
    <m/>
    <m/>
    <m/>
    <x v="163"/>
    <s v="N"/>
    <m/>
    <m/>
    <m/>
    <m/>
    <n v="2032"/>
    <n v="30000"/>
    <m/>
    <m/>
    <m/>
    <m/>
    <m/>
    <m/>
    <s v="N"/>
    <m/>
    <m/>
    <m/>
    <m/>
    <s v="CASH: $30,000 PMN to Federation Appeal from 2032 earmarked for relief distribution."/>
  </r>
  <r>
    <s v="EQ-2010-000213-IDN &amp; VO-2010-000214-IDN"/>
    <n v="253"/>
    <x v="241"/>
    <d v="2010-11-08T00:00:00"/>
    <x v="15"/>
    <x v="6"/>
    <s v="Q2"/>
    <n v="2010"/>
    <n v="14"/>
    <s v="Europe/Asia"/>
    <s v="Indonesia"/>
    <m/>
    <s v="Tsunami &amp; Volcanic Eruption"/>
    <m/>
    <m/>
    <n v="215000"/>
    <s v="Y"/>
    <s v="IFRC"/>
    <n v="2865860"/>
    <s v="MDRID006"/>
    <n v="1.7446769905019786E-2"/>
    <m/>
    <s v="Y"/>
    <m/>
    <n v="25000"/>
    <m/>
    <m/>
    <n v="1"/>
    <n v="50000"/>
    <m/>
    <m/>
    <m/>
    <n v="50000"/>
    <m/>
    <m/>
    <m/>
    <m/>
    <m/>
    <m/>
    <m/>
    <m/>
    <m/>
    <m/>
    <m/>
    <m/>
    <m/>
    <m/>
    <m/>
    <m/>
    <m/>
    <m/>
    <m/>
    <m/>
    <n v="50000"/>
    <m/>
    <m/>
    <m/>
    <x v="16"/>
    <s v="N"/>
    <m/>
    <m/>
    <m/>
    <m/>
    <n v="2799"/>
    <m/>
    <m/>
    <m/>
    <m/>
    <m/>
    <m/>
    <m/>
    <s v="Y"/>
    <m/>
    <m/>
    <m/>
    <m/>
    <s v="CASH: $50,000 PMN to Federation Appeal from 2799 earmarked for relief."/>
  </r>
  <r>
    <s v="TC-2010-000216-BRB/LCA/VCT"/>
    <n v="254"/>
    <x v="242"/>
    <d v="2010-11-03T00:00:00"/>
    <x v="15"/>
    <x v="7"/>
    <s v="Q2"/>
    <n v="2010"/>
    <n v="15"/>
    <s v="LAC"/>
    <s v="Saint Lucia/ Saint Vincent and the Grenadines/ Barbados "/>
    <m/>
    <s v="Tropical Storm"/>
    <m/>
    <m/>
    <n v="9500"/>
    <s v="Y"/>
    <s v="IFRC"/>
    <n v="622109"/>
    <s v="MDR49006"/>
    <n v="0.23307812618046034"/>
    <m/>
    <m/>
    <m/>
    <n v="7500"/>
    <m/>
    <m/>
    <n v="1"/>
    <n v="145000"/>
    <m/>
    <m/>
    <m/>
    <n v="145000"/>
    <n v="6"/>
    <m/>
    <n v="6"/>
    <m/>
    <m/>
    <m/>
    <m/>
    <m/>
    <m/>
    <m/>
    <m/>
    <m/>
    <m/>
    <m/>
    <m/>
    <m/>
    <m/>
    <m/>
    <m/>
    <m/>
    <n v="145000"/>
    <m/>
    <m/>
    <m/>
    <x v="176"/>
    <s v="N"/>
    <m/>
    <m/>
    <m/>
    <m/>
    <n v="2799"/>
    <m/>
    <m/>
    <m/>
    <m/>
    <m/>
    <m/>
    <m/>
    <s v="Y"/>
    <m/>
    <m/>
    <m/>
    <m/>
    <s v="CASH: $75,000 PMN to Federation Appeal from 2799 earmarked for relief. $70,000 PMN to Federation appeal earmarked for relief supplies for St. Lucia (see RAP). PEOPLE: Six bilateral staff from ARC Haiti office deployed on Federation Emergency Response Teams."/>
  </r>
  <r>
    <m/>
    <n v="255"/>
    <x v="243"/>
    <d v="2010-11-09T00:00:00"/>
    <x v="15"/>
    <x v="8"/>
    <s v="Q2"/>
    <n v="2010"/>
    <n v="16"/>
    <s v="LAC"/>
    <s v="Belize"/>
    <m/>
    <s v="Tropical Storm"/>
    <m/>
    <m/>
    <m/>
    <s v="N"/>
    <m/>
    <m/>
    <s v="MDRBZ002"/>
    <s v=""/>
    <m/>
    <s v="Y"/>
    <n v="56303"/>
    <m/>
    <m/>
    <n v="4639"/>
    <m/>
    <m/>
    <m/>
    <n v="80000"/>
    <m/>
    <n v="80000"/>
    <n v="1"/>
    <m/>
    <n v="1"/>
    <m/>
    <m/>
    <m/>
    <m/>
    <m/>
    <m/>
    <m/>
    <m/>
    <m/>
    <m/>
    <m/>
    <m/>
    <m/>
    <m/>
    <m/>
    <m/>
    <m/>
    <n v="80000"/>
    <m/>
    <m/>
    <m/>
    <x v="9"/>
    <s v="N"/>
    <m/>
    <m/>
    <m/>
    <m/>
    <n v="2799"/>
    <m/>
    <m/>
    <m/>
    <m/>
    <m/>
    <m/>
    <m/>
    <s v="Y"/>
    <m/>
    <m/>
    <m/>
    <m/>
    <s v="CASH: $80,000 bilateral contribution by grant letter to Belize Red Cross earmarked for emergency shelter. _x000a_PEOPLE: Laura Havesi deployed for emergency shelter support and cash voucher program."/>
  </r>
  <r>
    <s v="EQ-2010-000251-CRI"/>
    <n v="256"/>
    <x v="7"/>
    <d v="2010-11-10T00:00:00"/>
    <x v="15"/>
    <x v="9"/>
    <s v="Q2"/>
    <n v="2010"/>
    <n v="17"/>
    <s v="LAC"/>
    <s v="Costa Rica"/>
    <m/>
    <s v="Floods"/>
    <m/>
    <m/>
    <n v="13500"/>
    <s v="N"/>
    <m/>
    <m/>
    <m/>
    <s v=""/>
    <m/>
    <s v="Y"/>
    <n v="123611"/>
    <n v="1000"/>
    <s v="Y"/>
    <m/>
    <m/>
    <m/>
    <m/>
    <n v="322330"/>
    <m/>
    <n v="322330"/>
    <m/>
    <m/>
    <m/>
    <m/>
    <m/>
    <m/>
    <m/>
    <m/>
    <m/>
    <m/>
    <m/>
    <m/>
    <m/>
    <m/>
    <m/>
    <m/>
    <m/>
    <m/>
    <m/>
    <m/>
    <n v="322330"/>
    <m/>
    <m/>
    <m/>
    <x v="180"/>
    <s v="Y"/>
    <m/>
    <m/>
    <m/>
    <m/>
    <s v="2760 OFDA "/>
    <m/>
    <m/>
    <m/>
    <m/>
    <m/>
    <m/>
    <s v="Y"/>
    <s v="N"/>
    <m/>
    <s v="OFDA"/>
    <m/>
    <m/>
    <s v="CASH: OFDA grant for $322,330 for distribution of relief supplies; small cash transfer program; disaster risk reduction workshops  "/>
  </r>
  <r>
    <s v="FL-2010-000076-COL"/>
    <n v="257"/>
    <x v="244"/>
    <d v="2010-12-16T00:00:00"/>
    <x v="15"/>
    <x v="10"/>
    <s v="Q2"/>
    <n v="2010"/>
    <n v="18"/>
    <s v="LAC"/>
    <s v="Colombia"/>
    <m/>
    <s v="Floods"/>
    <m/>
    <m/>
    <n v="1500000"/>
    <s v="Y"/>
    <s v="IFRC"/>
    <n v="1109939"/>
    <s v="MDRCO008"/>
    <n v="0.1801900825180483"/>
    <m/>
    <s v="Y"/>
    <n v="64807"/>
    <n v="71500"/>
    <m/>
    <n v="1500"/>
    <n v="1"/>
    <n v="80000"/>
    <m/>
    <n v="120000"/>
    <m/>
    <n v="200000"/>
    <m/>
    <m/>
    <m/>
    <n v="6000"/>
    <s v="Y"/>
    <m/>
    <m/>
    <m/>
    <m/>
    <m/>
    <m/>
    <m/>
    <n v="6000"/>
    <m/>
    <m/>
    <m/>
    <m/>
    <m/>
    <n v="40000"/>
    <m/>
    <n v="240000"/>
    <m/>
    <m/>
    <m/>
    <x v="181"/>
    <s v="Y"/>
    <s v="C"/>
    <m/>
    <m/>
    <m/>
    <n v="2799"/>
    <m/>
    <n v="2025"/>
    <n v="155000"/>
    <m/>
    <m/>
    <m/>
    <m/>
    <s v="Y"/>
    <m/>
    <s v="Dow - $120,000; Merck - $10,000; Citigroup - $25,000. "/>
    <m/>
    <m/>
    <s v="SUPPLIES: IFRC mob table contribution: 6,000 mosquito nets @ $40,000; CASH: $80,000 cash pledge to Federation appeal - MDRCO008 earmarked for NFIs for relief distribution; Bilateral $120,000 bilateral contribution for health and DRR programming. "/>
  </r>
  <r>
    <s v="FL-2010-000225-PAN"/>
    <n v="258"/>
    <x v="80"/>
    <d v="2010-11-30T00:00:00"/>
    <x v="15"/>
    <x v="11"/>
    <s v="Q2"/>
    <n v="2010"/>
    <n v="19"/>
    <s v="LAC"/>
    <s v="Panama"/>
    <m/>
    <s v="Floods"/>
    <m/>
    <m/>
    <n v="6200"/>
    <s v="Y"/>
    <s v="IFRC"/>
    <n v="364732"/>
    <s v="MDRPA007"/>
    <n v="0"/>
    <m/>
    <s v="Y"/>
    <n v="82608"/>
    <n v="10225"/>
    <m/>
    <n v="300"/>
    <m/>
    <m/>
    <m/>
    <m/>
    <m/>
    <m/>
    <m/>
    <m/>
    <m/>
    <n v="1714"/>
    <s v="Y"/>
    <n v="214"/>
    <n v="1500"/>
    <m/>
    <m/>
    <m/>
    <m/>
    <m/>
    <m/>
    <m/>
    <m/>
    <m/>
    <m/>
    <m/>
    <n v="9812"/>
    <m/>
    <n v="9812"/>
    <m/>
    <m/>
    <m/>
    <x v="182"/>
    <s v="N"/>
    <m/>
    <m/>
    <m/>
    <m/>
    <n v="2799"/>
    <m/>
    <m/>
    <m/>
    <m/>
    <m/>
    <m/>
    <m/>
    <s v="Y"/>
    <m/>
    <m/>
    <m/>
    <m/>
    <s v="SUPPPLIES: 1,500 blankets and 214 hygiene kits at $9,812 from PADRU."/>
  </r>
  <r>
    <s v="OT-2011-000025-TUN/LBY/EGY"/>
    <n v="259"/>
    <x v="245"/>
    <d v="2011-02-28T00:00:00"/>
    <x v="15"/>
    <x v="12"/>
    <s v="Q3"/>
    <n v="2011"/>
    <n v="1"/>
    <s v="Europe/Asia"/>
    <s v="Tunisia"/>
    <m/>
    <s v="Civil Unrest"/>
    <m/>
    <m/>
    <m/>
    <s v="Y"/>
    <s v="IFRC &amp; ICRC"/>
    <n v="45216000"/>
    <s v="MDR82001 &amp; REX2011/114"/>
    <n v="8.786049186128804E-3"/>
    <m/>
    <s v="Y"/>
    <n v="431000"/>
    <n v="306000"/>
    <m/>
    <m/>
    <n v="1"/>
    <n v="297270"/>
    <n v="100000"/>
    <m/>
    <m/>
    <n v="397270"/>
    <n v="5"/>
    <m/>
    <m/>
    <n v="1500"/>
    <s v="Y"/>
    <m/>
    <m/>
    <m/>
    <m/>
    <m/>
    <m/>
    <m/>
    <m/>
    <m/>
    <n v="1500"/>
    <m/>
    <m/>
    <m/>
    <n v="43000"/>
    <m/>
    <n v="440270"/>
    <m/>
    <m/>
    <m/>
    <x v="183"/>
    <s v="Y"/>
    <s v="P"/>
    <n v="154218"/>
    <m/>
    <m/>
    <s v="2869/ARCT"/>
    <m/>
    <n v="2010"/>
    <m/>
    <n v="2799"/>
    <s v="FACT deployment expenses"/>
    <s v="Y"/>
    <m/>
    <s v="N"/>
    <m/>
    <s v="Online designation on redcross.org.  An overwhelming majority of the $150k funds raised were through the online designation. ARCT/ 2869; AP 2010, Middle East R&amp;D – revenue;  2099, IRF – 100k to ICRC (replenished by 2010); 2799, RRF – FACT deployment expenses + PMN for Syria"/>
    <m/>
    <s v="TUNISIA: People Displaced by Conflict   Soon after violence broke out in Libya in February 2011, hundreds of thousands of people fled to neighboring countries, with the greatest number arriving in Tunisia. Along the border, Red Crescent volunteers greeted the initial droves of migrant workers and provided them with first aid, shelter, food, blankets, clean water, sanitation services, and phone calls to loved ones until they could make arrangements to return to their homelands. To support these efforts, the American Red Cross also led teams of Red Cross and Red Crescent workers from around the world to build and support a tent community in Tunisia for families escaping the violence across the border and provided $300,000 in assistance for the operation."/>
    <s v="CASH: 1) $100,000 to ICRC earmarked for Tunisia from AP2010; PMN for $162,270 earmarked for locally procured supplies by AP2869/ARCT; 2) $135,000 PMN from AP 2799 for $44,000 and AP 2831/ ARCT for $91,000 earmarked for Syria for local procurement of food parcels. SUPPLIES:1500 tarps from Dubai warehouse as of March 2011; PEOPLE: Deployed for FACT team members: Langdon Greenhalgh, FACT team leader; Marian Spivey-Estrada, FACT Info &amp; Reporting; Colin Chaperon, FACT relief coordinator; Gina Guinta, FACT Info &amp; Reporting - 2nd round; Laura Hevesi FACT relief coordinator."/>
  </r>
  <r>
    <s v="EQ-2011-000024-NZL"/>
    <n v="260"/>
    <x v="246"/>
    <d v="2011-02-23T00:00:00"/>
    <x v="15"/>
    <x v="13"/>
    <s v="Q3"/>
    <n v="2011"/>
    <n v="2"/>
    <s v="Europe/Asia"/>
    <s v="New Zealand"/>
    <m/>
    <s v="Earthquake"/>
    <m/>
    <m/>
    <m/>
    <s v="N"/>
    <m/>
    <m/>
    <m/>
    <s v=""/>
    <m/>
    <m/>
    <m/>
    <n v="47800"/>
    <s v="Y"/>
    <m/>
    <m/>
    <m/>
    <m/>
    <n v="826450"/>
    <m/>
    <n v="826450"/>
    <m/>
    <m/>
    <m/>
    <m/>
    <m/>
    <m/>
    <m/>
    <m/>
    <m/>
    <m/>
    <m/>
    <m/>
    <m/>
    <m/>
    <m/>
    <m/>
    <m/>
    <m/>
    <m/>
    <m/>
    <n v="826450"/>
    <m/>
    <m/>
    <m/>
    <x v="184"/>
    <s v="Y"/>
    <s v="P"/>
    <n v="898367"/>
    <d v="2011-04-19T00:00:00"/>
    <d v="2011-04-19T00:00:00"/>
    <n v="2881"/>
    <m/>
    <m/>
    <m/>
    <m/>
    <m/>
    <m/>
    <m/>
    <s v="N"/>
    <m/>
    <m/>
    <m/>
    <m/>
    <s v="CASH: Two grant letters to be made - $772,000 on April 12, 2011; second one for $54,450 June 23, 2011"/>
  </r>
  <r>
    <m/>
    <n v="261"/>
    <x v="247"/>
    <d v="2011-03-01T00:00:00"/>
    <x v="15"/>
    <x v="14"/>
    <s v="Q3"/>
    <n v="2011"/>
    <n v="3"/>
    <s v="LAC"/>
    <s v="Paraguay"/>
    <m/>
    <s v="Epidemic"/>
    <m/>
    <m/>
    <m/>
    <s v="N"/>
    <m/>
    <m/>
    <m/>
    <s v=""/>
    <m/>
    <s v="N"/>
    <m/>
    <m/>
    <s v="Y"/>
    <n v="2000"/>
    <m/>
    <m/>
    <m/>
    <n v="56000"/>
    <m/>
    <n v="56000"/>
    <m/>
    <m/>
    <m/>
    <m/>
    <m/>
    <m/>
    <m/>
    <m/>
    <m/>
    <m/>
    <m/>
    <m/>
    <m/>
    <m/>
    <m/>
    <m/>
    <m/>
    <m/>
    <m/>
    <m/>
    <n v="56000"/>
    <m/>
    <m/>
    <m/>
    <x v="185"/>
    <s v="Y"/>
    <s v="C"/>
    <n v="56000"/>
    <d v="2011-02-28T00:00:00"/>
    <d v="2011-02-28T00:00:00"/>
    <n v="2025"/>
    <m/>
    <m/>
    <m/>
    <m/>
    <m/>
    <m/>
    <m/>
    <s v="N"/>
    <m/>
    <s v="Part of GE $250,000 contribution for Brazil Floods and went to various South American disasters."/>
    <m/>
    <m/>
    <s v="CASH: $50,000 Bilateral contribution via grant letter to Paraguay Red Cross for Dengue outbreak activities."/>
  </r>
  <r>
    <s v="EQ-2011-000028-JPN"/>
    <n v="262"/>
    <x v="248"/>
    <d v="2011-03-11T00:00:00"/>
    <x v="15"/>
    <x v="15"/>
    <s v="Q3"/>
    <n v="2011"/>
    <n v="4"/>
    <s v="Europe/Asia"/>
    <s v="Japan"/>
    <m/>
    <s v="Earthquake/ Tsunami"/>
    <m/>
    <m/>
    <n v="300000"/>
    <s v="N"/>
    <m/>
    <m/>
    <m/>
    <s v=""/>
    <m/>
    <m/>
    <m/>
    <n v="225000"/>
    <s v="Y"/>
    <m/>
    <m/>
    <m/>
    <m/>
    <n v="276000000"/>
    <n v="1500000"/>
    <n v="279800000"/>
    <n v="3"/>
    <m/>
    <m/>
    <m/>
    <m/>
    <m/>
    <m/>
    <m/>
    <m/>
    <m/>
    <m/>
    <m/>
    <m/>
    <m/>
    <m/>
    <m/>
    <m/>
    <m/>
    <m/>
    <m/>
    <n v="279800000"/>
    <m/>
    <m/>
    <m/>
    <x v="186"/>
    <s v="Y"/>
    <s v="P"/>
    <n v="307256521"/>
    <d v="2011-12-01T00:00:00"/>
    <s v="ongoing"/>
    <n v="2687"/>
    <m/>
    <n v="2841"/>
    <m/>
    <m/>
    <m/>
    <m/>
    <m/>
    <s v="N"/>
    <m/>
    <m/>
    <m/>
    <m/>
    <s v="CASH: Bilateral contribution via grant letter to Japanese Red Cross  for response activities: 1) $10M March 14, 2) $50M - April 1; 3) $40M - April 11; 4) $30M - April 29; 5) $30M - May 12; 6) $46 M - June 10; 7) $35M - July 11;  8) $15M - Aug. 28_x000a_Additional cash grants to JRCS will occur. _x000a_To other agencies: 1) $500,000 - March 21 -World Food Programme; 2) $1M total -  $3M - April 11 - IOM; Note refund from IOM due to programming - $2M October 2011. _x000a_ARC internal: $300,000 - March 21 - Service to Armed Forces; _x000a_PEOPLE: Nan Buzard on high level Fed Liaison trip; Tom Alcedo to Fed Liaison team; John Manley to Fed Liaison team."/>
  </r>
  <r>
    <s v="FL-2011-000020-BOL"/>
    <n v="263"/>
    <x v="48"/>
    <d v="2011-03-23T00:00:00"/>
    <x v="15"/>
    <x v="16"/>
    <s v="Q3"/>
    <n v="2011"/>
    <n v="5"/>
    <s v="LAC"/>
    <s v="Bolivia"/>
    <m/>
    <s v="Floods"/>
    <m/>
    <m/>
    <n v="70000"/>
    <s v="Y"/>
    <s v="IFRC"/>
    <n v="571602"/>
    <s v="MDRBO006"/>
    <n v="0.31840336457885032"/>
    <m/>
    <m/>
    <m/>
    <n v="2500"/>
    <m/>
    <m/>
    <n v="1"/>
    <n v="182000"/>
    <m/>
    <m/>
    <m/>
    <n v="182000"/>
    <m/>
    <m/>
    <m/>
    <m/>
    <m/>
    <m/>
    <m/>
    <m/>
    <m/>
    <m/>
    <m/>
    <m/>
    <m/>
    <m/>
    <m/>
    <m/>
    <m/>
    <m/>
    <m/>
    <m/>
    <n v="182000"/>
    <m/>
    <m/>
    <m/>
    <x v="187"/>
    <s v="Y"/>
    <s v="C"/>
    <n v="200000"/>
    <d v="2011-05-10T00:00:00"/>
    <d v="2011-05-10T00:00:00"/>
    <s v="2869/ARCT"/>
    <n v="100000"/>
    <n v="2025"/>
    <n v="100000"/>
    <m/>
    <m/>
    <s v="Y"/>
    <m/>
    <s v="N"/>
    <m/>
    <s v="ARCT funding - $100,000. GE corporate contribution - $100,000."/>
    <m/>
    <m/>
    <s v="CASH: 1) PMN for $91,000 from ARCT IERRF funds for appeal. 2) Second PMN for $91,000 from 2025 - South America R &amp; D"/>
  </r>
  <r>
    <s v="OT-2010-000255-CIV"/>
    <n v="264"/>
    <x v="249"/>
    <d v="2011-04-01T00:00:00"/>
    <x v="15"/>
    <x v="17"/>
    <s v="Q4"/>
    <n v="2011"/>
    <n v="6"/>
    <s v="Africa"/>
    <s v="Liberia"/>
    <m/>
    <s v="Population Movement"/>
    <m/>
    <m/>
    <m/>
    <s v="Y"/>
    <s v="IFRC"/>
    <n v="4340568"/>
    <s v="MDR61007"/>
    <n v="3.4557689224083116E-2"/>
    <m/>
    <m/>
    <m/>
    <n v="67500"/>
    <m/>
    <m/>
    <n v="1"/>
    <n v="150000"/>
    <m/>
    <m/>
    <m/>
    <n v="150000"/>
    <m/>
    <m/>
    <m/>
    <m/>
    <m/>
    <m/>
    <m/>
    <m/>
    <m/>
    <m/>
    <m/>
    <m/>
    <m/>
    <m/>
    <m/>
    <m/>
    <m/>
    <m/>
    <m/>
    <m/>
    <n v="150000"/>
    <m/>
    <m/>
    <m/>
    <x v="13"/>
    <s v="N"/>
    <m/>
    <m/>
    <m/>
    <m/>
    <n v="2799"/>
    <m/>
    <m/>
    <m/>
    <m/>
    <m/>
    <m/>
    <m/>
    <s v="Y"/>
    <m/>
    <m/>
    <m/>
    <m/>
    <s v="CASH: Contribution to Federation appeal MDR61007 for $150,000 for Liberia earmarked for relief and operations. "/>
  </r>
  <r>
    <s v="FL-2011-000007-NAM"/>
    <n v="265"/>
    <x v="215"/>
    <d v="2011-03-25T00:00:00"/>
    <x v="15"/>
    <x v="18"/>
    <s v="Q4"/>
    <n v="2011"/>
    <n v="7"/>
    <s v="Africa"/>
    <s v="Namibia"/>
    <m/>
    <s v="Floods"/>
    <m/>
    <m/>
    <n v="228500"/>
    <s v="Y"/>
    <s v="IFRC"/>
    <n v="2032221"/>
    <s v="MDRNA006"/>
    <n v="2.4603623326400034E-2"/>
    <m/>
    <m/>
    <m/>
    <n v="37457"/>
    <m/>
    <m/>
    <n v="1"/>
    <n v="50000"/>
    <m/>
    <m/>
    <m/>
    <n v="50000"/>
    <m/>
    <m/>
    <m/>
    <m/>
    <m/>
    <m/>
    <m/>
    <m/>
    <m/>
    <m/>
    <m/>
    <m/>
    <m/>
    <m/>
    <m/>
    <m/>
    <m/>
    <m/>
    <m/>
    <m/>
    <n v="50000"/>
    <m/>
    <m/>
    <m/>
    <x v="16"/>
    <s v="N"/>
    <m/>
    <m/>
    <m/>
    <m/>
    <n v="2799"/>
    <m/>
    <m/>
    <m/>
    <m/>
    <m/>
    <m/>
    <m/>
    <s v="Y"/>
    <m/>
    <m/>
    <m/>
    <m/>
    <s v="CASH: Contribution to Namibia floods Federation appeal MDRNA006 for $50,000 earmarked for emergency shelter and watsan. "/>
  </r>
  <r>
    <s v="DR-2011-000029-KEN"/>
    <n v="266"/>
    <x v="250"/>
    <d v="2011-07-28T00:00:00"/>
    <x v="16"/>
    <x v="1"/>
    <s v="Q1"/>
    <n v="2011"/>
    <n v="8"/>
    <s v="Africa"/>
    <s v="[rollup]"/>
    <m/>
    <s v="Drought"/>
    <m/>
    <m/>
    <n v="13300000"/>
    <s v="Y"/>
    <s v="IFRC &amp; ICRC"/>
    <n v="254000000"/>
    <s v="Various - see RAP"/>
    <n v="1.2255905511811023E-2"/>
    <m/>
    <m/>
    <m/>
    <n v="2840000"/>
    <m/>
    <m/>
    <n v="4"/>
    <n v="2000000"/>
    <n v="1113000"/>
    <m/>
    <m/>
    <n v="3113000"/>
    <m/>
    <m/>
    <m/>
    <m/>
    <s v="Y"/>
    <m/>
    <m/>
    <m/>
    <n v="4900"/>
    <m/>
    <m/>
    <m/>
    <n v="20000"/>
    <m/>
    <m/>
    <m/>
    <m/>
    <m/>
    <n v="122000"/>
    <m/>
    <n v="3235000"/>
    <m/>
    <m/>
    <m/>
    <x v="188"/>
    <s v="Y"/>
    <s v="P"/>
    <n v="4185949"/>
    <d v="2011-12-01T00:00:00"/>
    <s v="ongoing"/>
    <s v="2831/ARCT"/>
    <n v="200000"/>
    <n v="2836"/>
    <n v="2553000"/>
    <n v="2099"/>
    <n v="200000"/>
    <s v="Y"/>
    <m/>
    <s v="N"/>
    <s v="Y"/>
    <s v="ARCT -2831 FY12 fund - $200,000"/>
    <m/>
    <s v="HORN OF AFRICA:  People Displaced by Drought _x000a_A drought that began in 2009 in the Horn of Africa has resulted in massive crop failure, water scarcity, low food supplies, livestock deaths and the migration of people from Ethiopia, Kenya, Djibouti, Tanzania and most severely, Somalia. More than 13 million people have been affected.  Although rains have fallen in the drought areas, floods and insecurity continue to hamper humanitarian operations in Kenya and Somalia. Red Cross and Red Crescent societies in Ethiopia, Kenya, Djibouti, Tanzania and Somalia are responding to the disaster with support from partners in the global Red Cross network.  The American Red Cross has committed $3.9 million in support of Red Cross and Red Crescent response activities in the region."/>
    <s v="CASH: 1) $582,000 +$531,000 contribution to ICRC emergency appeal EA2011 for Somalia - sources:  $182,000 from ARCT/2831, $200,000 + $531,000 from 2836, and $200,000 from IRF/2099 per Sr VP; 2). PMN $1,000,000 contribution to Kenya Drought appeal MDRKE016 from 2836; 3) PMN for$600,000 contribution to Ethiopia appeal MDRE010 from 2836; 4) PMN for $100,000 for Tanzania Drought appeal MDRTZ012 from 2836. 5) Pledge letter to ICRC 2012 Somalia Emergency Appeal for $500,000; 6) PMN to IFRC Regional Framework"/>
  </r>
  <r>
    <s v="DR-2011-000029-KEN"/>
    <n v="266"/>
    <x v="250"/>
    <d v="2011-07-28T00:00:00"/>
    <x v="16"/>
    <x v="1"/>
    <s v="Q1"/>
    <n v="2011"/>
    <n v="8"/>
    <s v="Africa"/>
    <s v="Kenya"/>
    <m/>
    <m/>
    <m/>
    <m/>
    <m/>
    <m/>
    <m/>
    <m/>
    <m/>
    <s v=""/>
    <m/>
    <m/>
    <m/>
    <n v="1000000"/>
    <m/>
    <m/>
    <m/>
    <n v="1200000"/>
    <m/>
    <m/>
    <m/>
    <m/>
    <m/>
    <m/>
    <m/>
    <m/>
    <m/>
    <m/>
    <m/>
    <m/>
    <m/>
    <m/>
    <m/>
    <m/>
    <m/>
    <m/>
    <m/>
    <m/>
    <m/>
    <m/>
    <m/>
    <m/>
    <m/>
    <m/>
    <m/>
    <m/>
    <x v="152"/>
    <m/>
    <m/>
    <m/>
    <m/>
    <m/>
    <m/>
    <m/>
    <m/>
    <m/>
    <m/>
    <m/>
    <m/>
    <m/>
    <m/>
    <m/>
    <m/>
    <m/>
    <m/>
    <m/>
  </r>
  <r>
    <s v="DR-2011-000029-KEN"/>
    <n v="266"/>
    <x v="250"/>
    <d v="2011-07-28T00:00:00"/>
    <x v="16"/>
    <x v="1"/>
    <s v="Q1"/>
    <n v="2011"/>
    <n v="8"/>
    <s v="Africa"/>
    <s v="Ethiopia"/>
    <m/>
    <m/>
    <m/>
    <m/>
    <m/>
    <m/>
    <m/>
    <m/>
    <m/>
    <s v=""/>
    <m/>
    <m/>
    <m/>
    <n v="570000"/>
    <m/>
    <m/>
    <m/>
    <n v="800000"/>
    <m/>
    <m/>
    <m/>
    <m/>
    <m/>
    <m/>
    <m/>
    <m/>
    <m/>
    <m/>
    <m/>
    <m/>
    <m/>
    <m/>
    <m/>
    <m/>
    <m/>
    <m/>
    <m/>
    <m/>
    <m/>
    <m/>
    <m/>
    <m/>
    <m/>
    <m/>
    <m/>
    <m/>
    <x v="152"/>
    <m/>
    <m/>
    <m/>
    <m/>
    <m/>
    <m/>
    <m/>
    <m/>
    <m/>
    <m/>
    <m/>
    <m/>
    <m/>
    <m/>
    <m/>
    <m/>
    <m/>
    <m/>
    <m/>
  </r>
  <r>
    <s v="DR-2011-000029-KEN"/>
    <n v="266"/>
    <x v="250"/>
    <d v="2011-07-28T00:00:00"/>
    <x v="16"/>
    <x v="1"/>
    <s v="Q1"/>
    <n v="2011"/>
    <n v="8"/>
    <s v="Africa"/>
    <s v="Somalia"/>
    <m/>
    <m/>
    <m/>
    <m/>
    <m/>
    <m/>
    <m/>
    <m/>
    <m/>
    <s v=""/>
    <m/>
    <m/>
    <m/>
    <n v="1250000"/>
    <m/>
    <m/>
    <m/>
    <m/>
    <m/>
    <m/>
    <m/>
    <m/>
    <m/>
    <m/>
    <m/>
    <m/>
    <m/>
    <m/>
    <m/>
    <m/>
    <m/>
    <m/>
    <m/>
    <m/>
    <m/>
    <m/>
    <m/>
    <m/>
    <m/>
    <m/>
    <m/>
    <m/>
    <m/>
    <m/>
    <m/>
    <m/>
    <x v="152"/>
    <m/>
    <m/>
    <m/>
    <m/>
    <m/>
    <m/>
    <m/>
    <m/>
    <m/>
    <m/>
    <m/>
    <m/>
    <m/>
    <m/>
    <m/>
    <m/>
    <m/>
    <m/>
    <m/>
  </r>
  <r>
    <s v="DR-2011-000029-KEN"/>
    <n v="266"/>
    <x v="250"/>
    <d v="2011-07-28T00:00:00"/>
    <x v="16"/>
    <x v="1"/>
    <s v="Q1"/>
    <n v="2011"/>
    <n v="8"/>
    <s v="Africa"/>
    <s v="Tanzania"/>
    <m/>
    <m/>
    <m/>
    <m/>
    <m/>
    <m/>
    <m/>
    <m/>
    <m/>
    <s v=""/>
    <m/>
    <m/>
    <m/>
    <n v="20000"/>
    <m/>
    <m/>
    <m/>
    <m/>
    <m/>
    <m/>
    <m/>
    <m/>
    <m/>
    <m/>
    <m/>
    <m/>
    <m/>
    <m/>
    <m/>
    <m/>
    <m/>
    <m/>
    <m/>
    <m/>
    <m/>
    <m/>
    <m/>
    <m/>
    <m/>
    <m/>
    <m/>
    <m/>
    <m/>
    <m/>
    <m/>
    <m/>
    <x v="152"/>
    <m/>
    <m/>
    <m/>
    <m/>
    <m/>
    <m/>
    <m/>
    <m/>
    <m/>
    <m/>
    <m/>
    <m/>
    <m/>
    <m/>
    <m/>
    <m/>
    <m/>
    <m/>
    <m/>
  </r>
  <r>
    <s v="FL-2011-000096-PRK"/>
    <n v="267"/>
    <x v="251"/>
    <d v="2011-08-24T00:00:00"/>
    <x v="16"/>
    <x v="2"/>
    <s v="Q1"/>
    <n v="2011"/>
    <n v="9"/>
    <s v="Europe/Asia"/>
    <s v="DPRK/North Korea"/>
    <m/>
    <s v="Floods"/>
    <m/>
    <m/>
    <n v="45000"/>
    <s v="Y"/>
    <s v="IFRC"/>
    <n v="4400000"/>
    <s v="MDRKP003"/>
    <n v="1.1363636363636364E-2"/>
    <m/>
    <s v="Y"/>
    <n v="575551"/>
    <n v="30000"/>
    <m/>
    <m/>
    <n v="1"/>
    <n v="50000"/>
    <m/>
    <m/>
    <m/>
    <n v="50000"/>
    <m/>
    <m/>
    <m/>
    <m/>
    <m/>
    <m/>
    <m/>
    <m/>
    <m/>
    <m/>
    <m/>
    <m/>
    <m/>
    <m/>
    <m/>
    <m/>
    <m/>
    <m/>
    <m/>
    <m/>
    <n v="50000"/>
    <m/>
    <m/>
    <m/>
    <x v="16"/>
    <s v="N"/>
    <m/>
    <m/>
    <m/>
    <m/>
    <n v="2799"/>
    <m/>
    <m/>
    <m/>
    <m/>
    <m/>
    <m/>
    <m/>
    <s v="Y"/>
    <m/>
    <m/>
    <m/>
    <m/>
    <s v="CASH: $50,000 contribution to appeal earmarked for food procurement, from 2799/RRF."/>
  </r>
  <r>
    <s v="FL-2011-000093-BGD"/>
    <n v="268"/>
    <x v="19"/>
    <d v="2011-08-31T00:00:00"/>
    <x v="16"/>
    <x v="3"/>
    <s v="Q1"/>
    <n v="2011"/>
    <n v="10"/>
    <s v="Europe/Asia"/>
    <s v="Bangladesh"/>
    <m/>
    <s v="Floods"/>
    <m/>
    <m/>
    <n v="700000"/>
    <s v="Y"/>
    <s v="IFRC"/>
    <n v="1500000"/>
    <s v="MDRBD009"/>
    <n v="3.3333333333333333E-2"/>
    <m/>
    <s v="Y"/>
    <m/>
    <n v="50000"/>
    <m/>
    <m/>
    <n v="1"/>
    <n v="50000"/>
    <m/>
    <m/>
    <m/>
    <n v="50000"/>
    <m/>
    <m/>
    <m/>
    <m/>
    <m/>
    <m/>
    <m/>
    <m/>
    <m/>
    <m/>
    <m/>
    <m/>
    <m/>
    <m/>
    <m/>
    <m/>
    <m/>
    <m/>
    <m/>
    <m/>
    <n v="50000"/>
    <m/>
    <m/>
    <m/>
    <x v="16"/>
    <s v="N"/>
    <m/>
    <m/>
    <m/>
    <m/>
    <n v="2799"/>
    <m/>
    <m/>
    <m/>
    <m/>
    <m/>
    <m/>
    <m/>
    <s v="Y"/>
    <m/>
    <m/>
    <m/>
    <m/>
    <s v="CASH: $50,000 contribution to appeal earmarked for relilef distribution from 2799/RRF."/>
  </r>
  <r>
    <s v="FL-2011-000130-PAK"/>
    <n v="269"/>
    <x v="252"/>
    <d v="2011-09-12T00:00:00"/>
    <x v="16"/>
    <x v="4"/>
    <s v="Q1"/>
    <n v="2011"/>
    <n v="11"/>
    <s v="Europe/Asia"/>
    <s v="Pakistan"/>
    <m/>
    <s v="Floods"/>
    <m/>
    <m/>
    <n v="5000000"/>
    <s v="Y"/>
    <s v="IFRC"/>
    <n v="11900000"/>
    <s v="MDRPK007"/>
    <n v="4.2016806722689074E-3"/>
    <m/>
    <s v="Y"/>
    <m/>
    <n v="105000"/>
    <m/>
    <m/>
    <n v="1"/>
    <n v="50000"/>
    <m/>
    <m/>
    <m/>
    <n v="50000"/>
    <m/>
    <m/>
    <m/>
    <m/>
    <m/>
    <m/>
    <m/>
    <m/>
    <m/>
    <m/>
    <m/>
    <m/>
    <m/>
    <m/>
    <m/>
    <m/>
    <m/>
    <m/>
    <m/>
    <m/>
    <n v="50000"/>
    <m/>
    <m/>
    <m/>
    <x v="16"/>
    <s v="N"/>
    <m/>
    <m/>
    <m/>
    <m/>
    <n v="2799"/>
    <m/>
    <m/>
    <m/>
    <m/>
    <m/>
    <m/>
    <m/>
    <s v="Y"/>
    <m/>
    <m/>
    <m/>
    <m/>
    <s v="CASH: $50,000 contribution to appeal earmarked for relilef distribution from 2799/RRF."/>
  </r>
  <r>
    <s v="TC-2011-000147-PhL"/>
    <n v="270"/>
    <x v="163"/>
    <d v="2011-10-06T00:00:00"/>
    <x v="16"/>
    <x v="5"/>
    <s v="Q2"/>
    <n v="2011"/>
    <n v="12"/>
    <s v="Europe/Asia"/>
    <s v="Philippines"/>
    <m/>
    <s v="Tropical Storm"/>
    <m/>
    <m/>
    <n v="3200000"/>
    <s v="Y"/>
    <s v="IFRC"/>
    <n v="3800000"/>
    <s v="MDRPH007"/>
    <n v="1.3157894736842105E-2"/>
    <m/>
    <s v="Y"/>
    <m/>
    <n v="250000"/>
    <m/>
    <m/>
    <n v="1"/>
    <n v="50000"/>
    <m/>
    <m/>
    <m/>
    <n v="50000"/>
    <m/>
    <m/>
    <m/>
    <m/>
    <m/>
    <m/>
    <m/>
    <m/>
    <m/>
    <m/>
    <m/>
    <m/>
    <m/>
    <m/>
    <m/>
    <m/>
    <m/>
    <m/>
    <m/>
    <m/>
    <n v="50000"/>
    <m/>
    <m/>
    <m/>
    <x v="16"/>
    <s v="N"/>
    <m/>
    <m/>
    <m/>
    <m/>
    <n v="2799"/>
    <m/>
    <m/>
    <m/>
    <m/>
    <m/>
    <m/>
    <m/>
    <s v="Y"/>
    <m/>
    <m/>
    <m/>
    <m/>
    <s v="CASH: $50,000 contribution to appeal earmarked for relilef distribution from 2799/RRF."/>
  </r>
  <r>
    <s v="TC-2011-000157-GTM"/>
    <n v="271"/>
    <x v="205"/>
    <d v="2011-10-20T00:00:00"/>
    <x v="16"/>
    <x v="6"/>
    <s v="Q2"/>
    <n v="2011"/>
    <n v="13"/>
    <s v="LAC"/>
    <s v="[rollup]"/>
    <m/>
    <s v="Floods"/>
    <m/>
    <m/>
    <n v="638000"/>
    <s v="Y"/>
    <s v="IFRC"/>
    <n v="2198600"/>
    <s v="MDRGT003 / MDRSV004"/>
    <n v="2.2259619758027836E-2"/>
    <m/>
    <s v="Y"/>
    <m/>
    <n v="2500"/>
    <s v="Y"/>
    <n v="9000"/>
    <m/>
    <m/>
    <m/>
    <n v="48940"/>
    <m/>
    <n v="48940"/>
    <n v="3"/>
    <m/>
    <n v="3"/>
    <n v="26000"/>
    <s v="Y"/>
    <n v="2300"/>
    <n v="11500"/>
    <n v="4600"/>
    <m/>
    <m/>
    <m/>
    <m/>
    <n v="4600"/>
    <m/>
    <n v="3000"/>
    <m/>
    <m/>
    <m/>
    <n v="255000"/>
    <m/>
    <n v="303940"/>
    <m/>
    <m/>
    <m/>
    <x v="189"/>
    <s v="Y"/>
    <s v="C"/>
    <m/>
    <m/>
    <d v="2011-11-03T00:00:00"/>
    <s v="2831/ARCT"/>
    <n v="200000"/>
    <n v="2882"/>
    <n v="103940"/>
    <m/>
    <m/>
    <s v="Y"/>
    <m/>
    <s v="N"/>
    <m/>
    <s v="ARCT - 2831 FY12 fund - $200,000"/>
    <m/>
    <m/>
    <s v="CASH: $17,190 bilateral grant letter to El Salvador Red Cross for distribution costs; $18,125 bilateral grant letter to Honduras Red Cross for distribution costs; $13,625 bilateral grant letter to Nicaragua Red Cross for distribution costs._x000a_SUPPLIES: Bilateral contributions - see RAPs for detail: Supplies for 500 families  to Nicaraguan Red Cross valued at$61,000; supplies for 800 families for El Salvador Red Cross valued at$73,000; supplies for 500 families to Honduras Red Cross valued at $60,000. Multilateral contribution - supplies from Guatemala appeal mob table  for 500 families to Guatemalan Red Cross valued at $61,000. _x000a_PEOPLE:  Three Panama delegation-based ARC staff deployed as disaster management liasons: Raymundo Ortega to assist Nicaragua Red Cross; Luis Guzman to assist El Salvador Red Cross; Alvaro Garita to assist Honduras Red Cross."/>
  </r>
  <r>
    <s v="TC-2011-000157-GTM"/>
    <n v="271"/>
    <x v="205"/>
    <d v="2011-10-20T00:00:00"/>
    <x v="16"/>
    <x v="6"/>
    <s v="Q2"/>
    <n v="2011"/>
    <n v="13"/>
    <s v="LAC"/>
    <s v="El Salvador"/>
    <m/>
    <m/>
    <m/>
    <m/>
    <m/>
    <m/>
    <m/>
    <n v="1300000"/>
    <s v="MDRSV004"/>
    <n v="1.3223076923076922E-2"/>
    <m/>
    <m/>
    <m/>
    <m/>
    <m/>
    <m/>
    <m/>
    <m/>
    <m/>
    <n v="17190"/>
    <m/>
    <m/>
    <m/>
    <m/>
    <m/>
    <m/>
    <m/>
    <n v="800"/>
    <n v="4000"/>
    <n v="1600"/>
    <m/>
    <m/>
    <m/>
    <m/>
    <n v="1600"/>
    <m/>
    <m/>
    <m/>
    <m/>
    <m/>
    <m/>
    <m/>
    <m/>
    <m/>
    <m/>
    <m/>
    <x v="152"/>
    <m/>
    <m/>
    <m/>
    <m/>
    <m/>
    <m/>
    <m/>
    <m/>
    <m/>
    <m/>
    <m/>
    <m/>
    <m/>
    <m/>
    <m/>
    <m/>
    <m/>
    <m/>
    <m/>
  </r>
  <r>
    <s v="TC-2011-000157-GTM"/>
    <n v="271"/>
    <x v="205"/>
    <d v="2011-10-20T00:00:00"/>
    <x v="16"/>
    <x v="6"/>
    <s v="Q2"/>
    <n v="2011"/>
    <n v="13"/>
    <s v="LAC"/>
    <s v="Honduras"/>
    <m/>
    <m/>
    <m/>
    <m/>
    <m/>
    <m/>
    <m/>
    <m/>
    <m/>
    <s v=""/>
    <m/>
    <m/>
    <m/>
    <m/>
    <m/>
    <m/>
    <m/>
    <m/>
    <m/>
    <n v="18125"/>
    <m/>
    <m/>
    <m/>
    <m/>
    <m/>
    <m/>
    <m/>
    <n v="500"/>
    <n v="2500"/>
    <n v="1000"/>
    <m/>
    <m/>
    <m/>
    <m/>
    <n v="1000"/>
    <m/>
    <n v="1000"/>
    <m/>
    <m/>
    <m/>
    <m/>
    <m/>
    <m/>
    <m/>
    <m/>
    <m/>
    <x v="152"/>
    <m/>
    <m/>
    <m/>
    <m/>
    <m/>
    <m/>
    <m/>
    <m/>
    <m/>
    <m/>
    <m/>
    <m/>
    <m/>
    <m/>
    <m/>
    <m/>
    <m/>
    <m/>
    <m/>
  </r>
  <r>
    <s v="TC-2011-000157-GTM"/>
    <n v="271"/>
    <x v="205"/>
    <d v="2011-10-20T00:00:00"/>
    <x v="16"/>
    <x v="6"/>
    <s v="Q2"/>
    <n v="2011"/>
    <n v="13"/>
    <s v="LAC"/>
    <s v="Guatemala"/>
    <m/>
    <m/>
    <m/>
    <m/>
    <m/>
    <m/>
    <m/>
    <n v="898600"/>
    <s v="MDRGT003"/>
    <n v="0"/>
    <m/>
    <m/>
    <m/>
    <m/>
    <m/>
    <m/>
    <m/>
    <m/>
    <m/>
    <m/>
    <m/>
    <m/>
    <m/>
    <m/>
    <m/>
    <m/>
    <m/>
    <n v="500"/>
    <n v="2500"/>
    <n v="1000"/>
    <m/>
    <m/>
    <m/>
    <m/>
    <n v="1000"/>
    <m/>
    <n v="1000"/>
    <m/>
    <m/>
    <m/>
    <m/>
    <m/>
    <m/>
    <m/>
    <m/>
    <m/>
    <x v="152"/>
    <m/>
    <m/>
    <m/>
    <m/>
    <m/>
    <m/>
    <m/>
    <m/>
    <m/>
    <m/>
    <m/>
    <m/>
    <m/>
    <m/>
    <m/>
    <m/>
    <m/>
    <m/>
    <m/>
  </r>
  <r>
    <s v="TC-2011-000157-GTM"/>
    <n v="271"/>
    <x v="205"/>
    <d v="2011-10-20T00:00:00"/>
    <x v="16"/>
    <x v="6"/>
    <s v="Q2"/>
    <n v="2011"/>
    <n v="13"/>
    <s v="LAC"/>
    <s v="Nicaragua"/>
    <m/>
    <m/>
    <m/>
    <m/>
    <m/>
    <m/>
    <m/>
    <m/>
    <m/>
    <s v=""/>
    <m/>
    <m/>
    <m/>
    <m/>
    <m/>
    <m/>
    <m/>
    <m/>
    <m/>
    <n v="13625"/>
    <m/>
    <m/>
    <m/>
    <m/>
    <m/>
    <m/>
    <m/>
    <n v="500"/>
    <n v="2500"/>
    <n v="1000"/>
    <m/>
    <m/>
    <m/>
    <m/>
    <n v="1000"/>
    <m/>
    <n v="1000"/>
    <m/>
    <m/>
    <m/>
    <m/>
    <m/>
    <m/>
    <m/>
    <m/>
    <m/>
    <x v="152"/>
    <m/>
    <m/>
    <m/>
    <m/>
    <m/>
    <m/>
    <m/>
    <m/>
    <m/>
    <m/>
    <m/>
    <m/>
    <m/>
    <m/>
    <m/>
    <m/>
    <m/>
    <m/>
    <m/>
  </r>
  <r>
    <s v="EQ-2011-000162-TUR"/>
    <n v="272"/>
    <x v="253"/>
    <d v="2011-10-26T00:00:00"/>
    <x v="16"/>
    <x v="7"/>
    <s v="Q2"/>
    <n v="2011"/>
    <n v="14"/>
    <s v="Europe/Asia"/>
    <s v="Turkey"/>
    <m/>
    <s v="Earthquake"/>
    <m/>
    <m/>
    <n v="250000"/>
    <s v="Y"/>
    <s v="IFRC"/>
    <n v="11800000"/>
    <s v="MDRTR002"/>
    <n v="7.6016949152542368E-2"/>
    <m/>
    <m/>
    <m/>
    <n v="60000"/>
    <m/>
    <m/>
    <n v="1"/>
    <n v="897000"/>
    <m/>
    <m/>
    <m/>
    <n v="897000"/>
    <m/>
    <m/>
    <m/>
    <m/>
    <m/>
    <m/>
    <m/>
    <m/>
    <m/>
    <m/>
    <m/>
    <m/>
    <m/>
    <m/>
    <m/>
    <m/>
    <m/>
    <m/>
    <m/>
    <m/>
    <n v="897000"/>
    <m/>
    <m/>
    <m/>
    <x v="190"/>
    <s v="Y"/>
    <s v="C"/>
    <n v="915000"/>
    <d v="2011-11-22T00:00:00"/>
    <s v="ongoing"/>
    <n v="2814"/>
    <m/>
    <m/>
    <m/>
    <m/>
    <m/>
    <m/>
    <m/>
    <s v="N"/>
    <m/>
    <s v="2814 - Turkey Relief &amp;  Development. Designated fundraising from corporations only. 2799/RRF funds were used for first $100,000, but later reimbursed by 2814 funds."/>
    <m/>
    <s v="On October 23rd, a magnitude 7.2 earthquake struck Van province in eastern Turkey, killing more than 600 people, toppling buildings and destroying infrastructure. Two additional 5.6 and 4.5 earthquakes shook Van on November 9, killing 40 people. The Turkish Red Crescent response operation provided immediate food and relief supplies longer term sheltering those left homeless by the quake. It has provided emergency shelter for 272,000 people and now is focused on providing transitional homes for 12,000 people in advance of winter. The American Red Cross has committed $897,000 to the International Federation appeal in support of the Turkish Red Crescent response."/>
    <s v="CASH: 1) Oct 26 - $100,000 PMN contribution to Federation appeal earmarked for relief - originally paid by RRF/2799, but later reimbursed by AP 2814. 2) Nov 22 - $709,000 PMN earmarked for shelter.  (Previous Nov 3 PMN contribution to Federation appeal for $500,000 earmarked for relief was nulled as relief objective filled)."/>
  </r>
  <r>
    <m/>
    <n v="273"/>
    <x v="6"/>
    <d v="2011-11-01T00:00:00"/>
    <x v="16"/>
    <x v="8"/>
    <s v="Q2"/>
    <n v="2011"/>
    <n v="15"/>
    <s v="LAC"/>
    <s v="Mexico"/>
    <m/>
    <s v="Floods"/>
    <m/>
    <m/>
    <n v="318846"/>
    <s v="N"/>
    <m/>
    <m/>
    <s v="bilateral request"/>
    <s v=""/>
    <m/>
    <m/>
    <m/>
    <m/>
    <s v="Y"/>
    <n v="45000"/>
    <m/>
    <m/>
    <m/>
    <n v="270000"/>
    <m/>
    <n v="270000"/>
    <m/>
    <m/>
    <m/>
    <m/>
    <m/>
    <m/>
    <m/>
    <m/>
    <m/>
    <m/>
    <m/>
    <m/>
    <m/>
    <m/>
    <m/>
    <m/>
    <m/>
    <m/>
    <m/>
    <m/>
    <n v="270000"/>
    <m/>
    <m/>
    <m/>
    <x v="191"/>
    <s v="Y"/>
    <s v="C"/>
    <n v="287000"/>
    <d v="2011-11-01T00:00:00"/>
    <d v="2011-11-01T00:00:00"/>
    <n v="2020"/>
    <m/>
    <m/>
    <m/>
    <m/>
    <m/>
    <m/>
    <m/>
    <s v="N"/>
    <m/>
    <m/>
    <m/>
    <s v="Mexico: Floods _x000a_Heavy rains caused flooding in more than 900 communities in the southeastern Mexican state of Tabasco, affecting more than 300,000 people. The Mexican Red Cross mobilized more than 1,500 volunteers to assist in evacuations, provide medical assistance and distribute food and relief supplies to those in need.  The American Red Cross committed $270,000 to support the Mexican Red Cross response._x000a_"/>
    <s v="CASH: A bilateral grant to the Mexican Red Cross for prcurement of food parcels and clean up kits for 9,000 families /45,000 people."/>
  </r>
  <r>
    <s v="FL-2011-000137-VNM"/>
    <n v="274"/>
    <x v="21"/>
    <d v="2011-11-10T00:00:00"/>
    <x v="16"/>
    <x v="9"/>
    <s v="Q2"/>
    <n v="2011"/>
    <n v="16"/>
    <s v="Europe/Asia"/>
    <s v="Vietnam"/>
    <m/>
    <s v="Floods"/>
    <m/>
    <m/>
    <n v="590000"/>
    <s v="Y"/>
    <s v="IFRC"/>
    <n v="1229430"/>
    <s v="MDRVN009"/>
    <n v="4.0669253231172167E-2"/>
    <m/>
    <m/>
    <m/>
    <n v="42000"/>
    <m/>
    <m/>
    <n v="1"/>
    <n v="50000"/>
    <m/>
    <m/>
    <m/>
    <n v="50000"/>
    <m/>
    <m/>
    <m/>
    <m/>
    <m/>
    <m/>
    <m/>
    <m/>
    <m/>
    <m/>
    <m/>
    <m/>
    <m/>
    <m/>
    <m/>
    <m/>
    <m/>
    <m/>
    <m/>
    <m/>
    <n v="50000"/>
    <m/>
    <m/>
    <m/>
    <x v="16"/>
    <s v="N"/>
    <m/>
    <m/>
    <m/>
    <m/>
    <n v="2799"/>
    <m/>
    <m/>
    <m/>
    <m/>
    <m/>
    <m/>
    <m/>
    <s v="Y"/>
    <m/>
    <m/>
    <m/>
    <s v="Vietnam: Floods _x000a_In September 2011, floods swept through seven provinces in Vietnam’s Mekong Delta, causing significant losses to agriculture and homes. These surpassed the regular annual floods in scope and damage, extending well beyond the traditional flood plain and affecting more than 590,000 people. _x000a_In response to the disaster, the Vietnam Red Cross has performed needs assessments and provided more than 62,500 people with household relief supplies, safe water and cash grants. They are focusing on assisting an additional 42,000 people with support from the global Red Cross and Red Crescent network._x000a_The American Red Cross has committed $50,000 to the International Federation appeal in support of the Vietnam Red Cross response._x000a_"/>
    <s v="CASH: PMN contribution of $50,000 towards appeal, earmarked for relief objective."/>
  </r>
  <r>
    <s v="FL-2011-000135-THA"/>
    <n v="275"/>
    <x v="254"/>
    <d v="2011-11-10T00:00:00"/>
    <x v="16"/>
    <x v="10"/>
    <s v="Q2"/>
    <n v="2011"/>
    <n v="17"/>
    <s v="Europe/Asia"/>
    <s v="Thailand"/>
    <m/>
    <s v="Floods"/>
    <m/>
    <m/>
    <n v="3400000"/>
    <s v="N"/>
    <m/>
    <m/>
    <s v="regional plan"/>
    <s v=""/>
    <m/>
    <m/>
    <m/>
    <s v="n/a"/>
    <m/>
    <m/>
    <n v="1"/>
    <n v="167000"/>
    <m/>
    <m/>
    <m/>
    <n v="167000"/>
    <m/>
    <m/>
    <m/>
    <m/>
    <m/>
    <m/>
    <m/>
    <m/>
    <m/>
    <m/>
    <m/>
    <m/>
    <m/>
    <m/>
    <m/>
    <m/>
    <m/>
    <m/>
    <m/>
    <m/>
    <n v="167000"/>
    <m/>
    <m/>
    <m/>
    <x v="192"/>
    <s v="Y"/>
    <s v="C"/>
    <n v="189000"/>
    <d v="2011-11-22T00:00:00"/>
    <d v="2011-11-17T00:00:00"/>
    <n v="2689"/>
    <m/>
    <m/>
    <m/>
    <m/>
    <m/>
    <m/>
    <m/>
    <s v="N"/>
    <m/>
    <s v="2689 - Southeast Asia Typhoons and Floods. Designated funding for corporate  contributions only.  $189k raised as of 11/22"/>
    <m/>
    <s v="More than 3.4 million people were affected by Thailand’s worst flooding in more than five decades. Many communities across the country were isolated for weeks, relying on local authorities and organizations like the Thai Red Cross for basic assistance. The Thai Red Cross assisted in evacuations and distributing food, water and relief supplies in affected rural and urban areas. In isolated communities, Red Cross relief and medical teams used flat-bottom boats to reach those most affected. In the urban Bangkok area, Red Cross mobile kitchens and water purification teams distributed thousands of meals and clean water daily.   The American Red Cross has committed $167,000 to the International Federation1 in support of the Thai Red Cross response."/>
    <s v="CASH: $167,000 Cash grant to Intl Federation Regional Country Plan (not appeal) due to Thai RC not wanting an appeal."/>
  </r>
  <r>
    <s v="FL-2011-000170-COL"/>
    <n v="276"/>
    <x v="157"/>
    <d v="2011-12-05T00:00:00"/>
    <x v="16"/>
    <x v="10"/>
    <s v="Q2"/>
    <n v="2011"/>
    <n v="17"/>
    <s v="LAC"/>
    <s v="Colombia"/>
    <m/>
    <s v="Floods"/>
    <m/>
    <m/>
    <n v="410420"/>
    <s v="N"/>
    <m/>
    <m/>
    <m/>
    <s v=""/>
    <m/>
    <m/>
    <m/>
    <m/>
    <s v="Y"/>
    <n v="3000"/>
    <m/>
    <m/>
    <m/>
    <n v="100000"/>
    <m/>
    <n v="100000"/>
    <m/>
    <m/>
    <m/>
    <m/>
    <m/>
    <m/>
    <m/>
    <m/>
    <m/>
    <m/>
    <m/>
    <m/>
    <m/>
    <m/>
    <m/>
    <m/>
    <m/>
    <m/>
    <m/>
    <m/>
    <n v="100000"/>
    <m/>
    <m/>
    <m/>
    <x v="5"/>
    <s v="N"/>
    <m/>
    <m/>
    <m/>
    <m/>
    <n v="2799"/>
    <m/>
    <m/>
    <m/>
    <m/>
    <m/>
    <m/>
    <m/>
    <s v="Y"/>
    <m/>
    <s v="2799 Rapid Response Fund"/>
    <m/>
    <s v="A heavier than normal rainy season affected more than 410,000 people in 80 percent of Colombia. Those affected are relying on government authorities and the Colombian Red Cross for basic assistance. More than 100 people have died and 62,300 homes have been damaged. Colombian Red Cross volunteers have conducted damage assessments, provided search and rescue service and distributed food and relief supplies. They plan to provide water and sanitation services, temporary shelter, food and relief supplies as well as health and emotional support services through mobile health teams. _x000a_The American Red Cross has committed $100,000 to the Colombian Red Cross for their expanded response to reach 18,000 people._x000a_"/>
    <s v="CASH: $100,000 grant letter bilaterally to Colombian Red Cross in response to their proposal to fund part of their plan of action."/>
  </r>
  <r>
    <s v="TC-2011-000189-PHL"/>
    <n v="277"/>
    <x v="255"/>
    <d v="2011-12-21T00:00:00"/>
    <x v="16"/>
    <x v="11"/>
    <s v="Q2"/>
    <n v="2011"/>
    <n v="18"/>
    <s v="Europe/Asia"/>
    <s v="Philippines"/>
    <m/>
    <s v="Tropical Storm"/>
    <m/>
    <m/>
    <n v="641098"/>
    <s v="Y"/>
    <s v="IFRC"/>
    <n v="2800000"/>
    <s v="MDRPH008"/>
    <n v="2.6785714285714284E-2"/>
    <m/>
    <m/>
    <m/>
    <n v="25000"/>
    <m/>
    <m/>
    <n v="1"/>
    <n v="75000"/>
    <m/>
    <m/>
    <m/>
    <n v="75000"/>
    <m/>
    <m/>
    <m/>
    <m/>
    <m/>
    <m/>
    <m/>
    <m/>
    <m/>
    <m/>
    <m/>
    <m/>
    <m/>
    <m/>
    <m/>
    <m/>
    <m/>
    <m/>
    <m/>
    <m/>
    <n v="75000"/>
    <m/>
    <m/>
    <m/>
    <x v="56"/>
    <s v="Y"/>
    <s v="P"/>
    <m/>
    <m/>
    <m/>
    <n v="2799"/>
    <m/>
    <m/>
    <m/>
    <m/>
    <m/>
    <m/>
    <m/>
    <s v="Y"/>
    <m/>
    <s v="2799 Rapid Response Fund"/>
    <m/>
    <s v="Typhoon Washi hit the southern Philippines on December 17, bringing heavy rains and strong winds which resulted in massive flooding and widespread damage in the Northern Mindanao area.  More than 10,000 homes were damaged or destroyed, displacing 284,600 people. More than 42,700 people are in 63 evacuation centers and another 241,800 people are staying with relatives or in makeshift structures."/>
    <s v="CASH: $75,000 cash pledge to the Federation appeal earmarked for relief from AP 2799/RRF."/>
  </r>
  <r>
    <s v="OT-2011-000205-NER"/>
    <n v="278"/>
    <x v="136"/>
    <d v="2012-02-08T00:00:00"/>
    <x v="16"/>
    <x v="12"/>
    <s v="Q3"/>
    <n v="2012"/>
    <n v="1"/>
    <s v="Africa"/>
    <s v="[rollup]"/>
    <m/>
    <s v="Food Insecurity"/>
    <m/>
    <m/>
    <n v="11000000"/>
    <s v="Y"/>
    <s v="IFRC"/>
    <s v="[roll up]"/>
    <s v="[roll up]"/>
    <m/>
    <m/>
    <m/>
    <m/>
    <s v="[roll up]"/>
    <m/>
    <m/>
    <m/>
    <m/>
    <m/>
    <m/>
    <m/>
    <n v="0"/>
    <n v="1"/>
    <m/>
    <n v="1"/>
    <m/>
    <m/>
    <m/>
    <m/>
    <m/>
    <m/>
    <m/>
    <m/>
    <m/>
    <m/>
    <m/>
    <m/>
    <m/>
    <m/>
    <m/>
    <m/>
    <m/>
    <n v="0"/>
    <m/>
    <m/>
    <m/>
    <x v="7"/>
    <s v="N"/>
    <m/>
    <m/>
    <m/>
    <m/>
    <n v="2002"/>
    <m/>
    <m/>
    <m/>
    <m/>
    <m/>
    <m/>
    <m/>
    <s v="Y"/>
    <m/>
    <m/>
    <m/>
    <s v="More than 11 million people in the Sahel region of West Africa which includes Burkina Faso, Chad, Mali, Mauritania, Niger and some parts of Senegal face severe food shortages due to erratic rainfall and drought which has caused crop failures. "/>
    <s v="PEOPLE: Deployed Rosemary Parnell as logistics delegate to FACT team."/>
  </r>
  <r>
    <m/>
    <m/>
    <x v="256"/>
    <m/>
    <x v="17"/>
    <x v="0"/>
    <m/>
    <m/>
    <m/>
    <m/>
    <m/>
    <m/>
    <m/>
    <m/>
    <m/>
    <m/>
    <m/>
    <m/>
    <m/>
    <m/>
    <m/>
    <m/>
    <m/>
    <m/>
    <m/>
    <m/>
    <m/>
    <m/>
    <m/>
    <m/>
    <m/>
    <m/>
    <n v="0"/>
    <m/>
    <m/>
    <m/>
    <m/>
    <m/>
    <m/>
    <m/>
    <m/>
    <m/>
    <m/>
    <m/>
    <m/>
    <m/>
    <m/>
    <m/>
    <m/>
    <m/>
    <m/>
    <m/>
    <m/>
    <n v="0"/>
    <m/>
    <m/>
    <m/>
    <x v="7"/>
    <m/>
    <m/>
    <m/>
    <m/>
    <m/>
    <m/>
    <m/>
    <m/>
    <m/>
    <m/>
    <m/>
    <m/>
    <m/>
    <m/>
    <m/>
    <m/>
    <m/>
    <m/>
    <m/>
  </r>
  <r>
    <m/>
    <m/>
    <x v="256"/>
    <m/>
    <x v="17"/>
    <x v="0"/>
    <m/>
    <m/>
    <m/>
    <m/>
    <m/>
    <m/>
    <m/>
    <m/>
    <m/>
    <m/>
    <m/>
    <m/>
    <m/>
    <m/>
    <m/>
    <m/>
    <m/>
    <m/>
    <m/>
    <m/>
    <m/>
    <m/>
    <m/>
    <m/>
    <m/>
    <m/>
    <n v="0"/>
    <m/>
    <m/>
    <m/>
    <m/>
    <m/>
    <m/>
    <m/>
    <m/>
    <m/>
    <m/>
    <m/>
    <m/>
    <m/>
    <m/>
    <m/>
    <m/>
    <m/>
    <m/>
    <m/>
    <m/>
    <n v="0"/>
    <m/>
    <m/>
    <m/>
    <x v="7"/>
    <m/>
    <m/>
    <m/>
    <m/>
    <m/>
    <m/>
    <m/>
    <m/>
    <m/>
    <m/>
    <m/>
    <m/>
    <m/>
    <m/>
    <m/>
    <m/>
    <m/>
    <m/>
    <m/>
  </r>
  <r>
    <m/>
    <m/>
    <x v="256"/>
    <m/>
    <x v="17"/>
    <x v="0"/>
    <m/>
    <m/>
    <m/>
    <m/>
    <m/>
    <m/>
    <m/>
    <m/>
    <m/>
    <m/>
    <m/>
    <m/>
    <m/>
    <m/>
    <m/>
    <m/>
    <m/>
    <m/>
    <m/>
    <m/>
    <m/>
    <m/>
    <m/>
    <m/>
    <m/>
    <m/>
    <n v="0"/>
    <m/>
    <m/>
    <m/>
    <m/>
    <m/>
    <m/>
    <m/>
    <m/>
    <m/>
    <m/>
    <m/>
    <m/>
    <m/>
    <m/>
    <m/>
    <m/>
    <m/>
    <m/>
    <m/>
    <m/>
    <n v="0"/>
    <m/>
    <m/>
    <m/>
    <x v="7"/>
    <m/>
    <m/>
    <m/>
    <m/>
    <m/>
    <m/>
    <m/>
    <m/>
    <m/>
    <m/>
    <m/>
    <m/>
    <m/>
    <m/>
    <m/>
    <m/>
    <m/>
    <m/>
    <m/>
  </r>
  <r>
    <m/>
    <m/>
    <x v="256"/>
    <m/>
    <x v="17"/>
    <x v="0"/>
    <m/>
    <m/>
    <m/>
    <m/>
    <m/>
    <m/>
    <m/>
    <m/>
    <m/>
    <m/>
    <m/>
    <m/>
    <m/>
    <m/>
    <m/>
    <m/>
    <m/>
    <m/>
    <m/>
    <m/>
    <m/>
    <m/>
    <m/>
    <m/>
    <m/>
    <m/>
    <n v="0"/>
    <m/>
    <m/>
    <m/>
    <m/>
    <m/>
    <m/>
    <m/>
    <m/>
    <m/>
    <m/>
    <m/>
    <m/>
    <m/>
    <m/>
    <m/>
    <m/>
    <m/>
    <m/>
    <m/>
    <m/>
    <n v="0"/>
    <m/>
    <m/>
    <m/>
    <x v="7"/>
    <m/>
    <m/>
    <m/>
    <m/>
    <m/>
    <m/>
    <m/>
    <m/>
    <m/>
    <m/>
    <m/>
    <m/>
    <m/>
    <m/>
    <m/>
    <m/>
    <m/>
    <m/>
    <m/>
  </r>
  <r>
    <m/>
    <m/>
    <x v="256"/>
    <m/>
    <x v="17"/>
    <x v="0"/>
    <m/>
    <m/>
    <m/>
    <m/>
    <m/>
    <m/>
    <m/>
    <m/>
    <m/>
    <m/>
    <m/>
    <m/>
    <m/>
    <m/>
    <m/>
    <m/>
    <m/>
    <m/>
    <m/>
    <m/>
    <m/>
    <m/>
    <m/>
    <m/>
    <m/>
    <m/>
    <n v="0"/>
    <m/>
    <m/>
    <m/>
    <m/>
    <m/>
    <m/>
    <m/>
    <m/>
    <m/>
    <m/>
    <m/>
    <m/>
    <m/>
    <m/>
    <m/>
    <m/>
    <m/>
    <m/>
    <m/>
    <m/>
    <n v="0"/>
    <m/>
    <m/>
    <m/>
    <x v="7"/>
    <m/>
    <m/>
    <m/>
    <m/>
    <m/>
    <m/>
    <m/>
    <m/>
    <m/>
    <m/>
    <m/>
    <m/>
    <m/>
    <m/>
    <m/>
    <m/>
    <m/>
    <m/>
    <m/>
  </r>
  <r>
    <m/>
    <m/>
    <x v="256"/>
    <m/>
    <x v="17"/>
    <x v="0"/>
    <m/>
    <m/>
    <m/>
    <m/>
    <m/>
    <m/>
    <m/>
    <m/>
    <m/>
    <m/>
    <m/>
    <m/>
    <m/>
    <m/>
    <m/>
    <m/>
    <m/>
    <m/>
    <m/>
    <m/>
    <m/>
    <m/>
    <m/>
    <m/>
    <m/>
    <m/>
    <n v="0"/>
    <m/>
    <m/>
    <m/>
    <m/>
    <m/>
    <m/>
    <m/>
    <m/>
    <m/>
    <m/>
    <m/>
    <m/>
    <m/>
    <m/>
    <m/>
    <m/>
    <m/>
    <m/>
    <m/>
    <m/>
    <n v="0"/>
    <m/>
    <m/>
    <m/>
    <x v="7"/>
    <m/>
    <m/>
    <m/>
    <m/>
    <m/>
    <m/>
    <m/>
    <m/>
    <m/>
    <m/>
    <m/>
    <m/>
    <m/>
    <m/>
    <m/>
    <m/>
    <m/>
    <m/>
    <m/>
  </r>
  <r>
    <m/>
    <m/>
    <x v="256"/>
    <m/>
    <x v="17"/>
    <x v="0"/>
    <m/>
    <m/>
    <m/>
    <m/>
    <m/>
    <m/>
    <m/>
    <m/>
    <m/>
    <m/>
    <m/>
    <m/>
    <m/>
    <m/>
    <m/>
    <m/>
    <m/>
    <m/>
    <m/>
    <m/>
    <m/>
    <m/>
    <m/>
    <m/>
    <m/>
    <m/>
    <n v="0"/>
    <m/>
    <m/>
    <m/>
    <m/>
    <m/>
    <m/>
    <m/>
    <m/>
    <m/>
    <m/>
    <m/>
    <m/>
    <m/>
    <m/>
    <m/>
    <m/>
    <m/>
    <m/>
    <m/>
    <m/>
    <n v="0"/>
    <m/>
    <m/>
    <m/>
    <x v="7"/>
    <m/>
    <m/>
    <m/>
    <m/>
    <m/>
    <m/>
    <m/>
    <m/>
    <m/>
    <m/>
    <m/>
    <m/>
    <m/>
    <m/>
    <m/>
    <m/>
    <m/>
    <m/>
    <m/>
  </r>
  <r>
    <m/>
    <m/>
    <x v="256"/>
    <m/>
    <x v="17"/>
    <x v="0"/>
    <m/>
    <m/>
    <m/>
    <m/>
    <m/>
    <m/>
    <m/>
    <m/>
    <m/>
    <m/>
    <m/>
    <m/>
    <m/>
    <m/>
    <m/>
    <m/>
    <m/>
    <m/>
    <m/>
    <m/>
    <m/>
    <m/>
    <m/>
    <m/>
    <m/>
    <m/>
    <n v="0"/>
    <m/>
    <m/>
    <m/>
    <m/>
    <m/>
    <m/>
    <m/>
    <m/>
    <m/>
    <m/>
    <m/>
    <m/>
    <m/>
    <m/>
    <m/>
    <m/>
    <m/>
    <m/>
    <m/>
    <m/>
    <n v="0"/>
    <m/>
    <m/>
    <m/>
    <x v="7"/>
    <m/>
    <m/>
    <m/>
    <m/>
    <m/>
    <m/>
    <m/>
    <m/>
    <m/>
    <m/>
    <m/>
    <m/>
    <m/>
    <m/>
    <m/>
    <m/>
    <m/>
    <m/>
    <m/>
  </r>
  <r>
    <m/>
    <m/>
    <x v="256"/>
    <m/>
    <x v="17"/>
    <x v="0"/>
    <m/>
    <m/>
    <m/>
    <m/>
    <m/>
    <m/>
    <m/>
    <m/>
    <m/>
    <m/>
    <m/>
    <m/>
    <m/>
    <m/>
    <m/>
    <m/>
    <m/>
    <m/>
    <m/>
    <m/>
    <m/>
    <m/>
    <m/>
    <m/>
    <m/>
    <m/>
    <n v="0"/>
    <m/>
    <m/>
    <m/>
    <m/>
    <m/>
    <m/>
    <m/>
    <m/>
    <m/>
    <m/>
    <m/>
    <m/>
    <m/>
    <m/>
    <m/>
    <m/>
    <m/>
    <m/>
    <m/>
    <m/>
    <n v="0"/>
    <m/>
    <m/>
    <m/>
    <x v="7"/>
    <m/>
    <m/>
    <m/>
    <m/>
    <m/>
    <m/>
    <m/>
    <m/>
    <m/>
    <m/>
    <m/>
    <m/>
    <m/>
    <m/>
    <m/>
    <m/>
    <m/>
    <m/>
    <m/>
  </r>
  <r>
    <m/>
    <m/>
    <x v="256"/>
    <m/>
    <x v="17"/>
    <x v="0"/>
    <m/>
    <m/>
    <m/>
    <m/>
    <m/>
    <m/>
    <m/>
    <m/>
    <m/>
    <m/>
    <m/>
    <m/>
    <m/>
    <m/>
    <m/>
    <m/>
    <m/>
    <m/>
    <m/>
    <m/>
    <m/>
    <m/>
    <m/>
    <m/>
    <m/>
    <m/>
    <m/>
    <m/>
    <m/>
    <m/>
    <m/>
    <m/>
    <m/>
    <m/>
    <m/>
    <m/>
    <m/>
    <m/>
    <m/>
    <m/>
    <m/>
    <m/>
    <m/>
    <m/>
    <m/>
    <m/>
    <m/>
    <n v="0"/>
    <m/>
    <m/>
    <m/>
    <x v="7"/>
    <m/>
    <m/>
    <m/>
    <m/>
    <m/>
    <m/>
    <m/>
    <m/>
    <m/>
    <m/>
    <m/>
    <m/>
    <m/>
    <m/>
    <m/>
    <m/>
    <m/>
    <m/>
    <m/>
  </r>
  <r>
    <m/>
    <m/>
    <x v="256"/>
    <m/>
    <x v="17"/>
    <x v="0"/>
    <m/>
    <m/>
    <m/>
    <m/>
    <m/>
    <m/>
    <m/>
    <m/>
    <m/>
    <m/>
    <m/>
    <m/>
    <m/>
    <m/>
    <m/>
    <m/>
    <m/>
    <m/>
    <m/>
    <m/>
    <m/>
    <m/>
    <m/>
    <m/>
    <m/>
    <m/>
    <m/>
    <m/>
    <m/>
    <m/>
    <m/>
    <m/>
    <m/>
    <m/>
    <m/>
    <m/>
    <m/>
    <m/>
    <m/>
    <m/>
    <m/>
    <m/>
    <m/>
    <m/>
    <m/>
    <m/>
    <m/>
    <n v="0"/>
    <m/>
    <m/>
    <m/>
    <x v="7"/>
    <m/>
    <m/>
    <m/>
    <m/>
    <m/>
    <m/>
    <m/>
    <m/>
    <m/>
    <m/>
    <m/>
    <m/>
    <m/>
    <m/>
    <m/>
    <m/>
    <m/>
    <m/>
    <m/>
  </r>
  <r>
    <m/>
    <m/>
    <x v="256"/>
    <m/>
    <x v="17"/>
    <x v="0"/>
    <m/>
    <m/>
    <m/>
    <m/>
    <m/>
    <m/>
    <m/>
    <m/>
    <m/>
    <m/>
    <m/>
    <m/>
    <m/>
    <m/>
    <m/>
    <m/>
    <m/>
    <m/>
    <m/>
    <m/>
    <m/>
    <m/>
    <m/>
    <m/>
    <m/>
    <m/>
    <m/>
    <m/>
    <m/>
    <m/>
    <m/>
    <m/>
    <m/>
    <m/>
    <m/>
    <m/>
    <m/>
    <m/>
    <m/>
    <m/>
    <m/>
    <m/>
    <m/>
    <m/>
    <m/>
    <m/>
    <m/>
    <m/>
    <m/>
    <m/>
    <m/>
    <x v="7"/>
    <m/>
    <m/>
    <m/>
    <m/>
    <m/>
    <m/>
    <m/>
    <m/>
    <m/>
    <m/>
    <m/>
    <m/>
    <m/>
    <m/>
    <m/>
    <m/>
    <m/>
    <m/>
    <m/>
  </r>
</pivotCacheRecords>
</file>

<file path=xl/pivotCache/pivotCacheRecords16.xml><?xml version="1.0" encoding="utf-8"?>
<pivotCacheRecords xmlns="http://schemas.openxmlformats.org/spreadsheetml/2006/main" xmlns:r="http://schemas.openxmlformats.org/officeDocument/2006/relationships" count="370">
  <r>
    <m/>
    <s v="a"/>
    <x v="0"/>
    <d v="1985-09-01T00:00:00"/>
    <x v="0"/>
    <x v="0"/>
    <m/>
    <x v="0"/>
    <m/>
    <x v="0"/>
    <m/>
    <m/>
    <m/>
    <m/>
    <m/>
    <m/>
    <x v="0"/>
    <m/>
    <m/>
    <m/>
    <x v="0"/>
    <x v="0"/>
    <m/>
    <m/>
    <m/>
    <m/>
    <m/>
    <m/>
    <m/>
    <m/>
    <m/>
    <m/>
    <m/>
    <m/>
    <m/>
    <m/>
    <m/>
    <m/>
    <m/>
    <m/>
    <m/>
    <m/>
    <m/>
    <m/>
    <m/>
    <m/>
    <m/>
    <m/>
    <m/>
    <m/>
    <m/>
    <m/>
    <m/>
    <m/>
    <m/>
    <m/>
    <m/>
    <x v="0"/>
    <x v="0"/>
    <m/>
    <m/>
    <m/>
    <m/>
    <m/>
    <m/>
    <m/>
    <m/>
    <m/>
    <m/>
    <m/>
    <m/>
    <m/>
    <m/>
    <m/>
    <m/>
    <m/>
    <m/>
  </r>
  <r>
    <m/>
    <s v="b"/>
    <x v="1"/>
    <d v="1988-12-01T00:00:00"/>
    <x v="1"/>
    <x v="0"/>
    <m/>
    <x v="1"/>
    <m/>
    <x v="0"/>
    <m/>
    <m/>
    <m/>
    <m/>
    <m/>
    <m/>
    <x v="0"/>
    <m/>
    <m/>
    <m/>
    <x v="0"/>
    <x v="0"/>
    <m/>
    <m/>
    <m/>
    <m/>
    <m/>
    <m/>
    <m/>
    <m/>
    <m/>
    <m/>
    <m/>
    <m/>
    <m/>
    <m/>
    <m/>
    <m/>
    <m/>
    <m/>
    <m/>
    <m/>
    <m/>
    <m/>
    <m/>
    <m/>
    <m/>
    <m/>
    <m/>
    <m/>
    <m/>
    <m/>
    <m/>
    <m/>
    <m/>
    <m/>
    <m/>
    <x v="1"/>
    <x v="0"/>
    <m/>
    <m/>
    <m/>
    <m/>
    <m/>
    <m/>
    <m/>
    <m/>
    <m/>
    <m/>
    <m/>
    <m/>
    <m/>
    <m/>
    <m/>
    <m/>
    <m/>
    <m/>
  </r>
  <r>
    <m/>
    <s v="c"/>
    <x v="2"/>
    <d v="1994-06-01T00:00:00"/>
    <x v="2"/>
    <x v="0"/>
    <m/>
    <x v="2"/>
    <m/>
    <x v="0"/>
    <m/>
    <m/>
    <m/>
    <m/>
    <m/>
    <m/>
    <x v="0"/>
    <m/>
    <m/>
    <m/>
    <x v="0"/>
    <x v="0"/>
    <m/>
    <m/>
    <m/>
    <m/>
    <m/>
    <m/>
    <m/>
    <m/>
    <m/>
    <m/>
    <m/>
    <m/>
    <m/>
    <m/>
    <m/>
    <m/>
    <m/>
    <m/>
    <m/>
    <m/>
    <m/>
    <m/>
    <m/>
    <m/>
    <m/>
    <m/>
    <m/>
    <m/>
    <m/>
    <m/>
    <m/>
    <m/>
    <m/>
    <m/>
    <m/>
    <x v="2"/>
    <x v="0"/>
    <m/>
    <m/>
    <m/>
    <m/>
    <m/>
    <m/>
    <m/>
    <m/>
    <m/>
    <m/>
    <m/>
    <m/>
    <m/>
    <m/>
    <m/>
    <m/>
    <m/>
    <m/>
  </r>
  <r>
    <m/>
    <s v="d"/>
    <x v="3"/>
    <d v="1998-10-01T00:00:00"/>
    <x v="3"/>
    <x v="0"/>
    <m/>
    <x v="3"/>
    <m/>
    <x v="0"/>
    <m/>
    <m/>
    <m/>
    <m/>
    <m/>
    <n v="2998214"/>
    <x v="0"/>
    <m/>
    <m/>
    <m/>
    <x v="0"/>
    <x v="0"/>
    <m/>
    <m/>
    <m/>
    <m/>
    <m/>
    <m/>
    <m/>
    <m/>
    <m/>
    <m/>
    <m/>
    <m/>
    <m/>
    <m/>
    <m/>
    <m/>
    <m/>
    <m/>
    <m/>
    <m/>
    <m/>
    <m/>
    <m/>
    <m/>
    <m/>
    <m/>
    <m/>
    <m/>
    <m/>
    <m/>
    <m/>
    <m/>
    <m/>
    <m/>
    <m/>
    <x v="3"/>
    <x v="0"/>
    <m/>
    <m/>
    <m/>
    <m/>
    <m/>
    <m/>
    <m/>
    <m/>
    <m/>
    <m/>
    <m/>
    <m/>
    <m/>
    <m/>
    <m/>
    <m/>
    <m/>
    <m/>
  </r>
  <r>
    <m/>
    <s v="e"/>
    <x v="4"/>
    <d v="1999-03-01T00:00:00"/>
    <x v="3"/>
    <x v="0"/>
    <m/>
    <x v="4"/>
    <m/>
    <x v="0"/>
    <m/>
    <m/>
    <m/>
    <m/>
    <m/>
    <m/>
    <x v="0"/>
    <m/>
    <m/>
    <m/>
    <x v="0"/>
    <x v="0"/>
    <m/>
    <m/>
    <m/>
    <m/>
    <m/>
    <m/>
    <m/>
    <m/>
    <m/>
    <m/>
    <m/>
    <m/>
    <m/>
    <m/>
    <m/>
    <m/>
    <m/>
    <m/>
    <m/>
    <m/>
    <m/>
    <m/>
    <m/>
    <m/>
    <m/>
    <m/>
    <m/>
    <m/>
    <m/>
    <m/>
    <m/>
    <m/>
    <m/>
    <m/>
    <m/>
    <x v="4"/>
    <x v="0"/>
    <m/>
    <m/>
    <m/>
    <m/>
    <m/>
    <m/>
    <m/>
    <m/>
    <m/>
    <m/>
    <m/>
    <m/>
    <m/>
    <m/>
    <m/>
    <m/>
    <m/>
    <m/>
  </r>
  <r>
    <m/>
    <n v="1"/>
    <x v="5"/>
    <d v="1999-06-01T00:00:00"/>
    <x v="3"/>
    <x v="1"/>
    <m/>
    <x v="4"/>
    <n v="1"/>
    <x v="1"/>
    <s v="Ethiopia"/>
    <m/>
    <s v="Drought"/>
    <s v="Drought"/>
    <s v="Drought"/>
    <m/>
    <x v="0"/>
    <m/>
    <m/>
    <m/>
    <x v="0"/>
    <x v="0"/>
    <m/>
    <m/>
    <m/>
    <m/>
    <m/>
    <n v="1"/>
    <n v="100000"/>
    <m/>
    <m/>
    <m/>
    <n v="100000"/>
    <n v="0"/>
    <m/>
    <m/>
    <m/>
    <m/>
    <m/>
    <m/>
    <m/>
    <m/>
    <m/>
    <m/>
    <m/>
    <m/>
    <m/>
    <m/>
    <m/>
    <m/>
    <m/>
    <m/>
    <m/>
    <n v="100000"/>
    <m/>
    <m/>
    <n v="7159.297959242117"/>
    <x v="5"/>
    <x v="1"/>
    <m/>
    <m/>
    <m/>
    <m/>
    <n v="2898"/>
    <m/>
    <m/>
    <m/>
    <m/>
    <m/>
    <m/>
    <m/>
    <m/>
    <m/>
    <m/>
    <m/>
    <m/>
    <s v="Region response"/>
  </r>
  <r>
    <m/>
    <n v="2"/>
    <x v="6"/>
    <d v="1999-06-01T00:00:00"/>
    <x v="3"/>
    <x v="2"/>
    <m/>
    <x v="4"/>
    <n v="2"/>
    <x v="2"/>
    <s v="Mexico"/>
    <m/>
    <s v="Floods"/>
    <s v="General Floods"/>
    <s v="General Floods"/>
    <m/>
    <x v="0"/>
    <m/>
    <m/>
    <m/>
    <x v="0"/>
    <x v="0"/>
    <m/>
    <m/>
    <m/>
    <m/>
    <m/>
    <m/>
    <m/>
    <m/>
    <n v="100000"/>
    <m/>
    <n v="100000"/>
    <n v="1"/>
    <m/>
    <m/>
    <m/>
    <m/>
    <m/>
    <m/>
    <m/>
    <m/>
    <m/>
    <m/>
    <m/>
    <m/>
    <m/>
    <m/>
    <m/>
    <m/>
    <m/>
    <m/>
    <m/>
    <n v="100000"/>
    <m/>
    <m/>
    <n v="34050"/>
    <x v="5"/>
    <x v="1"/>
    <m/>
    <m/>
    <m/>
    <m/>
    <n v="2898"/>
    <m/>
    <m/>
    <m/>
    <m/>
    <m/>
    <m/>
    <m/>
    <m/>
    <m/>
    <m/>
    <m/>
    <m/>
    <m/>
  </r>
  <r>
    <m/>
    <n v="3"/>
    <x v="7"/>
    <d v="1999-06-01T00:00:00"/>
    <x v="3"/>
    <x v="3"/>
    <m/>
    <x v="4"/>
    <n v="3"/>
    <x v="2"/>
    <s v="Costa Rica"/>
    <m/>
    <s v="Floods"/>
    <s v="General Floods"/>
    <s v="General Floods"/>
    <m/>
    <x v="0"/>
    <m/>
    <m/>
    <m/>
    <x v="0"/>
    <x v="0"/>
    <m/>
    <m/>
    <m/>
    <m/>
    <m/>
    <n v="0"/>
    <n v="10000"/>
    <m/>
    <m/>
    <m/>
    <n v="10000"/>
    <n v="0"/>
    <m/>
    <m/>
    <m/>
    <m/>
    <m/>
    <m/>
    <m/>
    <m/>
    <m/>
    <m/>
    <m/>
    <m/>
    <m/>
    <m/>
    <m/>
    <m/>
    <m/>
    <m/>
    <m/>
    <n v="10000"/>
    <m/>
    <m/>
    <n v="1000"/>
    <x v="6"/>
    <x v="1"/>
    <m/>
    <m/>
    <m/>
    <m/>
    <n v="2898"/>
    <m/>
    <m/>
    <m/>
    <m/>
    <m/>
    <m/>
    <m/>
    <m/>
    <m/>
    <m/>
    <m/>
    <m/>
    <s v="Region response"/>
  </r>
  <r>
    <m/>
    <n v="4"/>
    <x v="8"/>
    <d v="1999-08-01T00:00:00"/>
    <x v="4"/>
    <x v="1"/>
    <m/>
    <x v="4"/>
    <n v="4"/>
    <x v="3"/>
    <s v="China"/>
    <m/>
    <s v="Floods"/>
    <s v="General Floods"/>
    <s v="General Floods"/>
    <m/>
    <x v="0"/>
    <m/>
    <m/>
    <m/>
    <x v="0"/>
    <x v="0"/>
    <m/>
    <m/>
    <m/>
    <m/>
    <m/>
    <n v="1"/>
    <n v="100000"/>
    <m/>
    <m/>
    <m/>
    <n v="100000"/>
    <n v="0"/>
    <m/>
    <m/>
    <m/>
    <m/>
    <m/>
    <m/>
    <m/>
    <m/>
    <m/>
    <m/>
    <m/>
    <m/>
    <m/>
    <m/>
    <m/>
    <m/>
    <m/>
    <m/>
    <m/>
    <n v="100000"/>
    <m/>
    <m/>
    <n v="15080.681646810435"/>
    <x v="5"/>
    <x v="1"/>
    <m/>
    <m/>
    <m/>
    <m/>
    <n v="2060"/>
    <m/>
    <m/>
    <m/>
    <m/>
    <m/>
    <m/>
    <m/>
    <m/>
    <m/>
    <m/>
    <m/>
    <m/>
    <s v="Region response"/>
  </r>
  <r>
    <m/>
    <n v="5"/>
    <x v="9"/>
    <d v="1999-08-01T00:00:00"/>
    <x v="4"/>
    <x v="2"/>
    <m/>
    <x v="4"/>
    <n v="5"/>
    <x v="3"/>
    <s v="Turkey"/>
    <m/>
    <s v="Earthquake"/>
    <s v="Earthquake"/>
    <s v="Earthquake"/>
    <m/>
    <x v="0"/>
    <m/>
    <m/>
    <m/>
    <x v="0"/>
    <x v="0"/>
    <m/>
    <m/>
    <m/>
    <m/>
    <m/>
    <m/>
    <m/>
    <m/>
    <m/>
    <m/>
    <n v="0"/>
    <n v="20"/>
    <m/>
    <m/>
    <m/>
    <m/>
    <m/>
    <m/>
    <m/>
    <m/>
    <m/>
    <m/>
    <m/>
    <m/>
    <m/>
    <m/>
    <m/>
    <m/>
    <m/>
    <n v="0"/>
    <n v="0"/>
    <n v="0"/>
    <m/>
    <m/>
    <m/>
    <x v="7"/>
    <x v="1"/>
    <m/>
    <m/>
    <m/>
    <m/>
    <n v="2814"/>
    <m/>
    <m/>
    <m/>
    <m/>
    <m/>
    <m/>
    <m/>
    <m/>
    <m/>
    <m/>
    <m/>
    <m/>
    <s v="Total expenses combined with (#19, below)"/>
  </r>
  <r>
    <m/>
    <n v="6"/>
    <x v="10"/>
    <d v="1999-08-01T00:00:00"/>
    <x v="4"/>
    <x v="3"/>
    <m/>
    <x v="4"/>
    <n v="6"/>
    <x v="2"/>
    <s v="Nicaragua"/>
    <m/>
    <s v="Volcano"/>
    <s v="Volcanic Eruption"/>
    <s v="Volcanic Eruption"/>
    <m/>
    <x v="0"/>
    <m/>
    <m/>
    <m/>
    <x v="0"/>
    <x v="0"/>
    <m/>
    <m/>
    <m/>
    <m/>
    <m/>
    <m/>
    <m/>
    <m/>
    <n v="10000"/>
    <m/>
    <n v="10000"/>
    <n v="2"/>
    <m/>
    <m/>
    <m/>
    <m/>
    <m/>
    <m/>
    <m/>
    <m/>
    <m/>
    <m/>
    <m/>
    <m/>
    <m/>
    <m/>
    <m/>
    <m/>
    <m/>
    <m/>
    <m/>
    <n v="10000"/>
    <m/>
    <m/>
    <n v="1000"/>
    <x v="6"/>
    <x v="1"/>
    <m/>
    <m/>
    <m/>
    <m/>
    <n v="2898"/>
    <m/>
    <m/>
    <m/>
    <m/>
    <m/>
    <m/>
    <m/>
    <m/>
    <m/>
    <m/>
    <m/>
    <m/>
    <s v="Gisla Dewey and Carol Schimke sent to assist and observe"/>
  </r>
  <r>
    <m/>
    <n v="7"/>
    <x v="11"/>
    <d v="1999-08-01T00:00:00"/>
    <x v="4"/>
    <x v="4"/>
    <m/>
    <x v="4"/>
    <n v="7"/>
    <x v="3"/>
    <s v="Cambodia"/>
    <m/>
    <s v="Floods"/>
    <s v="General Floods"/>
    <s v="General Floods"/>
    <m/>
    <x v="0"/>
    <m/>
    <m/>
    <m/>
    <x v="0"/>
    <x v="0"/>
    <m/>
    <m/>
    <m/>
    <m/>
    <m/>
    <n v="0"/>
    <n v="25000"/>
    <m/>
    <m/>
    <m/>
    <n v="25000"/>
    <n v="0"/>
    <m/>
    <m/>
    <m/>
    <m/>
    <m/>
    <m/>
    <m/>
    <m/>
    <m/>
    <m/>
    <m/>
    <m/>
    <m/>
    <m/>
    <m/>
    <m/>
    <m/>
    <m/>
    <m/>
    <n v="25000"/>
    <m/>
    <m/>
    <n v="1321.7075933422946"/>
    <x v="8"/>
    <x v="1"/>
    <m/>
    <m/>
    <m/>
    <m/>
    <n v="2898"/>
    <m/>
    <m/>
    <m/>
    <m/>
    <m/>
    <m/>
    <m/>
    <m/>
    <m/>
    <m/>
    <m/>
    <m/>
    <s v="Region response"/>
  </r>
  <r>
    <m/>
    <n v="8"/>
    <x v="12"/>
    <d v="1999-09-01T00:00:00"/>
    <x v="4"/>
    <x v="5"/>
    <m/>
    <x v="4"/>
    <n v="8"/>
    <x v="3"/>
    <s v="Greece"/>
    <m/>
    <s v="Earthquake"/>
    <s v="Earthquake"/>
    <s v="Earthquake"/>
    <m/>
    <x v="0"/>
    <m/>
    <m/>
    <m/>
    <x v="0"/>
    <x v="0"/>
    <m/>
    <m/>
    <m/>
    <m/>
    <m/>
    <n v="1"/>
    <n v="80000"/>
    <m/>
    <m/>
    <m/>
    <n v="80000"/>
    <n v="0"/>
    <m/>
    <m/>
    <m/>
    <m/>
    <m/>
    <m/>
    <m/>
    <m/>
    <m/>
    <m/>
    <m/>
    <m/>
    <m/>
    <m/>
    <m/>
    <m/>
    <m/>
    <m/>
    <m/>
    <n v="80000"/>
    <m/>
    <m/>
    <n v="2580.0991790124413"/>
    <x v="9"/>
    <x v="1"/>
    <m/>
    <m/>
    <m/>
    <m/>
    <n v="2898"/>
    <m/>
    <m/>
    <m/>
    <m/>
    <m/>
    <m/>
    <m/>
    <m/>
    <m/>
    <m/>
    <m/>
    <m/>
    <m/>
  </r>
  <r>
    <m/>
    <n v="9"/>
    <x v="13"/>
    <d v="1999-09-01T00:00:00"/>
    <x v="4"/>
    <x v="6"/>
    <m/>
    <x v="4"/>
    <n v="9"/>
    <x v="2"/>
    <s v="Bahamas"/>
    <m/>
    <s v="Storm"/>
    <s v="Tropical Cyclone"/>
    <s v="Hurricane"/>
    <m/>
    <x v="0"/>
    <m/>
    <m/>
    <m/>
    <x v="0"/>
    <x v="0"/>
    <m/>
    <m/>
    <m/>
    <m/>
    <m/>
    <m/>
    <m/>
    <m/>
    <n v="25000"/>
    <m/>
    <n v="25000"/>
    <n v="3"/>
    <m/>
    <m/>
    <m/>
    <m/>
    <m/>
    <m/>
    <m/>
    <m/>
    <m/>
    <m/>
    <m/>
    <m/>
    <m/>
    <m/>
    <m/>
    <m/>
    <m/>
    <n v="97443"/>
    <n v="9750"/>
    <n v="132193"/>
    <m/>
    <m/>
    <n v="12383.247348462506"/>
    <x v="10"/>
    <x v="1"/>
    <m/>
    <m/>
    <m/>
    <m/>
    <n v="2898"/>
    <m/>
    <m/>
    <m/>
    <m/>
    <m/>
    <m/>
    <m/>
    <m/>
    <m/>
    <m/>
    <m/>
    <s v="Floyd"/>
    <s v="Hygiene kits, plastic sheeting, flashlights,batteries, bedsheets, and tents"/>
  </r>
  <r>
    <m/>
    <n v="10"/>
    <x v="14"/>
    <d v="1999-09-01T00:00:00"/>
    <x v="4"/>
    <x v="7"/>
    <m/>
    <x v="4"/>
    <n v="10"/>
    <x v="3"/>
    <s v="Taiwan"/>
    <m/>
    <s v="Earthquake"/>
    <s v="Earthquake"/>
    <s v="Earthquake"/>
    <m/>
    <x v="0"/>
    <m/>
    <m/>
    <m/>
    <x v="0"/>
    <x v="0"/>
    <m/>
    <m/>
    <m/>
    <m/>
    <m/>
    <n v="1"/>
    <n v="1200000"/>
    <m/>
    <m/>
    <m/>
    <n v="1200000"/>
    <n v="0"/>
    <m/>
    <m/>
    <m/>
    <m/>
    <m/>
    <m/>
    <m/>
    <m/>
    <m/>
    <m/>
    <m/>
    <m/>
    <m/>
    <m/>
    <m/>
    <m/>
    <m/>
    <m/>
    <m/>
    <n v="1200000"/>
    <m/>
    <m/>
    <n v="54838.842352037951"/>
    <x v="11"/>
    <x v="1"/>
    <m/>
    <m/>
    <m/>
    <m/>
    <n v="2824"/>
    <m/>
    <m/>
    <m/>
    <m/>
    <m/>
    <m/>
    <m/>
    <m/>
    <m/>
    <m/>
    <m/>
    <m/>
    <s v="Money sent to Federation"/>
  </r>
  <r>
    <m/>
    <n v="11"/>
    <x v="15"/>
    <d v="1999-09-01T00:00:00"/>
    <x v="4"/>
    <x v="8"/>
    <m/>
    <x v="4"/>
    <n v="11"/>
    <x v="3"/>
    <s v="Japan"/>
    <m/>
    <s v="Industrial"/>
    <s v="Radiation"/>
    <s v="Radiation"/>
    <m/>
    <x v="0"/>
    <m/>
    <m/>
    <m/>
    <x v="0"/>
    <x v="0"/>
    <m/>
    <m/>
    <m/>
    <m/>
    <m/>
    <m/>
    <m/>
    <m/>
    <m/>
    <m/>
    <n v="0"/>
    <n v="0"/>
    <m/>
    <m/>
    <m/>
    <m/>
    <m/>
    <m/>
    <m/>
    <m/>
    <m/>
    <m/>
    <m/>
    <m/>
    <m/>
    <m/>
    <m/>
    <m/>
    <m/>
    <n v="200"/>
    <m/>
    <n v="200"/>
    <m/>
    <m/>
    <m/>
    <x v="12"/>
    <x v="1"/>
    <m/>
    <m/>
    <m/>
    <m/>
    <n v="2898"/>
    <m/>
    <m/>
    <m/>
    <m/>
    <m/>
    <m/>
    <m/>
    <m/>
    <m/>
    <m/>
    <m/>
    <s v="Nuclear Power Plant"/>
    <s v="Manuals related to Nuclear disasters sent to JRCS"/>
  </r>
  <r>
    <m/>
    <n v="12"/>
    <x v="0"/>
    <d v="1999-09-01T00:00:00"/>
    <x v="4"/>
    <x v="9"/>
    <m/>
    <x v="4"/>
    <n v="12"/>
    <x v="2"/>
    <s v="Mexico"/>
    <m/>
    <s v="Earthquake"/>
    <s v="Earthquake"/>
    <s v="Earthquake"/>
    <m/>
    <x v="0"/>
    <m/>
    <m/>
    <m/>
    <x v="0"/>
    <x v="0"/>
    <m/>
    <m/>
    <m/>
    <m/>
    <m/>
    <m/>
    <m/>
    <m/>
    <n v="150000"/>
    <m/>
    <n v="150000"/>
    <n v="3"/>
    <m/>
    <m/>
    <m/>
    <m/>
    <m/>
    <m/>
    <m/>
    <m/>
    <m/>
    <m/>
    <m/>
    <m/>
    <m/>
    <m/>
    <m/>
    <m/>
    <m/>
    <m/>
    <m/>
    <n v="150000"/>
    <m/>
    <m/>
    <m/>
    <x v="13"/>
    <x v="1"/>
    <m/>
    <m/>
    <m/>
    <m/>
    <n v="2020"/>
    <m/>
    <m/>
    <m/>
    <m/>
    <m/>
    <m/>
    <m/>
    <m/>
    <m/>
    <m/>
    <m/>
    <m/>
    <m/>
  </r>
  <r>
    <m/>
    <n v="13"/>
    <x v="16"/>
    <d v="1999-10-01T00:00:00"/>
    <x v="4"/>
    <x v="10"/>
    <m/>
    <x v="4"/>
    <n v="13"/>
    <x v="2"/>
    <s v="Mexico"/>
    <m/>
    <s v="Floods "/>
    <s v="General Floods"/>
    <s v="General Floods"/>
    <m/>
    <x v="0"/>
    <m/>
    <m/>
    <m/>
    <x v="0"/>
    <x v="0"/>
    <m/>
    <m/>
    <m/>
    <m/>
    <m/>
    <m/>
    <m/>
    <m/>
    <n v="200000"/>
    <m/>
    <n v="200000"/>
    <n v="4"/>
    <m/>
    <m/>
    <m/>
    <m/>
    <m/>
    <m/>
    <m/>
    <m/>
    <m/>
    <m/>
    <m/>
    <m/>
    <m/>
    <m/>
    <m/>
    <m/>
    <m/>
    <m/>
    <n v="5000"/>
    <n v="205000"/>
    <m/>
    <m/>
    <n v="12000"/>
    <x v="14"/>
    <x v="1"/>
    <m/>
    <m/>
    <m/>
    <m/>
    <n v="2020"/>
    <m/>
    <m/>
    <m/>
    <m/>
    <m/>
    <m/>
    <m/>
    <m/>
    <m/>
    <m/>
    <m/>
    <m/>
    <m/>
  </r>
  <r>
    <m/>
    <n v="14"/>
    <x v="17"/>
    <d v="1999-10-01T00:00:00"/>
    <x v="4"/>
    <x v="11"/>
    <m/>
    <x v="4"/>
    <n v="14"/>
    <x v="3"/>
    <s v="Russian Fed."/>
    <m/>
    <s v="Conflict"/>
    <s v="Conflict"/>
    <s v="Conflict"/>
    <m/>
    <x v="0"/>
    <m/>
    <m/>
    <m/>
    <x v="0"/>
    <x v="0"/>
    <m/>
    <m/>
    <m/>
    <m/>
    <m/>
    <m/>
    <m/>
    <m/>
    <n v="75000"/>
    <m/>
    <n v="75000"/>
    <n v="0"/>
    <m/>
    <m/>
    <n v="76700"/>
    <m/>
    <n v="11200"/>
    <n v="55000"/>
    <n v="10500"/>
    <m/>
    <m/>
    <m/>
    <m/>
    <m/>
    <m/>
    <m/>
    <m/>
    <m/>
    <m/>
    <n v="535134"/>
    <m/>
    <n v="610134"/>
    <m/>
    <m/>
    <n v="55000"/>
    <x v="15"/>
    <x v="1"/>
    <m/>
    <m/>
    <m/>
    <m/>
    <n v="2045"/>
    <m/>
    <m/>
    <m/>
    <m/>
    <m/>
    <m/>
    <m/>
    <m/>
    <m/>
    <m/>
    <m/>
    <s v="Chechnya"/>
    <s v="Chechnya:  Response handled by Regional desk, winter clothing for 3,000 people, 55,000 blankets, 10,500 Jerry cans, 11,200 hygiene parcels."/>
  </r>
  <r>
    <m/>
    <n v="15"/>
    <x v="18"/>
    <d v="1999-10-01T00:00:00"/>
    <x v="4"/>
    <x v="12"/>
    <m/>
    <x v="4"/>
    <n v="15"/>
    <x v="3"/>
    <s v="Timor-Leste"/>
    <m/>
    <s v="Conflict"/>
    <s v="Conflict"/>
    <s v="Conflict"/>
    <m/>
    <x v="0"/>
    <m/>
    <m/>
    <m/>
    <x v="0"/>
    <x v="0"/>
    <m/>
    <m/>
    <m/>
    <m/>
    <m/>
    <m/>
    <m/>
    <m/>
    <n v="10000"/>
    <m/>
    <n v="10000"/>
    <n v="1"/>
    <m/>
    <m/>
    <m/>
    <m/>
    <m/>
    <m/>
    <m/>
    <m/>
    <m/>
    <m/>
    <m/>
    <m/>
    <m/>
    <m/>
    <m/>
    <m/>
    <m/>
    <m/>
    <m/>
    <n v="10000"/>
    <m/>
    <m/>
    <m/>
    <x v="6"/>
    <x v="1"/>
    <m/>
    <m/>
    <m/>
    <m/>
    <n v="2898"/>
    <m/>
    <m/>
    <m/>
    <m/>
    <m/>
    <m/>
    <m/>
    <m/>
    <m/>
    <m/>
    <m/>
    <s v="Referendum"/>
    <s v="Kevin Kelley sent."/>
  </r>
  <r>
    <m/>
    <n v="16"/>
    <x v="19"/>
    <d v="1999-10-01T00:00:00"/>
    <x v="4"/>
    <x v="13"/>
    <m/>
    <x v="4"/>
    <n v="16"/>
    <x v="3"/>
    <s v="Bangladesh"/>
    <m/>
    <s v="Floods"/>
    <s v="General Floods"/>
    <s v="General Floods"/>
    <m/>
    <x v="0"/>
    <m/>
    <m/>
    <m/>
    <x v="0"/>
    <x v="0"/>
    <m/>
    <m/>
    <m/>
    <m/>
    <m/>
    <n v="0"/>
    <n v="25000"/>
    <m/>
    <m/>
    <m/>
    <n v="25000"/>
    <n v="0"/>
    <m/>
    <m/>
    <m/>
    <m/>
    <m/>
    <m/>
    <m/>
    <m/>
    <m/>
    <m/>
    <m/>
    <m/>
    <m/>
    <m/>
    <m/>
    <m/>
    <m/>
    <m/>
    <m/>
    <n v="25000"/>
    <m/>
    <m/>
    <n v="2500"/>
    <x v="8"/>
    <x v="1"/>
    <m/>
    <m/>
    <m/>
    <m/>
    <n v="2898"/>
    <m/>
    <m/>
    <m/>
    <m/>
    <m/>
    <m/>
    <m/>
    <m/>
    <m/>
    <m/>
    <m/>
    <m/>
    <m/>
  </r>
  <r>
    <m/>
    <n v="17"/>
    <x v="20"/>
    <d v="1999-11-01T00:00:00"/>
    <x v="4"/>
    <x v="14"/>
    <m/>
    <x v="4"/>
    <n v="17"/>
    <x v="3"/>
    <s v="India"/>
    <m/>
    <s v="Storm"/>
    <s v="Tropical Cyclone"/>
    <s v="Cyclone"/>
    <m/>
    <x v="0"/>
    <m/>
    <m/>
    <m/>
    <x v="0"/>
    <x v="0"/>
    <m/>
    <m/>
    <m/>
    <m/>
    <m/>
    <n v="1"/>
    <n v="50000"/>
    <m/>
    <m/>
    <m/>
    <n v="50000"/>
    <n v="0"/>
    <m/>
    <m/>
    <m/>
    <m/>
    <m/>
    <m/>
    <m/>
    <m/>
    <m/>
    <m/>
    <m/>
    <m/>
    <m/>
    <m/>
    <m/>
    <m/>
    <m/>
    <m/>
    <m/>
    <n v="50000"/>
    <m/>
    <m/>
    <n v="5000"/>
    <x v="16"/>
    <x v="1"/>
    <m/>
    <m/>
    <m/>
    <m/>
    <n v="2898"/>
    <m/>
    <m/>
    <m/>
    <m/>
    <m/>
    <m/>
    <m/>
    <m/>
    <m/>
    <m/>
    <m/>
    <m/>
    <s v="Federation handled funds"/>
  </r>
  <r>
    <m/>
    <n v="18"/>
    <x v="21"/>
    <d v="1999-11-01T00:00:00"/>
    <x v="4"/>
    <x v="15"/>
    <m/>
    <x v="4"/>
    <n v="18"/>
    <x v="3"/>
    <s v="Vietnam"/>
    <m/>
    <s v="Floods"/>
    <s v="General Floods"/>
    <s v="General Floods"/>
    <m/>
    <x v="0"/>
    <m/>
    <m/>
    <m/>
    <x v="0"/>
    <x v="0"/>
    <m/>
    <m/>
    <m/>
    <m/>
    <m/>
    <m/>
    <m/>
    <m/>
    <n v="50000"/>
    <m/>
    <n v="50000"/>
    <n v="0"/>
    <m/>
    <m/>
    <m/>
    <m/>
    <m/>
    <m/>
    <m/>
    <m/>
    <m/>
    <m/>
    <m/>
    <m/>
    <m/>
    <m/>
    <m/>
    <m/>
    <m/>
    <m/>
    <m/>
    <n v="50000"/>
    <m/>
    <m/>
    <m/>
    <x v="16"/>
    <x v="1"/>
    <m/>
    <m/>
    <m/>
    <m/>
    <n v="2870"/>
    <m/>
    <m/>
    <m/>
    <m/>
    <m/>
    <m/>
    <m/>
    <m/>
    <m/>
    <m/>
    <m/>
    <m/>
    <s v="Reference Regional Desk information."/>
  </r>
  <r>
    <m/>
    <n v="19"/>
    <x v="9"/>
    <d v="1999-11-01T00:00:00"/>
    <x v="4"/>
    <x v="16"/>
    <m/>
    <x v="4"/>
    <n v="19"/>
    <x v="3"/>
    <s v="Turkey"/>
    <m/>
    <s v="Earthquake"/>
    <s v="Earthquake"/>
    <s v="Earthquake"/>
    <m/>
    <x v="0"/>
    <m/>
    <m/>
    <m/>
    <x v="0"/>
    <x v="0"/>
    <m/>
    <m/>
    <m/>
    <m/>
    <m/>
    <n v="1"/>
    <n v="2504221.9900000002"/>
    <m/>
    <n v="1360000"/>
    <m/>
    <n v="3864221.99"/>
    <n v="10"/>
    <m/>
    <m/>
    <m/>
    <m/>
    <m/>
    <m/>
    <m/>
    <m/>
    <m/>
    <m/>
    <m/>
    <m/>
    <m/>
    <m/>
    <m/>
    <m/>
    <m/>
    <n v="816758.16"/>
    <n v="472203.99"/>
    <n v="5153184.1400000006"/>
    <m/>
    <m/>
    <n v="52000"/>
    <x v="17"/>
    <x v="1"/>
    <m/>
    <m/>
    <m/>
    <m/>
    <n v="2814"/>
    <m/>
    <m/>
    <m/>
    <m/>
    <m/>
    <m/>
    <m/>
    <m/>
    <m/>
    <m/>
    <m/>
    <m/>
    <s v="Total expenditures based off expenses from August-Jan for both earthquakes affecting Turkey."/>
  </r>
  <r>
    <m/>
    <n v="20"/>
    <x v="22"/>
    <d v="1999-11-01T00:00:00"/>
    <x v="4"/>
    <x v="17"/>
    <m/>
    <x v="4"/>
    <n v="20"/>
    <x v="2"/>
    <s v="Dominica"/>
    <m/>
    <s v="Storm"/>
    <s v="Tropical Cyclone"/>
    <s v="Hurricane"/>
    <m/>
    <x v="0"/>
    <m/>
    <m/>
    <m/>
    <x v="0"/>
    <x v="0"/>
    <m/>
    <m/>
    <m/>
    <m/>
    <m/>
    <m/>
    <m/>
    <m/>
    <n v="15000"/>
    <m/>
    <n v="15000"/>
    <n v="1"/>
    <m/>
    <m/>
    <m/>
    <m/>
    <m/>
    <m/>
    <m/>
    <m/>
    <m/>
    <m/>
    <m/>
    <m/>
    <m/>
    <m/>
    <m/>
    <m/>
    <m/>
    <m/>
    <m/>
    <n v="15000"/>
    <m/>
    <m/>
    <n v="1500"/>
    <x v="18"/>
    <x v="1"/>
    <m/>
    <m/>
    <m/>
    <m/>
    <n v="2898"/>
    <m/>
    <m/>
    <m/>
    <m/>
    <m/>
    <m/>
    <m/>
    <m/>
    <m/>
    <m/>
    <m/>
    <s v="Lenny"/>
    <s v="Transferred directly to DRCS for household items, supplementary food to 100 families, tents &amp; hygiene kits. "/>
  </r>
  <r>
    <m/>
    <n v="20"/>
    <x v="23"/>
    <d v="1999-11-01T00:00:00"/>
    <x v="4"/>
    <x v="17"/>
    <m/>
    <x v="4"/>
    <n v="20"/>
    <x v="2"/>
    <s v="St. Kitts &amp; Nevis"/>
    <m/>
    <s v="Storm"/>
    <s v="Tropical Cyclone"/>
    <s v="Hurricane"/>
    <m/>
    <x v="0"/>
    <m/>
    <m/>
    <m/>
    <x v="0"/>
    <x v="0"/>
    <m/>
    <m/>
    <m/>
    <m/>
    <m/>
    <m/>
    <m/>
    <m/>
    <n v="15000"/>
    <m/>
    <n v="15000"/>
    <n v="2"/>
    <m/>
    <m/>
    <m/>
    <m/>
    <m/>
    <m/>
    <m/>
    <m/>
    <m/>
    <m/>
    <m/>
    <m/>
    <m/>
    <m/>
    <m/>
    <m/>
    <m/>
    <m/>
    <m/>
    <n v="15000"/>
    <m/>
    <m/>
    <n v="1500"/>
    <x v="18"/>
    <x v="1"/>
    <m/>
    <m/>
    <m/>
    <m/>
    <n v="2898"/>
    <m/>
    <m/>
    <m/>
    <m/>
    <m/>
    <m/>
    <m/>
    <m/>
    <m/>
    <m/>
    <m/>
    <s v="Lenny"/>
    <s v="Transferred directly to SKNRC for hygiene kits, food packages and bedding "/>
  </r>
  <r>
    <m/>
    <n v="20"/>
    <x v="24"/>
    <d v="1999-11-01T00:00:00"/>
    <x v="4"/>
    <x v="17"/>
    <m/>
    <x v="4"/>
    <n v="20"/>
    <x v="2"/>
    <s v="Antigua"/>
    <m/>
    <s v="Storm"/>
    <s v="Tropical Cyclone"/>
    <s v="Hurricane"/>
    <m/>
    <x v="0"/>
    <m/>
    <m/>
    <m/>
    <x v="0"/>
    <x v="0"/>
    <m/>
    <m/>
    <m/>
    <m/>
    <m/>
    <m/>
    <m/>
    <m/>
    <n v="15000"/>
    <m/>
    <n v="15000"/>
    <n v="1"/>
    <m/>
    <m/>
    <m/>
    <m/>
    <m/>
    <m/>
    <m/>
    <m/>
    <m/>
    <m/>
    <m/>
    <m/>
    <m/>
    <m/>
    <m/>
    <m/>
    <m/>
    <m/>
    <m/>
    <n v="15000"/>
    <m/>
    <m/>
    <n v="1500"/>
    <x v="18"/>
    <x v="1"/>
    <m/>
    <m/>
    <m/>
    <m/>
    <n v="2898"/>
    <m/>
    <m/>
    <m/>
    <m/>
    <m/>
    <m/>
    <m/>
    <m/>
    <m/>
    <m/>
    <m/>
    <s v="Lenny"/>
    <s v="$15,000 for mattresses, first aid supplies, and roofing .     "/>
  </r>
  <r>
    <m/>
    <n v="20"/>
    <x v="25"/>
    <d v="1999-11-01T00:00:00"/>
    <x v="4"/>
    <x v="17"/>
    <m/>
    <x v="4"/>
    <n v="20"/>
    <x v="2"/>
    <s v="Grenada"/>
    <m/>
    <s v="Storm"/>
    <s v="Tropical Cyclone"/>
    <s v="Hurricane"/>
    <m/>
    <x v="0"/>
    <m/>
    <m/>
    <m/>
    <x v="0"/>
    <x v="0"/>
    <m/>
    <m/>
    <m/>
    <m/>
    <m/>
    <m/>
    <m/>
    <m/>
    <n v="9000"/>
    <m/>
    <n v="9000"/>
    <n v="1"/>
    <m/>
    <m/>
    <m/>
    <m/>
    <m/>
    <m/>
    <m/>
    <m/>
    <m/>
    <m/>
    <m/>
    <m/>
    <m/>
    <m/>
    <m/>
    <m/>
    <m/>
    <m/>
    <m/>
    <n v="9000"/>
    <m/>
    <m/>
    <n v="900"/>
    <x v="19"/>
    <x v="1"/>
    <m/>
    <m/>
    <m/>
    <m/>
    <n v="2898"/>
    <m/>
    <m/>
    <m/>
    <m/>
    <m/>
    <m/>
    <m/>
    <m/>
    <m/>
    <m/>
    <m/>
    <s v="Lenny"/>
    <m/>
  </r>
  <r>
    <m/>
    <n v="20"/>
    <x v="26"/>
    <d v="1999-11-01T00:00:00"/>
    <x v="4"/>
    <x v="17"/>
    <m/>
    <x v="4"/>
    <n v="20"/>
    <x v="2"/>
    <s v="St. Maartens"/>
    <m/>
    <s v="Storm"/>
    <s v="Tropical Cyclone"/>
    <s v="Hurricane"/>
    <m/>
    <x v="0"/>
    <m/>
    <m/>
    <m/>
    <x v="0"/>
    <x v="0"/>
    <m/>
    <m/>
    <m/>
    <m/>
    <m/>
    <m/>
    <m/>
    <m/>
    <n v="9000"/>
    <m/>
    <n v="9000"/>
    <m/>
    <m/>
    <m/>
    <m/>
    <m/>
    <m/>
    <m/>
    <m/>
    <m/>
    <m/>
    <m/>
    <m/>
    <m/>
    <m/>
    <m/>
    <m/>
    <m/>
    <m/>
    <m/>
    <m/>
    <n v="9000"/>
    <m/>
    <m/>
    <n v="900"/>
    <x v="19"/>
    <x v="1"/>
    <m/>
    <m/>
    <m/>
    <m/>
    <n v="2898"/>
    <m/>
    <m/>
    <m/>
    <m/>
    <m/>
    <m/>
    <m/>
    <m/>
    <m/>
    <m/>
    <m/>
    <s v="Lenny"/>
    <m/>
  </r>
  <r>
    <m/>
    <n v="21"/>
    <x v="27"/>
    <d v="1999-12-01T00:00:00"/>
    <x v="4"/>
    <x v="18"/>
    <m/>
    <x v="4"/>
    <n v="21"/>
    <x v="2"/>
    <s v="Venezuela"/>
    <m/>
    <s v="Floods"/>
    <s v="General Floods"/>
    <s v="General Floods"/>
    <m/>
    <x v="0"/>
    <m/>
    <m/>
    <m/>
    <x v="0"/>
    <x v="0"/>
    <m/>
    <m/>
    <m/>
    <m/>
    <m/>
    <m/>
    <m/>
    <m/>
    <n v="50000"/>
    <m/>
    <n v="50000"/>
    <n v="23"/>
    <m/>
    <m/>
    <n v="55532"/>
    <m/>
    <n v="2200"/>
    <n v="4625"/>
    <n v="2550"/>
    <m/>
    <n v="36"/>
    <m/>
    <n v="6120"/>
    <m/>
    <n v="40000"/>
    <m/>
    <n v="7"/>
    <m/>
    <m/>
    <n v="506000"/>
    <n v="500000"/>
    <n v="1056000"/>
    <m/>
    <m/>
    <n v="120000"/>
    <x v="20"/>
    <x v="1"/>
    <m/>
    <m/>
    <m/>
    <m/>
    <n v="2912"/>
    <m/>
    <m/>
    <m/>
    <m/>
    <m/>
    <m/>
    <m/>
    <m/>
    <m/>
    <m/>
    <m/>
    <m/>
    <s v="2,550 collapsible water containers. Purchased and shipped 7 Ford trucks, ($182,000),  13 MT calcium hypochloride ($30,000)"/>
  </r>
  <r>
    <m/>
    <n v="22"/>
    <x v="28"/>
    <d v="2000-02-01T00:00:00"/>
    <x v="4"/>
    <x v="19"/>
    <m/>
    <x v="5"/>
    <n v="1"/>
    <x v="1"/>
    <s v="South Africa"/>
    <m/>
    <s v="Floods"/>
    <s v="General Floods"/>
    <s v="General Floods"/>
    <m/>
    <x v="0"/>
    <m/>
    <m/>
    <m/>
    <x v="0"/>
    <x v="0"/>
    <m/>
    <m/>
    <m/>
    <m/>
    <m/>
    <n v="0"/>
    <n v="23333.333333333332"/>
    <m/>
    <m/>
    <m/>
    <n v="23333.333333333332"/>
    <n v="0"/>
    <m/>
    <m/>
    <m/>
    <m/>
    <m/>
    <m/>
    <m/>
    <m/>
    <m/>
    <m/>
    <m/>
    <m/>
    <m/>
    <m/>
    <m/>
    <m/>
    <m/>
    <m/>
    <m/>
    <n v="23333.333333333332"/>
    <m/>
    <m/>
    <n v="2300"/>
    <x v="21"/>
    <x v="1"/>
    <m/>
    <m/>
    <m/>
    <m/>
    <n v="2898"/>
    <m/>
    <m/>
    <m/>
    <m/>
    <m/>
    <m/>
    <m/>
    <m/>
    <m/>
    <m/>
    <m/>
    <m/>
    <s v="Federation handled funds ($70,000 total)"/>
  </r>
  <r>
    <m/>
    <n v="22"/>
    <x v="29"/>
    <d v="2000-02-01T00:00:00"/>
    <x v="4"/>
    <x v="19"/>
    <m/>
    <x v="5"/>
    <n v="1"/>
    <x v="1"/>
    <s v="Botswana"/>
    <m/>
    <s v="Floods"/>
    <s v="General Floods"/>
    <s v="General Floods"/>
    <m/>
    <x v="0"/>
    <m/>
    <m/>
    <m/>
    <x v="0"/>
    <x v="0"/>
    <m/>
    <m/>
    <m/>
    <m/>
    <m/>
    <n v="0"/>
    <n v="23333.333333333332"/>
    <m/>
    <m/>
    <m/>
    <n v="23333.333333333332"/>
    <m/>
    <m/>
    <m/>
    <m/>
    <m/>
    <m/>
    <m/>
    <m/>
    <m/>
    <m/>
    <m/>
    <m/>
    <m/>
    <m/>
    <m/>
    <m/>
    <m/>
    <m/>
    <m/>
    <m/>
    <n v="23333.333333333332"/>
    <m/>
    <m/>
    <n v="2300"/>
    <x v="21"/>
    <x v="1"/>
    <m/>
    <m/>
    <m/>
    <m/>
    <n v="2898"/>
    <m/>
    <m/>
    <m/>
    <m/>
    <m/>
    <m/>
    <m/>
    <m/>
    <m/>
    <m/>
    <m/>
    <m/>
    <s v="Federation handled funds ($70,000 total)"/>
  </r>
  <r>
    <m/>
    <n v="22"/>
    <x v="30"/>
    <d v="2000-02-01T00:00:00"/>
    <x v="4"/>
    <x v="19"/>
    <m/>
    <x v="5"/>
    <n v="1"/>
    <x v="1"/>
    <s v="Zimbabwe"/>
    <m/>
    <s v="Floods"/>
    <s v="General Floods"/>
    <s v="General Floods"/>
    <m/>
    <x v="0"/>
    <m/>
    <m/>
    <m/>
    <x v="0"/>
    <x v="0"/>
    <m/>
    <m/>
    <m/>
    <m/>
    <m/>
    <n v="0"/>
    <n v="23333.343333333331"/>
    <m/>
    <m/>
    <m/>
    <n v="23333.343333333331"/>
    <m/>
    <m/>
    <m/>
    <m/>
    <m/>
    <m/>
    <m/>
    <m/>
    <m/>
    <m/>
    <m/>
    <m/>
    <m/>
    <m/>
    <m/>
    <m/>
    <m/>
    <m/>
    <m/>
    <m/>
    <n v="23333.343333333331"/>
    <m/>
    <m/>
    <n v="2300"/>
    <x v="22"/>
    <x v="1"/>
    <m/>
    <m/>
    <m/>
    <m/>
    <n v="2898"/>
    <m/>
    <m/>
    <m/>
    <m/>
    <m/>
    <m/>
    <m/>
    <m/>
    <m/>
    <m/>
    <m/>
    <m/>
    <s v="Federation handled funds ($70,000 total)"/>
  </r>
  <r>
    <m/>
    <n v="23"/>
    <x v="31"/>
    <d v="2000-03-01T00:00:00"/>
    <x v="4"/>
    <x v="20"/>
    <m/>
    <x v="5"/>
    <n v="3"/>
    <x v="1"/>
    <s v="Madagascar"/>
    <m/>
    <s v="Floods"/>
    <s v="General Floods"/>
    <s v="General Floods"/>
    <m/>
    <x v="0"/>
    <m/>
    <m/>
    <m/>
    <x v="0"/>
    <x v="0"/>
    <m/>
    <m/>
    <m/>
    <m/>
    <m/>
    <n v="0"/>
    <n v="25000"/>
    <m/>
    <m/>
    <m/>
    <n v="25000"/>
    <n v="0"/>
    <m/>
    <m/>
    <m/>
    <m/>
    <m/>
    <m/>
    <m/>
    <m/>
    <m/>
    <m/>
    <m/>
    <m/>
    <m/>
    <m/>
    <m/>
    <m/>
    <m/>
    <m/>
    <m/>
    <n v="25000"/>
    <m/>
    <m/>
    <n v="2500"/>
    <x v="8"/>
    <x v="1"/>
    <m/>
    <m/>
    <m/>
    <m/>
    <n v="2898"/>
    <m/>
    <m/>
    <m/>
    <m/>
    <m/>
    <m/>
    <m/>
    <m/>
    <m/>
    <m/>
    <m/>
    <m/>
    <s v="Federation handled funds"/>
  </r>
  <r>
    <m/>
    <n v="24"/>
    <x v="5"/>
    <d v="2000-04-01T00:00:00"/>
    <x v="4"/>
    <x v="21"/>
    <m/>
    <x v="5"/>
    <n v="4"/>
    <x v="1"/>
    <s v="Ethiopia"/>
    <m/>
    <s v="Drought"/>
    <s v="Drought"/>
    <s v="Drought"/>
    <m/>
    <x v="0"/>
    <m/>
    <m/>
    <m/>
    <x v="0"/>
    <x v="0"/>
    <m/>
    <m/>
    <m/>
    <m/>
    <m/>
    <n v="1"/>
    <n v="100000"/>
    <m/>
    <m/>
    <m/>
    <n v="100000"/>
    <n v="0"/>
    <m/>
    <m/>
    <m/>
    <m/>
    <m/>
    <m/>
    <m/>
    <m/>
    <m/>
    <m/>
    <m/>
    <m/>
    <m/>
    <m/>
    <m/>
    <m/>
    <m/>
    <m/>
    <m/>
    <n v="100000"/>
    <m/>
    <m/>
    <n v="2376.7346201502733"/>
    <x v="5"/>
    <x v="1"/>
    <m/>
    <m/>
    <m/>
    <m/>
    <n v="2898"/>
    <m/>
    <m/>
    <m/>
    <m/>
    <m/>
    <m/>
    <m/>
    <m/>
    <m/>
    <m/>
    <m/>
    <m/>
    <m/>
  </r>
  <r>
    <m/>
    <n v="25"/>
    <x v="32"/>
    <d v="2000-06-01T00:00:00"/>
    <x v="4"/>
    <x v="22"/>
    <m/>
    <x v="5"/>
    <n v="5"/>
    <x v="3"/>
    <s v="Indonesia"/>
    <m/>
    <s v="Earthquake"/>
    <s v="Earthquake"/>
    <s v="Earthquake"/>
    <m/>
    <x v="0"/>
    <m/>
    <m/>
    <m/>
    <x v="0"/>
    <x v="0"/>
    <m/>
    <m/>
    <m/>
    <m/>
    <m/>
    <n v="1"/>
    <n v="50000"/>
    <m/>
    <m/>
    <m/>
    <n v="50000"/>
    <n v="2"/>
    <m/>
    <m/>
    <m/>
    <m/>
    <m/>
    <m/>
    <m/>
    <m/>
    <m/>
    <m/>
    <m/>
    <m/>
    <m/>
    <m/>
    <m/>
    <m/>
    <m/>
    <m/>
    <m/>
    <n v="50000"/>
    <m/>
    <m/>
    <n v="3300"/>
    <x v="16"/>
    <x v="1"/>
    <m/>
    <m/>
    <m/>
    <m/>
    <n v="2898"/>
    <m/>
    <m/>
    <m/>
    <m/>
    <m/>
    <m/>
    <m/>
    <m/>
    <m/>
    <m/>
    <m/>
    <m/>
    <s v="625 family kits"/>
  </r>
  <r>
    <m/>
    <n v="26"/>
    <x v="33"/>
    <d v="2000-08-01T00:00:00"/>
    <x v="5"/>
    <x v="1"/>
    <m/>
    <x v="5"/>
    <n v="6"/>
    <x v="3"/>
    <s v="India"/>
    <m/>
    <s v="Floods"/>
    <s v="General Floods"/>
    <s v="General Floods"/>
    <m/>
    <x v="0"/>
    <m/>
    <m/>
    <m/>
    <x v="0"/>
    <x v="0"/>
    <m/>
    <m/>
    <m/>
    <m/>
    <m/>
    <m/>
    <m/>
    <m/>
    <m/>
    <m/>
    <n v="0"/>
    <n v="9"/>
    <m/>
    <m/>
    <n v="5000"/>
    <m/>
    <m/>
    <m/>
    <m/>
    <m/>
    <m/>
    <m/>
    <m/>
    <m/>
    <n v="5000"/>
    <m/>
    <n v="5"/>
    <m/>
    <m/>
    <n v="199200"/>
    <n v="190065"/>
    <n v="389265"/>
    <m/>
    <m/>
    <n v="25000"/>
    <x v="23"/>
    <x v="1"/>
    <m/>
    <m/>
    <m/>
    <m/>
    <n v="4901"/>
    <m/>
    <m/>
    <m/>
    <m/>
    <m/>
    <m/>
    <m/>
    <m/>
    <m/>
    <m/>
    <m/>
    <m/>
    <s v="5,000 relief/food parcels and 5 trucks"/>
  </r>
  <r>
    <m/>
    <n v="27"/>
    <x v="19"/>
    <d v="2000-08-01T00:00:00"/>
    <x v="5"/>
    <x v="2"/>
    <m/>
    <x v="5"/>
    <n v="7"/>
    <x v="3"/>
    <s v="Bangladesh"/>
    <m/>
    <s v="Floods"/>
    <s v="General Floods"/>
    <s v="General Floods"/>
    <m/>
    <x v="0"/>
    <m/>
    <m/>
    <m/>
    <x v="0"/>
    <x v="0"/>
    <m/>
    <m/>
    <m/>
    <m/>
    <m/>
    <m/>
    <m/>
    <m/>
    <n v="25000"/>
    <m/>
    <n v="25000"/>
    <n v="0"/>
    <m/>
    <m/>
    <m/>
    <m/>
    <m/>
    <m/>
    <m/>
    <m/>
    <m/>
    <m/>
    <m/>
    <m/>
    <m/>
    <m/>
    <m/>
    <m/>
    <m/>
    <m/>
    <m/>
    <n v="25000"/>
    <m/>
    <m/>
    <n v="2500"/>
    <x v="8"/>
    <x v="1"/>
    <m/>
    <m/>
    <m/>
    <m/>
    <n v="2898"/>
    <m/>
    <m/>
    <m/>
    <m/>
    <m/>
    <m/>
    <m/>
    <m/>
    <m/>
    <m/>
    <m/>
    <m/>
    <s v="via Japanese Red Cross for relief supplies"/>
  </r>
  <r>
    <m/>
    <n v="28"/>
    <x v="11"/>
    <d v="2000-09-01T00:00:00"/>
    <x v="5"/>
    <x v="3"/>
    <m/>
    <x v="5"/>
    <n v="8"/>
    <x v="3"/>
    <s v="Cambodia"/>
    <m/>
    <s v="Floods"/>
    <s v="Storm Surge"/>
    <s v="Storm Surge"/>
    <m/>
    <x v="0"/>
    <m/>
    <m/>
    <m/>
    <x v="0"/>
    <x v="0"/>
    <m/>
    <m/>
    <m/>
    <m/>
    <m/>
    <m/>
    <m/>
    <m/>
    <n v="352704"/>
    <m/>
    <n v="352704"/>
    <n v="0"/>
    <m/>
    <m/>
    <m/>
    <m/>
    <m/>
    <m/>
    <m/>
    <m/>
    <m/>
    <m/>
    <m/>
    <m/>
    <m/>
    <m/>
    <m/>
    <m/>
    <m/>
    <m/>
    <m/>
    <n v="352704"/>
    <m/>
    <m/>
    <n v="32645"/>
    <x v="24"/>
    <x v="1"/>
    <m/>
    <m/>
    <m/>
    <m/>
    <s v="OFDA"/>
    <m/>
    <m/>
    <m/>
    <m/>
    <m/>
    <m/>
    <m/>
    <m/>
    <m/>
    <m/>
    <m/>
    <s v="TS Wukong"/>
    <s v="Three grants from OFDA (two @ $25,000 each and 1 @ $302,704) for emergency household kits"/>
  </r>
  <r>
    <m/>
    <n v="29"/>
    <x v="21"/>
    <d v="2000-09-01T00:00:00"/>
    <x v="5"/>
    <x v="4"/>
    <m/>
    <x v="5"/>
    <n v="9"/>
    <x v="3"/>
    <s v="Vietnam"/>
    <m/>
    <s v="Floods"/>
    <s v="Storm Surge"/>
    <s v="Storm Surge"/>
    <m/>
    <x v="0"/>
    <m/>
    <m/>
    <m/>
    <x v="0"/>
    <x v="0"/>
    <m/>
    <m/>
    <m/>
    <m/>
    <m/>
    <m/>
    <m/>
    <m/>
    <m/>
    <m/>
    <n v="0"/>
    <n v="0"/>
    <m/>
    <m/>
    <n v="1000"/>
    <m/>
    <m/>
    <m/>
    <m/>
    <m/>
    <m/>
    <m/>
    <m/>
    <m/>
    <m/>
    <m/>
    <m/>
    <m/>
    <m/>
    <n v="20000"/>
    <m/>
    <n v="20000"/>
    <m/>
    <m/>
    <n v="3500"/>
    <x v="25"/>
    <x v="1"/>
    <m/>
    <m/>
    <m/>
    <m/>
    <n v="2898"/>
    <m/>
    <m/>
    <m/>
    <m/>
    <m/>
    <m/>
    <m/>
    <m/>
    <m/>
    <m/>
    <m/>
    <s v="TS Wukong"/>
    <s v="1,000 Relief kits. (blankets, mosquito nets and cooking sets)"/>
  </r>
  <r>
    <m/>
    <n v="30"/>
    <x v="34"/>
    <d v="2000-10-01T00:00:00"/>
    <x v="5"/>
    <x v="5"/>
    <m/>
    <x v="5"/>
    <n v="10"/>
    <x v="2"/>
    <s v="Belize"/>
    <m/>
    <s v="Storm"/>
    <s v="Tropical Cyclone"/>
    <s v="Hurricane"/>
    <m/>
    <x v="0"/>
    <m/>
    <m/>
    <m/>
    <x v="0"/>
    <x v="0"/>
    <m/>
    <m/>
    <m/>
    <m/>
    <m/>
    <m/>
    <m/>
    <m/>
    <n v="28500"/>
    <m/>
    <n v="28500"/>
    <n v="5"/>
    <m/>
    <m/>
    <m/>
    <m/>
    <m/>
    <m/>
    <m/>
    <m/>
    <m/>
    <m/>
    <m/>
    <m/>
    <n v="2600"/>
    <m/>
    <m/>
    <m/>
    <m/>
    <n v="90000"/>
    <m/>
    <n v="118500"/>
    <m/>
    <m/>
    <n v="13000"/>
    <x v="26"/>
    <x v="1"/>
    <m/>
    <m/>
    <m/>
    <m/>
    <n v="4903"/>
    <m/>
    <m/>
    <m/>
    <m/>
    <m/>
    <m/>
    <m/>
    <m/>
    <m/>
    <m/>
    <m/>
    <s v="Keith"/>
    <s v="2,600 LDS food parcels + $30,000 for local procurement"/>
  </r>
  <r>
    <m/>
    <n v="32"/>
    <x v="35"/>
    <d v="2000-10-01T00:00:00"/>
    <x v="5"/>
    <x v="6"/>
    <m/>
    <x v="5"/>
    <n v="11"/>
    <x v="3"/>
    <s v="Israel"/>
    <m/>
    <s v="Conflict"/>
    <s v="Conflict"/>
    <s v="Conflict"/>
    <m/>
    <x v="0"/>
    <m/>
    <m/>
    <m/>
    <x v="0"/>
    <x v="0"/>
    <m/>
    <m/>
    <m/>
    <m/>
    <m/>
    <m/>
    <m/>
    <m/>
    <n v="40000"/>
    <m/>
    <n v="40000"/>
    <m/>
    <m/>
    <m/>
    <m/>
    <m/>
    <m/>
    <m/>
    <m/>
    <m/>
    <m/>
    <m/>
    <m/>
    <m/>
    <m/>
    <m/>
    <m/>
    <m/>
    <m/>
    <n v="0"/>
    <m/>
    <n v="40000"/>
    <m/>
    <m/>
    <m/>
    <x v="27"/>
    <x v="1"/>
    <m/>
    <m/>
    <m/>
    <m/>
    <n v="2898"/>
    <m/>
    <m/>
    <m/>
    <m/>
    <m/>
    <m/>
    <m/>
    <m/>
    <m/>
    <m/>
    <m/>
    <m/>
    <s v="CASH"/>
  </r>
  <r>
    <m/>
    <n v="32"/>
    <x v="36"/>
    <d v="2000-10-01T00:00:00"/>
    <x v="5"/>
    <x v="6"/>
    <m/>
    <x v="5"/>
    <n v="11"/>
    <x v="3"/>
    <s v="Jordan"/>
    <m/>
    <s v="Conflict"/>
    <s v="Conflict"/>
    <s v="Conflict"/>
    <m/>
    <x v="0"/>
    <m/>
    <m/>
    <m/>
    <x v="0"/>
    <x v="0"/>
    <m/>
    <m/>
    <m/>
    <m/>
    <m/>
    <m/>
    <m/>
    <m/>
    <m/>
    <m/>
    <n v="0"/>
    <m/>
    <m/>
    <m/>
    <m/>
    <m/>
    <m/>
    <m/>
    <m/>
    <m/>
    <m/>
    <m/>
    <m/>
    <m/>
    <m/>
    <m/>
    <n v="1"/>
    <m/>
    <m/>
    <n v="172000"/>
    <m/>
    <n v="172000"/>
    <m/>
    <m/>
    <m/>
    <x v="28"/>
    <x v="1"/>
    <m/>
    <m/>
    <m/>
    <m/>
    <n v="2898"/>
    <m/>
    <m/>
    <m/>
    <m/>
    <m/>
    <m/>
    <m/>
    <m/>
    <m/>
    <m/>
    <m/>
    <m/>
    <s v="1 ambulance, 1 generator, various med supp/equip"/>
  </r>
  <r>
    <m/>
    <n v="32"/>
    <x v="37"/>
    <d v="2000-10-01T00:00:00"/>
    <x v="5"/>
    <x v="6"/>
    <m/>
    <x v="5"/>
    <n v="11"/>
    <x v="3"/>
    <s v="Palestine"/>
    <m/>
    <s v="Conflict"/>
    <s v="Conflict"/>
    <s v="Conflict"/>
    <m/>
    <x v="0"/>
    <m/>
    <m/>
    <m/>
    <x v="0"/>
    <x v="0"/>
    <m/>
    <m/>
    <m/>
    <m/>
    <m/>
    <m/>
    <m/>
    <m/>
    <m/>
    <m/>
    <n v="0"/>
    <n v="0"/>
    <m/>
    <m/>
    <m/>
    <m/>
    <m/>
    <m/>
    <m/>
    <m/>
    <m/>
    <m/>
    <m/>
    <m/>
    <m/>
    <m/>
    <n v="2"/>
    <m/>
    <m/>
    <n v="90000"/>
    <m/>
    <n v="90000"/>
    <m/>
    <m/>
    <n v="10000"/>
    <x v="29"/>
    <x v="1"/>
    <m/>
    <m/>
    <m/>
    <m/>
    <n v="2898"/>
    <m/>
    <m/>
    <m/>
    <m/>
    <m/>
    <m/>
    <m/>
    <m/>
    <m/>
    <m/>
    <m/>
    <m/>
    <s v="2 ambulances, 1 New Emergency Health Kit"/>
  </r>
  <r>
    <m/>
    <n v="33"/>
    <x v="38"/>
    <d v="2000-11-01T00:00:00"/>
    <x v="5"/>
    <x v="7"/>
    <m/>
    <x v="5"/>
    <n v="12"/>
    <x v="3"/>
    <s v="Taiwan"/>
    <m/>
    <s v="Transport"/>
    <s v="Air"/>
    <s v="Air"/>
    <m/>
    <x v="0"/>
    <m/>
    <m/>
    <m/>
    <x v="0"/>
    <x v="0"/>
    <m/>
    <m/>
    <m/>
    <m/>
    <m/>
    <m/>
    <m/>
    <m/>
    <m/>
    <m/>
    <n v="0"/>
    <n v="1"/>
    <m/>
    <m/>
    <m/>
    <m/>
    <m/>
    <m/>
    <m/>
    <m/>
    <m/>
    <m/>
    <m/>
    <m/>
    <m/>
    <m/>
    <m/>
    <m/>
    <m/>
    <m/>
    <n v="7500"/>
    <n v="7500"/>
    <m/>
    <m/>
    <n v="300"/>
    <x v="30"/>
    <x v="1"/>
    <m/>
    <m/>
    <m/>
    <m/>
    <n v="2898"/>
    <m/>
    <m/>
    <m/>
    <m/>
    <m/>
    <m/>
    <m/>
    <m/>
    <m/>
    <m/>
    <m/>
    <s v="Singapore Airlines 006"/>
    <s v="liaison on AIR Team"/>
  </r>
  <r>
    <m/>
    <n v="34"/>
    <x v="39"/>
    <d v="2000-11-01T00:00:00"/>
    <x v="5"/>
    <x v="8"/>
    <m/>
    <x v="5"/>
    <n v="13"/>
    <x v="3"/>
    <s v="Austria"/>
    <m/>
    <s v="Miscellaneous"/>
    <s v="Fire"/>
    <s v="Fire"/>
    <m/>
    <x v="0"/>
    <m/>
    <m/>
    <m/>
    <x v="0"/>
    <x v="0"/>
    <m/>
    <m/>
    <m/>
    <m/>
    <m/>
    <m/>
    <m/>
    <m/>
    <m/>
    <m/>
    <n v="0"/>
    <n v="0"/>
    <m/>
    <m/>
    <m/>
    <m/>
    <m/>
    <m/>
    <m/>
    <m/>
    <m/>
    <m/>
    <m/>
    <m/>
    <m/>
    <m/>
    <m/>
    <m/>
    <m/>
    <m/>
    <n v="2577.8000000000002"/>
    <n v="2577.8000000000002"/>
    <m/>
    <m/>
    <n v="3"/>
    <x v="31"/>
    <x v="1"/>
    <m/>
    <m/>
    <m/>
    <m/>
    <n v="2898"/>
    <m/>
    <m/>
    <m/>
    <m/>
    <m/>
    <m/>
    <m/>
    <m/>
    <m/>
    <m/>
    <m/>
    <s v="Cable Car Fire"/>
    <s v="plane tickets for family members via AFES"/>
  </r>
  <r>
    <m/>
    <n v="35"/>
    <x v="40"/>
    <d v="2000-11-01T00:00:00"/>
    <x v="5"/>
    <x v="9"/>
    <m/>
    <x v="5"/>
    <n v="14"/>
    <x v="3"/>
    <s v="Azerbaijan"/>
    <m/>
    <s v="Earthquake"/>
    <s v="Earthquake"/>
    <s v="Earthquake"/>
    <m/>
    <x v="0"/>
    <m/>
    <m/>
    <m/>
    <x v="0"/>
    <x v="0"/>
    <m/>
    <m/>
    <m/>
    <m/>
    <m/>
    <m/>
    <m/>
    <m/>
    <m/>
    <m/>
    <n v="0"/>
    <n v="1"/>
    <m/>
    <m/>
    <m/>
    <m/>
    <m/>
    <m/>
    <m/>
    <m/>
    <m/>
    <m/>
    <m/>
    <m/>
    <m/>
    <m/>
    <m/>
    <m/>
    <m/>
    <n v="25000"/>
    <n v="5500"/>
    <n v="30500"/>
    <m/>
    <m/>
    <n v="3050"/>
    <x v="32"/>
    <x v="1"/>
    <m/>
    <m/>
    <m/>
    <m/>
    <n v="2898"/>
    <m/>
    <m/>
    <m/>
    <m/>
    <m/>
    <m/>
    <m/>
    <m/>
    <m/>
    <m/>
    <m/>
    <m/>
    <s v="10 generators, tents &amp; cooking sets. Delegate from Armenia deployed"/>
  </r>
  <r>
    <m/>
    <n v="36"/>
    <x v="41"/>
    <d v="2000-12-01T00:00:00"/>
    <x v="5"/>
    <x v="10"/>
    <m/>
    <x v="5"/>
    <n v="15"/>
    <x v="3"/>
    <s v="Sri Lanka"/>
    <m/>
    <s v="Storm"/>
    <s v="Tropical Cyclone"/>
    <s v="Cyclone"/>
    <m/>
    <x v="0"/>
    <m/>
    <m/>
    <m/>
    <x v="0"/>
    <x v="0"/>
    <m/>
    <m/>
    <m/>
    <m/>
    <m/>
    <m/>
    <m/>
    <m/>
    <m/>
    <m/>
    <n v="0"/>
    <n v="0"/>
    <m/>
    <m/>
    <m/>
    <m/>
    <m/>
    <m/>
    <m/>
    <m/>
    <m/>
    <m/>
    <m/>
    <m/>
    <m/>
    <m/>
    <m/>
    <m/>
    <m/>
    <n v="20000"/>
    <m/>
    <n v="20000"/>
    <m/>
    <m/>
    <n v="3000"/>
    <x v="25"/>
    <x v="1"/>
    <m/>
    <m/>
    <m/>
    <m/>
    <n v="2898"/>
    <m/>
    <m/>
    <m/>
    <m/>
    <m/>
    <m/>
    <m/>
    <m/>
    <m/>
    <m/>
    <m/>
    <s v="Cyclone 04B"/>
    <s v="Bedsheets and kitchen sets"/>
  </r>
  <r>
    <m/>
    <n v="37"/>
    <x v="42"/>
    <d v="2001-01-01T00:00:00"/>
    <x v="5"/>
    <x v="11"/>
    <m/>
    <x v="6"/>
    <n v="1"/>
    <x v="1"/>
    <s v="South Africa"/>
    <m/>
    <s v="Epidemic"/>
    <s v="Bacterial"/>
    <s v="Bacterial"/>
    <m/>
    <x v="0"/>
    <m/>
    <m/>
    <m/>
    <x v="0"/>
    <x v="0"/>
    <m/>
    <m/>
    <m/>
    <m/>
    <m/>
    <n v="0"/>
    <n v="25000"/>
    <m/>
    <m/>
    <m/>
    <n v="25000"/>
    <n v="0"/>
    <m/>
    <m/>
    <m/>
    <m/>
    <m/>
    <m/>
    <m/>
    <m/>
    <m/>
    <m/>
    <m/>
    <m/>
    <m/>
    <m/>
    <m/>
    <m/>
    <m/>
    <m/>
    <m/>
    <n v="25000"/>
    <m/>
    <m/>
    <n v="5000"/>
    <x v="8"/>
    <x v="1"/>
    <m/>
    <m/>
    <m/>
    <m/>
    <n v="2898"/>
    <m/>
    <m/>
    <m/>
    <m/>
    <m/>
    <m/>
    <m/>
    <m/>
    <m/>
    <m/>
    <m/>
    <s v="Cholera Outbreak"/>
    <s v="Federation Appeal 32/00"/>
  </r>
  <r>
    <m/>
    <n v="38"/>
    <x v="43"/>
    <d v="2001-01-01T00:00:00"/>
    <x v="5"/>
    <x v="12"/>
    <m/>
    <x v="6"/>
    <n v="2"/>
    <x v="2"/>
    <s v="El Salvador"/>
    <m/>
    <s v="Earthquake"/>
    <s v="Earthquake"/>
    <s v="Earthquake"/>
    <m/>
    <x v="0"/>
    <m/>
    <m/>
    <m/>
    <x v="0"/>
    <x v="0"/>
    <m/>
    <m/>
    <m/>
    <m/>
    <m/>
    <m/>
    <m/>
    <m/>
    <n v="77500"/>
    <m/>
    <n v="77500"/>
    <n v="12"/>
    <m/>
    <m/>
    <m/>
    <m/>
    <m/>
    <m/>
    <m/>
    <m/>
    <m/>
    <m/>
    <m/>
    <m/>
    <m/>
    <m/>
    <m/>
    <m/>
    <m/>
    <n v="150000"/>
    <m/>
    <n v="227500"/>
    <m/>
    <m/>
    <m/>
    <x v="33"/>
    <x v="1"/>
    <m/>
    <m/>
    <m/>
    <m/>
    <n v="2953"/>
    <m/>
    <m/>
    <m/>
    <m/>
    <m/>
    <m/>
    <m/>
    <m/>
    <m/>
    <m/>
    <m/>
    <m/>
    <s v="Cash sent to ARC Delegation in region. Supplies from Regional Warehouses.   Total expenditures as of February 2001, post 2.01 expenditures were rolled into the second El Salvador earthquake."/>
  </r>
  <r>
    <m/>
    <n v="39"/>
    <x v="44"/>
    <d v="2001-01-01T00:00:00"/>
    <x v="5"/>
    <x v="13"/>
    <m/>
    <x v="6"/>
    <n v="3"/>
    <x v="3"/>
    <s v="China"/>
    <m/>
    <s v="Storm"/>
    <s v="Winter Storm"/>
    <s v="Snowstorm"/>
    <m/>
    <x v="0"/>
    <m/>
    <m/>
    <m/>
    <x v="0"/>
    <x v="0"/>
    <m/>
    <m/>
    <m/>
    <m/>
    <m/>
    <m/>
    <m/>
    <m/>
    <n v="50000"/>
    <m/>
    <n v="50000"/>
    <n v="0"/>
    <m/>
    <m/>
    <m/>
    <m/>
    <m/>
    <m/>
    <m/>
    <m/>
    <m/>
    <m/>
    <m/>
    <m/>
    <m/>
    <m/>
    <m/>
    <m/>
    <m/>
    <m/>
    <m/>
    <n v="50000"/>
    <m/>
    <m/>
    <n v="5000"/>
    <x v="16"/>
    <x v="1"/>
    <m/>
    <m/>
    <m/>
    <m/>
    <n v="2060"/>
    <m/>
    <m/>
    <m/>
    <m/>
    <m/>
    <m/>
    <m/>
    <m/>
    <m/>
    <m/>
    <m/>
    <s v="Inner Mongolia"/>
    <s v="fund to purchase food (wheat), winter clothes and cotton quilts"/>
  </r>
  <r>
    <m/>
    <n v="40"/>
    <x v="45"/>
    <d v="2001-01-01T00:00:00"/>
    <x v="5"/>
    <x v="14"/>
    <m/>
    <x v="6"/>
    <n v="4"/>
    <x v="3"/>
    <s v="India"/>
    <m/>
    <s v="Earthquake"/>
    <s v="Earthquake"/>
    <s v="Earthquake"/>
    <n v="15850000"/>
    <x v="0"/>
    <m/>
    <m/>
    <m/>
    <x v="0"/>
    <x v="0"/>
    <m/>
    <m/>
    <m/>
    <m/>
    <m/>
    <n v="1"/>
    <n v="100000"/>
    <m/>
    <n v="25000"/>
    <m/>
    <n v="125000"/>
    <n v="19"/>
    <m/>
    <m/>
    <m/>
    <m/>
    <m/>
    <m/>
    <m/>
    <m/>
    <m/>
    <m/>
    <m/>
    <m/>
    <m/>
    <m/>
    <m/>
    <m/>
    <m/>
    <n v="1371479"/>
    <n v="366481.13"/>
    <n v="1862960.13"/>
    <m/>
    <m/>
    <n v="324495"/>
    <x v="1"/>
    <x v="1"/>
    <m/>
    <m/>
    <m/>
    <m/>
    <n v="2954"/>
    <m/>
    <m/>
    <m/>
    <m/>
    <m/>
    <m/>
    <m/>
    <m/>
    <m/>
    <m/>
    <m/>
    <m/>
    <s v="ARC also served an additional 190,185 beneficiaries by  distributing inputs from other NS.  Total expenditures as of May 2001."/>
  </r>
  <r>
    <m/>
    <n v="41"/>
    <x v="43"/>
    <d v="2001-02-01T00:00:00"/>
    <x v="5"/>
    <x v="15"/>
    <m/>
    <x v="6"/>
    <n v="5"/>
    <x v="2"/>
    <s v="El Salvador"/>
    <m/>
    <s v="Earthquake"/>
    <s v="Earthquake"/>
    <s v="Earthquake"/>
    <m/>
    <x v="0"/>
    <m/>
    <m/>
    <m/>
    <x v="0"/>
    <x v="0"/>
    <m/>
    <m/>
    <m/>
    <m/>
    <m/>
    <m/>
    <m/>
    <m/>
    <n v="70000"/>
    <m/>
    <n v="70000"/>
    <n v="8"/>
    <m/>
    <m/>
    <m/>
    <m/>
    <m/>
    <m/>
    <m/>
    <m/>
    <m/>
    <m/>
    <m/>
    <m/>
    <m/>
    <m/>
    <m/>
    <m/>
    <m/>
    <n v="620000"/>
    <m/>
    <n v="690000"/>
    <m/>
    <m/>
    <n v="41628.709446663277"/>
    <x v="34"/>
    <x v="1"/>
    <m/>
    <m/>
    <m/>
    <m/>
    <n v="2953"/>
    <m/>
    <m/>
    <m/>
    <m/>
    <m/>
    <m/>
    <m/>
    <m/>
    <m/>
    <m/>
    <m/>
    <m/>
    <s v="To Purchase Warm cloths, footwear, blankets sheets and left over for food. Total expenditures for both earthquakes in El Salvador through May 2001."/>
  </r>
  <r>
    <m/>
    <n v="42"/>
    <x v="46"/>
    <d v="2001-02-01T00:00:00"/>
    <x v="5"/>
    <x v="16"/>
    <m/>
    <x v="6"/>
    <n v="6"/>
    <x v="1"/>
    <s v="Mozambique"/>
    <m/>
    <s v="Floods"/>
    <s v="General Floods"/>
    <s v="General Floods"/>
    <m/>
    <x v="0"/>
    <m/>
    <m/>
    <m/>
    <x v="0"/>
    <x v="0"/>
    <m/>
    <m/>
    <m/>
    <m/>
    <m/>
    <m/>
    <m/>
    <m/>
    <m/>
    <m/>
    <n v="0"/>
    <n v="1"/>
    <m/>
    <m/>
    <m/>
    <m/>
    <m/>
    <m/>
    <m/>
    <m/>
    <m/>
    <m/>
    <m/>
    <m/>
    <m/>
    <m/>
    <m/>
    <m/>
    <m/>
    <m/>
    <n v="250000"/>
    <n v="250000"/>
    <m/>
    <m/>
    <n v="75000"/>
    <x v="35"/>
    <x v="1"/>
    <m/>
    <m/>
    <m/>
    <m/>
    <n v="2675"/>
    <m/>
    <m/>
    <m/>
    <m/>
    <m/>
    <m/>
    <m/>
    <m/>
    <m/>
    <m/>
    <m/>
    <m/>
    <s v="Fed Appeal 10/2001;  Includes regional supply purchase; one delegate.  Total expenditure also includes Malawi expense."/>
  </r>
  <r>
    <m/>
    <n v="43"/>
    <x v="47"/>
    <d v="2001-02-01T00:00:00"/>
    <x v="5"/>
    <x v="17"/>
    <m/>
    <x v="6"/>
    <n v="7"/>
    <x v="1"/>
    <s v="Malawi"/>
    <m/>
    <s v="Floods"/>
    <s v="General Floods"/>
    <s v="General Floods"/>
    <m/>
    <x v="0"/>
    <m/>
    <m/>
    <m/>
    <x v="0"/>
    <x v="0"/>
    <m/>
    <m/>
    <m/>
    <m/>
    <m/>
    <m/>
    <m/>
    <m/>
    <n v="25000"/>
    <m/>
    <n v="25000"/>
    <n v="2"/>
    <m/>
    <m/>
    <m/>
    <m/>
    <m/>
    <m/>
    <m/>
    <m/>
    <m/>
    <m/>
    <m/>
    <m/>
    <m/>
    <m/>
    <m/>
    <m/>
    <m/>
    <n v="149000"/>
    <m/>
    <n v="174000"/>
    <m/>
    <m/>
    <n v="22452"/>
    <x v="36"/>
    <x v="1"/>
    <m/>
    <m/>
    <m/>
    <m/>
    <n v="2675"/>
    <m/>
    <m/>
    <m/>
    <m/>
    <m/>
    <m/>
    <m/>
    <m/>
    <m/>
    <m/>
    <m/>
    <m/>
    <s v="Fed Appeal 9/2001;  49,000 from CCC seeds, tools and water supply.  See Mozambique Total Expenditure (they are combined.)"/>
  </r>
  <r>
    <m/>
    <n v="44"/>
    <x v="48"/>
    <d v="2001-03-01T00:00:00"/>
    <x v="5"/>
    <x v="18"/>
    <m/>
    <x v="6"/>
    <n v="8"/>
    <x v="2"/>
    <s v="Bolivia"/>
    <m/>
    <s v="Floods"/>
    <s v="General Floods"/>
    <s v="General Floods"/>
    <m/>
    <x v="0"/>
    <m/>
    <m/>
    <m/>
    <x v="0"/>
    <x v="0"/>
    <m/>
    <m/>
    <m/>
    <m/>
    <m/>
    <m/>
    <m/>
    <m/>
    <n v="15000"/>
    <m/>
    <n v="15000"/>
    <n v="0"/>
    <m/>
    <m/>
    <m/>
    <m/>
    <m/>
    <m/>
    <m/>
    <m/>
    <m/>
    <m/>
    <m/>
    <m/>
    <m/>
    <m/>
    <m/>
    <m/>
    <m/>
    <m/>
    <m/>
    <n v="15000"/>
    <m/>
    <m/>
    <n v="1500"/>
    <x v="18"/>
    <x v="1"/>
    <m/>
    <m/>
    <m/>
    <m/>
    <n v="2898"/>
    <m/>
    <m/>
    <m/>
    <m/>
    <m/>
    <m/>
    <m/>
    <m/>
    <m/>
    <m/>
    <m/>
    <m/>
    <s v="Fed Appeal 5/2001"/>
  </r>
  <r>
    <m/>
    <n v="45"/>
    <x v="49"/>
    <d v="2001-03-01T00:00:00"/>
    <x v="5"/>
    <x v="19"/>
    <m/>
    <x v="6"/>
    <n v="9"/>
    <x v="2"/>
    <s v="Peru"/>
    <m/>
    <s v="Floods"/>
    <s v="General Floods"/>
    <s v="General Floods"/>
    <m/>
    <x v="0"/>
    <m/>
    <m/>
    <m/>
    <x v="0"/>
    <x v="0"/>
    <m/>
    <m/>
    <m/>
    <m/>
    <m/>
    <m/>
    <m/>
    <m/>
    <n v="15000"/>
    <m/>
    <n v="15000"/>
    <n v="0"/>
    <m/>
    <m/>
    <n v="6111"/>
    <m/>
    <m/>
    <n v="5100"/>
    <m/>
    <m/>
    <n v="761"/>
    <m/>
    <m/>
    <m/>
    <m/>
    <n v="250"/>
    <m/>
    <m/>
    <m/>
    <n v="0"/>
    <n v="0"/>
    <n v="15000"/>
    <m/>
    <m/>
    <n v="24805"/>
    <x v="18"/>
    <x v="1"/>
    <m/>
    <m/>
    <m/>
    <m/>
    <n v="2898"/>
    <m/>
    <m/>
    <m/>
    <m/>
    <m/>
    <m/>
    <m/>
    <m/>
    <m/>
    <m/>
    <m/>
    <m/>
    <m/>
  </r>
  <r>
    <m/>
    <n v="46"/>
    <x v="50"/>
    <d v="2001-04-01T00:00:00"/>
    <x v="5"/>
    <x v="23"/>
    <m/>
    <x v="6"/>
    <n v="10"/>
    <x v="4"/>
    <s v="Canada"/>
    <m/>
    <s v="Transport"/>
    <s v="Road"/>
    <s v="Road"/>
    <m/>
    <x v="0"/>
    <m/>
    <m/>
    <m/>
    <x v="0"/>
    <x v="0"/>
    <m/>
    <m/>
    <m/>
    <m/>
    <m/>
    <m/>
    <m/>
    <m/>
    <m/>
    <m/>
    <n v="0"/>
    <n v="2"/>
    <m/>
    <m/>
    <m/>
    <m/>
    <m/>
    <m/>
    <m/>
    <m/>
    <m/>
    <m/>
    <m/>
    <m/>
    <m/>
    <m/>
    <m/>
    <m/>
    <m/>
    <m/>
    <n v="1000"/>
    <n v="1000"/>
    <m/>
    <m/>
    <m/>
    <x v="37"/>
    <x v="1"/>
    <m/>
    <m/>
    <m/>
    <m/>
    <n v="2898"/>
    <m/>
    <m/>
    <m/>
    <m/>
    <m/>
    <m/>
    <m/>
    <m/>
    <m/>
    <m/>
    <m/>
    <s v="Bus Crash"/>
    <s v="American children survivors"/>
  </r>
  <r>
    <m/>
    <n v="47"/>
    <x v="51"/>
    <d v="2001-05-01T00:00:00"/>
    <x v="5"/>
    <x v="20"/>
    <m/>
    <x v="6"/>
    <n v="11"/>
    <x v="3"/>
    <s v="Russian Fed."/>
    <m/>
    <s v="Floods"/>
    <s v="General Floods"/>
    <s v="General Floods"/>
    <m/>
    <x v="0"/>
    <m/>
    <m/>
    <m/>
    <x v="0"/>
    <x v="0"/>
    <m/>
    <m/>
    <m/>
    <m/>
    <m/>
    <m/>
    <m/>
    <m/>
    <n v="25000"/>
    <m/>
    <n v="25000"/>
    <n v="0"/>
    <m/>
    <m/>
    <m/>
    <m/>
    <m/>
    <m/>
    <m/>
    <m/>
    <m/>
    <m/>
    <m/>
    <m/>
    <m/>
    <m/>
    <m/>
    <m/>
    <m/>
    <m/>
    <m/>
    <n v="25000"/>
    <m/>
    <m/>
    <n v="3000"/>
    <x v="8"/>
    <x v="1"/>
    <m/>
    <m/>
    <m/>
    <m/>
    <n v="2898"/>
    <m/>
    <m/>
    <m/>
    <m/>
    <m/>
    <m/>
    <m/>
    <m/>
    <m/>
    <m/>
    <m/>
    <m/>
    <s v="Siberia: Procurement of warm cloths, footwear, blankets sheets &amp; food. "/>
  </r>
  <r>
    <m/>
    <n v="48"/>
    <x v="52"/>
    <d v="2001-06-01T00:00:00"/>
    <x v="5"/>
    <x v="21"/>
    <m/>
    <x v="6"/>
    <n v="12"/>
    <x v="3"/>
    <s v="Macedonia"/>
    <m/>
    <s v="Conflict"/>
    <s v="Conflict"/>
    <s v="Conflict"/>
    <m/>
    <x v="0"/>
    <m/>
    <m/>
    <m/>
    <x v="0"/>
    <x v="0"/>
    <m/>
    <m/>
    <m/>
    <m/>
    <m/>
    <m/>
    <m/>
    <m/>
    <m/>
    <m/>
    <n v="0"/>
    <n v="0"/>
    <m/>
    <m/>
    <n v="10000"/>
    <m/>
    <m/>
    <m/>
    <m/>
    <m/>
    <m/>
    <m/>
    <m/>
    <m/>
    <m/>
    <m/>
    <m/>
    <m/>
    <m/>
    <n v="20700"/>
    <m/>
    <n v="20700"/>
    <m/>
    <m/>
    <n v="40000"/>
    <x v="38"/>
    <x v="1"/>
    <m/>
    <m/>
    <m/>
    <m/>
    <n v="2898"/>
    <m/>
    <m/>
    <m/>
    <m/>
    <m/>
    <m/>
    <m/>
    <m/>
    <m/>
    <m/>
    <m/>
    <m/>
    <s v="10,000 family  packets (Currently only 2,300) a family is 4 persons"/>
  </r>
  <r>
    <m/>
    <n v="49"/>
    <x v="53"/>
    <d v="2001-06-01T00:00:00"/>
    <x v="5"/>
    <x v="22"/>
    <m/>
    <x v="6"/>
    <n v="13"/>
    <x v="3"/>
    <s v="Bosnia"/>
    <m/>
    <s v="Floods"/>
    <s v="General Floods"/>
    <s v="General Floods"/>
    <m/>
    <x v="0"/>
    <m/>
    <m/>
    <m/>
    <x v="0"/>
    <x v="0"/>
    <m/>
    <m/>
    <m/>
    <m/>
    <m/>
    <m/>
    <m/>
    <m/>
    <m/>
    <m/>
    <n v="0"/>
    <n v="0"/>
    <m/>
    <m/>
    <n v="6000"/>
    <m/>
    <m/>
    <n v="6000"/>
    <m/>
    <m/>
    <m/>
    <m/>
    <m/>
    <m/>
    <m/>
    <m/>
    <m/>
    <m/>
    <m/>
    <n v="18000"/>
    <m/>
    <n v="18000"/>
    <m/>
    <m/>
    <n v="6000"/>
    <x v="39"/>
    <x v="1"/>
    <m/>
    <m/>
    <m/>
    <m/>
    <n v="2898"/>
    <m/>
    <m/>
    <m/>
    <m/>
    <m/>
    <m/>
    <m/>
    <m/>
    <m/>
    <m/>
    <m/>
    <m/>
    <s v="Bulgaria stocks"/>
  </r>
  <r>
    <m/>
    <n v="50"/>
    <x v="54"/>
    <d v="2001-06-01T00:00:00"/>
    <x v="5"/>
    <x v="24"/>
    <m/>
    <x v="6"/>
    <n v="14"/>
    <x v="2"/>
    <s v="Peru"/>
    <m/>
    <s v="Earthquake"/>
    <s v="Earthquake"/>
    <s v="Earthquake"/>
    <m/>
    <x v="0"/>
    <m/>
    <m/>
    <m/>
    <x v="0"/>
    <x v="0"/>
    <m/>
    <m/>
    <m/>
    <m/>
    <m/>
    <m/>
    <m/>
    <m/>
    <n v="24420"/>
    <m/>
    <n v="24420"/>
    <n v="3"/>
    <m/>
    <m/>
    <n v="6107"/>
    <m/>
    <m/>
    <n v="5100"/>
    <m/>
    <m/>
    <n v="757"/>
    <m/>
    <m/>
    <m/>
    <m/>
    <n v="250"/>
    <m/>
    <m/>
    <m/>
    <n v="361260"/>
    <n v="313450"/>
    <n v="699130"/>
    <m/>
    <m/>
    <n v="15000"/>
    <x v="40"/>
    <x v="1"/>
    <m/>
    <m/>
    <m/>
    <m/>
    <n v="2676"/>
    <m/>
    <m/>
    <m/>
    <m/>
    <m/>
    <m/>
    <m/>
    <m/>
    <m/>
    <m/>
    <m/>
    <m/>
    <s v="plastic sheeting ($81,250), blankets ($12,240), tents ($78,637). Total $271,627 (incl. transport).    tents ($147,706): Total $150,706 (incl. transport).  Replenishment of supplies $50,000"/>
  </r>
  <r>
    <m/>
    <n v="51"/>
    <x v="33"/>
    <d v="2001-07-01T00:00:00"/>
    <x v="6"/>
    <x v="1"/>
    <m/>
    <x v="6"/>
    <n v="15"/>
    <x v="3"/>
    <s v="India"/>
    <m/>
    <s v="Floods"/>
    <s v="General Floods"/>
    <s v="General Floods"/>
    <n v="6000000"/>
    <x v="0"/>
    <m/>
    <m/>
    <m/>
    <x v="0"/>
    <x v="0"/>
    <m/>
    <m/>
    <m/>
    <m/>
    <m/>
    <m/>
    <m/>
    <m/>
    <m/>
    <m/>
    <n v="0"/>
    <n v="0"/>
    <m/>
    <m/>
    <m/>
    <m/>
    <m/>
    <m/>
    <m/>
    <m/>
    <m/>
    <m/>
    <m/>
    <m/>
    <m/>
    <m/>
    <m/>
    <m/>
    <m/>
    <n v="100000"/>
    <m/>
    <n v="100000"/>
    <m/>
    <m/>
    <n v="10000"/>
    <x v="5"/>
    <x v="1"/>
    <m/>
    <m/>
    <m/>
    <m/>
    <n v="2954"/>
    <m/>
    <m/>
    <m/>
    <m/>
    <m/>
    <m/>
    <m/>
    <m/>
    <m/>
    <m/>
    <m/>
    <m/>
    <m/>
  </r>
  <r>
    <m/>
    <n v="52"/>
    <x v="55"/>
    <d v="2001-08-01T00:00:00"/>
    <x v="6"/>
    <x v="2"/>
    <m/>
    <x v="6"/>
    <n v="16"/>
    <x v="2"/>
    <s v="El Salvador"/>
    <m/>
    <s v="Drought"/>
    <s v="Drought"/>
    <s v="Drought"/>
    <m/>
    <x v="0"/>
    <m/>
    <m/>
    <m/>
    <x v="0"/>
    <x v="0"/>
    <m/>
    <m/>
    <m/>
    <m/>
    <m/>
    <m/>
    <m/>
    <m/>
    <n v="25000"/>
    <m/>
    <n v="25000"/>
    <n v="5"/>
    <m/>
    <m/>
    <m/>
    <m/>
    <m/>
    <m/>
    <m/>
    <m/>
    <m/>
    <m/>
    <m/>
    <m/>
    <m/>
    <m/>
    <m/>
    <m/>
    <m/>
    <m/>
    <m/>
    <n v="25000"/>
    <m/>
    <m/>
    <n v="5000"/>
    <x v="8"/>
    <x v="1"/>
    <m/>
    <m/>
    <m/>
    <m/>
    <n v="2837"/>
    <m/>
    <m/>
    <m/>
    <m/>
    <m/>
    <m/>
    <m/>
    <m/>
    <m/>
    <m/>
    <m/>
    <m/>
    <s v="$25,000 allocated to each national society to be implemented thr ARC delegations through $12,500 donation to the field delegation and $12,500 matched by the field.  Total expenditures through December 2001."/>
  </r>
  <r>
    <m/>
    <n v="52"/>
    <x v="56"/>
    <d v="2001-08-01T00:00:00"/>
    <x v="6"/>
    <x v="2"/>
    <m/>
    <x v="6"/>
    <n v="16"/>
    <x v="2"/>
    <s v="Honduras"/>
    <m/>
    <s v="Drought"/>
    <s v="Drought"/>
    <s v="Drought"/>
    <m/>
    <x v="0"/>
    <m/>
    <m/>
    <m/>
    <x v="0"/>
    <x v="0"/>
    <m/>
    <m/>
    <m/>
    <m/>
    <m/>
    <m/>
    <m/>
    <m/>
    <m/>
    <m/>
    <n v="0"/>
    <m/>
    <m/>
    <m/>
    <m/>
    <m/>
    <m/>
    <m/>
    <m/>
    <m/>
    <m/>
    <m/>
    <m/>
    <m/>
    <m/>
    <m/>
    <m/>
    <m/>
    <m/>
    <m/>
    <m/>
    <n v="0"/>
    <m/>
    <m/>
    <m/>
    <x v="7"/>
    <x v="1"/>
    <m/>
    <m/>
    <m/>
    <m/>
    <n v="2837"/>
    <m/>
    <m/>
    <m/>
    <m/>
    <m/>
    <m/>
    <m/>
    <m/>
    <m/>
    <m/>
    <m/>
    <m/>
    <m/>
  </r>
  <r>
    <m/>
    <n v="52"/>
    <x v="57"/>
    <d v="2001-08-01T00:00:00"/>
    <x v="6"/>
    <x v="2"/>
    <m/>
    <x v="6"/>
    <n v="16"/>
    <x v="2"/>
    <s v="Nicaragua"/>
    <m/>
    <s v="Drought"/>
    <s v="Drought"/>
    <s v="Drought"/>
    <m/>
    <x v="0"/>
    <m/>
    <m/>
    <m/>
    <x v="0"/>
    <x v="0"/>
    <m/>
    <m/>
    <m/>
    <m/>
    <m/>
    <m/>
    <m/>
    <m/>
    <m/>
    <m/>
    <n v="0"/>
    <m/>
    <m/>
    <m/>
    <m/>
    <m/>
    <m/>
    <m/>
    <m/>
    <m/>
    <m/>
    <m/>
    <m/>
    <m/>
    <m/>
    <m/>
    <m/>
    <m/>
    <m/>
    <m/>
    <m/>
    <n v="0"/>
    <m/>
    <m/>
    <m/>
    <x v="7"/>
    <x v="1"/>
    <m/>
    <m/>
    <m/>
    <m/>
    <n v="2837"/>
    <m/>
    <m/>
    <m/>
    <m/>
    <m/>
    <m/>
    <m/>
    <m/>
    <m/>
    <m/>
    <m/>
    <m/>
    <m/>
  </r>
  <r>
    <m/>
    <n v="52"/>
    <x v="58"/>
    <d v="2001-08-01T00:00:00"/>
    <x v="6"/>
    <x v="2"/>
    <m/>
    <x v="6"/>
    <n v="16"/>
    <x v="2"/>
    <s v="Guatemala"/>
    <m/>
    <s v="Drought"/>
    <s v="Drought"/>
    <s v="Drought"/>
    <m/>
    <x v="0"/>
    <m/>
    <m/>
    <m/>
    <x v="0"/>
    <x v="0"/>
    <m/>
    <m/>
    <m/>
    <m/>
    <m/>
    <m/>
    <m/>
    <m/>
    <m/>
    <m/>
    <n v="0"/>
    <m/>
    <m/>
    <m/>
    <m/>
    <m/>
    <m/>
    <m/>
    <m/>
    <m/>
    <m/>
    <m/>
    <m/>
    <m/>
    <m/>
    <m/>
    <m/>
    <m/>
    <m/>
    <m/>
    <m/>
    <n v="0"/>
    <m/>
    <m/>
    <m/>
    <x v="7"/>
    <x v="1"/>
    <m/>
    <m/>
    <m/>
    <m/>
    <n v="2837"/>
    <m/>
    <m/>
    <m/>
    <m/>
    <m/>
    <m/>
    <m/>
    <m/>
    <m/>
    <m/>
    <m/>
    <m/>
    <m/>
  </r>
  <r>
    <m/>
    <n v="53"/>
    <x v="59"/>
    <d v="2001-09-01T00:00:00"/>
    <x v="6"/>
    <x v="3"/>
    <m/>
    <x v="6"/>
    <n v="17"/>
    <x v="2"/>
    <s v="Ecuador"/>
    <m/>
    <s v="Volcano"/>
    <s v="Volcanic Eruption"/>
    <s v="Volcanic Eruption"/>
    <m/>
    <x v="0"/>
    <m/>
    <m/>
    <m/>
    <x v="0"/>
    <x v="0"/>
    <m/>
    <m/>
    <m/>
    <m/>
    <m/>
    <m/>
    <m/>
    <m/>
    <n v="10000"/>
    <m/>
    <n v="10000"/>
    <m/>
    <m/>
    <m/>
    <m/>
    <m/>
    <m/>
    <m/>
    <m/>
    <m/>
    <m/>
    <m/>
    <m/>
    <m/>
    <m/>
    <m/>
    <m/>
    <m/>
    <m/>
    <m/>
    <m/>
    <n v="10000"/>
    <m/>
    <m/>
    <n v="1000"/>
    <x v="6"/>
    <x v="1"/>
    <m/>
    <m/>
    <m/>
    <m/>
    <n v="2898"/>
    <m/>
    <m/>
    <m/>
    <m/>
    <m/>
    <m/>
    <m/>
    <m/>
    <m/>
    <m/>
    <m/>
    <m/>
    <s v="$10,000 from IDRU in addition to $10,000 from the Americas Region to the Ecuador Red Cross for the Tungurahua Volcano Ash Fall "/>
  </r>
  <r>
    <m/>
    <n v="54"/>
    <x v="60"/>
    <d v="2001-09-01T00:00:00"/>
    <x v="6"/>
    <x v="4"/>
    <m/>
    <x v="6"/>
    <n v="18"/>
    <x v="3"/>
    <s v="Afghanistan"/>
    <m/>
    <s v="Conflict"/>
    <s v="Conflict"/>
    <s v="Conflict"/>
    <m/>
    <x v="0"/>
    <m/>
    <m/>
    <m/>
    <x v="0"/>
    <x v="0"/>
    <m/>
    <m/>
    <m/>
    <m/>
    <m/>
    <m/>
    <m/>
    <m/>
    <m/>
    <m/>
    <n v="0"/>
    <n v="12"/>
    <m/>
    <m/>
    <m/>
    <m/>
    <m/>
    <m/>
    <m/>
    <m/>
    <m/>
    <m/>
    <m/>
    <m/>
    <m/>
    <m/>
    <m/>
    <m/>
    <m/>
    <n v="2032231"/>
    <n v="200000"/>
    <n v="2232231"/>
    <n v="9767769"/>
    <m/>
    <n v="380000"/>
    <x v="41"/>
    <x v="1"/>
    <m/>
    <m/>
    <m/>
    <m/>
    <n v="2677"/>
    <m/>
    <m/>
    <m/>
    <m/>
    <m/>
    <m/>
    <m/>
    <m/>
    <m/>
    <m/>
    <m/>
    <m/>
    <s v="AFAC is a partnership with the White House.  Final report issued in August 2006."/>
  </r>
  <r>
    <m/>
    <n v="54"/>
    <x v="61"/>
    <d v="2001-09-01T00:00:00"/>
    <x v="6"/>
    <x v="4"/>
    <m/>
    <x v="6"/>
    <n v="18"/>
    <x v="3"/>
    <s v="Pakistan"/>
    <m/>
    <s v="Conflict"/>
    <s v="Conflict"/>
    <s v="Conflict"/>
    <m/>
    <x v="0"/>
    <m/>
    <m/>
    <m/>
    <x v="0"/>
    <x v="0"/>
    <m/>
    <m/>
    <m/>
    <m/>
    <m/>
    <m/>
    <m/>
    <m/>
    <m/>
    <m/>
    <n v="0"/>
    <m/>
    <m/>
    <m/>
    <m/>
    <m/>
    <m/>
    <m/>
    <m/>
    <m/>
    <m/>
    <m/>
    <m/>
    <m/>
    <m/>
    <m/>
    <m/>
    <m/>
    <m/>
    <m/>
    <m/>
    <n v="0"/>
    <m/>
    <m/>
    <m/>
    <x v="7"/>
    <x v="1"/>
    <m/>
    <m/>
    <m/>
    <m/>
    <n v="2677"/>
    <m/>
    <m/>
    <m/>
    <m/>
    <m/>
    <m/>
    <m/>
    <m/>
    <m/>
    <m/>
    <m/>
    <m/>
    <m/>
  </r>
  <r>
    <m/>
    <n v="54"/>
    <x v="62"/>
    <d v="2001-09-01T00:00:00"/>
    <x v="6"/>
    <x v="4"/>
    <m/>
    <x v="6"/>
    <n v="18"/>
    <x v="3"/>
    <s v="Uzbekistan"/>
    <m/>
    <s v="Conflict"/>
    <s v="Conflict"/>
    <s v="Conflict"/>
    <m/>
    <x v="0"/>
    <m/>
    <m/>
    <m/>
    <x v="0"/>
    <x v="0"/>
    <m/>
    <m/>
    <m/>
    <m/>
    <m/>
    <m/>
    <m/>
    <m/>
    <m/>
    <m/>
    <n v="0"/>
    <m/>
    <m/>
    <m/>
    <m/>
    <m/>
    <m/>
    <m/>
    <m/>
    <m/>
    <m/>
    <m/>
    <m/>
    <m/>
    <m/>
    <m/>
    <m/>
    <m/>
    <m/>
    <m/>
    <m/>
    <n v="0"/>
    <m/>
    <m/>
    <m/>
    <x v="7"/>
    <x v="1"/>
    <m/>
    <m/>
    <m/>
    <m/>
    <n v="2677"/>
    <m/>
    <m/>
    <m/>
    <m/>
    <m/>
    <m/>
    <m/>
    <m/>
    <m/>
    <m/>
    <m/>
    <m/>
    <m/>
  </r>
  <r>
    <m/>
    <n v="54"/>
    <x v="63"/>
    <d v="2001-09-01T00:00:00"/>
    <x v="6"/>
    <x v="4"/>
    <m/>
    <x v="6"/>
    <n v="18"/>
    <x v="3"/>
    <s v="Iran"/>
    <m/>
    <s v="Conflict"/>
    <s v="Conflict"/>
    <s v="Conflict"/>
    <m/>
    <x v="0"/>
    <m/>
    <m/>
    <m/>
    <x v="0"/>
    <x v="0"/>
    <m/>
    <m/>
    <m/>
    <m/>
    <m/>
    <m/>
    <m/>
    <m/>
    <m/>
    <m/>
    <n v="0"/>
    <m/>
    <m/>
    <m/>
    <m/>
    <m/>
    <m/>
    <m/>
    <m/>
    <m/>
    <m/>
    <m/>
    <m/>
    <m/>
    <m/>
    <m/>
    <m/>
    <m/>
    <m/>
    <m/>
    <m/>
    <n v="0"/>
    <m/>
    <m/>
    <m/>
    <x v="7"/>
    <x v="1"/>
    <m/>
    <m/>
    <m/>
    <m/>
    <n v="2677"/>
    <m/>
    <m/>
    <m/>
    <m/>
    <m/>
    <m/>
    <m/>
    <m/>
    <m/>
    <m/>
    <m/>
    <m/>
    <m/>
  </r>
  <r>
    <m/>
    <n v="54"/>
    <x v="64"/>
    <d v="2001-09-01T00:00:00"/>
    <x v="6"/>
    <x v="4"/>
    <m/>
    <x v="6"/>
    <n v="18"/>
    <x v="3"/>
    <s v="Turkmenistan"/>
    <m/>
    <s v="Conflict"/>
    <s v="Conflict"/>
    <s v="Conflict"/>
    <m/>
    <x v="0"/>
    <m/>
    <m/>
    <m/>
    <x v="0"/>
    <x v="0"/>
    <m/>
    <m/>
    <m/>
    <m/>
    <m/>
    <m/>
    <m/>
    <m/>
    <m/>
    <m/>
    <n v="0"/>
    <m/>
    <m/>
    <m/>
    <m/>
    <m/>
    <m/>
    <m/>
    <m/>
    <m/>
    <m/>
    <m/>
    <m/>
    <m/>
    <m/>
    <m/>
    <m/>
    <m/>
    <m/>
    <m/>
    <m/>
    <n v="0"/>
    <m/>
    <m/>
    <m/>
    <x v="7"/>
    <x v="1"/>
    <m/>
    <m/>
    <m/>
    <m/>
    <n v="2677"/>
    <m/>
    <m/>
    <m/>
    <m/>
    <m/>
    <m/>
    <m/>
    <m/>
    <m/>
    <m/>
    <m/>
    <m/>
    <m/>
  </r>
  <r>
    <m/>
    <n v="55"/>
    <x v="65"/>
    <d v="2001-09-01T00:00:00"/>
    <x v="6"/>
    <x v="5"/>
    <m/>
    <x v="6"/>
    <n v="19"/>
    <x v="4"/>
    <s v="US"/>
    <m/>
    <s v="Terrorism"/>
    <s v="Terrorism"/>
    <s v="Terrorism"/>
    <m/>
    <x v="0"/>
    <m/>
    <m/>
    <m/>
    <x v="0"/>
    <x v="0"/>
    <m/>
    <m/>
    <m/>
    <m/>
    <m/>
    <m/>
    <m/>
    <m/>
    <n v="3257775.37"/>
    <m/>
    <n v="3257775.37"/>
    <n v="30"/>
    <m/>
    <m/>
    <m/>
    <m/>
    <m/>
    <m/>
    <m/>
    <m/>
    <m/>
    <m/>
    <m/>
    <m/>
    <m/>
    <m/>
    <m/>
    <m/>
    <m/>
    <n v="0"/>
    <n v="257704"/>
    <n v="3515479.37"/>
    <m/>
    <m/>
    <n v="2622"/>
    <x v="42"/>
    <x v="1"/>
    <m/>
    <m/>
    <m/>
    <m/>
    <n v="4949"/>
    <m/>
    <m/>
    <m/>
    <m/>
    <m/>
    <m/>
    <m/>
    <m/>
    <m/>
    <m/>
    <m/>
    <d v="2008-09-11T00:00:00"/>
    <s v="The $3,084,914.31 distributed was to international families of victims of the terrorist attacks.   Beneficiaries: 6 members per each family assisted."/>
  </r>
  <r>
    <m/>
    <n v="56"/>
    <x v="66"/>
    <d v="2001-09-01T00:00:00"/>
    <x v="6"/>
    <x v="6"/>
    <m/>
    <x v="6"/>
    <n v="20"/>
    <x v="2"/>
    <s v="Mexico"/>
    <m/>
    <s v="Transport"/>
    <s v="Air"/>
    <s v="Air"/>
    <m/>
    <x v="0"/>
    <m/>
    <m/>
    <m/>
    <x v="0"/>
    <x v="0"/>
    <m/>
    <m/>
    <m/>
    <m/>
    <m/>
    <m/>
    <m/>
    <m/>
    <m/>
    <m/>
    <n v="0"/>
    <n v="4"/>
    <m/>
    <m/>
    <m/>
    <m/>
    <m/>
    <m/>
    <m/>
    <m/>
    <m/>
    <m/>
    <m/>
    <m/>
    <m/>
    <m/>
    <m/>
    <m/>
    <m/>
    <n v="0"/>
    <n v="15000"/>
    <n v="15000"/>
    <m/>
    <m/>
    <n v="95"/>
    <x v="18"/>
    <x v="1"/>
    <m/>
    <m/>
    <m/>
    <m/>
    <n v="2679"/>
    <m/>
    <m/>
    <m/>
    <m/>
    <m/>
    <m/>
    <m/>
    <m/>
    <m/>
    <m/>
    <m/>
    <s v="Plane Crash"/>
    <s v="Financial contribution made to memorial; beneficiaries: 5 members per each family assisted."/>
  </r>
  <r>
    <m/>
    <n v="57"/>
    <x v="67"/>
    <d v="2001-10-01T00:00:00"/>
    <x v="6"/>
    <x v="7"/>
    <m/>
    <x v="6"/>
    <n v="21"/>
    <x v="2"/>
    <s v="Mexico"/>
    <m/>
    <s v="Storm"/>
    <s v="Tropical Cyclone"/>
    <s v="Hurricane"/>
    <m/>
    <x v="0"/>
    <m/>
    <m/>
    <m/>
    <x v="0"/>
    <x v="0"/>
    <m/>
    <m/>
    <m/>
    <m/>
    <m/>
    <m/>
    <m/>
    <m/>
    <n v="25000"/>
    <m/>
    <n v="25000"/>
    <n v="1"/>
    <m/>
    <m/>
    <m/>
    <m/>
    <m/>
    <m/>
    <m/>
    <m/>
    <m/>
    <m/>
    <m/>
    <m/>
    <m/>
    <m/>
    <m/>
    <m/>
    <m/>
    <m/>
    <m/>
    <n v="25000"/>
    <m/>
    <m/>
    <n v="5000"/>
    <x v="8"/>
    <x v="1"/>
    <m/>
    <m/>
    <m/>
    <m/>
    <n v="2898"/>
    <m/>
    <m/>
    <m/>
    <m/>
    <m/>
    <m/>
    <m/>
    <m/>
    <m/>
    <m/>
    <m/>
    <s v="Juliette"/>
    <s v="Financial contribution designated for relief supplies.  Beneficiaries: 5 members per each family assisted."/>
  </r>
  <r>
    <m/>
    <n v="58"/>
    <x v="68"/>
    <d v="2001-10-01T00:00:00"/>
    <x v="6"/>
    <x v="8"/>
    <m/>
    <x v="6"/>
    <n v="22"/>
    <x v="2"/>
    <s v="Belize"/>
    <m/>
    <s v="Meteorological"/>
    <s v="Tropical Cyclone"/>
    <s v="Hurricane"/>
    <m/>
    <x v="0"/>
    <m/>
    <m/>
    <m/>
    <x v="0"/>
    <x v="0"/>
    <m/>
    <m/>
    <m/>
    <m/>
    <m/>
    <m/>
    <m/>
    <m/>
    <n v="25000"/>
    <m/>
    <n v="25000"/>
    <n v="3"/>
    <m/>
    <m/>
    <m/>
    <m/>
    <m/>
    <m/>
    <m/>
    <m/>
    <m/>
    <m/>
    <m/>
    <m/>
    <m/>
    <m/>
    <m/>
    <m/>
    <m/>
    <n v="69000"/>
    <n v="3982"/>
    <n v="97982"/>
    <m/>
    <m/>
    <n v="5000"/>
    <x v="43"/>
    <x v="1"/>
    <m/>
    <m/>
    <m/>
    <m/>
    <n v="2678"/>
    <m/>
    <m/>
    <m/>
    <m/>
    <m/>
    <m/>
    <m/>
    <m/>
    <m/>
    <m/>
    <m/>
    <s v="Iris"/>
    <s v="$20,000 for hygiene kits; $19,000 given to Guatemala ARC delegation for hygiene kits and $50,000 in relief supplies to BRC."/>
  </r>
  <r>
    <m/>
    <n v="59"/>
    <x v="69"/>
    <d v="2001-10-01T00:00:00"/>
    <x v="6"/>
    <x v="9"/>
    <m/>
    <x v="6"/>
    <n v="23"/>
    <x v="2"/>
    <s v="Belize"/>
    <m/>
    <s v="Transport"/>
    <s v="Water"/>
    <s v="Water"/>
    <m/>
    <x v="0"/>
    <m/>
    <m/>
    <m/>
    <x v="0"/>
    <x v="0"/>
    <m/>
    <m/>
    <m/>
    <m/>
    <m/>
    <m/>
    <m/>
    <m/>
    <m/>
    <m/>
    <n v="0"/>
    <n v="2"/>
    <m/>
    <m/>
    <m/>
    <m/>
    <m/>
    <m/>
    <m/>
    <m/>
    <m/>
    <m/>
    <m/>
    <m/>
    <m/>
    <m/>
    <m/>
    <m/>
    <m/>
    <n v="0"/>
    <n v="4400"/>
    <n v="4400"/>
    <m/>
    <m/>
    <n v="135"/>
    <x v="44"/>
    <x v="1"/>
    <m/>
    <m/>
    <m/>
    <m/>
    <n v="2898"/>
    <m/>
    <m/>
    <m/>
    <m/>
    <m/>
    <m/>
    <m/>
    <m/>
    <m/>
    <m/>
    <m/>
    <s v="Boat Crash"/>
    <s v="Beneficiaries calculated at 5 family members per each 27 families assisted."/>
  </r>
  <r>
    <m/>
    <n v="60"/>
    <x v="70"/>
    <d v="2001-10-01T00:00:00"/>
    <x v="6"/>
    <x v="10"/>
    <m/>
    <x v="6"/>
    <n v="24"/>
    <x v="2"/>
    <s v="Honduras"/>
    <m/>
    <s v="Storm"/>
    <s v="Tropical Cyclone"/>
    <s v="Tropical Storm"/>
    <m/>
    <x v="0"/>
    <m/>
    <m/>
    <m/>
    <x v="0"/>
    <x v="0"/>
    <m/>
    <m/>
    <m/>
    <m/>
    <m/>
    <m/>
    <m/>
    <m/>
    <m/>
    <m/>
    <n v="0"/>
    <m/>
    <m/>
    <m/>
    <m/>
    <m/>
    <m/>
    <m/>
    <m/>
    <m/>
    <m/>
    <m/>
    <m/>
    <m/>
    <m/>
    <m/>
    <m/>
    <m/>
    <m/>
    <m/>
    <m/>
    <n v="0"/>
    <m/>
    <m/>
    <m/>
    <x v="7"/>
    <x v="1"/>
    <m/>
    <m/>
    <m/>
    <m/>
    <n v="2898"/>
    <m/>
    <m/>
    <m/>
    <m/>
    <m/>
    <m/>
    <m/>
    <m/>
    <m/>
    <m/>
    <m/>
    <s v="Michelle"/>
    <m/>
  </r>
  <r>
    <m/>
    <n v="60"/>
    <x v="71"/>
    <d v="2001-11-01T00:00:00"/>
    <x v="6"/>
    <x v="10"/>
    <m/>
    <x v="6"/>
    <n v="24"/>
    <x v="2"/>
    <s v="Nicaragua"/>
    <m/>
    <s v="Storm"/>
    <s v="Tropical Cyclone"/>
    <s v="Tropical Storm"/>
    <m/>
    <x v="0"/>
    <m/>
    <m/>
    <m/>
    <x v="0"/>
    <x v="0"/>
    <m/>
    <m/>
    <m/>
    <m/>
    <m/>
    <m/>
    <m/>
    <m/>
    <m/>
    <m/>
    <n v="0"/>
    <m/>
    <m/>
    <m/>
    <m/>
    <m/>
    <m/>
    <m/>
    <m/>
    <m/>
    <m/>
    <m/>
    <m/>
    <m/>
    <m/>
    <m/>
    <m/>
    <m/>
    <m/>
    <m/>
    <n v="60000"/>
    <n v="60000"/>
    <m/>
    <m/>
    <n v="5000"/>
    <x v="45"/>
    <x v="1"/>
    <m/>
    <m/>
    <m/>
    <m/>
    <n v="2898"/>
    <m/>
    <m/>
    <m/>
    <m/>
    <m/>
    <m/>
    <m/>
    <m/>
    <m/>
    <m/>
    <m/>
    <s v="Michelle"/>
    <s v="$10,000 from Nicaragua delegation for procurement of relief supplies.  $50,000 from OFDA for Honduras. (The 1,000 families assisted were in Honduras through the Emergency Food Rations) "/>
  </r>
  <r>
    <m/>
    <n v="60"/>
    <x v="72"/>
    <d v="2001-11-01T00:00:00"/>
    <x v="6"/>
    <x v="10"/>
    <m/>
    <x v="6"/>
    <n v="24"/>
    <x v="2"/>
    <s v="Cuba"/>
    <m/>
    <s v="Storm"/>
    <s v="Tropical Cyclone"/>
    <s v="Tropical Storm"/>
    <m/>
    <x v="0"/>
    <m/>
    <m/>
    <m/>
    <x v="0"/>
    <x v="0"/>
    <m/>
    <m/>
    <m/>
    <m/>
    <m/>
    <m/>
    <m/>
    <m/>
    <m/>
    <m/>
    <n v="0"/>
    <m/>
    <m/>
    <m/>
    <m/>
    <m/>
    <m/>
    <m/>
    <m/>
    <m/>
    <m/>
    <m/>
    <m/>
    <m/>
    <m/>
    <m/>
    <m/>
    <m/>
    <m/>
    <m/>
    <m/>
    <n v="0"/>
    <m/>
    <m/>
    <m/>
    <x v="7"/>
    <x v="1"/>
    <m/>
    <m/>
    <m/>
    <m/>
    <n v="2898"/>
    <m/>
    <m/>
    <m/>
    <m/>
    <m/>
    <m/>
    <m/>
    <m/>
    <m/>
    <m/>
    <m/>
    <s v="Michelle"/>
    <m/>
  </r>
  <r>
    <m/>
    <n v="60"/>
    <x v="73"/>
    <d v="2001-11-01T00:00:00"/>
    <x v="6"/>
    <x v="10"/>
    <m/>
    <x v="6"/>
    <n v="24"/>
    <x v="2"/>
    <s v="Jamaica"/>
    <m/>
    <s v="Storm"/>
    <s v="Tropical Cyclone"/>
    <s v="Tropical Storm"/>
    <m/>
    <x v="0"/>
    <m/>
    <m/>
    <m/>
    <x v="0"/>
    <x v="0"/>
    <m/>
    <m/>
    <m/>
    <m/>
    <m/>
    <m/>
    <m/>
    <m/>
    <n v="5000"/>
    <m/>
    <n v="5000"/>
    <m/>
    <m/>
    <m/>
    <m/>
    <m/>
    <m/>
    <m/>
    <m/>
    <m/>
    <m/>
    <m/>
    <m/>
    <m/>
    <m/>
    <m/>
    <m/>
    <m/>
    <m/>
    <m/>
    <m/>
    <n v="5000"/>
    <m/>
    <m/>
    <m/>
    <x v="46"/>
    <x v="1"/>
    <m/>
    <m/>
    <m/>
    <m/>
    <n v="2898"/>
    <m/>
    <m/>
    <m/>
    <m/>
    <m/>
    <m/>
    <m/>
    <m/>
    <m/>
    <m/>
    <m/>
    <s v="Michelle"/>
    <m/>
  </r>
  <r>
    <m/>
    <n v="61"/>
    <x v="13"/>
    <d v="2001-11-01T00:00:00"/>
    <x v="6"/>
    <x v="11"/>
    <m/>
    <x v="6"/>
    <n v="25"/>
    <x v="2"/>
    <s v="Bahamas"/>
    <m/>
    <s v="Storm"/>
    <s v="Tropical Cyclone"/>
    <s v="Tropical Storm"/>
    <m/>
    <x v="0"/>
    <m/>
    <m/>
    <m/>
    <x v="0"/>
    <x v="0"/>
    <m/>
    <m/>
    <m/>
    <m/>
    <m/>
    <m/>
    <m/>
    <m/>
    <n v="5000"/>
    <m/>
    <n v="5000"/>
    <n v="0"/>
    <m/>
    <m/>
    <m/>
    <m/>
    <m/>
    <m/>
    <m/>
    <m/>
    <m/>
    <m/>
    <m/>
    <m/>
    <m/>
    <m/>
    <m/>
    <m/>
    <m/>
    <m/>
    <m/>
    <n v="5000"/>
    <m/>
    <m/>
    <m/>
    <x v="46"/>
    <x v="1"/>
    <m/>
    <m/>
    <m/>
    <m/>
    <n v="2898"/>
    <m/>
    <m/>
    <m/>
    <m/>
    <m/>
    <m/>
    <m/>
    <m/>
    <m/>
    <m/>
    <m/>
    <s v="Michelle"/>
    <m/>
  </r>
  <r>
    <m/>
    <n v="62"/>
    <x v="74"/>
    <d v="2001-11-01T00:00:00"/>
    <x v="6"/>
    <x v="12"/>
    <m/>
    <x v="6"/>
    <n v="26"/>
    <x v="4"/>
    <s v="US"/>
    <m/>
    <s v="Transport"/>
    <s v="Air"/>
    <s v="Air"/>
    <m/>
    <x v="0"/>
    <m/>
    <m/>
    <m/>
    <x v="0"/>
    <x v="0"/>
    <m/>
    <m/>
    <m/>
    <m/>
    <m/>
    <m/>
    <m/>
    <m/>
    <m/>
    <m/>
    <n v="0"/>
    <n v="5"/>
    <m/>
    <m/>
    <m/>
    <m/>
    <m/>
    <m/>
    <m/>
    <m/>
    <m/>
    <m/>
    <m/>
    <m/>
    <m/>
    <m/>
    <m/>
    <m/>
    <m/>
    <n v="0"/>
    <n v="500"/>
    <n v="500"/>
    <m/>
    <m/>
    <m/>
    <x v="47"/>
    <x v="1"/>
    <m/>
    <m/>
    <m/>
    <m/>
    <n v="2680"/>
    <m/>
    <m/>
    <m/>
    <m/>
    <m/>
    <m/>
    <m/>
    <m/>
    <m/>
    <m/>
    <m/>
    <s v="AA #587"/>
    <s v="Crash of AA 587 to D.R.  Beneficiaries calculated at 5 family members per each 260 families assisted."/>
  </r>
  <r>
    <m/>
    <n v="63"/>
    <x v="75"/>
    <d v="2002-01-01T00:00:00"/>
    <x v="6"/>
    <x v="13"/>
    <m/>
    <x v="7"/>
    <n v="1"/>
    <x v="3"/>
    <s v="Cambodia"/>
    <m/>
    <s v="Miscellaneous"/>
    <s v="Fire"/>
    <s v="Urban Fire"/>
    <m/>
    <x v="0"/>
    <m/>
    <m/>
    <m/>
    <x v="0"/>
    <x v="0"/>
    <m/>
    <m/>
    <m/>
    <m/>
    <m/>
    <m/>
    <m/>
    <m/>
    <m/>
    <m/>
    <n v="0"/>
    <m/>
    <m/>
    <m/>
    <m/>
    <m/>
    <m/>
    <m/>
    <m/>
    <m/>
    <m/>
    <m/>
    <m/>
    <m/>
    <m/>
    <m/>
    <m/>
    <m/>
    <m/>
    <n v="10000"/>
    <m/>
    <n v="10000"/>
    <m/>
    <m/>
    <n v="2079"/>
    <x v="6"/>
    <x v="1"/>
    <m/>
    <m/>
    <m/>
    <m/>
    <n v="2898"/>
    <m/>
    <m/>
    <m/>
    <m/>
    <m/>
    <m/>
    <m/>
    <m/>
    <m/>
    <m/>
    <m/>
    <s v="Phnom Penh"/>
    <m/>
  </r>
  <r>
    <m/>
    <n v="64"/>
    <x v="76"/>
    <d v="2002-01-01T00:00:00"/>
    <x v="6"/>
    <x v="14"/>
    <m/>
    <x v="7"/>
    <n v="2"/>
    <x v="3"/>
    <s v="Albania"/>
    <m/>
    <s v="Storm"/>
    <s v="Winter Emergency"/>
    <m/>
    <m/>
    <x v="0"/>
    <m/>
    <m/>
    <m/>
    <x v="0"/>
    <x v="0"/>
    <m/>
    <m/>
    <m/>
    <m/>
    <m/>
    <m/>
    <m/>
    <m/>
    <m/>
    <m/>
    <n v="0"/>
    <n v="1"/>
    <m/>
    <m/>
    <m/>
    <m/>
    <m/>
    <m/>
    <m/>
    <m/>
    <m/>
    <m/>
    <m/>
    <m/>
    <m/>
    <m/>
    <m/>
    <m/>
    <m/>
    <n v="71832"/>
    <m/>
    <n v="71832"/>
    <m/>
    <m/>
    <n v="20000"/>
    <x v="48"/>
    <x v="1"/>
    <m/>
    <m/>
    <m/>
    <m/>
    <n v="2898"/>
    <m/>
    <m/>
    <m/>
    <m/>
    <m/>
    <m/>
    <m/>
    <m/>
    <m/>
    <m/>
    <m/>
    <m/>
    <s v="Beneficiaries calculated at 5 family members per the 4,000 families assisted."/>
  </r>
  <r>
    <m/>
    <n v="65"/>
    <x v="77"/>
    <d v="2002-01-01T00:00:00"/>
    <x v="6"/>
    <x v="15"/>
    <m/>
    <x v="7"/>
    <n v="3"/>
    <x v="1"/>
    <s v="DR Congo"/>
    <m/>
    <s v="Volcano"/>
    <s v="Volcanic Eruption"/>
    <s v="Volcanic Eruption"/>
    <m/>
    <x v="0"/>
    <m/>
    <m/>
    <m/>
    <x v="0"/>
    <x v="0"/>
    <m/>
    <m/>
    <m/>
    <m/>
    <m/>
    <n v="0"/>
    <n v="25000"/>
    <m/>
    <m/>
    <m/>
    <n v="25000"/>
    <m/>
    <m/>
    <m/>
    <m/>
    <m/>
    <m/>
    <m/>
    <m/>
    <m/>
    <m/>
    <m/>
    <m/>
    <m/>
    <m/>
    <m/>
    <m/>
    <m/>
    <m/>
    <n v="20000"/>
    <m/>
    <n v="45000"/>
    <m/>
    <m/>
    <n v="30000"/>
    <x v="49"/>
    <x v="1"/>
    <m/>
    <m/>
    <m/>
    <m/>
    <n v="2681"/>
    <m/>
    <m/>
    <m/>
    <m/>
    <m/>
    <m/>
    <m/>
    <m/>
    <m/>
    <m/>
    <m/>
    <s v="North Kivu"/>
    <s v="3 NEHK (approx. value $20,000 incl. transport) = 30,000 people for 3 months."/>
  </r>
  <r>
    <m/>
    <n v="66"/>
    <x v="78"/>
    <d v="2002-01-01T00:00:00"/>
    <x v="6"/>
    <x v="17"/>
    <m/>
    <x v="7"/>
    <n v="5"/>
    <x v="1"/>
    <s v="Nigeria"/>
    <m/>
    <s v="Industrial"/>
    <s v="Explosion"/>
    <s v="Explosion"/>
    <m/>
    <x v="0"/>
    <m/>
    <m/>
    <m/>
    <x v="0"/>
    <x v="0"/>
    <m/>
    <m/>
    <m/>
    <m/>
    <m/>
    <n v="0"/>
    <n v="21612.23"/>
    <m/>
    <m/>
    <m/>
    <n v="21612.23"/>
    <m/>
    <m/>
    <m/>
    <m/>
    <m/>
    <m/>
    <m/>
    <m/>
    <m/>
    <m/>
    <m/>
    <m/>
    <m/>
    <m/>
    <m/>
    <m/>
    <m/>
    <m/>
    <m/>
    <m/>
    <n v="21612.23"/>
    <m/>
    <m/>
    <n v="677.77942515832501"/>
    <x v="50"/>
    <x v="1"/>
    <m/>
    <m/>
    <m/>
    <m/>
    <n v="2682"/>
    <m/>
    <m/>
    <m/>
    <m/>
    <m/>
    <m/>
    <m/>
    <m/>
    <m/>
    <m/>
    <m/>
    <s v="Munitions Explosion"/>
    <s v="$20,000 Citicorp donation; $1,612.23 PMN sent to Federation 22 August 03"/>
  </r>
  <r>
    <m/>
    <n v="67"/>
    <x v="9"/>
    <d v="2002-02-01T00:00:00"/>
    <x v="6"/>
    <x v="16"/>
    <m/>
    <x v="7"/>
    <n v="4"/>
    <x v="3"/>
    <s v="Turkey"/>
    <m/>
    <s v="Earthquake"/>
    <s v="Earthquake"/>
    <s v="Earthquake"/>
    <m/>
    <x v="0"/>
    <m/>
    <m/>
    <m/>
    <x v="0"/>
    <x v="0"/>
    <m/>
    <m/>
    <m/>
    <m/>
    <m/>
    <m/>
    <m/>
    <m/>
    <m/>
    <m/>
    <n v="0"/>
    <n v="1"/>
    <m/>
    <m/>
    <m/>
    <m/>
    <m/>
    <m/>
    <m/>
    <m/>
    <m/>
    <m/>
    <m/>
    <m/>
    <m/>
    <m/>
    <m/>
    <m/>
    <m/>
    <n v="350424.24"/>
    <m/>
    <n v="350424.24"/>
    <m/>
    <m/>
    <n v="49315"/>
    <x v="51"/>
    <x v="1"/>
    <m/>
    <m/>
    <m/>
    <m/>
    <n v="2814"/>
    <m/>
    <m/>
    <m/>
    <m/>
    <m/>
    <m/>
    <m/>
    <m/>
    <m/>
    <m/>
    <m/>
    <m/>
    <m/>
  </r>
  <r>
    <m/>
    <n v="68"/>
    <x v="48"/>
    <d v="2002-03-01T00:00:00"/>
    <x v="6"/>
    <x v="18"/>
    <m/>
    <x v="7"/>
    <n v="6"/>
    <x v="2"/>
    <s v="Bolivia"/>
    <m/>
    <s v="Floods"/>
    <s v="General Floods"/>
    <s v="General Floods"/>
    <m/>
    <x v="0"/>
    <m/>
    <m/>
    <m/>
    <x v="0"/>
    <x v="0"/>
    <m/>
    <m/>
    <m/>
    <m/>
    <m/>
    <m/>
    <m/>
    <m/>
    <n v="11700"/>
    <m/>
    <n v="11700"/>
    <m/>
    <m/>
    <m/>
    <m/>
    <m/>
    <m/>
    <m/>
    <m/>
    <m/>
    <m/>
    <m/>
    <m/>
    <m/>
    <m/>
    <m/>
    <m/>
    <m/>
    <m/>
    <m/>
    <m/>
    <n v="11700"/>
    <m/>
    <m/>
    <n v="300"/>
    <x v="52"/>
    <x v="1"/>
    <m/>
    <m/>
    <m/>
    <m/>
    <n v="2898"/>
    <m/>
    <m/>
    <m/>
    <m/>
    <m/>
    <m/>
    <m/>
    <m/>
    <m/>
    <m/>
    <m/>
    <m/>
    <m/>
  </r>
  <r>
    <m/>
    <n v="69"/>
    <x v="79"/>
    <d v="2002-03-01T00:00:00"/>
    <x v="6"/>
    <x v="19"/>
    <m/>
    <x v="7"/>
    <n v="7"/>
    <x v="3"/>
    <s v="Afghanistan"/>
    <m/>
    <s v="Earthquake"/>
    <s v="Earthquake"/>
    <s v="Earthquake"/>
    <m/>
    <x v="0"/>
    <m/>
    <m/>
    <m/>
    <x v="0"/>
    <x v="0"/>
    <m/>
    <m/>
    <m/>
    <m/>
    <m/>
    <m/>
    <m/>
    <n v="104805"/>
    <m/>
    <m/>
    <n v="104805"/>
    <n v="2"/>
    <m/>
    <m/>
    <m/>
    <m/>
    <m/>
    <m/>
    <m/>
    <m/>
    <m/>
    <m/>
    <m/>
    <m/>
    <m/>
    <m/>
    <m/>
    <m/>
    <m/>
    <m/>
    <m/>
    <n v="104805"/>
    <m/>
    <m/>
    <n v="19678.7"/>
    <x v="53"/>
    <x v="1"/>
    <m/>
    <m/>
    <m/>
    <m/>
    <n v="2876"/>
    <m/>
    <m/>
    <m/>
    <m/>
    <m/>
    <m/>
    <m/>
    <m/>
    <m/>
    <m/>
    <m/>
    <m/>
    <s v="NEHK for Mazar e Sharif "/>
  </r>
  <r>
    <m/>
    <n v="70"/>
    <x v="36"/>
    <d v="2002-04-01T00:00:00"/>
    <x v="6"/>
    <x v="23"/>
    <m/>
    <x v="7"/>
    <n v="8"/>
    <x v="3"/>
    <s v="Jordan"/>
    <m/>
    <s v="Conflict"/>
    <s v="Conflict"/>
    <s v="Conflict"/>
    <m/>
    <x v="0"/>
    <m/>
    <m/>
    <m/>
    <x v="0"/>
    <x v="0"/>
    <m/>
    <m/>
    <m/>
    <m/>
    <m/>
    <n v="0"/>
    <n v="25000"/>
    <m/>
    <n v="200000"/>
    <m/>
    <n v="225000"/>
    <n v="1"/>
    <m/>
    <m/>
    <m/>
    <m/>
    <m/>
    <m/>
    <m/>
    <m/>
    <m/>
    <m/>
    <m/>
    <m/>
    <m/>
    <m/>
    <m/>
    <m/>
    <m/>
    <m/>
    <m/>
    <n v="225000"/>
    <m/>
    <m/>
    <m/>
    <x v="54"/>
    <x v="1"/>
    <m/>
    <m/>
    <m/>
    <m/>
    <n v="2898"/>
    <m/>
    <m/>
    <m/>
    <m/>
    <m/>
    <m/>
    <m/>
    <m/>
    <m/>
    <m/>
    <m/>
    <m/>
    <s v="Second Installment for ICU sent in Nov 2002"/>
  </r>
  <r>
    <m/>
    <n v="71"/>
    <x v="80"/>
    <d v="2002-05-01T00:00:00"/>
    <x v="6"/>
    <x v="20"/>
    <m/>
    <x v="7"/>
    <n v="9"/>
    <x v="2"/>
    <s v="Panama"/>
    <m/>
    <s v="Floods"/>
    <s v="General Floods"/>
    <s v="General Floods"/>
    <m/>
    <x v="0"/>
    <m/>
    <m/>
    <m/>
    <x v="0"/>
    <x v="0"/>
    <m/>
    <m/>
    <m/>
    <m/>
    <m/>
    <m/>
    <m/>
    <m/>
    <n v="2000"/>
    <m/>
    <n v="2000"/>
    <m/>
    <m/>
    <m/>
    <m/>
    <m/>
    <m/>
    <m/>
    <m/>
    <m/>
    <m/>
    <m/>
    <m/>
    <m/>
    <m/>
    <m/>
    <m/>
    <m/>
    <m/>
    <m/>
    <m/>
    <n v="2000"/>
    <m/>
    <m/>
    <m/>
    <x v="55"/>
    <x v="1"/>
    <m/>
    <m/>
    <m/>
    <m/>
    <n v="2898"/>
    <m/>
    <m/>
    <m/>
    <m/>
    <m/>
    <m/>
    <m/>
    <m/>
    <m/>
    <m/>
    <m/>
    <m/>
    <m/>
  </r>
  <r>
    <m/>
    <n v="71"/>
    <x v="7"/>
    <d v="2002-05-01T00:00:00"/>
    <x v="6"/>
    <x v="20"/>
    <m/>
    <x v="7"/>
    <n v="9"/>
    <x v="2"/>
    <s v="Costa Rica"/>
    <m/>
    <s v="Floods"/>
    <s v="General Floods"/>
    <s v="General Floods"/>
    <m/>
    <x v="0"/>
    <m/>
    <m/>
    <m/>
    <x v="0"/>
    <x v="0"/>
    <m/>
    <m/>
    <m/>
    <m/>
    <m/>
    <m/>
    <m/>
    <m/>
    <n v="2000"/>
    <m/>
    <n v="2000"/>
    <m/>
    <m/>
    <m/>
    <m/>
    <m/>
    <m/>
    <m/>
    <m/>
    <m/>
    <m/>
    <m/>
    <m/>
    <m/>
    <m/>
    <m/>
    <m/>
    <m/>
    <m/>
    <m/>
    <m/>
    <n v="2000"/>
    <m/>
    <m/>
    <n v="0"/>
    <x v="55"/>
    <x v="1"/>
    <m/>
    <m/>
    <m/>
    <m/>
    <n v="2898"/>
    <m/>
    <m/>
    <m/>
    <m/>
    <m/>
    <m/>
    <m/>
    <m/>
    <m/>
    <m/>
    <m/>
    <m/>
    <m/>
  </r>
  <r>
    <m/>
    <n v="72"/>
    <x v="81"/>
    <d v="2002-05-01T00:00:00"/>
    <x v="6"/>
    <x v="21"/>
    <m/>
    <x v="7"/>
    <n v="10"/>
    <x v="1"/>
    <s v="Kenya"/>
    <m/>
    <s v="Floods"/>
    <s v="General Floods"/>
    <s v="General Floods"/>
    <m/>
    <x v="0"/>
    <m/>
    <m/>
    <m/>
    <x v="0"/>
    <x v="0"/>
    <m/>
    <m/>
    <m/>
    <m/>
    <m/>
    <n v="0"/>
    <n v="10000"/>
    <m/>
    <m/>
    <m/>
    <n v="10000"/>
    <m/>
    <m/>
    <m/>
    <m/>
    <m/>
    <m/>
    <m/>
    <m/>
    <m/>
    <m/>
    <m/>
    <m/>
    <m/>
    <m/>
    <m/>
    <m/>
    <m/>
    <m/>
    <m/>
    <m/>
    <n v="10000"/>
    <m/>
    <m/>
    <n v="1160.6960462049883"/>
    <x v="6"/>
    <x v="1"/>
    <m/>
    <m/>
    <m/>
    <m/>
    <n v="2898"/>
    <m/>
    <m/>
    <m/>
    <m/>
    <m/>
    <m/>
    <m/>
    <m/>
    <m/>
    <m/>
    <m/>
    <m/>
    <m/>
  </r>
  <r>
    <m/>
    <n v="73"/>
    <x v="82"/>
    <d v="2002-05-01T00:00:00"/>
    <x v="6"/>
    <x v="22"/>
    <m/>
    <x v="7"/>
    <n v="11"/>
    <x v="1"/>
    <s v="Malawi"/>
    <m/>
    <s v="Food Insecurity"/>
    <s v="Food Insecurity"/>
    <s v="Food Insecurity"/>
    <m/>
    <x v="0"/>
    <m/>
    <m/>
    <m/>
    <x v="0"/>
    <x v="0"/>
    <m/>
    <m/>
    <m/>
    <m/>
    <m/>
    <m/>
    <m/>
    <m/>
    <m/>
    <m/>
    <n v="0"/>
    <n v="3"/>
    <m/>
    <m/>
    <m/>
    <m/>
    <m/>
    <m/>
    <m/>
    <m/>
    <m/>
    <m/>
    <m/>
    <m/>
    <m/>
    <m/>
    <m/>
    <m/>
    <m/>
    <m/>
    <n v="100000"/>
    <n v="100000"/>
    <m/>
    <m/>
    <n v="96000"/>
    <x v="5"/>
    <x v="1"/>
    <m/>
    <m/>
    <m/>
    <m/>
    <n v="2683"/>
    <m/>
    <m/>
    <m/>
    <m/>
    <m/>
    <m/>
    <m/>
    <m/>
    <m/>
    <m/>
    <m/>
    <m/>
    <m/>
  </r>
  <r>
    <m/>
    <n v="74"/>
    <x v="83"/>
    <d v="2002-06-01T00:00:00"/>
    <x v="6"/>
    <x v="24"/>
    <m/>
    <x v="7"/>
    <n v="12"/>
    <x v="2"/>
    <s v="Nicaragua"/>
    <m/>
    <s v="Floods"/>
    <s v="General Floods"/>
    <s v="General Floods"/>
    <m/>
    <x v="0"/>
    <m/>
    <m/>
    <m/>
    <x v="0"/>
    <x v="0"/>
    <m/>
    <m/>
    <m/>
    <m/>
    <m/>
    <m/>
    <m/>
    <m/>
    <m/>
    <m/>
    <n v="0"/>
    <n v="1"/>
    <m/>
    <m/>
    <m/>
    <m/>
    <m/>
    <m/>
    <m/>
    <m/>
    <m/>
    <m/>
    <m/>
    <m/>
    <m/>
    <m/>
    <m/>
    <m/>
    <m/>
    <m/>
    <m/>
    <n v="0"/>
    <m/>
    <m/>
    <n v="0"/>
    <x v="7"/>
    <x v="1"/>
    <m/>
    <m/>
    <m/>
    <m/>
    <n v="2821"/>
    <m/>
    <m/>
    <m/>
    <m/>
    <m/>
    <m/>
    <m/>
    <m/>
    <m/>
    <m/>
    <m/>
    <m/>
    <s v="supervised dist. of $50,000 of supplies given to NRC by USAID"/>
  </r>
  <r>
    <m/>
    <n v="75"/>
    <x v="84"/>
    <d v="2002-06-01T00:00:00"/>
    <x v="6"/>
    <x v="25"/>
    <m/>
    <x v="7"/>
    <n v="13"/>
    <x v="3"/>
    <s v="Syria"/>
    <m/>
    <s v="Miscellaneous"/>
    <s v="Collapse"/>
    <s v="Collapse"/>
    <m/>
    <x v="0"/>
    <m/>
    <m/>
    <m/>
    <x v="0"/>
    <x v="0"/>
    <m/>
    <m/>
    <m/>
    <m/>
    <m/>
    <n v="0"/>
    <n v="10000"/>
    <m/>
    <m/>
    <m/>
    <n v="10000"/>
    <m/>
    <m/>
    <m/>
    <m/>
    <m/>
    <m/>
    <m/>
    <m/>
    <m/>
    <m/>
    <m/>
    <m/>
    <m/>
    <m/>
    <m/>
    <m/>
    <m/>
    <m/>
    <m/>
    <m/>
    <n v="10000"/>
    <m/>
    <m/>
    <n v="216.21621621621622"/>
    <x v="6"/>
    <x v="1"/>
    <m/>
    <m/>
    <m/>
    <m/>
    <n v="2898"/>
    <m/>
    <m/>
    <m/>
    <m/>
    <m/>
    <m/>
    <m/>
    <m/>
    <m/>
    <m/>
    <m/>
    <s v="Dam Burst"/>
    <s v="Federation appeal15/2002 - Zeyzoun Dam Collapse"/>
  </r>
  <r>
    <m/>
    <n v="76"/>
    <x v="8"/>
    <d v="2002-06-01T00:00:00"/>
    <x v="6"/>
    <x v="26"/>
    <m/>
    <x v="7"/>
    <n v="14"/>
    <x v="3"/>
    <s v="China"/>
    <m/>
    <s v="Floods"/>
    <s v="General Floods"/>
    <s v="General Floods"/>
    <m/>
    <x v="0"/>
    <m/>
    <m/>
    <m/>
    <x v="0"/>
    <x v="0"/>
    <m/>
    <m/>
    <m/>
    <m/>
    <m/>
    <m/>
    <m/>
    <m/>
    <n v="75000"/>
    <m/>
    <n v="75000"/>
    <m/>
    <m/>
    <m/>
    <m/>
    <m/>
    <m/>
    <m/>
    <m/>
    <m/>
    <m/>
    <m/>
    <m/>
    <m/>
    <m/>
    <m/>
    <m/>
    <m/>
    <m/>
    <m/>
    <m/>
    <n v="75000"/>
    <m/>
    <m/>
    <n v="2243.493867783428"/>
    <x v="56"/>
    <x v="1"/>
    <m/>
    <m/>
    <m/>
    <m/>
    <n v="2060"/>
    <m/>
    <m/>
    <m/>
    <m/>
    <m/>
    <m/>
    <m/>
    <m/>
    <m/>
    <m/>
    <m/>
    <m/>
    <s v="Federation appeal 16/2002; $75,000 from Region"/>
  </r>
  <r>
    <m/>
    <n v="76"/>
    <x v="8"/>
    <d v="2002-06-01T00:00:00"/>
    <x v="6"/>
    <x v="26"/>
    <m/>
    <x v="7"/>
    <n v="14"/>
    <x v="3"/>
    <s v="China"/>
    <m/>
    <s v="Floods"/>
    <s v="General Floods"/>
    <s v="General Floods"/>
    <m/>
    <x v="0"/>
    <m/>
    <m/>
    <m/>
    <x v="0"/>
    <x v="0"/>
    <m/>
    <m/>
    <m/>
    <m/>
    <m/>
    <m/>
    <m/>
    <m/>
    <n v="25000"/>
    <m/>
    <n v="25000"/>
    <m/>
    <m/>
    <m/>
    <m/>
    <m/>
    <m/>
    <m/>
    <m/>
    <m/>
    <m/>
    <m/>
    <m/>
    <m/>
    <m/>
    <m/>
    <m/>
    <m/>
    <m/>
    <m/>
    <m/>
    <n v="25000"/>
    <m/>
    <m/>
    <m/>
    <x v="8"/>
    <x v="1"/>
    <m/>
    <m/>
    <m/>
    <m/>
    <n v="2898"/>
    <m/>
    <m/>
    <m/>
    <m/>
    <m/>
    <m/>
    <m/>
    <m/>
    <m/>
    <m/>
    <m/>
    <m/>
    <m/>
  </r>
  <r>
    <m/>
    <n v="76"/>
    <x v="8"/>
    <d v="2002-06-01T00:00:00"/>
    <x v="6"/>
    <x v="26"/>
    <m/>
    <x v="7"/>
    <n v="14"/>
    <x v="3"/>
    <s v="China"/>
    <m/>
    <s v="Floods"/>
    <s v="General Floods"/>
    <s v="General Floods"/>
    <m/>
    <x v="0"/>
    <m/>
    <m/>
    <m/>
    <x v="0"/>
    <x v="0"/>
    <m/>
    <m/>
    <m/>
    <m/>
    <m/>
    <m/>
    <m/>
    <m/>
    <n v="100000"/>
    <m/>
    <n v="100000"/>
    <m/>
    <m/>
    <m/>
    <m/>
    <m/>
    <m/>
    <m/>
    <m/>
    <m/>
    <m/>
    <m/>
    <m/>
    <m/>
    <m/>
    <m/>
    <m/>
    <m/>
    <m/>
    <m/>
    <m/>
    <n v="100000"/>
    <m/>
    <m/>
    <m/>
    <x v="5"/>
    <x v="2"/>
    <m/>
    <m/>
    <m/>
    <m/>
    <n v="2099"/>
    <m/>
    <m/>
    <m/>
    <m/>
    <m/>
    <m/>
    <m/>
    <m/>
    <m/>
    <m/>
    <m/>
    <m/>
    <s v="$100,000 from Phillip Morris (AP 2099) in October 2002"/>
  </r>
  <r>
    <m/>
    <n v="77"/>
    <x v="51"/>
    <d v="2002-07-01T00:00:00"/>
    <x v="7"/>
    <x v="1"/>
    <m/>
    <x v="7"/>
    <n v="15"/>
    <x v="3"/>
    <s v="Russian Fed."/>
    <m/>
    <s v="Floods"/>
    <s v="General Floods"/>
    <s v="General Floods"/>
    <m/>
    <x v="0"/>
    <m/>
    <m/>
    <m/>
    <x v="0"/>
    <x v="0"/>
    <m/>
    <m/>
    <m/>
    <m/>
    <m/>
    <m/>
    <m/>
    <m/>
    <n v="50000"/>
    <m/>
    <n v="50000"/>
    <n v="1"/>
    <m/>
    <m/>
    <m/>
    <m/>
    <m/>
    <m/>
    <m/>
    <m/>
    <m/>
    <m/>
    <m/>
    <m/>
    <m/>
    <m/>
    <m/>
    <m/>
    <m/>
    <m/>
    <m/>
    <n v="50000"/>
    <m/>
    <m/>
    <n v="5000"/>
    <x v="16"/>
    <x v="1"/>
    <m/>
    <m/>
    <m/>
    <m/>
    <n v="2664"/>
    <m/>
    <m/>
    <m/>
    <m/>
    <m/>
    <m/>
    <m/>
    <m/>
    <m/>
    <m/>
    <m/>
    <m/>
    <s v="Dagestan:  IRT Ramsey Rayyis; Federation Appeal 20/2002; grant from US Embassy in Moscow"/>
  </r>
  <r>
    <m/>
    <n v="78"/>
    <x v="85"/>
    <d v="2002-07-01T00:00:00"/>
    <x v="7"/>
    <x v="2"/>
    <m/>
    <x v="7"/>
    <n v="16"/>
    <x v="3"/>
    <s v="FS Micronesia"/>
    <m/>
    <s v="Storm"/>
    <s v="Tropical Cyclone"/>
    <s v="Typhoon"/>
    <m/>
    <x v="0"/>
    <m/>
    <m/>
    <m/>
    <x v="0"/>
    <x v="0"/>
    <m/>
    <m/>
    <m/>
    <m/>
    <m/>
    <m/>
    <m/>
    <m/>
    <m/>
    <m/>
    <n v="0"/>
    <m/>
    <m/>
    <m/>
    <m/>
    <m/>
    <m/>
    <m/>
    <m/>
    <m/>
    <m/>
    <m/>
    <m/>
    <m/>
    <m/>
    <m/>
    <m/>
    <m/>
    <m/>
    <n v="10000"/>
    <m/>
    <n v="10000"/>
    <m/>
    <m/>
    <n v="1000"/>
    <x v="6"/>
    <x v="1"/>
    <m/>
    <m/>
    <m/>
    <m/>
    <n v="2898"/>
    <m/>
    <m/>
    <m/>
    <m/>
    <m/>
    <m/>
    <m/>
    <m/>
    <m/>
    <m/>
    <m/>
    <s v="Chata'an"/>
    <s v="Replenished Supplies sent from ARC/Saipan"/>
  </r>
  <r>
    <m/>
    <n v="79"/>
    <x v="86"/>
    <d v="2002-07-01T00:00:00"/>
    <x v="7"/>
    <x v="3"/>
    <m/>
    <x v="7"/>
    <n v="17"/>
    <x v="2"/>
    <s v="Peru"/>
    <m/>
    <s v="Storm"/>
    <s v="Winter Storm"/>
    <s v="Snowstorm"/>
    <m/>
    <x v="0"/>
    <m/>
    <m/>
    <m/>
    <x v="0"/>
    <x v="0"/>
    <m/>
    <m/>
    <m/>
    <m/>
    <m/>
    <n v="0"/>
    <n v="5000"/>
    <m/>
    <m/>
    <m/>
    <n v="5000"/>
    <m/>
    <m/>
    <m/>
    <m/>
    <m/>
    <m/>
    <m/>
    <m/>
    <m/>
    <m/>
    <m/>
    <m/>
    <m/>
    <m/>
    <m/>
    <m/>
    <m/>
    <m/>
    <m/>
    <m/>
    <n v="5000"/>
    <m/>
    <m/>
    <m/>
    <x v="46"/>
    <x v="1"/>
    <m/>
    <m/>
    <m/>
    <m/>
    <n v="2898"/>
    <m/>
    <m/>
    <m/>
    <m/>
    <m/>
    <m/>
    <m/>
    <m/>
    <m/>
    <m/>
    <m/>
    <m/>
    <s v="DREF Replenishment"/>
  </r>
  <r>
    <m/>
    <n v="80"/>
    <x v="87"/>
    <d v="2002-07-01T00:00:00"/>
    <x v="7"/>
    <x v="4"/>
    <m/>
    <x v="7"/>
    <n v="18"/>
    <x v="2"/>
    <s v="Bolivia"/>
    <m/>
    <s v="Storm"/>
    <s v="Winter Storm"/>
    <s v="Snowstorm"/>
    <m/>
    <x v="0"/>
    <m/>
    <m/>
    <m/>
    <x v="0"/>
    <x v="0"/>
    <m/>
    <m/>
    <m/>
    <m/>
    <m/>
    <n v="0"/>
    <n v="5000"/>
    <m/>
    <m/>
    <m/>
    <n v="5000"/>
    <m/>
    <m/>
    <m/>
    <m/>
    <m/>
    <m/>
    <m/>
    <m/>
    <m/>
    <m/>
    <m/>
    <m/>
    <m/>
    <m/>
    <m/>
    <m/>
    <m/>
    <m/>
    <m/>
    <m/>
    <n v="5000"/>
    <m/>
    <m/>
    <m/>
    <x v="46"/>
    <x v="1"/>
    <m/>
    <m/>
    <m/>
    <m/>
    <n v="2898"/>
    <m/>
    <m/>
    <m/>
    <m/>
    <m/>
    <m/>
    <m/>
    <m/>
    <m/>
    <m/>
    <m/>
    <m/>
    <s v="DREF Replenishment"/>
  </r>
  <r>
    <m/>
    <n v="81"/>
    <x v="27"/>
    <d v="2002-07-01T00:00:00"/>
    <x v="7"/>
    <x v="5"/>
    <m/>
    <x v="7"/>
    <n v="19"/>
    <x v="2"/>
    <s v="Venezuela"/>
    <m/>
    <s v="Floods"/>
    <s v="General Floods"/>
    <s v="General Floods"/>
    <m/>
    <x v="0"/>
    <m/>
    <m/>
    <m/>
    <x v="0"/>
    <x v="0"/>
    <m/>
    <m/>
    <m/>
    <m/>
    <m/>
    <m/>
    <m/>
    <m/>
    <n v="50000"/>
    <m/>
    <n v="50000"/>
    <n v="1"/>
    <m/>
    <m/>
    <m/>
    <m/>
    <m/>
    <m/>
    <m/>
    <m/>
    <m/>
    <m/>
    <m/>
    <m/>
    <m/>
    <m/>
    <m/>
    <m/>
    <m/>
    <m/>
    <m/>
    <n v="50000"/>
    <m/>
    <m/>
    <n v="3840"/>
    <x v="16"/>
    <x v="1"/>
    <m/>
    <m/>
    <m/>
    <m/>
    <n v="2912"/>
    <m/>
    <m/>
    <m/>
    <m/>
    <m/>
    <m/>
    <m/>
    <m/>
    <m/>
    <m/>
    <m/>
    <m/>
    <s v="Funds provided by US Embassy; program implemented by Delegates/IRT members based in Caracas"/>
  </r>
  <r>
    <m/>
    <n v="82"/>
    <x v="33"/>
    <d v="2002-08-01T00:00:00"/>
    <x v="7"/>
    <x v="6"/>
    <m/>
    <x v="7"/>
    <n v="20"/>
    <x v="3"/>
    <s v="India"/>
    <m/>
    <s v="Floods"/>
    <s v="General Floods"/>
    <s v="General Floods"/>
    <m/>
    <x v="0"/>
    <m/>
    <m/>
    <m/>
    <x v="0"/>
    <x v="0"/>
    <m/>
    <m/>
    <m/>
    <m/>
    <m/>
    <n v="1"/>
    <n v="66918.959999999992"/>
    <m/>
    <m/>
    <m/>
    <n v="66918.959999999992"/>
    <n v="7"/>
    <m/>
    <m/>
    <n v="2900"/>
    <m/>
    <m/>
    <m/>
    <m/>
    <m/>
    <m/>
    <m/>
    <m/>
    <m/>
    <m/>
    <m/>
    <m/>
    <m/>
    <m/>
    <n v="122911.16"/>
    <n v="42422.75"/>
    <n v="232252.87"/>
    <m/>
    <m/>
    <n v="36500"/>
    <x v="57"/>
    <x v="1"/>
    <m/>
    <m/>
    <m/>
    <m/>
    <n v="2954"/>
    <m/>
    <m/>
    <m/>
    <m/>
    <m/>
    <m/>
    <m/>
    <m/>
    <m/>
    <m/>
    <m/>
    <m/>
    <s v="2,900 Family Kits @ $35.88 each; 2 WHO NEHK; 2 WHO Cholera Kits; Flood Mitigation in Assam and Bihar thru Appeal."/>
  </r>
  <r>
    <m/>
    <n v="83"/>
    <x v="88"/>
    <d v="2002-08-01T00:00:00"/>
    <x v="7"/>
    <x v="7"/>
    <m/>
    <x v="7"/>
    <n v="21"/>
    <x v="3"/>
    <s v="Romania"/>
    <m/>
    <s v="Floods"/>
    <s v="General Floods"/>
    <s v="General Floods"/>
    <m/>
    <x v="0"/>
    <m/>
    <m/>
    <m/>
    <x v="0"/>
    <x v="0"/>
    <m/>
    <m/>
    <m/>
    <m/>
    <m/>
    <m/>
    <m/>
    <m/>
    <m/>
    <m/>
    <n v="0"/>
    <n v="3"/>
    <m/>
    <m/>
    <n v="14500"/>
    <m/>
    <m/>
    <m/>
    <m/>
    <m/>
    <m/>
    <m/>
    <m/>
    <m/>
    <n v="14500"/>
    <m/>
    <m/>
    <m/>
    <m/>
    <n v="102950"/>
    <n v="12189.84"/>
    <n v="115139.84"/>
    <m/>
    <m/>
    <n v="58000"/>
    <x v="58"/>
    <x v="1"/>
    <m/>
    <m/>
    <m/>
    <m/>
    <n v="2685"/>
    <m/>
    <m/>
    <m/>
    <m/>
    <m/>
    <m/>
    <m/>
    <m/>
    <m/>
    <m/>
    <m/>
    <m/>
    <s v="ex Sofia"/>
  </r>
  <r>
    <m/>
    <n v="83"/>
    <x v="89"/>
    <d v="2002-08-01T00:00:00"/>
    <x v="7"/>
    <x v="7"/>
    <m/>
    <x v="7"/>
    <n v="21"/>
    <x v="3"/>
    <s v="Germany"/>
    <m/>
    <s v="Floods"/>
    <s v="General Floods"/>
    <s v="General Floods"/>
    <m/>
    <x v="0"/>
    <m/>
    <m/>
    <m/>
    <x v="0"/>
    <x v="0"/>
    <m/>
    <m/>
    <m/>
    <m/>
    <m/>
    <m/>
    <m/>
    <m/>
    <n v="75000"/>
    <m/>
    <n v="75000"/>
    <m/>
    <m/>
    <m/>
    <m/>
    <m/>
    <m/>
    <m/>
    <m/>
    <m/>
    <m/>
    <m/>
    <m/>
    <m/>
    <m/>
    <m/>
    <m/>
    <m/>
    <m/>
    <m/>
    <m/>
    <n v="75000"/>
    <m/>
    <m/>
    <n v="7500"/>
    <x v="56"/>
    <x v="2"/>
    <m/>
    <m/>
    <m/>
    <m/>
    <n v="2099"/>
    <m/>
    <m/>
    <m/>
    <m/>
    <m/>
    <m/>
    <m/>
    <m/>
    <m/>
    <m/>
    <m/>
    <m/>
    <s v="Pass throughs from  Alcoa, AmEx, Citigroup, Levi Strauss"/>
  </r>
  <r>
    <m/>
    <n v="83"/>
    <x v="90"/>
    <d v="2002-08-01T00:00:00"/>
    <x v="7"/>
    <x v="7"/>
    <m/>
    <x v="7"/>
    <n v="21"/>
    <x v="3"/>
    <s v="Czech Republic"/>
    <m/>
    <s v="Floods"/>
    <s v="General Floods"/>
    <s v="General Floods"/>
    <m/>
    <x v="0"/>
    <m/>
    <m/>
    <m/>
    <x v="0"/>
    <x v="0"/>
    <m/>
    <m/>
    <m/>
    <m/>
    <m/>
    <m/>
    <m/>
    <m/>
    <n v="90000"/>
    <m/>
    <n v="90000"/>
    <m/>
    <m/>
    <m/>
    <m/>
    <m/>
    <m/>
    <m/>
    <m/>
    <m/>
    <m/>
    <m/>
    <m/>
    <m/>
    <m/>
    <m/>
    <m/>
    <m/>
    <m/>
    <m/>
    <m/>
    <n v="90000"/>
    <m/>
    <m/>
    <n v="9000"/>
    <x v="29"/>
    <x v="2"/>
    <m/>
    <m/>
    <m/>
    <m/>
    <n v="2099"/>
    <m/>
    <m/>
    <m/>
    <m/>
    <m/>
    <m/>
    <m/>
    <m/>
    <m/>
    <m/>
    <m/>
    <m/>
    <s v="Pass throughs from  AmEx (2099), Levi Strauss (2099) and JP Morgan (2608)"/>
  </r>
  <r>
    <m/>
    <n v="83"/>
    <x v="91"/>
    <d v="2002-08-01T00:00:00"/>
    <x v="7"/>
    <x v="7"/>
    <m/>
    <x v="7"/>
    <n v="21"/>
    <x v="3"/>
    <s v="Slovakia"/>
    <m/>
    <s v="Floods"/>
    <s v="General Floods"/>
    <s v="General Floods"/>
    <m/>
    <x v="0"/>
    <m/>
    <m/>
    <m/>
    <x v="0"/>
    <x v="0"/>
    <m/>
    <m/>
    <m/>
    <m/>
    <m/>
    <m/>
    <m/>
    <m/>
    <n v="10000"/>
    <m/>
    <n v="10000"/>
    <m/>
    <m/>
    <m/>
    <m/>
    <m/>
    <m/>
    <m/>
    <m/>
    <m/>
    <m/>
    <m/>
    <m/>
    <m/>
    <m/>
    <m/>
    <m/>
    <m/>
    <m/>
    <m/>
    <m/>
    <n v="10000"/>
    <m/>
    <m/>
    <n v="1000"/>
    <x v="6"/>
    <x v="1"/>
    <m/>
    <m/>
    <m/>
    <m/>
    <n v="2608"/>
    <m/>
    <m/>
    <m/>
    <m/>
    <m/>
    <m/>
    <m/>
    <m/>
    <m/>
    <m/>
    <m/>
    <m/>
    <s v="Pass through from JP Morgan / Chase"/>
  </r>
  <r>
    <m/>
    <n v="83"/>
    <x v="92"/>
    <d v="2002-08-01T00:00:00"/>
    <x v="7"/>
    <x v="7"/>
    <m/>
    <x v="7"/>
    <n v="21"/>
    <x v="3"/>
    <s v="Hungary"/>
    <m/>
    <s v="Floods"/>
    <s v="General Floods"/>
    <s v="General Floods"/>
    <m/>
    <x v="0"/>
    <m/>
    <m/>
    <m/>
    <x v="0"/>
    <x v="0"/>
    <m/>
    <m/>
    <m/>
    <m/>
    <m/>
    <m/>
    <m/>
    <m/>
    <n v="35000"/>
    <m/>
    <n v="35000"/>
    <m/>
    <m/>
    <m/>
    <m/>
    <m/>
    <m/>
    <m/>
    <m/>
    <m/>
    <m/>
    <m/>
    <m/>
    <m/>
    <m/>
    <m/>
    <m/>
    <m/>
    <m/>
    <m/>
    <m/>
    <n v="35000"/>
    <m/>
    <m/>
    <n v="3500"/>
    <x v="59"/>
    <x v="2"/>
    <m/>
    <m/>
    <m/>
    <m/>
    <n v="2099"/>
    <m/>
    <m/>
    <m/>
    <m/>
    <m/>
    <m/>
    <m/>
    <m/>
    <m/>
    <m/>
    <m/>
    <m/>
    <s v="Pass through from  Citigroup (2099) &amp; JP Morgan (2608)"/>
  </r>
  <r>
    <m/>
    <n v="83"/>
    <x v="93"/>
    <d v="2002-08-01T00:00:00"/>
    <x v="7"/>
    <x v="7"/>
    <m/>
    <x v="7"/>
    <n v="21"/>
    <x v="3"/>
    <s v="Austria"/>
    <m/>
    <s v="Floods"/>
    <s v="General Floods"/>
    <s v="General Floods"/>
    <m/>
    <x v="0"/>
    <m/>
    <m/>
    <m/>
    <x v="0"/>
    <x v="0"/>
    <m/>
    <m/>
    <m/>
    <m/>
    <m/>
    <m/>
    <m/>
    <m/>
    <n v="25000"/>
    <m/>
    <n v="25000"/>
    <m/>
    <m/>
    <m/>
    <m/>
    <m/>
    <m/>
    <m/>
    <m/>
    <m/>
    <m/>
    <m/>
    <m/>
    <m/>
    <m/>
    <m/>
    <m/>
    <m/>
    <m/>
    <m/>
    <m/>
    <n v="25000"/>
    <m/>
    <m/>
    <n v="2500"/>
    <x v="8"/>
    <x v="1"/>
    <m/>
    <m/>
    <m/>
    <m/>
    <n v="2608"/>
    <m/>
    <m/>
    <m/>
    <m/>
    <m/>
    <m/>
    <m/>
    <m/>
    <m/>
    <m/>
    <m/>
    <m/>
    <s v="AMEX re-directed funds from their ADGP"/>
  </r>
  <r>
    <m/>
    <n v="84"/>
    <x v="67"/>
    <d v="2002-09-01T00:00:00"/>
    <x v="7"/>
    <x v="8"/>
    <m/>
    <x v="7"/>
    <n v="22"/>
    <x v="2"/>
    <s v="Mexico"/>
    <m/>
    <s v="Storm"/>
    <s v="Tropical Cyclone"/>
    <s v="Hurricane"/>
    <m/>
    <x v="0"/>
    <m/>
    <m/>
    <m/>
    <x v="0"/>
    <x v="0"/>
    <m/>
    <m/>
    <m/>
    <m/>
    <m/>
    <m/>
    <m/>
    <m/>
    <m/>
    <m/>
    <n v="0"/>
    <n v="2"/>
    <m/>
    <m/>
    <m/>
    <m/>
    <m/>
    <m/>
    <m/>
    <m/>
    <m/>
    <m/>
    <m/>
    <m/>
    <m/>
    <m/>
    <m/>
    <m/>
    <m/>
    <m/>
    <n v="60000"/>
    <n v="60000"/>
    <m/>
    <m/>
    <n v="20000"/>
    <x v="45"/>
    <x v="1"/>
    <m/>
    <m/>
    <m/>
    <m/>
    <n v="2687"/>
    <m/>
    <m/>
    <m/>
    <m/>
    <m/>
    <m/>
    <m/>
    <m/>
    <m/>
    <m/>
    <m/>
    <s v="Isidore"/>
    <s v="$50,000 from OFDA; 4,000 hygiene parcels"/>
  </r>
  <r>
    <m/>
    <n v="85"/>
    <x v="94"/>
    <d v="2002-10-01T00:00:00"/>
    <x v="7"/>
    <x v="9"/>
    <m/>
    <x v="7"/>
    <n v="23"/>
    <x v="2"/>
    <s v="Paraguay"/>
    <m/>
    <s v="Drought"/>
    <s v="Drought"/>
    <s v="Drought"/>
    <m/>
    <x v="0"/>
    <m/>
    <m/>
    <m/>
    <x v="0"/>
    <x v="0"/>
    <m/>
    <m/>
    <m/>
    <m/>
    <m/>
    <m/>
    <m/>
    <m/>
    <m/>
    <m/>
    <n v="0"/>
    <n v="2"/>
    <m/>
    <m/>
    <m/>
    <m/>
    <m/>
    <m/>
    <m/>
    <m/>
    <m/>
    <m/>
    <m/>
    <m/>
    <m/>
    <m/>
    <m/>
    <m/>
    <m/>
    <m/>
    <m/>
    <n v="0"/>
    <m/>
    <m/>
    <n v="8165"/>
    <x v="7"/>
    <x v="1"/>
    <m/>
    <m/>
    <m/>
    <m/>
    <n v="2898"/>
    <m/>
    <m/>
    <m/>
    <m/>
    <m/>
    <m/>
    <m/>
    <m/>
    <m/>
    <m/>
    <m/>
    <m/>
    <s v="$50,000 from OFDA money given directly to the Paraguay RC for relief food distributions"/>
  </r>
  <r>
    <m/>
    <n v="86"/>
    <x v="67"/>
    <d v="2002-10-01T00:00:00"/>
    <x v="7"/>
    <x v="10"/>
    <m/>
    <x v="7"/>
    <n v="24"/>
    <x v="2"/>
    <s v="Mexico"/>
    <m/>
    <s v="Storm"/>
    <s v="Tropical Cyclone"/>
    <s v="Hurricane"/>
    <m/>
    <x v="0"/>
    <m/>
    <m/>
    <m/>
    <x v="0"/>
    <x v="0"/>
    <m/>
    <m/>
    <m/>
    <m/>
    <m/>
    <m/>
    <m/>
    <m/>
    <m/>
    <m/>
    <n v="0"/>
    <n v="1"/>
    <m/>
    <m/>
    <m/>
    <m/>
    <m/>
    <m/>
    <m/>
    <m/>
    <m/>
    <m/>
    <m/>
    <m/>
    <m/>
    <m/>
    <m/>
    <m/>
    <m/>
    <m/>
    <m/>
    <n v="0"/>
    <m/>
    <m/>
    <m/>
    <x v="7"/>
    <x v="1"/>
    <m/>
    <m/>
    <m/>
    <m/>
    <n v="2688"/>
    <m/>
    <m/>
    <m/>
    <m/>
    <m/>
    <m/>
    <m/>
    <m/>
    <m/>
    <m/>
    <m/>
    <s v="Kenna"/>
    <m/>
  </r>
  <r>
    <m/>
    <n v="87"/>
    <x v="95"/>
    <d v="2002-10-01T00:00:00"/>
    <x v="7"/>
    <x v="11"/>
    <m/>
    <x v="7"/>
    <n v="25"/>
    <x v="3"/>
    <s v="South Korea"/>
    <m/>
    <s v="Storm"/>
    <s v="Tropical Cyclone"/>
    <s v="Typhoon"/>
    <m/>
    <x v="0"/>
    <m/>
    <m/>
    <m/>
    <x v="0"/>
    <x v="0"/>
    <m/>
    <m/>
    <m/>
    <m/>
    <m/>
    <m/>
    <m/>
    <m/>
    <n v="120000"/>
    <m/>
    <n v="120000"/>
    <m/>
    <m/>
    <m/>
    <m/>
    <m/>
    <m/>
    <m/>
    <m/>
    <m/>
    <m/>
    <m/>
    <m/>
    <m/>
    <m/>
    <m/>
    <m/>
    <m/>
    <m/>
    <m/>
    <n v="10000"/>
    <n v="130000"/>
    <m/>
    <m/>
    <n v="5775"/>
    <x v="60"/>
    <x v="1"/>
    <m/>
    <m/>
    <m/>
    <m/>
    <n v="2686"/>
    <m/>
    <m/>
    <m/>
    <m/>
    <m/>
    <m/>
    <m/>
    <m/>
    <m/>
    <m/>
    <m/>
    <s v="Rusa"/>
    <s v="$10,000 from Alcoa for winter clothing in donor-specified province; $110,000 from CISCO &amp; Lucent for DPP training."/>
  </r>
  <r>
    <m/>
    <n v="88"/>
    <x v="96"/>
    <d v="2002-10-01T00:00:00"/>
    <x v="7"/>
    <x v="12"/>
    <m/>
    <x v="7"/>
    <n v="26"/>
    <x v="3"/>
    <s v="Italy"/>
    <m/>
    <s v="Earthquake"/>
    <s v="Earthquake"/>
    <s v="Earthquake"/>
    <m/>
    <x v="0"/>
    <m/>
    <m/>
    <m/>
    <x v="0"/>
    <x v="0"/>
    <m/>
    <m/>
    <m/>
    <m/>
    <m/>
    <m/>
    <m/>
    <m/>
    <n v="10000"/>
    <m/>
    <n v="10000"/>
    <m/>
    <m/>
    <m/>
    <m/>
    <m/>
    <m/>
    <m/>
    <m/>
    <m/>
    <m/>
    <m/>
    <m/>
    <m/>
    <m/>
    <m/>
    <m/>
    <m/>
    <m/>
    <m/>
    <m/>
    <n v="10000"/>
    <m/>
    <m/>
    <m/>
    <x v="6"/>
    <x v="1"/>
    <m/>
    <m/>
    <m/>
    <m/>
    <n v="2608"/>
    <m/>
    <m/>
    <m/>
    <m/>
    <m/>
    <m/>
    <m/>
    <m/>
    <m/>
    <m/>
    <m/>
    <m/>
    <s v="Verizon Pass through"/>
  </r>
  <r>
    <m/>
    <n v="89"/>
    <x v="97"/>
    <d v="2002-10-01T00:00:00"/>
    <x v="7"/>
    <x v="13"/>
    <m/>
    <x v="7"/>
    <n v="27"/>
    <x v="3"/>
    <s v="Indonesia"/>
    <m/>
    <s v="Terrorism"/>
    <s v="Terrorism"/>
    <s v="Terrorism"/>
    <m/>
    <x v="0"/>
    <m/>
    <m/>
    <m/>
    <x v="0"/>
    <x v="0"/>
    <m/>
    <m/>
    <m/>
    <m/>
    <m/>
    <m/>
    <m/>
    <m/>
    <n v="46670"/>
    <m/>
    <n v="46670"/>
    <m/>
    <m/>
    <m/>
    <m/>
    <m/>
    <m/>
    <m/>
    <m/>
    <m/>
    <m/>
    <m/>
    <m/>
    <m/>
    <m/>
    <m/>
    <m/>
    <m/>
    <m/>
    <m/>
    <m/>
    <n v="46670"/>
    <m/>
    <m/>
    <m/>
    <x v="61"/>
    <x v="1"/>
    <m/>
    <m/>
    <m/>
    <m/>
    <n v="2613"/>
    <m/>
    <m/>
    <m/>
    <m/>
    <m/>
    <m/>
    <m/>
    <m/>
    <m/>
    <m/>
    <m/>
    <s v="Bali"/>
    <s v="Exxon/Mobil provided  $30,000 for Indonesia (to be programmed by AusCross); Citigroup provided $10,000 (2099), G.E provided $5,000 (2898) and Assoc. of Chartered Accountants provided $1,670"/>
  </r>
  <r>
    <m/>
    <n v="89"/>
    <x v="98"/>
    <d v="2002-10-01T00:00:00"/>
    <x v="7"/>
    <x v="13"/>
    <m/>
    <x v="7"/>
    <n v="27"/>
    <x v="3"/>
    <s v="Australia"/>
    <m/>
    <s v="Terrorism"/>
    <s v="Terrorism"/>
    <s v="Terrorism"/>
    <m/>
    <x v="0"/>
    <m/>
    <m/>
    <m/>
    <x v="0"/>
    <x v="0"/>
    <m/>
    <m/>
    <m/>
    <m/>
    <m/>
    <m/>
    <m/>
    <m/>
    <n v="237898.78"/>
    <m/>
    <n v="237898.78"/>
    <n v="1"/>
    <m/>
    <m/>
    <m/>
    <m/>
    <m/>
    <m/>
    <m/>
    <m/>
    <m/>
    <m/>
    <m/>
    <m/>
    <m/>
    <m/>
    <m/>
    <m/>
    <m/>
    <m/>
    <m/>
    <n v="237898.78"/>
    <m/>
    <m/>
    <m/>
    <x v="62"/>
    <x v="1"/>
    <m/>
    <m/>
    <m/>
    <m/>
    <n v="2613"/>
    <m/>
    <m/>
    <m/>
    <m/>
    <m/>
    <m/>
    <m/>
    <m/>
    <m/>
    <m/>
    <m/>
    <s v="Bali"/>
    <s v="includes $151,228.89 from AP 2613 (estab. Oct 2002). Exxon/Mobil provided  $70,000; Anne Bike sent to Australia."/>
  </r>
  <r>
    <m/>
    <n v="90"/>
    <x v="99"/>
    <d v="2002-10-01T00:00:00"/>
    <x v="7"/>
    <x v="14"/>
    <m/>
    <x v="7"/>
    <n v="28"/>
    <x v="3"/>
    <s v="Vietnam"/>
    <m/>
    <s v="Miscellaneous"/>
    <s v="Fire"/>
    <s v="Urban Fire"/>
    <m/>
    <x v="0"/>
    <m/>
    <m/>
    <m/>
    <x v="0"/>
    <x v="0"/>
    <m/>
    <m/>
    <m/>
    <m/>
    <m/>
    <m/>
    <m/>
    <m/>
    <n v="100000"/>
    <m/>
    <n v="100000"/>
    <m/>
    <m/>
    <m/>
    <m/>
    <m/>
    <m/>
    <m/>
    <m/>
    <m/>
    <m/>
    <m/>
    <m/>
    <m/>
    <m/>
    <m/>
    <m/>
    <m/>
    <m/>
    <m/>
    <m/>
    <n v="100000"/>
    <m/>
    <m/>
    <n v="1000"/>
    <x v="5"/>
    <x v="1"/>
    <m/>
    <m/>
    <m/>
    <m/>
    <n v="2608"/>
    <m/>
    <m/>
    <m/>
    <m/>
    <m/>
    <m/>
    <m/>
    <m/>
    <m/>
    <m/>
    <m/>
    <s v="International Trade Center - HCM City"/>
    <s v="SDP developed for Starr Foundation contribution for $100,000"/>
  </r>
  <r>
    <m/>
    <n v="91"/>
    <x v="72"/>
    <d v="2002-10-01T00:00:00"/>
    <x v="7"/>
    <x v="15"/>
    <m/>
    <x v="7"/>
    <n v="29"/>
    <x v="2"/>
    <s v="Cuba"/>
    <m/>
    <s v="Storm"/>
    <s v="Tropical Cyclone"/>
    <s v="Hurricane"/>
    <m/>
    <x v="0"/>
    <m/>
    <m/>
    <m/>
    <x v="0"/>
    <x v="0"/>
    <m/>
    <m/>
    <m/>
    <m/>
    <m/>
    <n v="0"/>
    <n v="10000"/>
    <m/>
    <m/>
    <m/>
    <n v="10000"/>
    <m/>
    <m/>
    <m/>
    <m/>
    <m/>
    <m/>
    <m/>
    <m/>
    <m/>
    <m/>
    <m/>
    <m/>
    <m/>
    <m/>
    <m/>
    <m/>
    <m/>
    <m/>
    <m/>
    <m/>
    <n v="10000"/>
    <m/>
    <m/>
    <n v="1000"/>
    <x v="6"/>
    <x v="1"/>
    <m/>
    <m/>
    <m/>
    <m/>
    <n v="2898"/>
    <m/>
    <m/>
    <m/>
    <m/>
    <m/>
    <m/>
    <m/>
    <m/>
    <m/>
    <m/>
    <m/>
    <s v="Isidore / Lili"/>
    <s v="Toward the Federation Appeal"/>
  </r>
  <r>
    <m/>
    <n v="92"/>
    <x v="100"/>
    <d v="2002-10-01T00:00:00"/>
    <x v="7"/>
    <x v="16"/>
    <m/>
    <x v="7"/>
    <n v="30"/>
    <x v="1"/>
    <s v="Lesotho"/>
    <m/>
    <s v="Food Insecurity"/>
    <s v="Food Insecurity"/>
    <s v="Food Insecurity"/>
    <m/>
    <x v="0"/>
    <m/>
    <m/>
    <m/>
    <x v="0"/>
    <x v="0"/>
    <m/>
    <m/>
    <m/>
    <m/>
    <m/>
    <n v="0"/>
    <n v="25000"/>
    <m/>
    <m/>
    <m/>
    <n v="25000"/>
    <m/>
    <m/>
    <m/>
    <m/>
    <m/>
    <m/>
    <m/>
    <m/>
    <m/>
    <m/>
    <m/>
    <m/>
    <m/>
    <m/>
    <m/>
    <m/>
    <m/>
    <m/>
    <m/>
    <m/>
    <n v="25000"/>
    <m/>
    <m/>
    <n v="2500"/>
    <x v="8"/>
    <x v="1"/>
    <m/>
    <m/>
    <m/>
    <m/>
    <n v="2898"/>
    <m/>
    <m/>
    <m/>
    <m/>
    <m/>
    <m/>
    <m/>
    <m/>
    <m/>
    <m/>
    <m/>
    <m/>
    <s v="Toward the Federation Appeal for Southern Africa"/>
  </r>
  <r>
    <m/>
    <n v="93"/>
    <x v="7"/>
    <d v="2002-12-01T00:00:00"/>
    <x v="7"/>
    <x v="17"/>
    <m/>
    <x v="7"/>
    <n v="31"/>
    <x v="2"/>
    <s v="Costa Rica"/>
    <m/>
    <s v="Floods"/>
    <s v="General Floods"/>
    <s v="General Floods"/>
    <m/>
    <x v="0"/>
    <m/>
    <m/>
    <m/>
    <x v="0"/>
    <x v="0"/>
    <m/>
    <m/>
    <m/>
    <m/>
    <m/>
    <m/>
    <m/>
    <m/>
    <n v="1000"/>
    <m/>
    <n v="1000"/>
    <m/>
    <m/>
    <m/>
    <m/>
    <m/>
    <m/>
    <m/>
    <m/>
    <m/>
    <m/>
    <m/>
    <m/>
    <m/>
    <m/>
    <m/>
    <m/>
    <m/>
    <m/>
    <m/>
    <m/>
    <n v="1000"/>
    <m/>
    <m/>
    <m/>
    <x v="37"/>
    <x v="1"/>
    <m/>
    <m/>
    <m/>
    <m/>
    <n v="2898"/>
    <m/>
    <m/>
    <m/>
    <m/>
    <m/>
    <m/>
    <m/>
    <m/>
    <m/>
    <m/>
    <m/>
    <m/>
    <s v="Cash donation to National Society"/>
  </r>
  <r>
    <m/>
    <n v="94"/>
    <x v="80"/>
    <d v="2002-12-01T00:00:00"/>
    <x v="7"/>
    <x v="18"/>
    <m/>
    <x v="7"/>
    <n v="32"/>
    <x v="2"/>
    <s v="Panama"/>
    <m/>
    <s v="Floods"/>
    <s v="General Floods"/>
    <s v="General Floods"/>
    <m/>
    <x v="0"/>
    <m/>
    <m/>
    <m/>
    <x v="0"/>
    <x v="0"/>
    <m/>
    <m/>
    <m/>
    <m/>
    <m/>
    <m/>
    <m/>
    <m/>
    <n v="1345"/>
    <m/>
    <n v="1345"/>
    <m/>
    <m/>
    <m/>
    <n v="675"/>
    <m/>
    <m/>
    <m/>
    <m/>
    <m/>
    <m/>
    <m/>
    <m/>
    <m/>
    <m/>
    <m/>
    <m/>
    <m/>
    <m/>
    <m/>
    <m/>
    <n v="1345"/>
    <m/>
    <m/>
    <n v="675"/>
    <x v="63"/>
    <x v="1"/>
    <m/>
    <m/>
    <m/>
    <m/>
    <n v="2898"/>
    <m/>
    <m/>
    <m/>
    <m/>
    <m/>
    <m/>
    <m/>
    <m/>
    <m/>
    <m/>
    <m/>
    <m/>
    <s v="675 jerry cans from pre-positioned stocks"/>
  </r>
  <r>
    <m/>
    <n v="95"/>
    <x v="101"/>
    <d v="2002-12-01T00:00:00"/>
    <x v="7"/>
    <x v="19"/>
    <m/>
    <x v="7"/>
    <n v="33"/>
    <x v="1"/>
    <s v="Kenya"/>
    <m/>
    <s v="Epidemic"/>
    <s v="Parasitic"/>
    <s v="Parasitic"/>
    <m/>
    <x v="0"/>
    <m/>
    <m/>
    <m/>
    <x v="0"/>
    <x v="0"/>
    <m/>
    <m/>
    <m/>
    <m/>
    <m/>
    <m/>
    <m/>
    <m/>
    <n v="5000"/>
    <m/>
    <n v="5000"/>
    <m/>
    <m/>
    <m/>
    <m/>
    <m/>
    <m/>
    <m/>
    <m/>
    <m/>
    <m/>
    <m/>
    <m/>
    <m/>
    <m/>
    <m/>
    <m/>
    <m/>
    <m/>
    <m/>
    <m/>
    <n v="5000"/>
    <m/>
    <m/>
    <n v="500"/>
    <x v="46"/>
    <x v="1"/>
    <m/>
    <m/>
    <m/>
    <m/>
    <n v="2898"/>
    <m/>
    <m/>
    <m/>
    <m/>
    <m/>
    <m/>
    <m/>
    <m/>
    <m/>
    <m/>
    <m/>
    <s v="Malaria"/>
    <s v="Africa Region also donated $5,000 to KRC for a total of $10,000"/>
  </r>
  <r>
    <m/>
    <n v="96"/>
    <x v="102"/>
    <d v="2003-01-01T00:00:00"/>
    <x v="7"/>
    <x v="23"/>
    <m/>
    <x v="8"/>
    <n v="1"/>
    <x v="3"/>
    <s v="Solomon Islands"/>
    <m/>
    <s v="Storm"/>
    <s v="Tropical Cyclone"/>
    <s v="Cyclone"/>
    <m/>
    <x v="0"/>
    <m/>
    <m/>
    <m/>
    <x v="0"/>
    <x v="0"/>
    <m/>
    <m/>
    <m/>
    <m/>
    <m/>
    <n v="0"/>
    <n v="7242.1372799999999"/>
    <m/>
    <m/>
    <m/>
    <n v="7242.1372799999999"/>
    <m/>
    <m/>
    <m/>
    <m/>
    <m/>
    <m/>
    <m/>
    <m/>
    <m/>
    <m/>
    <m/>
    <m/>
    <m/>
    <m/>
    <m/>
    <m/>
    <m/>
    <m/>
    <m/>
    <m/>
    <n v="7242.1372799999999"/>
    <m/>
    <m/>
    <m/>
    <x v="64"/>
    <x v="1"/>
    <m/>
    <m/>
    <m/>
    <m/>
    <n v="2881"/>
    <m/>
    <m/>
    <m/>
    <m/>
    <m/>
    <m/>
    <m/>
    <m/>
    <m/>
    <m/>
    <m/>
    <s v="Zoe"/>
    <s v="FJD 14,369.32 for re-stocking Solomon Islands RC"/>
  </r>
  <r>
    <m/>
    <n v="97"/>
    <x v="0"/>
    <d v="2003-01-01T00:00:00"/>
    <x v="7"/>
    <x v="20"/>
    <m/>
    <x v="8"/>
    <n v="2"/>
    <x v="2"/>
    <s v="Mexico"/>
    <m/>
    <s v="Earthquake"/>
    <s v="Earthquake"/>
    <s v="Earthquake"/>
    <m/>
    <x v="0"/>
    <m/>
    <m/>
    <m/>
    <x v="0"/>
    <x v="0"/>
    <m/>
    <m/>
    <m/>
    <m/>
    <m/>
    <m/>
    <m/>
    <m/>
    <n v="350000"/>
    <m/>
    <n v="350000"/>
    <n v="3"/>
    <m/>
    <m/>
    <m/>
    <m/>
    <m/>
    <m/>
    <m/>
    <m/>
    <m/>
    <m/>
    <m/>
    <m/>
    <m/>
    <m/>
    <m/>
    <m/>
    <m/>
    <m/>
    <m/>
    <n v="350000"/>
    <m/>
    <m/>
    <n v="2000"/>
    <x v="65"/>
    <x v="1"/>
    <m/>
    <m/>
    <m/>
    <m/>
    <n v="2690"/>
    <m/>
    <m/>
    <m/>
    <m/>
    <m/>
    <m/>
    <m/>
    <m/>
    <m/>
    <m/>
    <m/>
    <m/>
    <s v="$100,000 donation from Wells Fargo was programmed by ARC in partnership with Mexican Red Cross (MRC). Steve McAndrew responded and 2 IRT members (Jerry Lisenby and M-C Brien) were subsequently deployed to manage the operation. Toyota donated $250,000 to the relief effort as a strict pass-through to the Mexican Red Cross."/>
  </r>
  <r>
    <m/>
    <n v="97"/>
    <x v="0"/>
    <d v="2003-01-01T00:00:00"/>
    <x v="7"/>
    <x v="20"/>
    <m/>
    <x v="8"/>
    <n v="2"/>
    <x v="2"/>
    <s v="Mexico"/>
    <m/>
    <s v="Earthquake"/>
    <s v="Earthquake"/>
    <s v="Earthquake"/>
    <m/>
    <x v="0"/>
    <m/>
    <m/>
    <m/>
    <x v="0"/>
    <x v="0"/>
    <m/>
    <m/>
    <m/>
    <m/>
    <m/>
    <m/>
    <m/>
    <m/>
    <n v="100000"/>
    <m/>
    <n v="100000"/>
    <m/>
    <m/>
    <m/>
    <m/>
    <m/>
    <m/>
    <m/>
    <m/>
    <m/>
    <m/>
    <m/>
    <m/>
    <m/>
    <m/>
    <m/>
    <m/>
    <m/>
    <m/>
    <m/>
    <m/>
    <n v="100000"/>
    <m/>
    <m/>
    <m/>
    <x v="5"/>
    <x v="1"/>
    <m/>
    <m/>
    <m/>
    <m/>
    <n v="2642"/>
    <m/>
    <m/>
    <m/>
    <m/>
    <m/>
    <m/>
    <m/>
    <m/>
    <m/>
    <m/>
    <m/>
    <m/>
    <s v="$100,000 from OFDA was programmed by ARC in partnership with Mexican Red Cross (MRC)."/>
  </r>
  <r>
    <m/>
    <n v="98"/>
    <x v="103"/>
    <d v="2003-02-01T00:00:00"/>
    <x v="7"/>
    <x v="21"/>
    <m/>
    <x v="8"/>
    <n v="3"/>
    <x v="3"/>
    <s v="South Korea"/>
    <m/>
    <s v="Transport"/>
    <s v="Rail"/>
    <s v="Fire"/>
    <m/>
    <x v="0"/>
    <m/>
    <m/>
    <m/>
    <x v="0"/>
    <x v="0"/>
    <m/>
    <m/>
    <m/>
    <m/>
    <m/>
    <m/>
    <m/>
    <m/>
    <n v="10000"/>
    <m/>
    <n v="10000"/>
    <m/>
    <m/>
    <m/>
    <m/>
    <m/>
    <m/>
    <m/>
    <m/>
    <m/>
    <m/>
    <m/>
    <m/>
    <m/>
    <m/>
    <m/>
    <m/>
    <m/>
    <m/>
    <m/>
    <m/>
    <n v="10000"/>
    <m/>
    <m/>
    <n v="1000"/>
    <x v="6"/>
    <x v="1"/>
    <m/>
    <m/>
    <m/>
    <m/>
    <n v="2608"/>
    <m/>
    <m/>
    <m/>
    <m/>
    <m/>
    <m/>
    <m/>
    <m/>
    <m/>
    <m/>
    <m/>
    <s v="Taegu Subway fire"/>
    <s v="Alcoa passthrough"/>
  </r>
  <r>
    <m/>
    <n v="99"/>
    <x v="104"/>
    <d v="2003-02-01T00:00:00"/>
    <x v="7"/>
    <x v="22"/>
    <m/>
    <x v="8"/>
    <n v="4"/>
    <x v="3"/>
    <s v="China"/>
    <m/>
    <s v="Earthquake"/>
    <s v="Earthquake"/>
    <s v="Earthquake"/>
    <m/>
    <x v="0"/>
    <m/>
    <m/>
    <m/>
    <x v="0"/>
    <x v="0"/>
    <m/>
    <m/>
    <m/>
    <m/>
    <m/>
    <m/>
    <m/>
    <m/>
    <n v="50000"/>
    <m/>
    <n v="50000"/>
    <m/>
    <m/>
    <m/>
    <m/>
    <m/>
    <m/>
    <m/>
    <m/>
    <m/>
    <m/>
    <m/>
    <m/>
    <m/>
    <m/>
    <m/>
    <m/>
    <m/>
    <m/>
    <m/>
    <m/>
    <n v="50000"/>
    <m/>
    <m/>
    <n v="1350"/>
    <x v="16"/>
    <x v="1"/>
    <m/>
    <m/>
    <m/>
    <m/>
    <s v="0000"/>
    <m/>
    <m/>
    <m/>
    <m/>
    <m/>
    <m/>
    <m/>
    <m/>
    <m/>
    <m/>
    <m/>
    <m/>
    <s v="Altria passthrough"/>
  </r>
  <r>
    <m/>
    <n v="100"/>
    <x v="105"/>
    <d v="2003-03-01T00:00:00"/>
    <x v="7"/>
    <x v="24"/>
    <m/>
    <x v="8"/>
    <n v="5"/>
    <x v="3"/>
    <s v="Iraq"/>
    <m/>
    <s v="Conflict"/>
    <s v="Conflict"/>
    <s v="Conflict"/>
    <m/>
    <x v="0"/>
    <m/>
    <m/>
    <m/>
    <x v="0"/>
    <x v="0"/>
    <m/>
    <m/>
    <m/>
    <m/>
    <m/>
    <n v="1"/>
    <n v="100000"/>
    <n v="100000"/>
    <m/>
    <m/>
    <n v="200000"/>
    <m/>
    <m/>
    <m/>
    <n v="64200"/>
    <m/>
    <m/>
    <n v="34200"/>
    <n v="30000"/>
    <m/>
    <m/>
    <m/>
    <m/>
    <m/>
    <m/>
    <m/>
    <m/>
    <m/>
    <m/>
    <n v="221694"/>
    <m/>
    <n v="421694"/>
    <m/>
    <m/>
    <n v="54200"/>
    <x v="66"/>
    <x v="1"/>
    <m/>
    <m/>
    <m/>
    <m/>
    <n v="2689"/>
    <m/>
    <m/>
    <m/>
    <m/>
    <m/>
    <m/>
    <m/>
    <m/>
    <m/>
    <m/>
    <m/>
    <s v="Iraq"/>
    <m/>
  </r>
  <r>
    <m/>
    <n v="100"/>
    <x v="106"/>
    <d v="2003-03-01T00:00:00"/>
    <x v="7"/>
    <x v="24"/>
    <m/>
    <x v="8"/>
    <n v="5"/>
    <x v="3"/>
    <s v="Syria"/>
    <m/>
    <s v="Conflict"/>
    <s v="Conflict"/>
    <s v="Conflict"/>
    <m/>
    <x v="0"/>
    <m/>
    <m/>
    <m/>
    <x v="0"/>
    <x v="0"/>
    <m/>
    <m/>
    <m/>
    <m/>
    <m/>
    <m/>
    <m/>
    <m/>
    <n v="15000"/>
    <m/>
    <n v="15000"/>
    <m/>
    <m/>
    <m/>
    <m/>
    <m/>
    <m/>
    <m/>
    <m/>
    <m/>
    <m/>
    <m/>
    <m/>
    <m/>
    <m/>
    <m/>
    <m/>
    <m/>
    <m/>
    <m/>
    <m/>
    <n v="15000"/>
    <m/>
    <m/>
    <n v="1000"/>
    <x v="18"/>
    <x v="1"/>
    <m/>
    <m/>
    <m/>
    <m/>
    <n v="2689"/>
    <m/>
    <m/>
    <m/>
    <m/>
    <m/>
    <m/>
    <m/>
    <m/>
    <m/>
    <m/>
    <m/>
    <s v="Iraq"/>
    <s v="PMN for SARC"/>
  </r>
  <r>
    <m/>
    <n v="100"/>
    <x v="36"/>
    <d v="2003-03-01T00:00:00"/>
    <x v="7"/>
    <x v="24"/>
    <m/>
    <x v="8"/>
    <n v="5"/>
    <x v="3"/>
    <s v="Jordan"/>
    <m/>
    <s v="Conflict"/>
    <s v="Conflict"/>
    <s v="Conflict"/>
    <m/>
    <x v="0"/>
    <m/>
    <m/>
    <m/>
    <x v="0"/>
    <x v="0"/>
    <m/>
    <m/>
    <m/>
    <m/>
    <m/>
    <m/>
    <m/>
    <m/>
    <n v="15000"/>
    <m/>
    <n v="15000"/>
    <n v="2"/>
    <m/>
    <m/>
    <m/>
    <m/>
    <m/>
    <m/>
    <m/>
    <m/>
    <m/>
    <m/>
    <m/>
    <m/>
    <m/>
    <m/>
    <m/>
    <m/>
    <m/>
    <m/>
    <n v="17812"/>
    <n v="32812"/>
    <m/>
    <m/>
    <n v="1000"/>
    <x v="67"/>
    <x v="1"/>
    <m/>
    <m/>
    <m/>
    <m/>
    <n v="2689"/>
    <m/>
    <m/>
    <m/>
    <m/>
    <m/>
    <m/>
    <m/>
    <m/>
    <m/>
    <m/>
    <m/>
    <s v="Iraq"/>
    <s v="PMN for JRCS; Jensen &amp; Dmitryuk in Amman"/>
  </r>
  <r>
    <m/>
    <n v="100"/>
    <x v="107"/>
    <d v="2003-03-01T00:00:00"/>
    <x v="7"/>
    <x v="24"/>
    <m/>
    <x v="8"/>
    <n v="5"/>
    <x v="3"/>
    <s v="Turkey"/>
    <m/>
    <s v="Conflict"/>
    <s v="Conflict"/>
    <s v="Conflict"/>
    <m/>
    <x v="0"/>
    <m/>
    <m/>
    <m/>
    <x v="0"/>
    <x v="0"/>
    <m/>
    <m/>
    <m/>
    <m/>
    <m/>
    <m/>
    <m/>
    <m/>
    <m/>
    <m/>
    <n v="0"/>
    <n v="1"/>
    <m/>
    <m/>
    <m/>
    <m/>
    <m/>
    <m/>
    <m/>
    <m/>
    <m/>
    <m/>
    <m/>
    <m/>
    <m/>
    <m/>
    <m/>
    <m/>
    <m/>
    <m/>
    <n v="17812"/>
    <n v="17812"/>
    <m/>
    <m/>
    <m/>
    <x v="68"/>
    <x v="1"/>
    <m/>
    <m/>
    <m/>
    <m/>
    <n v="2689"/>
    <m/>
    <m/>
    <m/>
    <m/>
    <m/>
    <m/>
    <m/>
    <m/>
    <m/>
    <m/>
    <m/>
    <s v="Iraq"/>
    <s v="McAndrew in Ankara"/>
  </r>
  <r>
    <m/>
    <n v="101"/>
    <x v="108"/>
    <d v="2003-05-01T00:00:00"/>
    <x v="7"/>
    <x v="25"/>
    <m/>
    <x v="8"/>
    <n v="6"/>
    <x v="2"/>
    <s v="Argentina"/>
    <m/>
    <s v="Floods"/>
    <s v="General Floods"/>
    <s v="General Floods"/>
    <m/>
    <x v="0"/>
    <m/>
    <m/>
    <m/>
    <x v="0"/>
    <x v="0"/>
    <m/>
    <m/>
    <m/>
    <m/>
    <m/>
    <n v="0"/>
    <n v="15000"/>
    <m/>
    <m/>
    <m/>
    <n v="15000"/>
    <n v="1"/>
    <m/>
    <m/>
    <m/>
    <m/>
    <m/>
    <m/>
    <m/>
    <m/>
    <m/>
    <m/>
    <m/>
    <m/>
    <m/>
    <m/>
    <m/>
    <m/>
    <m/>
    <m/>
    <m/>
    <n v="15000"/>
    <m/>
    <m/>
    <n v="1500"/>
    <x v="18"/>
    <x v="1"/>
    <m/>
    <m/>
    <m/>
    <m/>
    <n v="2898"/>
    <m/>
    <m/>
    <m/>
    <m/>
    <m/>
    <m/>
    <m/>
    <m/>
    <m/>
    <m/>
    <m/>
    <m/>
    <s v="Rob McKenney from PADRU"/>
  </r>
  <r>
    <m/>
    <n v="102"/>
    <x v="9"/>
    <d v="2003-05-01T00:00:00"/>
    <x v="7"/>
    <x v="26"/>
    <m/>
    <x v="8"/>
    <n v="7"/>
    <x v="3"/>
    <s v="Turkey"/>
    <m/>
    <s v="Earthquake"/>
    <s v="Earthquake"/>
    <s v="Earthquake"/>
    <m/>
    <x v="0"/>
    <m/>
    <m/>
    <m/>
    <x v="0"/>
    <x v="0"/>
    <m/>
    <m/>
    <m/>
    <m/>
    <m/>
    <m/>
    <m/>
    <m/>
    <m/>
    <m/>
    <n v="0"/>
    <n v="2"/>
    <m/>
    <m/>
    <n v="9000"/>
    <m/>
    <m/>
    <m/>
    <m/>
    <m/>
    <m/>
    <m/>
    <m/>
    <m/>
    <n v="9000"/>
    <m/>
    <m/>
    <m/>
    <m/>
    <n v="331380"/>
    <m/>
    <n v="331380"/>
    <m/>
    <m/>
    <n v="45000"/>
    <x v="69"/>
    <x v="1"/>
    <m/>
    <m/>
    <m/>
    <m/>
    <n v="2898"/>
    <m/>
    <m/>
    <m/>
    <m/>
    <m/>
    <m/>
    <m/>
    <m/>
    <m/>
    <m/>
    <m/>
    <s v="Bingol"/>
    <s v="Food Parcels paid for by Region; IRT Kelly Hurd sent to support TRCS distribution; IRT R. Chapman deployed to support TRCS"/>
  </r>
  <r>
    <m/>
    <n v="103"/>
    <x v="109"/>
    <d v="2003-05-01T00:00:00"/>
    <x v="7"/>
    <x v="27"/>
    <m/>
    <x v="8"/>
    <n v="8"/>
    <x v="3"/>
    <s v="China"/>
    <m/>
    <s v="Epidemic"/>
    <s v="Viral"/>
    <s v="Viral"/>
    <m/>
    <x v="0"/>
    <m/>
    <m/>
    <m/>
    <x v="0"/>
    <x v="0"/>
    <m/>
    <m/>
    <m/>
    <m/>
    <m/>
    <m/>
    <m/>
    <m/>
    <n v="32500"/>
    <m/>
    <n v="32500"/>
    <m/>
    <m/>
    <m/>
    <m/>
    <m/>
    <m/>
    <m/>
    <m/>
    <m/>
    <m/>
    <m/>
    <m/>
    <m/>
    <m/>
    <m/>
    <m/>
    <m/>
    <m/>
    <m/>
    <m/>
    <n v="32500"/>
    <m/>
    <m/>
    <n v="59000"/>
    <x v="70"/>
    <x v="1"/>
    <m/>
    <m/>
    <m/>
    <m/>
    <n v="2691"/>
    <m/>
    <m/>
    <m/>
    <m/>
    <m/>
    <m/>
    <m/>
    <m/>
    <m/>
    <m/>
    <m/>
    <s v="SARS"/>
    <s v="AMEX: $25,000 + $7,500"/>
  </r>
  <r>
    <m/>
    <n v="103"/>
    <x v="109"/>
    <d v="2003-05-01T00:00:00"/>
    <x v="7"/>
    <x v="27"/>
    <m/>
    <x v="8"/>
    <n v="8"/>
    <x v="3"/>
    <s v="China"/>
    <m/>
    <s v="Epidemic"/>
    <s v="Viral"/>
    <s v="Viral"/>
    <m/>
    <x v="0"/>
    <m/>
    <m/>
    <m/>
    <x v="0"/>
    <x v="0"/>
    <m/>
    <m/>
    <m/>
    <m/>
    <m/>
    <m/>
    <m/>
    <m/>
    <n v="370642"/>
    <m/>
    <n v="370642"/>
    <m/>
    <m/>
    <m/>
    <m/>
    <m/>
    <m/>
    <m/>
    <m/>
    <m/>
    <m/>
    <m/>
    <m/>
    <m/>
    <m/>
    <m/>
    <m/>
    <m/>
    <m/>
    <m/>
    <m/>
    <n v="370642"/>
    <m/>
    <m/>
    <n v="15000"/>
    <x v="71"/>
    <x v="1"/>
    <m/>
    <m/>
    <m/>
    <m/>
    <s v="0000"/>
    <m/>
    <m/>
    <m/>
    <m/>
    <m/>
    <m/>
    <m/>
    <m/>
    <m/>
    <m/>
    <m/>
    <s v="SARS"/>
    <s v="Pfizer: $200,000; JP Morgan/Chase: $128,000; Microsoft: $42,642"/>
  </r>
  <r>
    <m/>
    <n v="103"/>
    <x v="110"/>
    <d v="2003-05-01T00:00:00"/>
    <x v="7"/>
    <x v="27"/>
    <m/>
    <x v="8"/>
    <n v="8"/>
    <x v="3"/>
    <s v="Hong Kong"/>
    <m/>
    <s v="Epidemic"/>
    <s v="Viral"/>
    <s v="Viral"/>
    <m/>
    <x v="0"/>
    <m/>
    <m/>
    <m/>
    <x v="0"/>
    <x v="0"/>
    <m/>
    <m/>
    <m/>
    <m/>
    <m/>
    <m/>
    <m/>
    <m/>
    <n v="60000"/>
    <m/>
    <n v="60000"/>
    <m/>
    <m/>
    <m/>
    <m/>
    <m/>
    <m/>
    <m/>
    <m/>
    <m/>
    <m/>
    <m/>
    <m/>
    <m/>
    <m/>
    <m/>
    <m/>
    <m/>
    <m/>
    <m/>
    <m/>
    <n v="60000"/>
    <m/>
    <m/>
    <n v="72500"/>
    <x v="45"/>
    <x v="1"/>
    <m/>
    <m/>
    <m/>
    <m/>
    <n v="2060"/>
    <m/>
    <m/>
    <m/>
    <m/>
    <m/>
    <m/>
    <m/>
    <m/>
    <m/>
    <m/>
    <m/>
    <s v="SARS"/>
    <s v="$25,000 from AMEX and $35,000 from JP Morgan Chase (both) programmed against total invoice of $97,923.15 for 1.2 million alcohol swabs and 435,000 surgical masks"/>
  </r>
  <r>
    <m/>
    <n v="104"/>
    <x v="111"/>
    <d v="2003-05-01T00:00:00"/>
    <x v="7"/>
    <x v="28"/>
    <m/>
    <x v="8"/>
    <n v="9"/>
    <x v="3"/>
    <s v="Sri Lanka"/>
    <m/>
    <s v="Floods"/>
    <s v="General Floods"/>
    <s v="General Floods"/>
    <m/>
    <x v="0"/>
    <m/>
    <m/>
    <m/>
    <x v="0"/>
    <x v="0"/>
    <m/>
    <m/>
    <m/>
    <m/>
    <m/>
    <n v="0"/>
    <n v="21400"/>
    <m/>
    <m/>
    <m/>
    <n v="21400"/>
    <m/>
    <m/>
    <m/>
    <m/>
    <m/>
    <m/>
    <m/>
    <m/>
    <m/>
    <m/>
    <m/>
    <m/>
    <m/>
    <m/>
    <m/>
    <m/>
    <m/>
    <m/>
    <m/>
    <m/>
    <n v="21400"/>
    <m/>
    <m/>
    <n v="2862.1931568439049"/>
    <x v="72"/>
    <x v="1"/>
    <m/>
    <m/>
    <m/>
    <m/>
    <n v="2692"/>
    <m/>
    <m/>
    <m/>
    <m/>
    <m/>
    <m/>
    <m/>
    <m/>
    <m/>
    <m/>
    <m/>
    <m/>
    <s v="Funds provided through Citigroup's ADGP; Federation Appeal for $934,598 / 125,000 beneficiaries / 3 months"/>
  </r>
  <r>
    <m/>
    <n v="105"/>
    <x v="80"/>
    <d v="2003-07-01T00:00:00"/>
    <x v="8"/>
    <x v="1"/>
    <m/>
    <x v="8"/>
    <n v="10"/>
    <x v="2"/>
    <s v="Panama"/>
    <m/>
    <s v="Floods"/>
    <s v="General Floods"/>
    <s v="General Floods"/>
    <m/>
    <x v="0"/>
    <m/>
    <m/>
    <m/>
    <x v="0"/>
    <x v="0"/>
    <m/>
    <m/>
    <m/>
    <m/>
    <m/>
    <m/>
    <m/>
    <m/>
    <m/>
    <m/>
    <n v="0"/>
    <n v="1"/>
    <m/>
    <m/>
    <n v="6500"/>
    <m/>
    <n v="500"/>
    <m/>
    <m/>
    <m/>
    <m/>
    <m/>
    <n v="6000"/>
    <m/>
    <m/>
    <m/>
    <m/>
    <m/>
    <m/>
    <n v="16700"/>
    <m/>
    <n v="16700"/>
    <m/>
    <m/>
    <n v="3000"/>
    <x v="73"/>
    <x v="1"/>
    <m/>
    <m/>
    <m/>
    <m/>
    <n v="2898"/>
    <m/>
    <m/>
    <m/>
    <m/>
    <m/>
    <m/>
    <m/>
    <m/>
    <m/>
    <m/>
    <m/>
    <m/>
    <s v="hygiene kits (value $1,770) and bedsheets (500 packets of 12 at a total value of $15,000) from PADRU as part of a joint ARC/Federation/Panamanian Red Cross operation. Steve McAndrew was deployed from PADRU to oversee the distributions"/>
  </r>
  <r>
    <m/>
    <n v="106"/>
    <x v="112"/>
    <d v="2003-09-01T00:00:00"/>
    <x v="8"/>
    <x v="2"/>
    <m/>
    <x v="8"/>
    <n v="11"/>
    <x v="4"/>
    <s v="Canada"/>
    <m/>
    <s v="Wildfire"/>
    <s v="Forest Fire"/>
    <s v="Fire"/>
    <m/>
    <x v="0"/>
    <m/>
    <m/>
    <m/>
    <x v="0"/>
    <x v="0"/>
    <m/>
    <m/>
    <m/>
    <m/>
    <m/>
    <m/>
    <m/>
    <m/>
    <n v="10000"/>
    <m/>
    <n v="10000"/>
    <m/>
    <m/>
    <m/>
    <m/>
    <m/>
    <m/>
    <m/>
    <m/>
    <m/>
    <m/>
    <m/>
    <m/>
    <m/>
    <m/>
    <m/>
    <m/>
    <m/>
    <m/>
    <m/>
    <m/>
    <n v="10000"/>
    <m/>
    <m/>
    <n v="250"/>
    <x v="6"/>
    <x v="2"/>
    <m/>
    <m/>
    <m/>
    <m/>
    <n v="2099"/>
    <m/>
    <m/>
    <m/>
    <m/>
    <m/>
    <m/>
    <m/>
    <m/>
    <m/>
    <m/>
    <m/>
    <m/>
    <s v="$10,000 donation from Citigroup for forest fires in British Columbia (Citigroup $ kept in 2099 per a prior agreement)"/>
  </r>
  <r>
    <m/>
    <n v="107"/>
    <x v="113"/>
    <d v="2003-10-01T00:00:00"/>
    <x v="8"/>
    <x v="3"/>
    <m/>
    <x v="8"/>
    <n v="12"/>
    <x v="2"/>
    <s v="Dominican Republic"/>
    <m/>
    <s v="Earthquake"/>
    <s v="Earthquake"/>
    <s v="Earthquake"/>
    <m/>
    <x v="0"/>
    <m/>
    <m/>
    <m/>
    <x v="0"/>
    <x v="0"/>
    <m/>
    <m/>
    <m/>
    <m/>
    <m/>
    <m/>
    <m/>
    <m/>
    <m/>
    <m/>
    <n v="0"/>
    <m/>
    <m/>
    <m/>
    <m/>
    <m/>
    <m/>
    <m/>
    <m/>
    <m/>
    <m/>
    <m/>
    <m/>
    <m/>
    <m/>
    <m/>
    <m/>
    <m/>
    <m/>
    <n v="25000"/>
    <m/>
    <n v="25000"/>
    <m/>
    <m/>
    <n v="100"/>
    <x v="8"/>
    <x v="1"/>
    <m/>
    <m/>
    <m/>
    <m/>
    <n v="2694"/>
    <m/>
    <m/>
    <m/>
    <m/>
    <m/>
    <m/>
    <m/>
    <m/>
    <m/>
    <m/>
    <m/>
    <s v="Puerto Plata"/>
    <s v="$25,000 from Verizon (AP is shared with November 2003 floods in Cibao / Montecristi)"/>
  </r>
  <r>
    <m/>
    <n v="108"/>
    <x v="114"/>
    <d v="2003-05-01T00:00:00"/>
    <x v="8"/>
    <x v="4"/>
    <m/>
    <x v="8"/>
    <n v="13"/>
    <x v="1"/>
    <s v="Algeria"/>
    <m/>
    <s v="Earthquake"/>
    <s v="Earthquake"/>
    <s v="Earthquake"/>
    <m/>
    <x v="0"/>
    <m/>
    <m/>
    <m/>
    <x v="0"/>
    <x v="0"/>
    <m/>
    <m/>
    <m/>
    <m/>
    <m/>
    <m/>
    <m/>
    <m/>
    <m/>
    <m/>
    <n v="0"/>
    <m/>
    <m/>
    <m/>
    <n v="10000"/>
    <m/>
    <n v="10000"/>
    <m/>
    <m/>
    <m/>
    <m/>
    <m/>
    <m/>
    <m/>
    <m/>
    <m/>
    <m/>
    <m/>
    <m/>
    <n v="37200"/>
    <n v="28670"/>
    <n v="65870"/>
    <m/>
    <m/>
    <n v="50000"/>
    <x v="74"/>
    <x v="1"/>
    <m/>
    <m/>
    <m/>
    <m/>
    <n v="2693"/>
    <m/>
    <m/>
    <m/>
    <m/>
    <m/>
    <m/>
    <m/>
    <m/>
    <m/>
    <m/>
    <m/>
    <s v="RESPONSE IN FY 04"/>
    <s v="hygiene kits ($3.72 each) ex Bulgaria; $8,470 for transport, $1,200 demurrage, $19,000 to remove washing powder in Greece"/>
  </r>
  <r>
    <m/>
    <n v="109"/>
    <x v="115"/>
    <d v="2003-08-01T00:00:00"/>
    <x v="8"/>
    <x v="5"/>
    <m/>
    <x v="8"/>
    <n v="14"/>
    <x v="1"/>
    <s v="Liberia"/>
    <m/>
    <s v="Conflict"/>
    <s v="Conflict"/>
    <s v="Conflict"/>
    <m/>
    <x v="0"/>
    <m/>
    <m/>
    <m/>
    <x v="0"/>
    <x v="0"/>
    <m/>
    <m/>
    <m/>
    <m/>
    <m/>
    <n v="0"/>
    <n v="35027"/>
    <m/>
    <m/>
    <m/>
    <n v="35027"/>
    <m/>
    <m/>
    <m/>
    <m/>
    <m/>
    <m/>
    <m/>
    <m/>
    <m/>
    <m/>
    <m/>
    <m/>
    <m/>
    <m/>
    <m/>
    <m/>
    <m/>
    <m/>
    <m/>
    <m/>
    <n v="35027"/>
    <m/>
    <m/>
    <n v="2500"/>
    <x v="75"/>
    <x v="1"/>
    <m/>
    <m/>
    <m/>
    <m/>
    <n v="2631"/>
    <m/>
    <m/>
    <m/>
    <m/>
    <m/>
    <m/>
    <m/>
    <m/>
    <m/>
    <m/>
    <m/>
    <m/>
    <s v="Funds from Region's budget previously sent to Geneva re-allocated  - signed PMN returned to IDRU in October 2003"/>
  </r>
  <r>
    <m/>
    <n v="110"/>
    <x v="6"/>
    <d v="2003-09-01T00:00:00"/>
    <x v="8"/>
    <x v="6"/>
    <m/>
    <x v="8"/>
    <n v="15"/>
    <x v="2"/>
    <s v="Mexico"/>
    <m/>
    <s v="Floods"/>
    <s v="General Floods"/>
    <s v="General Floods"/>
    <m/>
    <x v="0"/>
    <m/>
    <m/>
    <m/>
    <x v="0"/>
    <x v="0"/>
    <m/>
    <m/>
    <m/>
    <m/>
    <m/>
    <m/>
    <m/>
    <m/>
    <n v="10500"/>
    <m/>
    <n v="10500"/>
    <n v="2"/>
    <m/>
    <m/>
    <m/>
    <m/>
    <m/>
    <m/>
    <m/>
    <m/>
    <m/>
    <m/>
    <m/>
    <m/>
    <m/>
    <m/>
    <m/>
    <m/>
    <m/>
    <m/>
    <m/>
    <n v="10500"/>
    <m/>
    <m/>
    <n v="3000"/>
    <x v="76"/>
    <x v="1"/>
    <m/>
    <m/>
    <m/>
    <m/>
    <n v="2688"/>
    <m/>
    <m/>
    <m/>
    <m/>
    <m/>
    <m/>
    <m/>
    <m/>
    <m/>
    <m/>
    <m/>
    <m/>
    <s v="Hurricane Kenna funds ($11,636.16 minus 11.15%); Christine Strater and Nate Cooper deployed 5 October 2003"/>
  </r>
  <r>
    <m/>
    <n v="111"/>
    <x v="95"/>
    <d v="2003-10-01T00:00:00"/>
    <x v="8"/>
    <x v="7"/>
    <m/>
    <x v="8"/>
    <n v="16"/>
    <x v="3"/>
    <s v="South Korea"/>
    <m/>
    <s v="Storm"/>
    <s v="Tropical Cyclone"/>
    <s v="Typhoon"/>
    <m/>
    <x v="0"/>
    <m/>
    <m/>
    <m/>
    <x v="0"/>
    <x v="0"/>
    <m/>
    <m/>
    <m/>
    <m/>
    <m/>
    <m/>
    <m/>
    <m/>
    <n v="10000"/>
    <m/>
    <n v="10000"/>
    <m/>
    <m/>
    <m/>
    <m/>
    <m/>
    <m/>
    <m/>
    <m/>
    <m/>
    <m/>
    <m/>
    <m/>
    <m/>
    <m/>
    <m/>
    <m/>
    <m/>
    <m/>
    <m/>
    <m/>
    <n v="10000"/>
    <m/>
    <m/>
    <m/>
    <x v="6"/>
    <x v="1"/>
    <m/>
    <m/>
    <m/>
    <m/>
    <n v="2647"/>
    <m/>
    <m/>
    <m/>
    <m/>
    <m/>
    <m/>
    <m/>
    <m/>
    <m/>
    <m/>
    <m/>
    <s v="Maemi"/>
    <s v="Alcoa funds for re-stocking KNRC warehouse"/>
  </r>
  <r>
    <m/>
    <n v="112"/>
    <x v="116"/>
    <d v="2003-11-01T00:00:00"/>
    <x v="8"/>
    <x v="8"/>
    <m/>
    <x v="8"/>
    <n v="17"/>
    <x v="2"/>
    <s v="Dominican Republic"/>
    <m/>
    <s v="Floods"/>
    <s v="General Floods"/>
    <s v="General Floods"/>
    <m/>
    <x v="0"/>
    <m/>
    <m/>
    <m/>
    <x v="0"/>
    <x v="0"/>
    <m/>
    <m/>
    <m/>
    <m/>
    <m/>
    <m/>
    <m/>
    <m/>
    <m/>
    <m/>
    <n v="0"/>
    <n v="3"/>
    <s v="Relief ERU"/>
    <m/>
    <m/>
    <m/>
    <m/>
    <m/>
    <m/>
    <m/>
    <m/>
    <m/>
    <m/>
    <m/>
    <m/>
    <m/>
    <m/>
    <m/>
    <m/>
    <n v="50000"/>
    <m/>
    <n v="50000"/>
    <m/>
    <m/>
    <n v="500"/>
    <x v="16"/>
    <x v="1"/>
    <m/>
    <m/>
    <m/>
    <m/>
    <n v="2618"/>
    <m/>
    <m/>
    <m/>
    <m/>
    <m/>
    <m/>
    <m/>
    <m/>
    <m/>
    <m/>
    <m/>
    <s v="Cibao / Montecristi"/>
    <s v="$50,000 from OFDA; Greenhalgh, McAndrew and Chapman deployed in November 2003 on Relief ERU Pilot"/>
  </r>
  <r>
    <m/>
    <n v="112"/>
    <x v="116"/>
    <d v="2003-11-01T00:00:00"/>
    <x v="8"/>
    <x v="8"/>
    <m/>
    <x v="8"/>
    <n v="17"/>
    <x v="2"/>
    <s v="Dominican Republic"/>
    <m/>
    <s v="Floods"/>
    <s v="General Floods"/>
    <s v="General Floods"/>
    <m/>
    <x v="0"/>
    <m/>
    <m/>
    <m/>
    <x v="0"/>
    <x v="0"/>
    <m/>
    <m/>
    <m/>
    <m/>
    <m/>
    <m/>
    <m/>
    <m/>
    <m/>
    <m/>
    <n v="0"/>
    <m/>
    <m/>
    <m/>
    <m/>
    <m/>
    <m/>
    <m/>
    <m/>
    <m/>
    <m/>
    <m/>
    <m/>
    <m/>
    <m/>
    <m/>
    <m/>
    <m/>
    <m/>
    <m/>
    <m/>
    <n v="0"/>
    <m/>
    <m/>
    <m/>
    <x v="7"/>
    <x v="1"/>
    <m/>
    <m/>
    <m/>
    <m/>
    <n v="2694"/>
    <m/>
    <m/>
    <m/>
    <m/>
    <m/>
    <m/>
    <m/>
    <m/>
    <m/>
    <m/>
    <m/>
    <s v="Cibao / Montecristi"/>
    <s v="(AP is shared with October 2003 Earthquake in Puerto Plata)"/>
  </r>
  <r>
    <m/>
    <n v="113"/>
    <x v="117"/>
    <d v="2003-12-01T00:00:00"/>
    <x v="8"/>
    <x v="9"/>
    <m/>
    <x v="8"/>
    <n v="18"/>
    <x v="3"/>
    <s v="Iran"/>
    <m/>
    <s v="Earthquake"/>
    <s v="Earthquake"/>
    <s v="Earthquake"/>
    <m/>
    <x v="0"/>
    <m/>
    <m/>
    <m/>
    <x v="0"/>
    <x v="0"/>
    <m/>
    <m/>
    <m/>
    <m/>
    <m/>
    <n v="1"/>
    <n v="200000"/>
    <m/>
    <m/>
    <m/>
    <n v="200000"/>
    <n v="6"/>
    <s v="Relief ERU"/>
    <m/>
    <n v="115560"/>
    <m/>
    <n v="45000"/>
    <n v="27000"/>
    <m/>
    <m/>
    <n v="490"/>
    <m/>
    <m/>
    <m/>
    <m/>
    <m/>
    <m/>
    <m/>
    <m/>
    <n v="825763"/>
    <n v="150038.97999999998"/>
    <n v="1175801.98"/>
    <m/>
    <m/>
    <n v="225000"/>
    <x v="77"/>
    <x v="1"/>
    <m/>
    <m/>
    <m/>
    <m/>
    <n v="2019"/>
    <m/>
    <m/>
    <m/>
    <m/>
    <m/>
    <m/>
    <m/>
    <m/>
    <m/>
    <m/>
    <m/>
    <s v="Bam"/>
    <s v="Relief ERU deployed: McAndrew (TL), Stephenson, Stops, Parry, Strater &amp; Swadzka.  $200,000 PMN sent to Federation; Commodities provide: 10,000 towels and 20,000 nail clippers"/>
  </r>
  <r>
    <m/>
    <n v="113"/>
    <x v="117"/>
    <d v="2003-12-01T00:00:00"/>
    <x v="8"/>
    <x v="9"/>
    <m/>
    <x v="8"/>
    <n v="18"/>
    <x v="3"/>
    <s v="Iran"/>
    <m/>
    <s v="Earthquake"/>
    <s v="Earthquake"/>
    <s v="Earthquake"/>
    <m/>
    <x v="0"/>
    <m/>
    <m/>
    <m/>
    <x v="0"/>
    <x v="0"/>
    <m/>
    <m/>
    <m/>
    <m/>
    <m/>
    <m/>
    <m/>
    <m/>
    <m/>
    <m/>
    <n v="0"/>
    <m/>
    <m/>
    <m/>
    <n v="11"/>
    <m/>
    <m/>
    <m/>
    <m/>
    <m/>
    <n v="11"/>
    <m/>
    <m/>
    <m/>
    <m/>
    <m/>
    <m/>
    <m/>
    <m/>
    <n v="19975"/>
    <m/>
    <n v="19975"/>
    <m/>
    <m/>
    <n v="440"/>
    <x v="78"/>
    <x v="1"/>
    <m/>
    <m/>
    <m/>
    <m/>
    <n v="2616"/>
    <m/>
    <m/>
    <m/>
    <m/>
    <m/>
    <m/>
    <m/>
    <m/>
    <m/>
    <m/>
    <m/>
    <s v="Bam"/>
    <s v="Grant from Reuters / AlertNet"/>
  </r>
  <r>
    <m/>
    <n v="113"/>
    <x v="117"/>
    <d v="2003-12-01T00:00:00"/>
    <x v="8"/>
    <x v="9"/>
    <m/>
    <x v="8"/>
    <n v="18"/>
    <x v="3"/>
    <s v="Iran"/>
    <m/>
    <s v="Earthquake"/>
    <s v="Earthquake"/>
    <s v="Earthquake"/>
    <m/>
    <x v="0"/>
    <m/>
    <m/>
    <m/>
    <x v="0"/>
    <x v="0"/>
    <m/>
    <m/>
    <m/>
    <m/>
    <m/>
    <m/>
    <m/>
    <m/>
    <m/>
    <m/>
    <n v="0"/>
    <m/>
    <m/>
    <m/>
    <m/>
    <m/>
    <m/>
    <m/>
    <m/>
    <m/>
    <m/>
    <m/>
    <m/>
    <m/>
    <m/>
    <m/>
    <m/>
    <m/>
    <m/>
    <n v="60000"/>
    <m/>
    <n v="60000"/>
    <m/>
    <m/>
    <m/>
    <x v="45"/>
    <x v="1"/>
    <m/>
    <m/>
    <m/>
    <m/>
    <n v="2793"/>
    <m/>
    <m/>
    <m/>
    <m/>
    <m/>
    <m/>
    <m/>
    <m/>
    <m/>
    <m/>
    <m/>
    <s v="Bam"/>
    <s v="Grant from Semnani Foundation."/>
  </r>
  <r>
    <m/>
    <n v="114"/>
    <x v="118"/>
    <d v="2003-12-01T00:00:00"/>
    <x v="8"/>
    <x v="10"/>
    <m/>
    <x v="8"/>
    <n v="19"/>
    <x v="2"/>
    <s v="Panama"/>
    <m/>
    <s v="Earthquake"/>
    <s v="Earthquake"/>
    <s v="Earthquake"/>
    <m/>
    <x v="0"/>
    <m/>
    <m/>
    <m/>
    <x v="0"/>
    <x v="0"/>
    <m/>
    <m/>
    <m/>
    <m/>
    <m/>
    <m/>
    <m/>
    <m/>
    <m/>
    <m/>
    <n v="0"/>
    <m/>
    <m/>
    <m/>
    <n v="2300"/>
    <m/>
    <m/>
    <n v="1000"/>
    <m/>
    <m/>
    <m/>
    <m/>
    <n v="1100"/>
    <m/>
    <m/>
    <m/>
    <m/>
    <m/>
    <m/>
    <n v="6178"/>
    <m/>
    <n v="6178"/>
    <m/>
    <m/>
    <n v="550"/>
    <x v="79"/>
    <x v="1"/>
    <m/>
    <m/>
    <m/>
    <m/>
    <n v="2898"/>
    <m/>
    <m/>
    <m/>
    <m/>
    <m/>
    <m/>
    <m/>
    <m/>
    <m/>
    <m/>
    <m/>
    <m/>
    <s v="Supplies to Panama RC"/>
  </r>
  <r>
    <m/>
    <n v="115"/>
    <x v="119"/>
    <d v="2004-04-01T00:00:00"/>
    <x v="8"/>
    <x v="11"/>
    <m/>
    <x v="9"/>
    <n v="1"/>
    <x v="3"/>
    <s v="DPRK/North Korea"/>
    <m/>
    <s v="Transport"/>
    <s v="Rail"/>
    <s v="Explosion"/>
    <m/>
    <x v="0"/>
    <m/>
    <m/>
    <m/>
    <x v="0"/>
    <x v="0"/>
    <m/>
    <m/>
    <m/>
    <m/>
    <m/>
    <n v="1"/>
    <n v="110000"/>
    <m/>
    <m/>
    <m/>
    <n v="110000"/>
    <m/>
    <m/>
    <m/>
    <m/>
    <m/>
    <m/>
    <m/>
    <m/>
    <m/>
    <m/>
    <m/>
    <m/>
    <m/>
    <m/>
    <m/>
    <m/>
    <m/>
    <m/>
    <m/>
    <m/>
    <n v="110000"/>
    <m/>
    <m/>
    <n v="3300"/>
    <x v="80"/>
    <x v="1"/>
    <m/>
    <m/>
    <m/>
    <m/>
    <s v="2861 / 2790"/>
    <m/>
    <m/>
    <m/>
    <m/>
    <m/>
    <m/>
    <m/>
    <m/>
    <m/>
    <m/>
    <m/>
    <s v="Ryongchon"/>
    <s v="CASH: $10,000  from 2861 funds from Asia Region ; $100,000 from OFDA / 2790;"/>
  </r>
  <r>
    <m/>
    <n v="116"/>
    <x v="116"/>
    <d v="2004-05-01T00:00:00"/>
    <x v="8"/>
    <x v="12"/>
    <m/>
    <x v="9"/>
    <n v="2"/>
    <x v="2"/>
    <s v="Dominican Republic"/>
    <m/>
    <s v="Floods"/>
    <s v="General Floods"/>
    <s v="General Floods"/>
    <m/>
    <x v="0"/>
    <m/>
    <m/>
    <m/>
    <x v="0"/>
    <x v="0"/>
    <m/>
    <m/>
    <m/>
    <m/>
    <m/>
    <m/>
    <m/>
    <m/>
    <m/>
    <m/>
    <n v="0"/>
    <n v="1"/>
    <m/>
    <m/>
    <n v="10930"/>
    <m/>
    <m/>
    <m/>
    <n v="2350"/>
    <m/>
    <n v="150"/>
    <m/>
    <n v="5000"/>
    <m/>
    <m/>
    <n v="1000"/>
    <m/>
    <m/>
    <m/>
    <n v="205334.81245"/>
    <n v="14800"/>
    <n v="220134.81245"/>
    <m/>
    <m/>
    <n v="2500"/>
    <x v="81"/>
    <x v="1"/>
    <m/>
    <m/>
    <m/>
    <m/>
    <n v="2694"/>
    <m/>
    <m/>
    <m/>
    <m/>
    <m/>
    <m/>
    <m/>
    <m/>
    <m/>
    <m/>
    <m/>
    <s v="Jimani &amp; Duarte"/>
    <s v="Nate Cooper deployed to DR with PADRU; stocks deployed ($74,526.50) from PADRU includes 2,430 school kits; $89,000 worth of generators"/>
  </r>
  <r>
    <m/>
    <n v="116"/>
    <x v="120"/>
    <d v="2004-05-01T00:00:00"/>
    <x v="8"/>
    <x v="12"/>
    <m/>
    <x v="9"/>
    <n v="2"/>
    <x v="2"/>
    <s v="Haiti"/>
    <m/>
    <s v="Floods"/>
    <s v="General Floods"/>
    <s v="General Floods"/>
    <m/>
    <x v="0"/>
    <m/>
    <m/>
    <m/>
    <x v="0"/>
    <x v="0"/>
    <m/>
    <m/>
    <m/>
    <m/>
    <m/>
    <n v="0"/>
    <n v="20007"/>
    <m/>
    <m/>
    <m/>
    <n v="20007"/>
    <m/>
    <m/>
    <m/>
    <m/>
    <m/>
    <m/>
    <m/>
    <m/>
    <m/>
    <m/>
    <m/>
    <m/>
    <m/>
    <m/>
    <m/>
    <n v="2"/>
    <m/>
    <m/>
    <n v="16885.856"/>
    <n v="7665"/>
    <n v="44557.856"/>
    <m/>
    <m/>
    <n v="3000"/>
    <x v="82"/>
    <x v="1"/>
    <m/>
    <m/>
    <m/>
    <m/>
    <n v="2614"/>
    <m/>
    <m/>
    <m/>
    <m/>
    <m/>
    <m/>
    <m/>
    <m/>
    <m/>
    <m/>
    <m/>
    <s v="Eastern"/>
    <s v="PMN 0407052 ($18,000 + PSR) dated 7 July 2004; rental of two vehicles to be used in Haiti for 3 months each"/>
  </r>
  <r>
    <m/>
    <n v="116"/>
    <x v="121"/>
    <d v="2004-05-01T00:00:00"/>
    <x v="8"/>
    <x v="13"/>
    <m/>
    <x v="9"/>
    <n v="3"/>
    <x v="1"/>
    <s v="Malawi"/>
    <m/>
    <s v="Epidemic"/>
    <s v="Viral"/>
    <s v="Viral"/>
    <m/>
    <x v="0"/>
    <m/>
    <m/>
    <m/>
    <x v="0"/>
    <x v="0"/>
    <m/>
    <m/>
    <m/>
    <m/>
    <m/>
    <m/>
    <m/>
    <m/>
    <m/>
    <m/>
    <n v="0"/>
    <m/>
    <m/>
    <m/>
    <n v="12380"/>
    <m/>
    <m/>
    <m/>
    <m/>
    <m/>
    <m/>
    <m/>
    <n v="12360"/>
    <m/>
    <m/>
    <n v="20"/>
    <m/>
    <m/>
    <m/>
    <n v="61220"/>
    <m/>
    <n v="61220"/>
    <m/>
    <m/>
    <n v="6180"/>
    <x v="83"/>
    <x v="1"/>
    <m/>
    <m/>
    <m/>
    <m/>
    <n v="2898"/>
    <m/>
    <m/>
    <m/>
    <m/>
    <m/>
    <m/>
    <m/>
    <m/>
    <m/>
    <m/>
    <m/>
    <s v="HIV/AIDS - Home Care"/>
    <s v="ex London"/>
  </r>
  <r>
    <m/>
    <n v="116"/>
    <x v="116"/>
    <d v="2004-07-01T00:00:00"/>
    <x v="8"/>
    <x v="12"/>
    <m/>
    <x v="9"/>
    <n v="2"/>
    <x v="2"/>
    <s v="Dominican Republic"/>
    <m/>
    <s v="Floods"/>
    <s v="General Floods"/>
    <s v="General Floods"/>
    <m/>
    <x v="0"/>
    <m/>
    <m/>
    <m/>
    <x v="0"/>
    <x v="0"/>
    <m/>
    <m/>
    <m/>
    <m/>
    <m/>
    <m/>
    <m/>
    <m/>
    <m/>
    <m/>
    <n v="0"/>
    <n v="1"/>
    <m/>
    <m/>
    <m/>
    <m/>
    <m/>
    <m/>
    <m/>
    <m/>
    <m/>
    <m/>
    <m/>
    <m/>
    <m/>
    <m/>
    <m/>
    <m/>
    <m/>
    <n v="110266.26"/>
    <m/>
    <n v="110266.26"/>
    <m/>
    <m/>
    <n v="2500"/>
    <x v="84"/>
    <x v="1"/>
    <m/>
    <m/>
    <m/>
    <m/>
    <n v="2788"/>
    <m/>
    <m/>
    <m/>
    <m/>
    <m/>
    <m/>
    <m/>
    <m/>
    <m/>
    <m/>
    <m/>
    <s v="Jimani &amp; Duarte"/>
    <s v="Ricardo Caivano - Gates Foundation funds ($233,780 - 11.15% = $207,713.53 available - - 60% for DR)"/>
  </r>
  <r>
    <m/>
    <n v="116"/>
    <x v="120"/>
    <d v="2004-07-01T00:00:00"/>
    <x v="8"/>
    <x v="12"/>
    <m/>
    <x v="9"/>
    <n v="2"/>
    <x v="2"/>
    <s v="Haiti"/>
    <m/>
    <s v="Floods"/>
    <s v="General Floods"/>
    <s v="General Floods"/>
    <m/>
    <x v="0"/>
    <m/>
    <m/>
    <m/>
    <x v="0"/>
    <x v="0"/>
    <m/>
    <m/>
    <m/>
    <m/>
    <m/>
    <m/>
    <m/>
    <m/>
    <m/>
    <m/>
    <n v="0"/>
    <m/>
    <m/>
    <m/>
    <m/>
    <m/>
    <m/>
    <m/>
    <m/>
    <m/>
    <m/>
    <m/>
    <m/>
    <m/>
    <m/>
    <m/>
    <m/>
    <m/>
    <m/>
    <n v="97442.48"/>
    <m/>
    <n v="97442.48"/>
    <m/>
    <m/>
    <n v="3000"/>
    <x v="85"/>
    <x v="1"/>
    <m/>
    <m/>
    <m/>
    <m/>
    <n v="2788"/>
    <m/>
    <m/>
    <m/>
    <m/>
    <m/>
    <m/>
    <m/>
    <m/>
    <m/>
    <m/>
    <m/>
    <s v="Eastern"/>
    <s v="Ricardo Caivano - Gates Foundation funds ($233,780 - 11.15% = $207,713.53 available - - 40% for Haiti)"/>
  </r>
  <r>
    <m/>
    <n v="117"/>
    <x v="122"/>
    <d v="2004-05-01T00:00:00"/>
    <x v="8"/>
    <x v="14"/>
    <m/>
    <x v="9"/>
    <n v="4"/>
    <x v="2"/>
    <s v="Jamaica"/>
    <m/>
    <s v="Conflict"/>
    <s v="Conflict"/>
    <s v="Conflict"/>
    <m/>
    <x v="0"/>
    <m/>
    <m/>
    <m/>
    <x v="0"/>
    <x v="0"/>
    <m/>
    <m/>
    <m/>
    <m/>
    <m/>
    <m/>
    <m/>
    <m/>
    <m/>
    <m/>
    <n v="0"/>
    <n v="0"/>
    <m/>
    <m/>
    <n v="1000"/>
    <m/>
    <n v="500"/>
    <m/>
    <m/>
    <m/>
    <m/>
    <m/>
    <n v="500"/>
    <m/>
    <m/>
    <m/>
    <m/>
    <m/>
    <m/>
    <n v="3000"/>
    <m/>
    <n v="3000"/>
    <m/>
    <m/>
    <n v="500"/>
    <x v="86"/>
    <x v="1"/>
    <m/>
    <m/>
    <m/>
    <m/>
    <n v="2898"/>
    <m/>
    <m/>
    <m/>
    <m/>
    <m/>
    <m/>
    <m/>
    <m/>
    <m/>
    <m/>
    <m/>
    <s v="Haiti - Refugee"/>
    <s v="PADRU stocks"/>
  </r>
  <r>
    <m/>
    <n v="119"/>
    <x v="123"/>
    <d v="2004-08-01T00:00:00"/>
    <x v="9"/>
    <x v="1"/>
    <m/>
    <x v="9"/>
    <n v="5"/>
    <x v="2"/>
    <s v="Paraguay"/>
    <m/>
    <s v="Miscellaneous"/>
    <s v="Fire"/>
    <s v="Urban Fire"/>
    <m/>
    <x v="0"/>
    <m/>
    <m/>
    <m/>
    <x v="0"/>
    <x v="0"/>
    <m/>
    <m/>
    <m/>
    <m/>
    <m/>
    <m/>
    <m/>
    <m/>
    <n v="18675"/>
    <m/>
    <n v="18675"/>
    <m/>
    <m/>
    <m/>
    <m/>
    <m/>
    <m/>
    <m/>
    <m/>
    <m/>
    <m/>
    <m/>
    <m/>
    <m/>
    <m/>
    <m/>
    <m/>
    <m/>
    <m/>
    <m/>
    <m/>
    <n v="18675"/>
    <m/>
    <m/>
    <m/>
    <x v="87"/>
    <x v="1"/>
    <m/>
    <m/>
    <m/>
    <m/>
    <n v="2816"/>
    <m/>
    <m/>
    <m/>
    <m/>
    <m/>
    <m/>
    <m/>
    <m/>
    <m/>
    <m/>
    <m/>
    <s v="Asuncion Supermarket"/>
    <s v="World Bank Employees; money arrived Oct 2004"/>
  </r>
  <r>
    <m/>
    <n v="120"/>
    <x v="124"/>
    <d v="2004-08-01T00:00:00"/>
    <x v="9"/>
    <x v="2"/>
    <m/>
    <x v="9"/>
    <n v="6"/>
    <x v="1"/>
    <s v="Chad"/>
    <m/>
    <s v="Conflict"/>
    <s v="Conflict"/>
    <s v="Conflict"/>
    <m/>
    <x v="0"/>
    <m/>
    <m/>
    <m/>
    <x v="0"/>
    <x v="0"/>
    <m/>
    <m/>
    <m/>
    <m/>
    <m/>
    <n v="1"/>
    <n v="100000"/>
    <m/>
    <m/>
    <m/>
    <n v="100000"/>
    <m/>
    <m/>
    <m/>
    <m/>
    <m/>
    <m/>
    <m/>
    <m/>
    <m/>
    <m/>
    <m/>
    <m/>
    <m/>
    <m/>
    <m/>
    <m/>
    <m/>
    <m/>
    <m/>
    <m/>
    <n v="100000"/>
    <m/>
    <m/>
    <m/>
    <x v="5"/>
    <x v="1"/>
    <m/>
    <m/>
    <m/>
    <m/>
    <n v="9306"/>
    <m/>
    <m/>
    <m/>
    <m/>
    <m/>
    <m/>
    <m/>
    <m/>
    <m/>
    <m/>
    <m/>
    <s v="Darfur / Sudan"/>
    <s v="PMN Contribution to support Fed Appeal - Chad: Sudanese Refugees (from LDS)"/>
  </r>
  <r>
    <m/>
    <n v="120"/>
    <x v="125"/>
    <d v="2004-08-01T00:00:00"/>
    <x v="9"/>
    <x v="2"/>
    <m/>
    <x v="9"/>
    <n v="6"/>
    <x v="1"/>
    <s v="Sudan"/>
    <m/>
    <s v="Conflict"/>
    <s v="Conflict"/>
    <s v="Conflict"/>
    <m/>
    <x v="0"/>
    <m/>
    <m/>
    <m/>
    <x v="0"/>
    <x v="0"/>
    <m/>
    <m/>
    <m/>
    <m/>
    <m/>
    <m/>
    <m/>
    <n v="242000"/>
    <m/>
    <m/>
    <n v="242000"/>
    <n v="1"/>
    <m/>
    <m/>
    <m/>
    <m/>
    <m/>
    <m/>
    <m/>
    <m/>
    <m/>
    <m/>
    <m/>
    <m/>
    <m/>
    <m/>
    <m/>
    <m/>
    <m/>
    <m/>
    <n v="5400"/>
    <n v="247400"/>
    <m/>
    <m/>
    <m/>
    <x v="88"/>
    <x v="1"/>
    <m/>
    <m/>
    <m/>
    <m/>
    <n v="2802"/>
    <m/>
    <m/>
    <m/>
    <m/>
    <m/>
    <m/>
    <m/>
    <m/>
    <m/>
    <m/>
    <m/>
    <s v="Darfur / Sudan"/>
    <s v="1. 2004 - L. Greenhalgh seconded to Fed, expenses $5400 2. 2006 - Pledge to ICRC Sudan Appeal, $242,000"/>
  </r>
  <r>
    <m/>
    <n v="121"/>
    <x v="19"/>
    <d v="2004-08-01T00:00:00"/>
    <x v="9"/>
    <x v="3"/>
    <m/>
    <x v="9"/>
    <n v="7"/>
    <x v="3"/>
    <s v="Bangladesh"/>
    <m/>
    <s v="Floods"/>
    <s v="General Floods"/>
    <s v="General Floods"/>
    <m/>
    <x v="0"/>
    <m/>
    <m/>
    <m/>
    <x v="0"/>
    <x v="0"/>
    <m/>
    <m/>
    <m/>
    <m/>
    <m/>
    <n v="0"/>
    <n v="35975"/>
    <m/>
    <m/>
    <m/>
    <n v="35975"/>
    <m/>
    <m/>
    <m/>
    <m/>
    <m/>
    <m/>
    <m/>
    <m/>
    <m/>
    <m/>
    <m/>
    <m/>
    <m/>
    <m/>
    <m/>
    <m/>
    <m/>
    <m/>
    <m/>
    <m/>
    <n v="35975"/>
    <m/>
    <m/>
    <m/>
    <x v="89"/>
    <x v="1"/>
    <m/>
    <m/>
    <m/>
    <m/>
    <n v="2017"/>
    <m/>
    <m/>
    <m/>
    <m/>
    <m/>
    <m/>
    <m/>
    <m/>
    <m/>
    <m/>
    <m/>
    <s v="Country-wide"/>
    <s v="PMN: $15,975 from Citigroup and $20,000 from AMEX"/>
  </r>
  <r>
    <m/>
    <n v="122"/>
    <x v="126"/>
    <d v="2004-08-01T00:00:00"/>
    <x v="9"/>
    <x v="4"/>
    <m/>
    <x v="9"/>
    <n v="8"/>
    <x v="3"/>
    <s v="Taiwan"/>
    <m/>
    <s v="Storm"/>
    <s v="Tropical Cyclone"/>
    <s v="Typhoon"/>
    <m/>
    <x v="0"/>
    <m/>
    <m/>
    <m/>
    <x v="0"/>
    <x v="0"/>
    <m/>
    <m/>
    <m/>
    <m/>
    <m/>
    <m/>
    <m/>
    <m/>
    <n v="59896.536212325685"/>
    <m/>
    <n v="59896.536212325685"/>
    <m/>
    <m/>
    <m/>
    <m/>
    <m/>
    <m/>
    <m/>
    <m/>
    <m/>
    <m/>
    <m/>
    <m/>
    <m/>
    <m/>
    <m/>
    <m/>
    <m/>
    <m/>
    <m/>
    <m/>
    <n v="59896.536212325685"/>
    <m/>
    <m/>
    <m/>
    <x v="90"/>
    <x v="1"/>
    <m/>
    <m/>
    <m/>
    <m/>
    <n v="2824"/>
    <m/>
    <m/>
    <m/>
    <m/>
    <m/>
    <m/>
    <m/>
    <m/>
    <m/>
    <m/>
    <m/>
    <s v="Mindulle"/>
    <s v="Pass through from Intel ($50,000), Synopsys Community Foundation ($10,000 - 11.15%) and San Gabriel Valley Chapter ($1,000 - 11.15%)"/>
  </r>
  <r>
    <m/>
    <n v="123"/>
    <x v="25"/>
    <d v="2004-09-01T00:00:00"/>
    <x v="9"/>
    <x v="5"/>
    <m/>
    <x v="9"/>
    <n v="9"/>
    <x v="2"/>
    <s v="Grenada"/>
    <m/>
    <s v="Storm"/>
    <s v="Tropical Cyclone"/>
    <s v="Hurricane"/>
    <m/>
    <x v="0"/>
    <m/>
    <m/>
    <m/>
    <x v="0"/>
    <x v="0"/>
    <m/>
    <m/>
    <m/>
    <m/>
    <m/>
    <n v="1"/>
    <n v="300000"/>
    <m/>
    <m/>
    <m/>
    <n v="300000"/>
    <n v="2"/>
    <m/>
    <m/>
    <n v="486"/>
    <m/>
    <m/>
    <m/>
    <n v="481"/>
    <m/>
    <n v="5"/>
    <m/>
    <m/>
    <m/>
    <m/>
    <m/>
    <m/>
    <m/>
    <m/>
    <n v="2452.19"/>
    <m/>
    <n v="302452.19"/>
    <m/>
    <m/>
    <m/>
    <x v="91"/>
    <x v="1"/>
    <m/>
    <m/>
    <m/>
    <m/>
    <n v="2024"/>
    <m/>
    <m/>
    <m/>
    <m/>
    <m/>
    <m/>
    <m/>
    <m/>
    <m/>
    <m/>
    <m/>
    <s v="Ivan"/>
    <s v="PMN - March 05; N. Cooper deployed to Grenada and Bahamas w/ PADRU; T. Reines deployed to Grenada.  5 Tents @ $299 each; Jerry Cans @ $1.99 each"/>
  </r>
  <r>
    <m/>
    <n v="123"/>
    <x v="73"/>
    <d v="2004-09-01T00:00:00"/>
    <x v="9"/>
    <x v="5"/>
    <m/>
    <x v="9"/>
    <n v="9"/>
    <x v="2"/>
    <s v="Jamaica"/>
    <m/>
    <s v="Storm"/>
    <s v="Tropical Cyclone"/>
    <s v="Hurricane"/>
    <m/>
    <x v="0"/>
    <m/>
    <m/>
    <m/>
    <x v="0"/>
    <x v="0"/>
    <m/>
    <m/>
    <m/>
    <m/>
    <m/>
    <n v="1"/>
    <n v="100000"/>
    <m/>
    <m/>
    <m/>
    <n v="100000"/>
    <n v="1"/>
    <m/>
    <m/>
    <n v="7314"/>
    <m/>
    <m/>
    <n v="5000"/>
    <n v="802"/>
    <m/>
    <m/>
    <m/>
    <m/>
    <m/>
    <m/>
    <n v="1105"/>
    <m/>
    <m/>
    <m/>
    <n v="31046.879999999997"/>
    <m/>
    <n v="131046.88"/>
    <m/>
    <m/>
    <m/>
    <x v="92"/>
    <x v="1"/>
    <m/>
    <m/>
    <m/>
    <m/>
    <n v="2024"/>
    <m/>
    <m/>
    <m/>
    <m/>
    <m/>
    <m/>
    <m/>
    <m/>
    <m/>
    <m/>
    <m/>
    <s v="Ivan"/>
    <s v="PMN - March 05; M. Parry deployed with FACT; Jerry Cans @ $1.99 each, blankets @ $3.03 each, 407 flashlights @ $1.20 each,  tarpaulins @ $12.50 each"/>
  </r>
  <r>
    <m/>
    <n v="123"/>
    <x v="127"/>
    <d v="2004-09-01T00:00:00"/>
    <x v="9"/>
    <x v="5"/>
    <m/>
    <x v="9"/>
    <n v="9"/>
    <x v="2"/>
    <s v="Cayman Islands"/>
    <m/>
    <s v="Storm"/>
    <s v="Tropical Cyclone"/>
    <s v="Hurricane"/>
    <m/>
    <x v="0"/>
    <m/>
    <m/>
    <m/>
    <x v="0"/>
    <x v="0"/>
    <m/>
    <m/>
    <m/>
    <m/>
    <m/>
    <n v="1"/>
    <n v="100000"/>
    <m/>
    <m/>
    <m/>
    <n v="100000"/>
    <n v="1"/>
    <m/>
    <m/>
    <n v="2346"/>
    <m/>
    <n v="1000"/>
    <m/>
    <n v="321"/>
    <m/>
    <n v="25"/>
    <m/>
    <m/>
    <m/>
    <m/>
    <m/>
    <m/>
    <m/>
    <m/>
    <n v="12853.79"/>
    <m/>
    <n v="112853.79000000001"/>
    <m/>
    <m/>
    <m/>
    <x v="93"/>
    <x v="1"/>
    <m/>
    <m/>
    <m/>
    <m/>
    <n v="2024"/>
    <m/>
    <m/>
    <m/>
    <m/>
    <m/>
    <m/>
    <m/>
    <m/>
    <m/>
    <m/>
    <m/>
    <s v="Ivan"/>
    <s v="PMN - March 05; tents @ $299 each; Jerrry Cans @$1.99 each; 1,000 flashlights @ $1.20 each; Hygiene Kits @ $3.54 loaned to British Red Cross"/>
  </r>
  <r>
    <m/>
    <n v="123"/>
    <x v="13"/>
    <d v="2004-09-01T00:00:00"/>
    <x v="9"/>
    <x v="5"/>
    <m/>
    <x v="9"/>
    <n v="9"/>
    <x v="2"/>
    <s v="Bahamas "/>
    <m/>
    <s v="Storm"/>
    <s v="Tropical Cyclone"/>
    <s v="Hurricane"/>
    <m/>
    <x v="0"/>
    <m/>
    <m/>
    <m/>
    <x v="0"/>
    <x v="0"/>
    <m/>
    <m/>
    <m/>
    <m/>
    <m/>
    <n v="1"/>
    <n v="100000"/>
    <m/>
    <m/>
    <m/>
    <n v="100000"/>
    <n v="4"/>
    <m/>
    <m/>
    <m/>
    <m/>
    <m/>
    <m/>
    <m/>
    <m/>
    <m/>
    <m/>
    <m/>
    <m/>
    <m/>
    <m/>
    <m/>
    <m/>
    <m/>
    <m/>
    <m/>
    <n v="100000"/>
    <m/>
    <m/>
    <m/>
    <x v="5"/>
    <x v="1"/>
    <m/>
    <m/>
    <m/>
    <m/>
    <n v="2024"/>
    <m/>
    <m/>
    <m/>
    <m/>
    <m/>
    <m/>
    <m/>
    <m/>
    <m/>
    <m/>
    <m/>
    <s v="Ivan"/>
    <s v="PMN - Jan 05; C. Garrison, S. Schaefer deployed 1 month; N. Cooper deployed several times"/>
  </r>
  <r>
    <m/>
    <n v="124"/>
    <x v="120"/>
    <d v="2004-09-01T00:00:00"/>
    <x v="9"/>
    <x v="6"/>
    <m/>
    <x v="9"/>
    <n v="10"/>
    <x v="2"/>
    <s v="Haiti"/>
    <m/>
    <s v="Floods"/>
    <s v="Storm Surge"/>
    <s v="Storm Surge"/>
    <m/>
    <x v="0"/>
    <m/>
    <m/>
    <m/>
    <x v="0"/>
    <x v="0"/>
    <m/>
    <m/>
    <m/>
    <m/>
    <m/>
    <n v="1"/>
    <n v="400000"/>
    <m/>
    <m/>
    <m/>
    <n v="400000"/>
    <n v="1"/>
    <m/>
    <m/>
    <n v="110"/>
    <m/>
    <m/>
    <m/>
    <m/>
    <m/>
    <m/>
    <m/>
    <m/>
    <m/>
    <m/>
    <n v="110"/>
    <m/>
    <m/>
    <m/>
    <n v="1375"/>
    <m/>
    <n v="401375"/>
    <m/>
    <m/>
    <m/>
    <x v="94"/>
    <x v="1"/>
    <m/>
    <m/>
    <m/>
    <m/>
    <n v="2614"/>
    <m/>
    <m/>
    <m/>
    <m/>
    <m/>
    <m/>
    <m/>
    <m/>
    <m/>
    <m/>
    <m/>
    <s v="TS Jeanne"/>
    <s v="Brigitte Gallis deployed; tarpaulins @ $12.50 each; PMN 400K out of AP 2024 Jan 05"/>
  </r>
  <r>
    <m/>
    <n v="125"/>
    <x v="7"/>
    <d v="2004-11-01T00:00:00"/>
    <x v="9"/>
    <x v="7"/>
    <m/>
    <x v="9"/>
    <n v="11"/>
    <x v="2"/>
    <s v="Costa Rica"/>
    <m/>
    <s v="Floods"/>
    <s v="General Floods"/>
    <s v="General Floods"/>
    <m/>
    <x v="0"/>
    <m/>
    <m/>
    <m/>
    <x v="0"/>
    <x v="0"/>
    <m/>
    <m/>
    <m/>
    <m/>
    <m/>
    <m/>
    <m/>
    <m/>
    <m/>
    <m/>
    <n v="0"/>
    <m/>
    <m/>
    <m/>
    <n v="750"/>
    <m/>
    <n v="750"/>
    <m/>
    <m/>
    <m/>
    <m/>
    <m/>
    <m/>
    <m/>
    <m/>
    <m/>
    <m/>
    <m/>
    <m/>
    <n v="2655"/>
    <m/>
    <n v="2655"/>
    <m/>
    <m/>
    <m/>
    <x v="95"/>
    <x v="1"/>
    <m/>
    <m/>
    <m/>
    <m/>
    <n v="2898"/>
    <m/>
    <m/>
    <m/>
    <m/>
    <m/>
    <m/>
    <m/>
    <m/>
    <m/>
    <m/>
    <m/>
    <m/>
    <s v="from PADRU @ $3.54 each"/>
  </r>
  <r>
    <m/>
    <n v="126"/>
    <x v="80"/>
    <d v="2004-12-01T00:00:00"/>
    <x v="9"/>
    <x v="8"/>
    <m/>
    <x v="9"/>
    <n v="12"/>
    <x v="2"/>
    <s v="Panama"/>
    <s v="Hydrometerological"/>
    <s v="Floods"/>
    <s v="General Floods"/>
    <s v="General Floods"/>
    <m/>
    <x v="0"/>
    <m/>
    <m/>
    <m/>
    <x v="0"/>
    <x v="0"/>
    <m/>
    <m/>
    <m/>
    <m/>
    <m/>
    <m/>
    <m/>
    <m/>
    <m/>
    <m/>
    <n v="0"/>
    <m/>
    <m/>
    <m/>
    <m/>
    <m/>
    <m/>
    <m/>
    <m/>
    <m/>
    <m/>
    <m/>
    <m/>
    <m/>
    <m/>
    <m/>
    <m/>
    <m/>
    <m/>
    <m/>
    <m/>
    <n v="0"/>
    <m/>
    <m/>
    <m/>
    <x v="7"/>
    <x v="1"/>
    <m/>
    <m/>
    <m/>
    <m/>
    <n v="2898"/>
    <m/>
    <m/>
    <m/>
    <m/>
    <m/>
    <m/>
    <m/>
    <m/>
    <m/>
    <m/>
    <m/>
    <s v="Darien"/>
    <s v="CANCELLED: 100 cases of laundry soap (5,000 bars = $7,200) and 5,000 bars of bath soap ($1,475)"/>
  </r>
  <r>
    <m/>
    <n v="127"/>
    <x v="128"/>
    <d v="2004-12-01T00:00:00"/>
    <x v="9"/>
    <x v="9"/>
    <m/>
    <x v="9"/>
    <n v="13"/>
    <x v="3"/>
    <s v="Sri Lanka"/>
    <s v="Hydrometerological"/>
    <s v="Tsunami"/>
    <s v="Tsunami"/>
    <s v="Tsunami"/>
    <m/>
    <x v="0"/>
    <m/>
    <m/>
    <m/>
    <x v="0"/>
    <x v="0"/>
    <m/>
    <m/>
    <m/>
    <m/>
    <m/>
    <n v="1"/>
    <n v="1837066.6666666667"/>
    <m/>
    <m/>
    <m/>
    <n v="1837066.6666666667"/>
    <n v="17"/>
    <s v="Relief ERU"/>
    <m/>
    <m/>
    <m/>
    <m/>
    <m/>
    <m/>
    <m/>
    <m/>
    <m/>
    <m/>
    <m/>
    <m/>
    <m/>
    <m/>
    <m/>
    <m/>
    <n v="2011842.8599999999"/>
    <n v="100000000"/>
    <n v="103848909.52666667"/>
    <m/>
    <m/>
    <m/>
    <x v="96"/>
    <x v="1"/>
    <m/>
    <m/>
    <m/>
    <m/>
    <n v="2695"/>
    <m/>
    <m/>
    <m/>
    <m/>
    <m/>
    <m/>
    <m/>
    <m/>
    <m/>
    <m/>
    <m/>
    <s v="S &amp; E Provinces"/>
    <s v="Parry, Ragan, Courville, Matthews, Caivano, Blake, Garrison, Szwadzka, Hurd, Chinn, Gaver, Brien, Reines, Thornton, Cummings, deployed with Relief ERU. Stephenson and Cooper deployed with British RC; Hagos deployed for 2 weeks in Feb 2005; L. Wilkinson (DP)   $5 million PMN sent to Federation for Appeal / 100K for emerg phase"/>
  </r>
  <r>
    <m/>
    <n v="127"/>
    <x v="129"/>
    <d v="2004-12-01T00:00:00"/>
    <x v="9"/>
    <x v="9"/>
    <m/>
    <x v="9"/>
    <n v="13"/>
    <x v="3"/>
    <s v="Indonesia"/>
    <s v="Hydrometerological"/>
    <s v="Tsunami"/>
    <s v="Tsunami"/>
    <s v="Tsunami"/>
    <m/>
    <x v="0"/>
    <m/>
    <m/>
    <m/>
    <x v="0"/>
    <x v="0"/>
    <m/>
    <m/>
    <m/>
    <m/>
    <m/>
    <n v="1"/>
    <n v="1666666.6666666667"/>
    <m/>
    <m/>
    <m/>
    <n v="1666666.6666666667"/>
    <n v="5"/>
    <s v="Relief ERU"/>
    <m/>
    <m/>
    <m/>
    <m/>
    <m/>
    <m/>
    <m/>
    <m/>
    <m/>
    <m/>
    <m/>
    <m/>
    <m/>
    <m/>
    <m/>
    <m/>
    <n v="2300506.4"/>
    <m/>
    <n v="3967173.0666666664"/>
    <m/>
    <m/>
    <m/>
    <x v="97"/>
    <x v="1"/>
    <m/>
    <m/>
    <m/>
    <m/>
    <n v="2695"/>
    <m/>
    <m/>
    <m/>
    <m/>
    <m/>
    <m/>
    <m/>
    <m/>
    <m/>
    <m/>
    <m/>
    <s v="N. Sumatra"/>
    <s v="O'Donnell, Michaud and Card deployed as w/ Relief ERU in Northern Sumatra; Greenhalgh on FACT.   $5 million PMN sent to Federation for Appeal; Caivano transferred from Sri Lanka to Indo; Karnes deployed as IRT (logs/ops) "/>
  </r>
  <r>
    <m/>
    <n v="127"/>
    <x v="130"/>
    <d v="2004-12-01T00:00:00"/>
    <x v="9"/>
    <x v="9"/>
    <m/>
    <x v="9"/>
    <n v="13"/>
    <x v="3"/>
    <s v="Maldives"/>
    <s v="Hydrometerological"/>
    <s v="Tsunami"/>
    <s v="Tsunami"/>
    <s v="Tsunami"/>
    <m/>
    <x v="0"/>
    <m/>
    <m/>
    <m/>
    <x v="0"/>
    <x v="0"/>
    <m/>
    <m/>
    <m/>
    <m/>
    <m/>
    <n v="1"/>
    <n v="1666666.6666666667"/>
    <m/>
    <m/>
    <m/>
    <n v="1666666.6666666667"/>
    <n v="2"/>
    <m/>
    <m/>
    <m/>
    <m/>
    <m/>
    <m/>
    <m/>
    <m/>
    <m/>
    <m/>
    <m/>
    <m/>
    <m/>
    <m/>
    <m/>
    <m/>
    <m/>
    <n v="155600"/>
    <m/>
    <n v="1822266.6666666667"/>
    <m/>
    <m/>
    <m/>
    <x v="98"/>
    <x v="1"/>
    <m/>
    <m/>
    <m/>
    <m/>
    <n v="2695"/>
    <m/>
    <m/>
    <m/>
    <m/>
    <m/>
    <m/>
    <m/>
    <m/>
    <m/>
    <m/>
    <m/>
    <s v="Country-wide"/>
    <s v="Hagos on FACT; $5 million PMN sent to Federation for Appeal; Gould wat/san IRT"/>
  </r>
  <r>
    <m/>
    <n v="128"/>
    <x v="131"/>
    <d v="2005-01-01T00:00:00"/>
    <x v="9"/>
    <x v="10"/>
    <m/>
    <x v="10"/>
    <n v="1"/>
    <x v="2"/>
    <s v="Guyana"/>
    <s v="Hydrometerological"/>
    <s v="Floods"/>
    <s v="General Floods"/>
    <s v="General Floods"/>
    <m/>
    <x v="0"/>
    <m/>
    <m/>
    <m/>
    <x v="0"/>
    <x v="0"/>
    <m/>
    <m/>
    <m/>
    <m/>
    <m/>
    <m/>
    <m/>
    <m/>
    <m/>
    <m/>
    <n v="0"/>
    <n v="2"/>
    <m/>
    <m/>
    <m/>
    <m/>
    <m/>
    <m/>
    <m/>
    <m/>
    <m/>
    <m/>
    <m/>
    <m/>
    <m/>
    <m/>
    <m/>
    <m/>
    <m/>
    <n v="10000"/>
    <n v="3100"/>
    <n v="13100"/>
    <m/>
    <m/>
    <m/>
    <x v="99"/>
    <x v="1"/>
    <m/>
    <m/>
    <m/>
    <m/>
    <n v="2774"/>
    <m/>
    <m/>
    <m/>
    <m/>
    <m/>
    <m/>
    <m/>
    <m/>
    <m/>
    <m/>
    <m/>
    <s v="Georgetown"/>
    <s v="Jim Gould and Jeffery Weiss deployed and purchased and shipped to the GRC $10,000 worth of individual and family First Aid Kits."/>
  </r>
  <r>
    <m/>
    <n v="129"/>
    <x v="132"/>
    <d v="2005-06-01T00:00:00"/>
    <x v="9"/>
    <x v="11"/>
    <m/>
    <x v="10"/>
    <n v="2"/>
    <x v="4"/>
    <s v="Canada"/>
    <s v="Hydrometerological"/>
    <s v="Floods"/>
    <s v="General Floods"/>
    <s v="General Floods"/>
    <m/>
    <x v="0"/>
    <m/>
    <m/>
    <m/>
    <x v="0"/>
    <x v="0"/>
    <m/>
    <m/>
    <m/>
    <m/>
    <m/>
    <m/>
    <m/>
    <m/>
    <n v="5000"/>
    <m/>
    <n v="5000"/>
    <m/>
    <m/>
    <m/>
    <m/>
    <m/>
    <m/>
    <m/>
    <m/>
    <m/>
    <m/>
    <m/>
    <m/>
    <m/>
    <m/>
    <m/>
    <m/>
    <m/>
    <m/>
    <m/>
    <m/>
    <n v="5000"/>
    <m/>
    <m/>
    <m/>
    <x v="46"/>
    <x v="1"/>
    <m/>
    <m/>
    <m/>
    <m/>
    <s v="N/A"/>
    <m/>
    <m/>
    <m/>
    <m/>
    <m/>
    <m/>
    <m/>
    <m/>
    <m/>
    <m/>
    <m/>
    <s v="Alberta Floods"/>
    <s v="Contribution from AmEx for the Alberta Floods (GID direct to CRC)."/>
  </r>
  <r>
    <m/>
    <n v="130"/>
    <x v="133"/>
    <d v="2005-07-01T00:00:00"/>
    <x v="10"/>
    <x v="1"/>
    <m/>
    <x v="10"/>
    <n v="3"/>
    <x v="2"/>
    <s v="Jamaica"/>
    <s v="Hydrometerological"/>
    <s v="Storm"/>
    <s v="Tropical Cyclone"/>
    <s v="Hurricane"/>
    <m/>
    <x v="1"/>
    <s v="IFRC"/>
    <n v="587000"/>
    <s v="05EA14"/>
    <x v="1"/>
    <x v="0"/>
    <m/>
    <m/>
    <n v="35000"/>
    <m/>
    <m/>
    <n v="0"/>
    <n v="25000"/>
    <m/>
    <m/>
    <m/>
    <n v="25000"/>
    <m/>
    <m/>
    <m/>
    <n v="25"/>
    <m/>
    <m/>
    <m/>
    <m/>
    <m/>
    <n v="25"/>
    <m/>
    <m/>
    <m/>
    <m/>
    <m/>
    <m/>
    <m/>
    <m/>
    <n v="7475"/>
    <m/>
    <n v="32475"/>
    <m/>
    <m/>
    <n v="100"/>
    <x v="100"/>
    <x v="1"/>
    <m/>
    <m/>
    <m/>
    <m/>
    <n v="2024"/>
    <m/>
    <m/>
    <m/>
    <m/>
    <m/>
    <m/>
    <m/>
    <m/>
    <m/>
    <m/>
    <m/>
    <s v="Dennis / Emily"/>
    <s v="Ex PADRU"/>
  </r>
  <r>
    <m/>
    <n v="130"/>
    <x v="134"/>
    <d v="2005-07-01T00:00:00"/>
    <x v="10"/>
    <x v="1"/>
    <m/>
    <x v="10"/>
    <n v="3"/>
    <x v="2"/>
    <s v="Grenada"/>
    <s v="Hydrometerological"/>
    <s v="Storm"/>
    <s v="Tropical Cyclone"/>
    <s v="Hurricane"/>
    <m/>
    <x v="0"/>
    <m/>
    <m/>
    <m/>
    <x v="0"/>
    <x v="0"/>
    <m/>
    <m/>
    <m/>
    <m/>
    <m/>
    <n v="1"/>
    <n v="75000"/>
    <m/>
    <m/>
    <m/>
    <n v="75000"/>
    <m/>
    <m/>
    <m/>
    <m/>
    <m/>
    <m/>
    <m/>
    <m/>
    <m/>
    <m/>
    <m/>
    <m/>
    <m/>
    <m/>
    <m/>
    <m/>
    <m/>
    <m/>
    <m/>
    <m/>
    <n v="75000"/>
    <m/>
    <m/>
    <m/>
    <x v="56"/>
    <x v="1"/>
    <m/>
    <m/>
    <m/>
    <m/>
    <n v="2024"/>
    <m/>
    <m/>
    <m/>
    <m/>
    <m/>
    <m/>
    <m/>
    <m/>
    <m/>
    <m/>
    <m/>
    <s v="Dennis / Emily"/>
    <s v="$200,000 PMN sent: $100,000 to be divided between Jamaica and Grenada at Federation's discretion."/>
  </r>
  <r>
    <m/>
    <n v="130"/>
    <x v="135"/>
    <d v="2005-07-01T00:00:00"/>
    <x v="10"/>
    <x v="1"/>
    <m/>
    <x v="10"/>
    <n v="3"/>
    <x v="2"/>
    <s v="Haiti"/>
    <s v="Hydrometerological"/>
    <s v="Storm"/>
    <s v="Tropical Cyclone"/>
    <s v="Hurricane"/>
    <m/>
    <x v="0"/>
    <m/>
    <m/>
    <m/>
    <x v="0"/>
    <x v="0"/>
    <m/>
    <m/>
    <m/>
    <m/>
    <m/>
    <n v="1"/>
    <n v="100000"/>
    <m/>
    <m/>
    <m/>
    <n v="100000"/>
    <m/>
    <m/>
    <m/>
    <n v="9995"/>
    <m/>
    <m/>
    <m/>
    <m/>
    <m/>
    <m/>
    <m/>
    <m/>
    <m/>
    <m/>
    <m/>
    <m/>
    <m/>
    <m/>
    <n v="8693"/>
    <m/>
    <n v="108693"/>
    <m/>
    <m/>
    <m/>
    <x v="101"/>
    <x v="1"/>
    <m/>
    <m/>
    <m/>
    <m/>
    <n v="2614"/>
    <m/>
    <m/>
    <m/>
    <m/>
    <m/>
    <m/>
    <m/>
    <m/>
    <m/>
    <m/>
    <m/>
    <s v="Dennis / Emily"/>
    <s v="4,995 pcs laundry soap &amp; 5,000 pcs bath soap sent from PADRU; $200,000 PMN sent with $100,000 for Haiti"/>
  </r>
  <r>
    <m/>
    <n v="131"/>
    <x v="136"/>
    <d v="2005-07-01T00:00:00"/>
    <x v="10"/>
    <x v="2"/>
    <m/>
    <x v="10"/>
    <n v="4"/>
    <x v="1"/>
    <s v="Niger"/>
    <s v="Human Related"/>
    <s v="Food Insecurity"/>
    <s v="Food Insecurity"/>
    <s v="Food Insecurity"/>
    <m/>
    <x v="1"/>
    <s v="IFRC"/>
    <n v="14211607"/>
    <s v="05EA015"/>
    <x v="2"/>
    <x v="0"/>
    <m/>
    <m/>
    <n v="222000"/>
    <m/>
    <m/>
    <m/>
    <m/>
    <m/>
    <m/>
    <m/>
    <n v="0"/>
    <n v="3"/>
    <m/>
    <m/>
    <m/>
    <m/>
    <m/>
    <m/>
    <m/>
    <m/>
    <m/>
    <m/>
    <m/>
    <m/>
    <m/>
    <m/>
    <m/>
    <m/>
    <m/>
    <m/>
    <n v="36200"/>
    <n v="36200"/>
    <m/>
    <m/>
    <m/>
    <x v="102"/>
    <x v="1"/>
    <m/>
    <m/>
    <m/>
    <m/>
    <n v="2949"/>
    <m/>
    <m/>
    <m/>
    <m/>
    <m/>
    <m/>
    <m/>
    <m/>
    <m/>
    <m/>
    <m/>
    <s v="Sahel"/>
    <s v="Paying for secondments of Langdon Greenhalgh, Brigitte Gaillis and Tim Cummings to IFRC"/>
  </r>
  <r>
    <m/>
    <n v="132"/>
    <x v="137"/>
    <d v="2005-08-01T00:00:00"/>
    <x v="10"/>
    <x v="3"/>
    <m/>
    <x v="10"/>
    <n v="5"/>
    <x v="4"/>
    <s v="US"/>
    <s v="Hydrometerological"/>
    <s v="Tropical Storm"/>
    <s v="Tropical Cyclone"/>
    <s v="Hurricane"/>
    <m/>
    <x v="0"/>
    <m/>
    <m/>
    <m/>
    <x v="0"/>
    <x v="0"/>
    <m/>
    <m/>
    <m/>
    <m/>
    <m/>
    <m/>
    <m/>
    <m/>
    <m/>
    <m/>
    <n v="0"/>
    <n v="3"/>
    <m/>
    <m/>
    <m/>
    <m/>
    <m/>
    <m/>
    <m/>
    <m/>
    <m/>
    <m/>
    <m/>
    <m/>
    <m/>
    <m/>
    <m/>
    <m/>
    <m/>
    <m/>
    <m/>
    <n v="0"/>
    <m/>
    <m/>
    <m/>
    <x v="7"/>
    <x v="1"/>
    <m/>
    <m/>
    <m/>
    <m/>
    <m/>
    <m/>
    <m/>
    <m/>
    <m/>
    <m/>
    <m/>
    <m/>
    <m/>
    <m/>
    <m/>
    <m/>
    <s v="Katrina"/>
    <s v="Nate Cooper, Mark Smith and Lance Leverenz deployed to Mississippi, Lousiana and Alabama."/>
  </r>
  <r>
    <m/>
    <n v="133"/>
    <x v="138"/>
    <d v="2005-10-01T00:00:00"/>
    <x v="10"/>
    <x v="4"/>
    <m/>
    <x v="10"/>
    <n v="6"/>
    <x v="3"/>
    <s v="Pakistan"/>
    <s v="Geophysical"/>
    <s v="Earthquake"/>
    <s v="Earthquake"/>
    <s v="Earthquake"/>
    <n v="3500000"/>
    <x v="1"/>
    <s v="IFRC"/>
    <n v="117000000"/>
    <s v="05EA022"/>
    <x v="3"/>
    <x v="0"/>
    <m/>
    <m/>
    <n v="575000"/>
    <m/>
    <m/>
    <n v="1"/>
    <n v="6750000"/>
    <n v="1000000"/>
    <m/>
    <m/>
    <n v="7750000"/>
    <n v="4"/>
    <m/>
    <m/>
    <n v="325618"/>
    <m/>
    <n v="18000"/>
    <n v="222900"/>
    <m/>
    <n v="28000"/>
    <n v="5200"/>
    <n v="18000"/>
    <n v="30518"/>
    <m/>
    <m/>
    <n v="3000"/>
    <m/>
    <m/>
    <m/>
    <n v="4808310"/>
    <m/>
    <n v="12558310"/>
    <m/>
    <m/>
    <n v="120000"/>
    <x v="103"/>
    <x v="1"/>
    <m/>
    <m/>
    <m/>
    <m/>
    <s v="2897/2771/2769"/>
    <m/>
    <m/>
    <m/>
    <m/>
    <m/>
    <m/>
    <m/>
    <m/>
    <m/>
    <m/>
    <s v="y"/>
    <s v="North West Frontier Province (NWFP) and Pakistan Administered Kashmir (PAK)"/>
    <s v="CASH: Non-designated PMN to the Fed $1,850,000; PMN to the Fed designated for one month cost of helicopter relief operations for $400,000; PMN to the Fed designated for corrugated iron sheeting (~73,000 pc) for $1,500,000. SUPPLIES:  Shawls at $50,000. (Cost includes all inspection costs/ transporation costs as well as commodity cost); PEOPLE: Seconded John Manley to FACT team and Jim Stephenson to Fed relief/logistics team.(Cost includes all inspection costs/ transporation costs as well as commodity cost). ICRC - $1M 2006 - Winter Prep - PMN for 1.5 million (500k to household repair kits, 300k to CGI);   (Cost includes all inspection costs/ transporation costs as well as commodity cost); seconded C. Chaperon and N. Cooper to Fed for monitoring."/>
  </r>
  <r>
    <m/>
    <n v="134"/>
    <x v="139"/>
    <d v="2005-10-01T00:00:00"/>
    <x v="10"/>
    <x v="5"/>
    <m/>
    <x v="10"/>
    <n v="7"/>
    <x v="2"/>
    <s v="Guatemala"/>
    <s v="Hydrometerological"/>
    <s v="Tropical Storm"/>
    <s v="Tropical Cyclone"/>
    <s v="Hurricane"/>
    <m/>
    <x v="0"/>
    <m/>
    <m/>
    <m/>
    <x v="0"/>
    <x v="0"/>
    <m/>
    <m/>
    <m/>
    <m/>
    <m/>
    <n v="0"/>
    <n v="47581"/>
    <m/>
    <m/>
    <m/>
    <n v="47581"/>
    <m/>
    <m/>
    <m/>
    <m/>
    <m/>
    <m/>
    <m/>
    <m/>
    <m/>
    <m/>
    <m/>
    <m/>
    <m/>
    <m/>
    <m/>
    <m/>
    <m/>
    <m/>
    <m/>
    <m/>
    <n v="47581"/>
    <m/>
    <m/>
    <m/>
    <x v="104"/>
    <x v="1"/>
    <m/>
    <m/>
    <m/>
    <m/>
    <n v="2759"/>
    <m/>
    <m/>
    <m/>
    <m/>
    <m/>
    <m/>
    <m/>
    <m/>
    <m/>
    <m/>
    <m/>
    <s v="Stan"/>
    <s v="PMN contribution to support Federation's appeal relief operations."/>
  </r>
  <r>
    <m/>
    <n v="134"/>
    <x v="140"/>
    <d v="2005-10-01T00:00:00"/>
    <x v="10"/>
    <x v="5"/>
    <m/>
    <x v="10"/>
    <n v="7"/>
    <x v="2"/>
    <s v="Mexico"/>
    <s v="Hydrometerological"/>
    <s v="Tropical Storm"/>
    <s v="Tropical Cyclone"/>
    <s v="Hurricane"/>
    <m/>
    <x v="0"/>
    <m/>
    <m/>
    <m/>
    <x v="0"/>
    <x v="0"/>
    <m/>
    <m/>
    <m/>
    <m/>
    <m/>
    <n v="1"/>
    <n v="257378"/>
    <m/>
    <n v="85000"/>
    <m/>
    <n v="342378"/>
    <m/>
    <m/>
    <m/>
    <m/>
    <m/>
    <m/>
    <m/>
    <m/>
    <m/>
    <m/>
    <m/>
    <m/>
    <m/>
    <m/>
    <m/>
    <m/>
    <m/>
    <m/>
    <m/>
    <m/>
    <n v="342378"/>
    <m/>
    <m/>
    <m/>
    <x v="105"/>
    <x v="1"/>
    <m/>
    <m/>
    <m/>
    <m/>
    <n v="2020"/>
    <m/>
    <m/>
    <m/>
    <m/>
    <m/>
    <m/>
    <m/>
    <m/>
    <m/>
    <m/>
    <m/>
    <s v="Stan"/>
    <s v="CASH: Initial PMN contribution for $25,000 from IRF 2099 for Federation's Hurricane Stan Appeal.Additional PMN contribution for $83,568 from AP2760 for Federation's Hurricane Stan Appeal relief operations. Additional $124,453 PMN contribution from AP 2020 for Federation's Hurricane Stan Appeal relief operations in Mexico. $49,357 PMN contribution from AP2882  to support Federation's appeal relief operations.Cash to Mex RC: $35,000 from AP2760 for Initial direct contribution to the MRC to support their relief operation. Additional contribution of $50,000 from AP2020 to the MexRC to support their relief operation gift from Exxon Mobil and G&amp;E."/>
  </r>
  <r>
    <s v="TC-2005-000173-SLV"/>
    <n v="135"/>
    <x v="141"/>
    <d v="2005-10-01T00:00:00"/>
    <x v="10"/>
    <x v="6"/>
    <m/>
    <x v="10"/>
    <n v="8"/>
    <x v="2"/>
    <s v="El Salvador"/>
    <s v="Geophysical"/>
    <s v="Volcano"/>
    <s v="Volcanic Eruption"/>
    <s v="Volcanic Eruption"/>
    <m/>
    <x v="0"/>
    <m/>
    <n v="1098045"/>
    <s v="05EA020"/>
    <x v="4"/>
    <x v="0"/>
    <m/>
    <m/>
    <n v="21000"/>
    <m/>
    <m/>
    <n v="0"/>
    <n v="7034"/>
    <m/>
    <m/>
    <m/>
    <n v="7034"/>
    <n v="1"/>
    <m/>
    <m/>
    <m/>
    <m/>
    <m/>
    <m/>
    <m/>
    <m/>
    <m/>
    <m/>
    <m/>
    <m/>
    <m/>
    <m/>
    <m/>
    <m/>
    <m/>
    <m/>
    <m/>
    <n v="7034"/>
    <m/>
    <m/>
    <m/>
    <x v="106"/>
    <x v="1"/>
    <m/>
    <m/>
    <m/>
    <m/>
    <n v="2690"/>
    <m/>
    <m/>
    <m/>
    <m/>
    <m/>
    <m/>
    <m/>
    <m/>
    <m/>
    <m/>
    <m/>
    <s v="Also: Floods"/>
    <s v="Nate Cooper deployed on PADRU team and PMN contribution to support Federation's appeal  relief operation in response of floods and volcanic eruption in El Salvador."/>
  </r>
  <r>
    <s v="TC-2005-000178-BHS"/>
    <n v="136"/>
    <x v="142"/>
    <d v="2005-10-01T00:00:00"/>
    <x v="10"/>
    <x v="7"/>
    <m/>
    <x v="10"/>
    <n v="9"/>
    <x v="2"/>
    <s v="Bahamas"/>
    <s v="Hydrometerological"/>
    <s v="Storm"/>
    <s v="Tropical Cyclone"/>
    <s v="Hurricane"/>
    <m/>
    <x v="0"/>
    <m/>
    <n v="1634707"/>
    <s v="05EA024"/>
    <x v="2"/>
    <x v="0"/>
    <m/>
    <m/>
    <m/>
    <m/>
    <m/>
    <m/>
    <m/>
    <m/>
    <m/>
    <m/>
    <n v="0"/>
    <m/>
    <m/>
    <m/>
    <n v="2371.9999999999995"/>
    <m/>
    <n v="2372"/>
    <m/>
    <m/>
    <m/>
    <m/>
    <m/>
    <m/>
    <m/>
    <m/>
    <m/>
    <m/>
    <m/>
    <m/>
    <n v="20597"/>
    <m/>
    <n v="20597"/>
    <m/>
    <m/>
    <n v="4000"/>
    <x v="107"/>
    <x v="1"/>
    <m/>
    <m/>
    <m/>
    <m/>
    <n v="2024"/>
    <m/>
    <m/>
    <m/>
    <m/>
    <m/>
    <m/>
    <m/>
    <m/>
    <m/>
    <m/>
    <m/>
    <s v="Wilma"/>
    <s v="$3.54 each + 6,200 (transport) = $14,596.88  plus shipping and handling"/>
  </r>
  <r>
    <s v="TC-2005-000178-MEX"/>
    <n v="136"/>
    <x v="143"/>
    <d v="2005-10-01T00:00:00"/>
    <x v="10"/>
    <x v="7"/>
    <m/>
    <x v="10"/>
    <n v="9"/>
    <x v="2"/>
    <s v="Mexico"/>
    <s v="Hydrometerological"/>
    <s v="Storm"/>
    <s v="Tropical Cyclone"/>
    <s v="Hurricane"/>
    <n v="300000"/>
    <x v="0"/>
    <m/>
    <n v="1918000"/>
    <s v="05EA024"/>
    <x v="5"/>
    <x v="0"/>
    <m/>
    <m/>
    <m/>
    <m/>
    <m/>
    <n v="1"/>
    <n v="128869"/>
    <m/>
    <n v="325000"/>
    <m/>
    <n v="453869"/>
    <m/>
    <m/>
    <m/>
    <n v="4500"/>
    <m/>
    <n v="4500"/>
    <m/>
    <m/>
    <m/>
    <m/>
    <m/>
    <m/>
    <m/>
    <m/>
    <m/>
    <m/>
    <m/>
    <m/>
    <n v="43875"/>
    <m/>
    <n v="497744"/>
    <m/>
    <m/>
    <m/>
    <x v="108"/>
    <x v="1"/>
    <m/>
    <m/>
    <m/>
    <m/>
    <n v="2757"/>
    <m/>
    <m/>
    <m/>
    <m/>
    <m/>
    <m/>
    <m/>
    <m/>
    <m/>
    <m/>
    <m/>
    <s v="Wilma"/>
    <s v="CASH: $250,000 -Initital direct contribution from AP 2757 to the MexRC to support their relief operation in Cozumel, gift from Carnival Cruise Lines. 2) $75,000 additional direct contribution from AP 2020 to the MexRC to support their relief operations, gift from AmEx;.3) $100,000 PMN contribution from AP2758 to support Federation's appeal relief operations, 1. 62000 2. 38000 (10.06); 4) $28,869 PMN contribution from AP2757 to support Federation's appeal relief operations;    SUPPLIES: PADRU stocks valued at $43,875;"/>
  </r>
  <r>
    <m/>
    <n v="137"/>
    <x v="144"/>
    <d v="2005-10-01T00:00:00"/>
    <x v="10"/>
    <x v="8"/>
    <m/>
    <x v="10"/>
    <n v="10"/>
    <x v="3"/>
    <s v="Vietnam"/>
    <s v="Hydrometerological"/>
    <s v="Storm"/>
    <s v="Tropical Cyclone"/>
    <s v="Typhoon"/>
    <m/>
    <x v="1"/>
    <s v="IFRC"/>
    <n v="628813"/>
    <s v="05EA019"/>
    <x v="6"/>
    <x v="0"/>
    <m/>
    <m/>
    <n v="25000"/>
    <m/>
    <m/>
    <n v="0"/>
    <n v="21068"/>
    <m/>
    <m/>
    <m/>
    <n v="21068"/>
    <m/>
    <m/>
    <m/>
    <m/>
    <m/>
    <m/>
    <m/>
    <m/>
    <m/>
    <m/>
    <m/>
    <m/>
    <m/>
    <m/>
    <m/>
    <m/>
    <m/>
    <m/>
    <m/>
    <m/>
    <n v="21068"/>
    <m/>
    <m/>
    <m/>
    <x v="109"/>
    <x v="1"/>
    <m/>
    <m/>
    <m/>
    <m/>
    <n v="2870"/>
    <m/>
    <m/>
    <m/>
    <m/>
    <m/>
    <m/>
    <m/>
    <m/>
    <m/>
    <m/>
    <m/>
    <s v="Central Vietnam"/>
    <s v="PMN to the Federtion to support Vietnam: Typhoon Damrey Emergency Appeal. The funds were from Boejing and the PMN was handled by the region."/>
  </r>
  <r>
    <m/>
    <n v="138"/>
    <x v="145"/>
    <d v="2005-11-01T00:00:00"/>
    <x v="10"/>
    <x v="9"/>
    <m/>
    <x v="10"/>
    <n v="11"/>
    <x v="2"/>
    <s v="Colombia"/>
    <s v="Geophysical"/>
    <s v="Volcano"/>
    <s v="Volcanic Eruption"/>
    <s v="Volcanic Eruption"/>
    <m/>
    <x v="0"/>
    <m/>
    <m/>
    <m/>
    <x v="0"/>
    <x v="0"/>
    <m/>
    <m/>
    <m/>
    <m/>
    <m/>
    <m/>
    <m/>
    <m/>
    <m/>
    <m/>
    <n v="0"/>
    <m/>
    <m/>
    <m/>
    <n v="45"/>
    <m/>
    <m/>
    <m/>
    <m/>
    <m/>
    <n v="45"/>
    <m/>
    <m/>
    <m/>
    <m/>
    <m/>
    <m/>
    <m/>
    <m/>
    <n v="17402"/>
    <m/>
    <n v="17402"/>
    <m/>
    <m/>
    <m/>
    <x v="110"/>
    <x v="1"/>
    <m/>
    <m/>
    <m/>
    <m/>
    <n v="2898"/>
    <m/>
    <m/>
    <m/>
    <m/>
    <m/>
    <m/>
    <m/>
    <m/>
    <m/>
    <m/>
    <m/>
    <s v="Galeras Volcano"/>
    <s v="tents to the CRC - cost of shipping charged to 2099."/>
  </r>
  <r>
    <m/>
    <n v="139"/>
    <x v="146"/>
    <d v="2006-01-01T00:00:00"/>
    <x v="10"/>
    <x v="10"/>
    <m/>
    <x v="11"/>
    <n v="1"/>
    <x v="1"/>
    <s v="Lesotho"/>
    <s v="Hydrometerological"/>
    <s v="Drought"/>
    <s v="Drought"/>
    <s v="Drought"/>
    <m/>
    <x v="1"/>
    <s v="IFRC"/>
    <m/>
    <s v="05EA023"/>
    <x v="0"/>
    <x v="0"/>
    <m/>
    <m/>
    <n v="1500000"/>
    <m/>
    <m/>
    <n v="1"/>
    <n v="100000"/>
    <m/>
    <m/>
    <m/>
    <n v="100000"/>
    <n v="3"/>
    <m/>
    <m/>
    <m/>
    <m/>
    <m/>
    <m/>
    <m/>
    <m/>
    <m/>
    <m/>
    <m/>
    <m/>
    <m/>
    <m/>
    <m/>
    <m/>
    <m/>
    <m/>
    <m/>
    <n v="100000"/>
    <m/>
    <m/>
    <m/>
    <x v="5"/>
    <x v="2"/>
    <m/>
    <m/>
    <m/>
    <m/>
    <n v="2099"/>
    <m/>
    <m/>
    <m/>
    <m/>
    <m/>
    <m/>
    <m/>
    <m/>
    <m/>
    <m/>
    <m/>
    <s v="Food Crisis"/>
    <s v="PMN contribution to support Federation's appeal relief operations in Lesotho."/>
  </r>
  <r>
    <m/>
    <n v="139"/>
    <x v="147"/>
    <d v="2006-01-01T00:00:00"/>
    <x v="10"/>
    <x v="10"/>
    <m/>
    <x v="11"/>
    <n v="1"/>
    <x v="1"/>
    <s v="Malawi"/>
    <s v="Hydrometerological"/>
    <s v="Drought"/>
    <s v="Drought"/>
    <s v="Drought"/>
    <m/>
    <x v="0"/>
    <m/>
    <m/>
    <s v="05EA023"/>
    <x v="0"/>
    <x v="0"/>
    <m/>
    <m/>
    <m/>
    <m/>
    <m/>
    <n v="1"/>
    <n v="150000"/>
    <m/>
    <m/>
    <m/>
    <n v="150000"/>
    <m/>
    <m/>
    <m/>
    <m/>
    <m/>
    <m/>
    <m/>
    <m/>
    <m/>
    <m/>
    <m/>
    <m/>
    <m/>
    <m/>
    <m/>
    <m/>
    <m/>
    <m/>
    <m/>
    <m/>
    <n v="150000"/>
    <m/>
    <m/>
    <m/>
    <x v="13"/>
    <x v="2"/>
    <m/>
    <m/>
    <m/>
    <m/>
    <n v="2099"/>
    <m/>
    <m/>
    <m/>
    <m/>
    <m/>
    <m/>
    <m/>
    <m/>
    <m/>
    <m/>
    <m/>
    <s v="Food Crisis"/>
    <s v="PMN contribution to support Federation's appeal earmarked for Community Base Health Care Program to leverage NLRC funding."/>
  </r>
  <r>
    <m/>
    <n v="139"/>
    <x v="148"/>
    <d v="2006-01-01T00:00:00"/>
    <x v="10"/>
    <x v="10"/>
    <m/>
    <x v="11"/>
    <n v="1"/>
    <x v="1"/>
    <s v="Zimbabwe"/>
    <s v="Hydrometerological"/>
    <s v="Drought"/>
    <s v="Drought"/>
    <s v="Drought"/>
    <m/>
    <x v="0"/>
    <m/>
    <m/>
    <s v="05EA023"/>
    <x v="0"/>
    <x v="0"/>
    <m/>
    <m/>
    <m/>
    <m/>
    <m/>
    <n v="1"/>
    <n v="250000"/>
    <m/>
    <m/>
    <m/>
    <n v="250000"/>
    <m/>
    <m/>
    <m/>
    <m/>
    <m/>
    <m/>
    <m/>
    <m/>
    <m/>
    <m/>
    <m/>
    <m/>
    <m/>
    <m/>
    <m/>
    <m/>
    <m/>
    <m/>
    <m/>
    <m/>
    <n v="250000"/>
    <m/>
    <m/>
    <m/>
    <x v="35"/>
    <x v="2"/>
    <m/>
    <m/>
    <m/>
    <m/>
    <n v="2099"/>
    <m/>
    <m/>
    <m/>
    <m/>
    <m/>
    <m/>
    <m/>
    <m/>
    <m/>
    <m/>
    <m/>
    <s v="Food Crisis"/>
    <s v="PMN contribution to support Federation's appeal relief operations in Zimbabwe."/>
  </r>
  <r>
    <m/>
    <n v="139"/>
    <x v="149"/>
    <d v="2006-01-01T00:00:00"/>
    <x v="10"/>
    <x v="10"/>
    <m/>
    <x v="11"/>
    <n v="1"/>
    <x v="1"/>
    <s v="Zambia"/>
    <s v="Hydrometerological"/>
    <s v="Drought"/>
    <s v="Drought"/>
    <s v="Drought"/>
    <m/>
    <x v="0"/>
    <m/>
    <s v="`"/>
    <s v="05EA023"/>
    <x v="0"/>
    <x v="0"/>
    <m/>
    <m/>
    <m/>
    <m/>
    <m/>
    <n v="1"/>
    <n v="400000"/>
    <m/>
    <m/>
    <m/>
    <n v="400000"/>
    <m/>
    <m/>
    <m/>
    <m/>
    <m/>
    <m/>
    <m/>
    <m/>
    <m/>
    <m/>
    <m/>
    <m/>
    <m/>
    <m/>
    <m/>
    <m/>
    <m/>
    <m/>
    <m/>
    <m/>
    <n v="400000"/>
    <m/>
    <m/>
    <m/>
    <x v="111"/>
    <x v="2"/>
    <m/>
    <m/>
    <m/>
    <m/>
    <n v="2099"/>
    <m/>
    <m/>
    <m/>
    <m/>
    <m/>
    <m/>
    <m/>
    <m/>
    <m/>
    <m/>
    <m/>
    <s v="Food Crisis"/>
    <s v="$400K &amp; $100K PMN contribution to support Federation's appeal relief operations in Zambia."/>
  </r>
  <r>
    <m/>
    <n v="140"/>
    <x v="150"/>
    <d v="2006-03-01T00:00:00"/>
    <x v="10"/>
    <x v="11"/>
    <m/>
    <x v="11"/>
    <n v="2"/>
    <x v="1"/>
    <s v="Kenya"/>
    <s v="Hydrometerological"/>
    <s v="Drought"/>
    <s v="Drought"/>
    <s v="Drought"/>
    <m/>
    <x v="1"/>
    <s v="IFRC"/>
    <n v="10500000"/>
    <s v="MDRKE001"/>
    <x v="7"/>
    <x v="0"/>
    <m/>
    <m/>
    <n v="329000"/>
    <m/>
    <m/>
    <n v="1"/>
    <n v="150000"/>
    <m/>
    <m/>
    <m/>
    <n v="150000"/>
    <m/>
    <m/>
    <m/>
    <m/>
    <m/>
    <m/>
    <m/>
    <m/>
    <m/>
    <m/>
    <m/>
    <m/>
    <m/>
    <m/>
    <m/>
    <m/>
    <m/>
    <m/>
    <m/>
    <m/>
    <n v="150000"/>
    <m/>
    <m/>
    <m/>
    <x v="13"/>
    <x v="2"/>
    <m/>
    <m/>
    <m/>
    <m/>
    <n v="2099"/>
    <m/>
    <m/>
    <m/>
    <m/>
    <m/>
    <m/>
    <m/>
    <m/>
    <m/>
    <m/>
    <m/>
    <s v="E. Africa Appeal"/>
    <s v="PMN contribution to support Federation's appeal relief operations."/>
  </r>
  <r>
    <m/>
    <n v="141"/>
    <x v="151"/>
    <d v="2006-03-01T00:00:00"/>
    <x v="10"/>
    <x v="12"/>
    <m/>
    <x v="11"/>
    <n v="3"/>
    <x v="3"/>
    <s v="Iraq"/>
    <s v="Human Related"/>
    <s v="Conflict"/>
    <s v="Conflict"/>
    <s v="Conflict"/>
    <m/>
    <x v="1"/>
    <s v="IFRC/ ICRC"/>
    <m/>
    <s v="MDRIQ001 / 05EA026 / REX 07/346"/>
    <x v="0"/>
    <x v="0"/>
    <m/>
    <m/>
    <n v="455000"/>
    <m/>
    <m/>
    <n v="1"/>
    <n v="88443"/>
    <n v="100000"/>
    <m/>
    <m/>
    <n v="188443"/>
    <m/>
    <m/>
    <m/>
    <m/>
    <m/>
    <m/>
    <m/>
    <m/>
    <m/>
    <m/>
    <m/>
    <m/>
    <m/>
    <m/>
    <m/>
    <m/>
    <m/>
    <m/>
    <m/>
    <m/>
    <n v="188443"/>
    <m/>
    <m/>
    <n v="455000"/>
    <x v="112"/>
    <x v="1"/>
    <m/>
    <m/>
    <m/>
    <m/>
    <n v="2689"/>
    <m/>
    <m/>
    <m/>
    <m/>
    <m/>
    <m/>
    <m/>
    <m/>
    <m/>
    <m/>
    <m/>
    <s v="Humanitarian Emergency"/>
    <s v="19,170 PMN to IFRC Iraq: Floods Appeal No. MDRIQ001 for 25,000 beneficiaries; 69,272.96 PMN to IFRC Iraq: Humanitarian Emergency Appeal No. 05 EA026 for 350,000 beneficiaries; 100,000 Cash Contribution to ICRC's emergency appeal for Iraq activities related to wat/san for 80,000 beneficiaries."/>
  </r>
  <r>
    <s v="-2006-000022-TMP"/>
    <n v="142"/>
    <x v="152"/>
    <d v="2006-02-01T00:00:00"/>
    <x v="10"/>
    <x v="13"/>
    <m/>
    <x v="11"/>
    <n v="4"/>
    <x v="3"/>
    <s v="Timor-Leste"/>
    <s v="Hydrometerological"/>
    <s v="Floods"/>
    <s v="General Floods"/>
    <s v="General Floods"/>
    <m/>
    <x v="1"/>
    <s v="IFRC"/>
    <n v="485000"/>
    <s v="MDRTP001"/>
    <x v="8"/>
    <x v="0"/>
    <m/>
    <m/>
    <n v="8400"/>
    <m/>
    <m/>
    <n v="1"/>
    <n v="50000"/>
    <m/>
    <m/>
    <m/>
    <n v="50000"/>
    <m/>
    <m/>
    <m/>
    <m/>
    <m/>
    <m/>
    <m/>
    <m/>
    <m/>
    <m/>
    <m/>
    <m/>
    <m/>
    <m/>
    <m/>
    <m/>
    <m/>
    <m/>
    <m/>
    <m/>
    <n v="50000"/>
    <m/>
    <m/>
    <n v="8400"/>
    <x v="16"/>
    <x v="2"/>
    <m/>
    <m/>
    <m/>
    <m/>
    <n v="2799"/>
    <m/>
    <m/>
    <m/>
    <m/>
    <m/>
    <m/>
    <m/>
    <m/>
    <m/>
    <m/>
    <m/>
    <s v="Oecusse, Ainaro, Viqueque, Bobonaro and Baucau Districts"/>
    <s v="PMN contribution to support the Federation's operation in response to the Timor-Leste: Storms and Floods Emergency Appeal No. MDRTP001."/>
  </r>
  <r>
    <s v="MS-2006-000179-PHL"/>
    <n v="143"/>
    <x v="153"/>
    <d v="2006-02-01T00:00:00"/>
    <x v="10"/>
    <x v="14"/>
    <m/>
    <x v="11"/>
    <n v="5"/>
    <x v="3"/>
    <s v="Philippines"/>
    <s v="Hydrometerological"/>
    <s v="Mass Movement Wet"/>
    <s v="Landslide"/>
    <s v="Mudslide"/>
    <m/>
    <x v="1"/>
    <s v="IFRC"/>
    <n v="2000000"/>
    <s v="MDRPH001"/>
    <x v="9"/>
    <x v="0"/>
    <m/>
    <m/>
    <n v="8000"/>
    <m/>
    <m/>
    <n v="1"/>
    <n v="50000"/>
    <m/>
    <n v="5000"/>
    <m/>
    <n v="55000"/>
    <m/>
    <m/>
    <m/>
    <m/>
    <m/>
    <m/>
    <m/>
    <m/>
    <m/>
    <m/>
    <m/>
    <m/>
    <m/>
    <m/>
    <m/>
    <m/>
    <m/>
    <m/>
    <m/>
    <m/>
    <n v="55000"/>
    <m/>
    <m/>
    <n v="8000"/>
    <x v="113"/>
    <x v="1"/>
    <m/>
    <m/>
    <m/>
    <m/>
    <n v="2032"/>
    <m/>
    <m/>
    <m/>
    <m/>
    <m/>
    <m/>
    <m/>
    <m/>
    <m/>
    <m/>
    <m/>
    <s v="Southern Leyte"/>
    <s v="PMN contribution to support the Federation's operation in the Philippines: Landslides and Floods Emergency Appeal No. MDRPH001 in the amount of 50,000 USD; Amex donation to Philippines National Red Cross for their emergency operations in the amount of 5,000 USD."/>
  </r>
  <r>
    <m/>
    <n v="144"/>
    <x v="154"/>
    <d v="2006-05-01T00:00:00"/>
    <x v="10"/>
    <x v="15"/>
    <m/>
    <x v="11"/>
    <n v="6"/>
    <x v="1"/>
    <s v="Angola"/>
    <s v="Biological"/>
    <s v="Epidemic"/>
    <s v="Bacterial"/>
    <s v="Bacterial"/>
    <m/>
    <x v="0"/>
    <m/>
    <m/>
    <m/>
    <x v="0"/>
    <x v="0"/>
    <m/>
    <m/>
    <m/>
    <m/>
    <m/>
    <m/>
    <m/>
    <m/>
    <m/>
    <m/>
    <n v="0"/>
    <n v="1"/>
    <m/>
    <m/>
    <m/>
    <m/>
    <m/>
    <m/>
    <m/>
    <m/>
    <m/>
    <m/>
    <m/>
    <m/>
    <m/>
    <m/>
    <m/>
    <m/>
    <m/>
    <m/>
    <n v="5000"/>
    <n v="5000"/>
    <m/>
    <m/>
    <m/>
    <x v="46"/>
    <x v="2"/>
    <m/>
    <m/>
    <m/>
    <m/>
    <n v="2799"/>
    <m/>
    <m/>
    <m/>
    <m/>
    <m/>
    <m/>
    <m/>
    <m/>
    <m/>
    <m/>
    <m/>
    <s v="Cholera Outbreak"/>
    <s v="J. Koepsell as FACT Health"/>
  </r>
  <r>
    <m/>
    <n v="145"/>
    <x v="5"/>
    <d v="2006-04-01T00:00:00"/>
    <x v="10"/>
    <x v="16"/>
    <m/>
    <x v="11"/>
    <n v="7"/>
    <x v="1"/>
    <s v="Ethiopia"/>
    <s v="Hydrometerological"/>
    <s v="Drought"/>
    <s v="Drought"/>
    <s v="Drought"/>
    <m/>
    <x v="1"/>
    <s v="IFRC"/>
    <n v="1129750"/>
    <s v="MDRET001"/>
    <x v="10"/>
    <x v="0"/>
    <m/>
    <m/>
    <n v="36341"/>
    <m/>
    <m/>
    <n v="1"/>
    <n v="94461"/>
    <m/>
    <m/>
    <m/>
    <n v="94461"/>
    <m/>
    <m/>
    <m/>
    <m/>
    <m/>
    <m/>
    <m/>
    <m/>
    <m/>
    <m/>
    <m/>
    <m/>
    <m/>
    <m/>
    <m/>
    <m/>
    <m/>
    <m/>
    <m/>
    <m/>
    <n v="94461"/>
    <m/>
    <m/>
    <m/>
    <x v="114"/>
    <x v="2"/>
    <m/>
    <m/>
    <m/>
    <m/>
    <n v="2099"/>
    <m/>
    <m/>
    <m/>
    <m/>
    <m/>
    <m/>
    <m/>
    <m/>
    <m/>
    <m/>
    <m/>
    <m/>
    <s v="PMN contribution to support Ethiopa: Drought Appeal"/>
  </r>
  <r>
    <m/>
    <n v="146"/>
    <x v="155"/>
    <d v="2006-04-01T00:00:00"/>
    <x v="10"/>
    <x v="17"/>
    <m/>
    <x v="11"/>
    <n v="8"/>
    <x v="1"/>
    <s v="Somalia"/>
    <s v="Hydrometerological"/>
    <s v="Drought"/>
    <s v="Drought"/>
    <s v="Drought"/>
    <m/>
    <x v="1"/>
    <s v="ICRC"/>
    <m/>
    <m/>
    <x v="0"/>
    <x v="0"/>
    <m/>
    <m/>
    <m/>
    <m/>
    <m/>
    <n v="1"/>
    <m/>
    <n v="250000"/>
    <m/>
    <m/>
    <n v="250000"/>
    <m/>
    <m/>
    <m/>
    <m/>
    <m/>
    <m/>
    <m/>
    <m/>
    <m/>
    <m/>
    <m/>
    <m/>
    <m/>
    <m/>
    <m/>
    <m/>
    <m/>
    <m/>
    <m/>
    <m/>
    <n v="250000"/>
    <m/>
    <m/>
    <m/>
    <x v="35"/>
    <x v="2"/>
    <m/>
    <m/>
    <m/>
    <m/>
    <n v="2099"/>
    <m/>
    <m/>
    <m/>
    <m/>
    <m/>
    <m/>
    <m/>
    <m/>
    <m/>
    <m/>
    <m/>
    <m/>
    <s v="Pledge Letter to ICRC for Somalia Emergency Appeal"/>
  </r>
  <r>
    <m/>
    <n v="147"/>
    <x v="156"/>
    <d v="2006-04-01T00:00:00"/>
    <x v="10"/>
    <x v="18"/>
    <m/>
    <x v="11"/>
    <n v="9"/>
    <x v="3"/>
    <s v="Spain"/>
    <s v="Human Related"/>
    <s v="Terrorism"/>
    <s v="Terrorism"/>
    <s v="Terrorism"/>
    <m/>
    <x v="0"/>
    <m/>
    <m/>
    <m/>
    <x v="0"/>
    <x v="0"/>
    <m/>
    <m/>
    <m/>
    <m/>
    <m/>
    <m/>
    <m/>
    <m/>
    <n v="20000"/>
    <m/>
    <n v="20000"/>
    <m/>
    <m/>
    <m/>
    <m/>
    <m/>
    <m/>
    <m/>
    <m/>
    <m/>
    <m/>
    <m/>
    <m/>
    <m/>
    <m/>
    <m/>
    <m/>
    <m/>
    <m/>
    <m/>
    <m/>
    <n v="20000"/>
    <m/>
    <m/>
    <m/>
    <x v="25"/>
    <x v="1"/>
    <m/>
    <m/>
    <m/>
    <m/>
    <n v="2903"/>
    <m/>
    <m/>
    <m/>
    <m/>
    <m/>
    <m/>
    <m/>
    <m/>
    <m/>
    <m/>
    <m/>
    <s v="April 2004 MadridTrain Bombing"/>
    <s v="Suspense acct contribution following April 2004 bombing. Grant to Spain RC for DPP"/>
  </r>
  <r>
    <m/>
    <n v="148"/>
    <x v="157"/>
    <d v="2006-05-01T00:00:00"/>
    <x v="10"/>
    <x v="19"/>
    <m/>
    <x v="11"/>
    <n v="10"/>
    <x v="2"/>
    <s v="Colombia"/>
    <s v="Hydrometerological"/>
    <s v="Floods"/>
    <s v="General Floods"/>
    <m/>
    <m/>
    <x v="0"/>
    <m/>
    <m/>
    <m/>
    <x v="0"/>
    <x v="0"/>
    <m/>
    <m/>
    <m/>
    <m/>
    <n v="2500"/>
    <m/>
    <m/>
    <m/>
    <n v="50000"/>
    <m/>
    <n v="50000"/>
    <m/>
    <m/>
    <m/>
    <m/>
    <m/>
    <m/>
    <m/>
    <m/>
    <m/>
    <m/>
    <m/>
    <m/>
    <m/>
    <m/>
    <m/>
    <m/>
    <m/>
    <m/>
    <m/>
    <m/>
    <n v="50000"/>
    <m/>
    <m/>
    <m/>
    <x v="16"/>
    <x v="2"/>
    <m/>
    <m/>
    <m/>
    <m/>
    <n v="2799"/>
    <m/>
    <m/>
    <m/>
    <m/>
    <m/>
    <m/>
    <m/>
    <m/>
    <m/>
    <m/>
    <m/>
    <m/>
    <s v="OFDA award in support of ARC's proposal &quot;Colombia Floods 2006&quot; to support CRC emergency relief response."/>
  </r>
  <r>
    <s v="EQ-2006-000064-IDN"/>
    <n v="149"/>
    <x v="158"/>
    <d v="2006-05-01T00:00:00"/>
    <x v="10"/>
    <x v="23"/>
    <m/>
    <x v="11"/>
    <n v="11"/>
    <x v="3"/>
    <s v="Indonesia"/>
    <s v="Geophysical"/>
    <s v="Earthquake"/>
    <s v="Earthquake"/>
    <s v="Earthquake"/>
    <m/>
    <x v="1"/>
    <s v="IFRC"/>
    <n v="31000000"/>
    <s v="MDRID001"/>
    <x v="11"/>
    <x v="0"/>
    <m/>
    <m/>
    <n v="325000"/>
    <m/>
    <m/>
    <n v="1"/>
    <n v="1398250"/>
    <m/>
    <m/>
    <m/>
    <n v="1398250"/>
    <n v="7"/>
    <s v="Relief ERU"/>
    <m/>
    <m/>
    <m/>
    <m/>
    <m/>
    <m/>
    <m/>
    <m/>
    <m/>
    <m/>
    <m/>
    <m/>
    <m/>
    <m/>
    <m/>
    <m/>
    <m/>
    <n v="87500"/>
    <n v="1485750"/>
    <m/>
    <m/>
    <n v="13000"/>
    <x v="115"/>
    <x v="1"/>
    <m/>
    <m/>
    <m/>
    <m/>
    <s v="2930 / 2799"/>
    <m/>
    <m/>
    <m/>
    <m/>
    <m/>
    <m/>
    <m/>
    <m/>
    <m/>
    <m/>
    <m/>
    <s v="Yogyakarta"/>
    <s v="CASH: 1. PMN to Fed 119,000 from AP2930  2. PMN to Fed 179,250 from AP2930 earmarked for 80K sleeping mats 3. PMN from AP2930 to Fed 1 million earmarked for tarps (600K), PSP (100K), DM (300K); PMN contribution to support Fed appeal relief operations - joint w/ 119,000 from AP 2930 4. PEOPLE: Relief ERU deployed with N. Cooper, C. Blake, S. Rahman, B. Riester, T. Betz, C. Chaperon. PA B. Gillespie, Health S. Shetty, PSP team"/>
  </r>
  <r>
    <m/>
    <n v="150"/>
    <x v="88"/>
    <d v="2006-07-01T00:00:00"/>
    <x v="11"/>
    <x v="1"/>
    <m/>
    <x v="11"/>
    <n v="12"/>
    <x v="3"/>
    <s v="Romania"/>
    <s v="Hydrometerological"/>
    <s v="Floods"/>
    <s v="General Floods"/>
    <s v="General Floods"/>
    <m/>
    <x v="1"/>
    <s v="IFRC"/>
    <n v="1900000"/>
    <s v="MDRRO001"/>
    <x v="12"/>
    <x v="0"/>
    <m/>
    <m/>
    <n v="13000"/>
    <m/>
    <m/>
    <n v="0"/>
    <n v="5000"/>
    <m/>
    <m/>
    <m/>
    <n v="5000"/>
    <m/>
    <m/>
    <m/>
    <m/>
    <m/>
    <m/>
    <m/>
    <m/>
    <m/>
    <m/>
    <m/>
    <m/>
    <m/>
    <m/>
    <m/>
    <m/>
    <m/>
    <m/>
    <m/>
    <m/>
    <n v="5000"/>
    <m/>
    <m/>
    <m/>
    <x v="46"/>
    <x v="1"/>
    <m/>
    <m/>
    <m/>
    <m/>
    <n v="2685"/>
    <m/>
    <m/>
    <m/>
    <m/>
    <m/>
    <m/>
    <m/>
    <m/>
    <m/>
    <m/>
    <m/>
    <s v="Country-Wide"/>
    <s v="PMN contribution to support Federation's Emergency Appeal - AmEx contribution - from suspense acct"/>
  </r>
  <r>
    <m/>
    <n v="151"/>
    <x v="159"/>
    <d v="2006-07-01T00:00:00"/>
    <x v="11"/>
    <x v="2"/>
    <m/>
    <x v="11"/>
    <n v="13"/>
    <x v="3"/>
    <s v="Lebanon"/>
    <s v="Human Related"/>
    <s v="Conflict"/>
    <s v="Conflict"/>
    <s v="Conflict"/>
    <m/>
    <x v="1"/>
    <s v="IFRC/ICRC"/>
    <n v="83131000"/>
    <s v="MDR81001 /REX 06/575"/>
    <x v="13"/>
    <x v="0"/>
    <m/>
    <m/>
    <n v="2000000"/>
    <m/>
    <m/>
    <n v="1"/>
    <n v="475000"/>
    <n v="1058600"/>
    <n v="356000"/>
    <m/>
    <n v="1889600"/>
    <m/>
    <m/>
    <m/>
    <m/>
    <m/>
    <m/>
    <m/>
    <m/>
    <m/>
    <m/>
    <m/>
    <m/>
    <m/>
    <m/>
    <m/>
    <m/>
    <m/>
    <m/>
    <m/>
    <m/>
    <n v="1889600"/>
    <m/>
    <m/>
    <m/>
    <x v="116"/>
    <x v="1"/>
    <m/>
    <m/>
    <m/>
    <m/>
    <s v="2099 /2649"/>
    <m/>
    <m/>
    <m/>
    <m/>
    <m/>
    <m/>
    <m/>
    <m/>
    <m/>
    <m/>
    <m/>
    <s v="Humanitarian Crisis"/>
    <s v="CASH: Contributions to ICRC - 1. $500,000 2. $150,000 3. $211,136 to MDA specifically from AP2099; Contributions to ICRC - 1. $150,000 2. 47,500 (Dow Chemical Company from AP2649), Contribution to Fed $475,000 (Coca Cola) from AP2649; $200,000 grant to Palestinian Red Crescent for southern Lebanon; $156,000 grant to Lebanese Red Cross for ambulances"/>
  </r>
  <r>
    <m/>
    <n v="152"/>
    <x v="8"/>
    <d v="2006-08-01T00:00:00"/>
    <x v="11"/>
    <x v="3"/>
    <m/>
    <x v="11"/>
    <n v="14"/>
    <x v="3"/>
    <s v="China"/>
    <s v="Hydrometerological"/>
    <s v="Floods"/>
    <s v="General Floods"/>
    <s v="General Floods"/>
    <m/>
    <x v="1"/>
    <s v="IFRC"/>
    <n v="4825791"/>
    <s v="MDRCN001"/>
    <x v="14"/>
    <x v="0"/>
    <m/>
    <m/>
    <n v="240000"/>
    <m/>
    <m/>
    <n v="1"/>
    <n v="50000"/>
    <m/>
    <m/>
    <m/>
    <n v="50000"/>
    <m/>
    <m/>
    <m/>
    <m/>
    <m/>
    <m/>
    <m/>
    <m/>
    <m/>
    <m/>
    <m/>
    <m/>
    <m/>
    <m/>
    <m/>
    <m/>
    <m/>
    <m/>
    <m/>
    <m/>
    <n v="50000"/>
    <m/>
    <m/>
    <m/>
    <x v="16"/>
    <x v="2"/>
    <m/>
    <m/>
    <m/>
    <m/>
    <n v="2799"/>
    <m/>
    <m/>
    <m/>
    <m/>
    <m/>
    <m/>
    <m/>
    <m/>
    <m/>
    <m/>
    <m/>
    <m/>
    <s v="PMN contribution earmarked for procurement of rice to support Fed's China: Floods Appeal"/>
  </r>
  <r>
    <s v="VO-2006-"/>
    <n v="153"/>
    <x v="160"/>
    <d v="2006-08-01T00:00:00"/>
    <x v="11"/>
    <x v="4"/>
    <m/>
    <x v="11"/>
    <n v="15"/>
    <x v="2"/>
    <s v="Ecuador"/>
    <s v="Geophysical"/>
    <s v="Volcano"/>
    <s v="Volcanic Eruption"/>
    <s v="Volcanic Eruption"/>
    <m/>
    <x v="1"/>
    <s v="IFRC"/>
    <n v="514753"/>
    <s v="MDREC002"/>
    <x v="15"/>
    <x v="1"/>
    <m/>
    <m/>
    <n v="5475"/>
    <m/>
    <m/>
    <m/>
    <m/>
    <m/>
    <n v="50000"/>
    <m/>
    <n v="50000"/>
    <m/>
    <m/>
    <m/>
    <m/>
    <m/>
    <m/>
    <m/>
    <m/>
    <m/>
    <m/>
    <m/>
    <m/>
    <m/>
    <m/>
    <m/>
    <m/>
    <m/>
    <m/>
    <m/>
    <m/>
    <n v="50000"/>
    <m/>
    <m/>
    <m/>
    <x v="16"/>
    <x v="2"/>
    <m/>
    <m/>
    <m/>
    <m/>
    <n v="2799"/>
    <m/>
    <m/>
    <m/>
    <m/>
    <m/>
    <m/>
    <m/>
    <m/>
    <m/>
    <m/>
    <m/>
    <s v="Tungurahua"/>
    <s v="OFDA award in support of ARC's proposal &quot;Tungurahua Volcano eruption&quot; to support the ERC emergency relief response."/>
  </r>
  <r>
    <s v="FL-2006-000122-ETH"/>
    <n v="154"/>
    <x v="161"/>
    <d v="2006-08-01T00:00:00"/>
    <x v="11"/>
    <x v="5"/>
    <m/>
    <x v="11"/>
    <n v="16"/>
    <x v="1"/>
    <s v="Ethiopia"/>
    <s v="Hydrometerological"/>
    <s v="Floods"/>
    <s v="General Floods"/>
    <s v="General Floods"/>
    <m/>
    <x v="1"/>
    <s v="IFRC"/>
    <n v="4225070"/>
    <s v="MDRET003"/>
    <x v="16"/>
    <x v="0"/>
    <m/>
    <m/>
    <n v="25000"/>
    <m/>
    <m/>
    <n v="1"/>
    <n v="85000"/>
    <m/>
    <m/>
    <m/>
    <n v="85000"/>
    <n v="2"/>
    <m/>
    <m/>
    <m/>
    <m/>
    <m/>
    <m/>
    <m/>
    <m/>
    <m/>
    <m/>
    <m/>
    <m/>
    <m/>
    <m/>
    <m/>
    <m/>
    <m/>
    <m/>
    <m/>
    <n v="85000"/>
    <m/>
    <m/>
    <m/>
    <x v="117"/>
    <x v="1"/>
    <m/>
    <m/>
    <m/>
    <m/>
    <s v="2099 / 2648"/>
    <m/>
    <m/>
    <m/>
    <m/>
    <m/>
    <m/>
    <m/>
    <m/>
    <m/>
    <m/>
    <m/>
    <s v="Amhara"/>
    <s v="CASH: PMN from 2099 contribution to Fed Appeal earmarked for tarps, blankets, sleeping mats PEOPLE: Deployed J. Manley, Prog Coordinator, 2 mo. AND K.White, Prog Delegate, 2 mo. From AP 2648."/>
  </r>
  <r>
    <s v="FL-2006-000123-SDN"/>
    <n v="155"/>
    <x v="162"/>
    <d v="2006-09-01T00:00:00"/>
    <x v="11"/>
    <x v="6"/>
    <m/>
    <x v="11"/>
    <n v="17"/>
    <x v="1"/>
    <s v="Sudan"/>
    <s v="Hydrometerological"/>
    <s v="Floods"/>
    <s v="General Floods"/>
    <s v="General Floods"/>
    <m/>
    <x v="1"/>
    <s v="IFRC"/>
    <n v="492625"/>
    <s v="MDRSD002"/>
    <x v="17"/>
    <x v="0"/>
    <m/>
    <m/>
    <n v="15000"/>
    <m/>
    <m/>
    <n v="0"/>
    <n v="10000"/>
    <m/>
    <m/>
    <m/>
    <n v="10000"/>
    <m/>
    <m/>
    <m/>
    <n v="10000"/>
    <m/>
    <m/>
    <m/>
    <m/>
    <m/>
    <m/>
    <m/>
    <m/>
    <n v="10000"/>
    <m/>
    <m/>
    <m/>
    <m/>
    <m/>
    <n v="36900"/>
    <m/>
    <n v="46900"/>
    <m/>
    <m/>
    <m/>
    <x v="118"/>
    <x v="1"/>
    <m/>
    <m/>
    <m/>
    <m/>
    <n v="2802"/>
    <m/>
    <m/>
    <m/>
    <m/>
    <m/>
    <m/>
    <m/>
    <s v="N"/>
    <m/>
    <m/>
    <m/>
    <m/>
    <s v="Nets @ $3.69 each + $10,000 (transport) = $46,900"/>
  </r>
  <r>
    <s v="TC-2006-000175-PHL"/>
    <n v="156"/>
    <x v="163"/>
    <d v="2006-10-01T00:00:00"/>
    <x v="11"/>
    <x v="7"/>
    <m/>
    <x v="11"/>
    <n v="18"/>
    <x v="3"/>
    <s v="Philippines"/>
    <s v="Hydrometerological"/>
    <s v="Storm"/>
    <s v="Tropical Cyclone"/>
    <s v="Typhoon"/>
    <m/>
    <x v="1"/>
    <s v="IFRC"/>
    <n v="8637057"/>
    <s v="MDRPH002"/>
    <x v="18"/>
    <x v="0"/>
    <m/>
    <m/>
    <n v="1030000"/>
    <m/>
    <m/>
    <n v="1"/>
    <n v="787000"/>
    <m/>
    <m/>
    <m/>
    <n v="787000"/>
    <n v="2"/>
    <m/>
    <m/>
    <m/>
    <m/>
    <m/>
    <m/>
    <m/>
    <m/>
    <m/>
    <m/>
    <m/>
    <m/>
    <m/>
    <m/>
    <m/>
    <m/>
    <m/>
    <m/>
    <n v="6500"/>
    <n v="793500"/>
    <m/>
    <m/>
    <m/>
    <x v="119"/>
    <x v="1"/>
    <m/>
    <m/>
    <m/>
    <m/>
    <n v="2032"/>
    <m/>
    <m/>
    <m/>
    <m/>
    <m/>
    <m/>
    <m/>
    <s v="N"/>
    <m/>
    <m/>
    <m/>
    <s v="Xangsane / Durian"/>
    <s v="PEOPLE: Deployed B. Gaillis, Ops Coordinator, 5 wks; Deployed C. Blake, FACT Relief, 3 wks. CASH: 2. PMN Fed Philippines: Typhoons $237,000 from AP2032; PMN Fed Philippines: Typhoon Xangsane Appeal $200,000 from AP2099;  3. PMN Fed Philippines: Typhoons $350K earmarked for CGI from AP2032;"/>
  </r>
  <r>
    <s v="TC-2006-000144-VNM; TC-2006-000175-VNM"/>
    <n v="157"/>
    <x v="164"/>
    <d v="2006-10-01T00:00:00"/>
    <x v="11"/>
    <x v="8"/>
    <m/>
    <x v="11"/>
    <n v="19"/>
    <x v="3"/>
    <s v="Vietnam"/>
    <s v="Hydrometerological"/>
    <s v="Storm"/>
    <s v="Tropical Cyclone"/>
    <s v="Typhoon"/>
    <m/>
    <x v="1"/>
    <s v="IFRC"/>
    <n v="1340000"/>
    <s v="MDRVN001"/>
    <x v="19"/>
    <x v="0"/>
    <m/>
    <m/>
    <n v="60400"/>
    <m/>
    <m/>
    <n v="1"/>
    <n v="63000"/>
    <m/>
    <m/>
    <m/>
    <n v="63000"/>
    <m/>
    <m/>
    <m/>
    <m/>
    <m/>
    <m/>
    <m/>
    <m/>
    <m/>
    <m/>
    <m/>
    <m/>
    <m/>
    <m/>
    <m/>
    <m/>
    <m/>
    <m/>
    <m/>
    <m/>
    <n v="63000"/>
    <m/>
    <m/>
    <m/>
    <x v="120"/>
    <x v="2"/>
    <m/>
    <m/>
    <m/>
    <m/>
    <n v="2799"/>
    <m/>
    <m/>
    <m/>
    <m/>
    <m/>
    <m/>
    <m/>
    <s v="Y"/>
    <m/>
    <m/>
    <m/>
    <s v="Xangsane"/>
    <s v="PMN Fed Vietnam from AP2799: Typhoon Xangsane Appeal $25,000; PMN Fed Vietnam from AP2870: Typhoon Xangsane $38,000"/>
  </r>
  <r>
    <m/>
    <n v="158"/>
    <x v="165"/>
    <d v="2006-11-01T00:00:00"/>
    <x v="11"/>
    <x v="9"/>
    <m/>
    <x v="11"/>
    <n v="20"/>
    <x v="1"/>
    <s v="Somalia"/>
    <s v="Human Related"/>
    <s v="Conflict"/>
    <s v="Conflict"/>
    <s v="Conflict"/>
    <m/>
    <x v="0"/>
    <m/>
    <m/>
    <m/>
    <x v="0"/>
    <x v="0"/>
    <m/>
    <m/>
    <m/>
    <m/>
    <m/>
    <m/>
    <m/>
    <n v="50000"/>
    <m/>
    <m/>
    <n v="50000"/>
    <m/>
    <m/>
    <m/>
    <m/>
    <m/>
    <m/>
    <m/>
    <m/>
    <m/>
    <m/>
    <m/>
    <m/>
    <m/>
    <m/>
    <m/>
    <m/>
    <m/>
    <m/>
    <m/>
    <m/>
    <n v="50000"/>
    <m/>
    <m/>
    <m/>
    <x v="16"/>
    <x v="2"/>
    <m/>
    <m/>
    <m/>
    <m/>
    <n v="2799"/>
    <m/>
    <m/>
    <m/>
    <m/>
    <m/>
    <m/>
    <m/>
    <s v="Y"/>
    <m/>
    <m/>
    <m/>
    <s v="IDP"/>
    <s v="Contribution to ICRC 2006 Somalia Emergency Appeal - spec IDPs"/>
  </r>
  <r>
    <s v="FL-2006-000159-KEN"/>
    <n v="159"/>
    <x v="81"/>
    <d v="2006-11-01T00:00:00"/>
    <x v="11"/>
    <x v="10"/>
    <m/>
    <x v="11"/>
    <n v="21"/>
    <x v="1"/>
    <s v="Kenya"/>
    <s v="Hydrometerological"/>
    <s v="Floods"/>
    <s v="General Floods"/>
    <s v="General Floods"/>
    <m/>
    <x v="1"/>
    <s v="IFRC"/>
    <n v="21832647"/>
    <s v="MDRKE003"/>
    <x v="20"/>
    <x v="0"/>
    <m/>
    <m/>
    <n v="563000"/>
    <m/>
    <m/>
    <n v="1"/>
    <n v="50000"/>
    <m/>
    <n v="30000"/>
    <m/>
    <n v="80000"/>
    <m/>
    <m/>
    <m/>
    <n v="20000"/>
    <m/>
    <m/>
    <m/>
    <m/>
    <m/>
    <m/>
    <m/>
    <m/>
    <n v="20000"/>
    <m/>
    <m/>
    <m/>
    <m/>
    <m/>
    <n v="120000"/>
    <m/>
    <n v="200000"/>
    <m/>
    <m/>
    <m/>
    <x v="121"/>
    <x v="1"/>
    <m/>
    <m/>
    <m/>
    <m/>
    <s v="2925 / 2099"/>
    <m/>
    <m/>
    <m/>
    <m/>
    <m/>
    <m/>
    <m/>
    <s v="N"/>
    <m/>
    <m/>
    <m/>
    <m/>
    <s v="CASH: From AP2925: 30K - IDR/IP grant directly to Kenya Red Cross; PMN to Fed - 50k from LDS; SUPPLIES: 20,000 (mosquito nets) @ $4.44 each + PSR, etc + $20,000 (transport) = $120,000 from AP2099"/>
  </r>
  <r>
    <m/>
    <n v="160"/>
    <x v="166"/>
    <d v="2006-11-01T00:00:00"/>
    <x v="11"/>
    <x v="11"/>
    <m/>
    <x v="11"/>
    <n v="22"/>
    <x v="1"/>
    <s v="Somalia"/>
    <s v="Hydrometerological"/>
    <s v="Floods"/>
    <s v="General Floods"/>
    <s v="General Floods"/>
    <m/>
    <x v="1"/>
    <s v="ICRC"/>
    <n v="33508000"/>
    <s v="REX 06/813"/>
    <x v="21"/>
    <x v="0"/>
    <m/>
    <m/>
    <n v="324000"/>
    <m/>
    <m/>
    <m/>
    <m/>
    <n v="100000"/>
    <m/>
    <m/>
    <n v="100000"/>
    <m/>
    <m/>
    <m/>
    <m/>
    <m/>
    <m/>
    <m/>
    <m/>
    <m/>
    <m/>
    <m/>
    <m/>
    <m/>
    <m/>
    <m/>
    <m/>
    <m/>
    <m/>
    <m/>
    <m/>
    <n v="100000"/>
    <m/>
    <m/>
    <m/>
    <x v="5"/>
    <x v="2"/>
    <m/>
    <m/>
    <m/>
    <m/>
    <n v="2099"/>
    <m/>
    <m/>
    <m/>
    <m/>
    <m/>
    <m/>
    <m/>
    <s v="N"/>
    <m/>
    <m/>
    <m/>
    <m/>
    <s v="Contribution to ICRC 2006 Somalia Emergency Appeal - spec those affected by floods"/>
  </r>
  <r>
    <s v="FL-2006-000198-MOZ"/>
    <n v="161"/>
    <x v="46"/>
    <d v="2007-02-01T00:00:00"/>
    <x v="11"/>
    <x v="12"/>
    <m/>
    <x v="12"/>
    <n v="1"/>
    <x v="1"/>
    <s v="Mozambique"/>
    <s v="Hydrometerological"/>
    <s v="Floods"/>
    <s v="General Floods"/>
    <s v="General Floods"/>
    <m/>
    <x v="1"/>
    <s v="IFRC"/>
    <n v="5971938"/>
    <s v="MDRMZ002"/>
    <x v="2"/>
    <x v="0"/>
    <m/>
    <m/>
    <n v="100000"/>
    <m/>
    <m/>
    <m/>
    <m/>
    <m/>
    <m/>
    <m/>
    <n v="0"/>
    <n v="2"/>
    <s v="Relief ERU"/>
    <m/>
    <n v="26950"/>
    <m/>
    <m/>
    <n v="7050"/>
    <m/>
    <m/>
    <m/>
    <m/>
    <m/>
    <m/>
    <m/>
    <n v="3900"/>
    <m/>
    <m/>
    <m/>
    <n v="200000"/>
    <n v="45000"/>
    <n v="245000"/>
    <m/>
    <m/>
    <m/>
    <x v="122"/>
    <x v="1"/>
    <m/>
    <m/>
    <m/>
    <m/>
    <s v="2099 /2936"/>
    <m/>
    <m/>
    <m/>
    <m/>
    <m/>
    <m/>
    <m/>
    <s v="N"/>
    <m/>
    <m/>
    <m/>
    <s v="Caia"/>
    <s v="SUPPLIES: 7050 blankets @ $3.75, 3900 tarps @ $14.20, 16,000 sleeping mats @ $1.70; PEOPLE: Relief ERU deployment - T. Reines, G. Guinta, 1 month, 2nd team rotation from  AP2936"/>
  </r>
  <r>
    <s v="FL-2007-000012-BOL"/>
    <n v="162"/>
    <x v="48"/>
    <d v="2007-02-01T00:00:00"/>
    <x v="11"/>
    <x v="13"/>
    <m/>
    <x v="12"/>
    <n v="2"/>
    <x v="2"/>
    <s v="Bolivia"/>
    <s v="Hydrometerological"/>
    <s v="Floods"/>
    <s v="General Floods"/>
    <s v="General Floods"/>
    <m/>
    <x v="1"/>
    <s v="IFRC"/>
    <n v="484360"/>
    <s v="MDRBO002"/>
    <x v="22"/>
    <x v="0"/>
    <m/>
    <m/>
    <n v="35940"/>
    <m/>
    <m/>
    <n v="1"/>
    <n v="150000"/>
    <m/>
    <m/>
    <m/>
    <n v="150000"/>
    <m/>
    <m/>
    <m/>
    <m/>
    <m/>
    <m/>
    <m/>
    <m/>
    <m/>
    <m/>
    <m/>
    <m/>
    <m/>
    <m/>
    <m/>
    <m/>
    <m/>
    <m/>
    <m/>
    <m/>
    <n v="150000"/>
    <m/>
    <m/>
    <m/>
    <x v="13"/>
    <x v="1"/>
    <m/>
    <m/>
    <m/>
    <m/>
    <s v="2099 / 2666"/>
    <m/>
    <m/>
    <m/>
    <m/>
    <m/>
    <m/>
    <m/>
    <s v="N"/>
    <m/>
    <m/>
    <m/>
    <m/>
    <s v="$50,000 PMN to Fed - unearmarked from 2099; $100,000  from 2666 - OFDA grant to Fed via PMN. Earmarked for 1500 food parcels, 1500 tool kits and remaining goes to transport costs."/>
  </r>
  <r>
    <m/>
    <n v="163"/>
    <x v="167"/>
    <d v="2007-03-01T00:00:00"/>
    <x v="11"/>
    <x v="14"/>
    <m/>
    <x v="12"/>
    <n v="3"/>
    <x v="3"/>
    <s v="Sri Lanka"/>
    <s v="Human Related"/>
    <s v="Conflict"/>
    <s v="Conflict"/>
    <s v="Conflict"/>
    <m/>
    <x v="1"/>
    <s v="ICRC"/>
    <n v="32018000"/>
    <s v="REX 07/376"/>
    <x v="23"/>
    <x v="0"/>
    <m/>
    <m/>
    <n v="150000"/>
    <m/>
    <m/>
    <m/>
    <m/>
    <n v="2000000"/>
    <m/>
    <m/>
    <n v="2000000"/>
    <m/>
    <m/>
    <m/>
    <m/>
    <m/>
    <m/>
    <m/>
    <m/>
    <m/>
    <m/>
    <m/>
    <m/>
    <m/>
    <m/>
    <m/>
    <m/>
    <m/>
    <m/>
    <m/>
    <m/>
    <n v="2000000"/>
    <m/>
    <m/>
    <m/>
    <x v="123"/>
    <x v="1"/>
    <m/>
    <m/>
    <m/>
    <m/>
    <s v="2695 /2692"/>
    <m/>
    <m/>
    <m/>
    <m/>
    <m/>
    <m/>
    <m/>
    <s v="N"/>
    <m/>
    <m/>
    <m/>
    <m/>
    <s v="Contribution to ICRC 2007 Sri Lanka Emergency Appeal - to build the capacity of the SLRCS in disaster relief, IHL and overall cooperation. $320K earmarked to support ICRC HQ ops"/>
  </r>
  <r>
    <m/>
    <n v="164"/>
    <x v="168"/>
    <d v="2007-03-01T00:00:00"/>
    <x v="11"/>
    <x v="15"/>
    <m/>
    <x v="12"/>
    <n v="4"/>
    <x v="1"/>
    <s v="Madagascar"/>
    <s v="Hydrometerological"/>
    <s v="Storm"/>
    <s v="Tropical Cyclone"/>
    <s v="Cyclone"/>
    <m/>
    <x v="1"/>
    <s v="IFRC"/>
    <n v="1649430"/>
    <s v="MDRMG002"/>
    <x v="2"/>
    <x v="0"/>
    <m/>
    <m/>
    <n v="60000"/>
    <m/>
    <m/>
    <m/>
    <m/>
    <m/>
    <m/>
    <m/>
    <n v="0"/>
    <n v="5"/>
    <s v="Relief ERU"/>
    <m/>
    <n v="10000"/>
    <m/>
    <m/>
    <m/>
    <m/>
    <m/>
    <m/>
    <m/>
    <m/>
    <n v="1000"/>
    <m/>
    <m/>
    <m/>
    <m/>
    <m/>
    <n v="74000"/>
    <n v="28000"/>
    <n v="102000"/>
    <m/>
    <m/>
    <m/>
    <x v="124"/>
    <x v="1"/>
    <m/>
    <m/>
    <m/>
    <m/>
    <s v="2936 / 2799"/>
    <m/>
    <m/>
    <m/>
    <m/>
    <m/>
    <m/>
    <m/>
    <s v="N"/>
    <m/>
    <m/>
    <m/>
    <s v="Indlala / Jaya"/>
    <s v="SUPPLIES: 1000 Mosquito Nets - $74,000 from 2799; PEOPLE: Deployed B. Gaillis, FACT, 3 wks; Deployed Relief ERU - C. Chaperon, G. Matthews 4 wks; Deployed 2nd rotation of Relief ERU - J. Manley, S. Hagerich, 4 wks - $18,000 cost from 2936"/>
  </r>
  <r>
    <s v="TS-2007-000042-SLB"/>
    <n v="165"/>
    <x v="169"/>
    <d v="2007-04-01T00:00:00"/>
    <x v="11"/>
    <x v="16"/>
    <m/>
    <x v="12"/>
    <n v="5"/>
    <x v="3"/>
    <s v="Solomon Islands"/>
    <s v="Geophysical"/>
    <s v="Earthquake"/>
    <s v="Tsunami"/>
    <s v="Tsunami"/>
    <m/>
    <x v="1"/>
    <s v="IFRC"/>
    <n v="1405645"/>
    <s v="MDRSB001"/>
    <x v="24"/>
    <x v="0"/>
    <m/>
    <m/>
    <n v="9000"/>
    <m/>
    <m/>
    <n v="1"/>
    <n v="50000"/>
    <m/>
    <m/>
    <m/>
    <n v="50000"/>
    <m/>
    <m/>
    <m/>
    <m/>
    <m/>
    <m/>
    <m/>
    <m/>
    <m/>
    <m/>
    <m/>
    <m/>
    <m/>
    <m/>
    <m/>
    <m/>
    <m/>
    <m/>
    <m/>
    <m/>
    <n v="50000"/>
    <m/>
    <m/>
    <m/>
    <x v="16"/>
    <x v="1"/>
    <m/>
    <m/>
    <m/>
    <m/>
    <n v="2881"/>
    <m/>
    <m/>
    <m/>
    <m/>
    <m/>
    <m/>
    <m/>
    <s v="N"/>
    <m/>
    <m/>
    <m/>
    <m/>
    <s v="PMN to Fed - unearmarked"/>
  </r>
  <r>
    <m/>
    <n v="166"/>
    <x v="170"/>
    <d v="2007-05-01T00:00:00"/>
    <x v="11"/>
    <x v="17"/>
    <m/>
    <x v="12"/>
    <n v="6"/>
    <x v="2"/>
    <s v="Colombia"/>
    <s v="Hydrometerological"/>
    <s v="Floods"/>
    <s v="General Floods"/>
    <s v="General Floods"/>
    <m/>
    <x v="0"/>
    <m/>
    <m/>
    <m/>
    <x v="0"/>
    <x v="0"/>
    <m/>
    <m/>
    <m/>
    <m/>
    <n v="3600"/>
    <m/>
    <m/>
    <m/>
    <n v="5000"/>
    <m/>
    <n v="5000"/>
    <m/>
    <m/>
    <m/>
    <m/>
    <m/>
    <m/>
    <m/>
    <m/>
    <m/>
    <m/>
    <m/>
    <m/>
    <m/>
    <m/>
    <m/>
    <m/>
    <m/>
    <m/>
    <m/>
    <m/>
    <n v="5000"/>
    <m/>
    <m/>
    <m/>
    <x v="46"/>
    <x v="2"/>
    <m/>
    <m/>
    <m/>
    <m/>
    <n v="2799"/>
    <m/>
    <m/>
    <m/>
    <m/>
    <m/>
    <m/>
    <m/>
    <s v="Y"/>
    <m/>
    <m/>
    <m/>
    <s v="Tolima"/>
    <s v="Grant to NS for NFIs, health team visits, general admin costs"/>
  </r>
  <r>
    <m/>
    <n v="167"/>
    <x v="171"/>
    <d v="2007-05-01T00:00:00"/>
    <x v="11"/>
    <x v="18"/>
    <m/>
    <x v="12"/>
    <n v="7"/>
    <x v="2"/>
    <s v="Mexico"/>
    <s v="Hydrometerological"/>
    <s v="Storm"/>
    <s v="Local Storm"/>
    <s v="Tornado"/>
    <m/>
    <x v="0"/>
    <s v="NS"/>
    <m/>
    <m/>
    <x v="0"/>
    <x v="0"/>
    <m/>
    <m/>
    <m/>
    <m/>
    <n v="3000"/>
    <m/>
    <m/>
    <m/>
    <n v="20000"/>
    <m/>
    <n v="20000"/>
    <m/>
    <m/>
    <m/>
    <m/>
    <m/>
    <m/>
    <m/>
    <m/>
    <m/>
    <m/>
    <m/>
    <m/>
    <m/>
    <m/>
    <m/>
    <m/>
    <m/>
    <m/>
    <m/>
    <m/>
    <n v="20000"/>
    <m/>
    <m/>
    <m/>
    <x v="25"/>
    <x v="1"/>
    <m/>
    <m/>
    <m/>
    <m/>
    <n v="2690"/>
    <m/>
    <m/>
    <m/>
    <m/>
    <m/>
    <m/>
    <m/>
    <s v="N"/>
    <m/>
    <m/>
    <m/>
    <s v="Coahuila"/>
    <s v="Grant to NS for NFIs - kitchen, hygiene, baby kits; laterns w/ radios"/>
  </r>
  <r>
    <m/>
    <n v="168"/>
    <x v="165"/>
    <d v="2007-06-01T00:00:00"/>
    <x v="11"/>
    <x v="19"/>
    <m/>
    <x v="12"/>
    <n v="8"/>
    <x v="1"/>
    <s v="Somalia"/>
    <s v="Human Related"/>
    <s v="Conflict"/>
    <s v="Conflict"/>
    <s v="Conflict"/>
    <m/>
    <x v="1"/>
    <s v="ICRC"/>
    <n v="38292000"/>
    <s v="REX 07/347"/>
    <x v="25"/>
    <x v="0"/>
    <m/>
    <m/>
    <n v="612000"/>
    <m/>
    <m/>
    <n v="1"/>
    <m/>
    <n v="100000"/>
    <m/>
    <m/>
    <n v="100000"/>
    <m/>
    <m/>
    <m/>
    <m/>
    <m/>
    <m/>
    <m/>
    <m/>
    <m/>
    <m/>
    <m/>
    <m/>
    <m/>
    <m/>
    <m/>
    <m/>
    <m/>
    <m/>
    <m/>
    <m/>
    <n v="100000"/>
    <m/>
    <m/>
    <m/>
    <x v="5"/>
    <x v="1"/>
    <m/>
    <m/>
    <m/>
    <m/>
    <n v="2817"/>
    <m/>
    <m/>
    <m/>
    <m/>
    <m/>
    <m/>
    <m/>
    <s v="N"/>
    <m/>
    <m/>
    <m/>
    <m/>
    <s v="Contribution to ICRC 2007 Somalia Emergency Appeal: Budget Extension - support for capacity bldg."/>
  </r>
  <r>
    <m/>
    <n v="169"/>
    <x v="125"/>
    <d v="2007-06-01T00:00:00"/>
    <x v="11"/>
    <x v="23"/>
    <m/>
    <x v="12"/>
    <n v="9"/>
    <x v="1"/>
    <s v="Sudan"/>
    <s v="Human Related"/>
    <s v="Conflict"/>
    <s v="Conflict"/>
    <s v="Conflict"/>
    <m/>
    <x v="1"/>
    <s v="ICRC"/>
    <n v="86239000"/>
    <s v="REX 07/207"/>
    <x v="26"/>
    <x v="0"/>
    <m/>
    <m/>
    <n v="125000"/>
    <m/>
    <m/>
    <m/>
    <m/>
    <n v="200000"/>
    <m/>
    <m/>
    <n v="200000"/>
    <m/>
    <m/>
    <m/>
    <m/>
    <m/>
    <m/>
    <m/>
    <m/>
    <m/>
    <m/>
    <m/>
    <m/>
    <m/>
    <m/>
    <m/>
    <m/>
    <m/>
    <m/>
    <m/>
    <m/>
    <n v="200000"/>
    <m/>
    <m/>
    <m/>
    <x v="121"/>
    <x v="1"/>
    <m/>
    <m/>
    <m/>
    <m/>
    <n v="2661"/>
    <m/>
    <m/>
    <m/>
    <m/>
    <m/>
    <m/>
    <m/>
    <s v="N"/>
    <m/>
    <m/>
    <m/>
    <m/>
    <s v="Contribution to ICRC 2007 Sudan Emergency Appeal: Budget Extension - support for capacity bldg."/>
  </r>
  <r>
    <s v="FF-2007-000082-PAK; and TC-2007-000084-PAK"/>
    <n v="170"/>
    <x v="172"/>
    <d v="2007-07-01T00:00:00"/>
    <x v="12"/>
    <x v="1"/>
    <m/>
    <x v="12"/>
    <n v="10"/>
    <x v="3"/>
    <s v="Pakistan"/>
    <s v="Hydrometerological"/>
    <s v="Storm"/>
    <s v="Tropical Cyclone"/>
    <s v="Cyclone"/>
    <n v="1500000"/>
    <x v="1"/>
    <s v="IFRC"/>
    <n v="17000000"/>
    <s v="MDRPK001"/>
    <x v="27"/>
    <x v="0"/>
    <m/>
    <m/>
    <n v="257500"/>
    <m/>
    <m/>
    <n v="1"/>
    <n v="285000"/>
    <m/>
    <m/>
    <m/>
    <n v="285000"/>
    <n v="1"/>
    <m/>
    <m/>
    <m/>
    <m/>
    <m/>
    <m/>
    <m/>
    <m/>
    <m/>
    <m/>
    <m/>
    <m/>
    <m/>
    <m/>
    <m/>
    <m/>
    <m/>
    <m/>
    <n v="10000"/>
    <n v="295000"/>
    <m/>
    <m/>
    <m/>
    <x v="125"/>
    <x v="1"/>
    <m/>
    <m/>
    <m/>
    <m/>
    <s v="2099/2897"/>
    <m/>
    <m/>
    <m/>
    <m/>
    <m/>
    <m/>
    <m/>
    <s v="N"/>
    <m/>
    <m/>
    <m/>
    <s v="Cyclone Yemyin –July 2007: When this cyclone struck affecting 1.5 million Pakistanis, the American Red Cross supported the Pakistan Red Crescent response operation with $285,000 and also deployed a specialist to serve on a global Red Cross Field Assessment and Coordination Team to assist in initial coordination of the relief operation. "/>
    <s v="CASH: $285,000 in PMNs to Fed - unearmarked; PEOPLE: T. Betz deployed on FACT as Relief/Logs Ap2897"/>
  </r>
  <r>
    <s v="FF-2007-000080-BGD"/>
    <n v="171"/>
    <x v="19"/>
    <d v="2007-07-01T00:00:00"/>
    <x v="12"/>
    <x v="2"/>
    <m/>
    <x v="12"/>
    <n v="11"/>
    <x v="3"/>
    <s v="Bangladesh"/>
    <s v="Hydrometerological"/>
    <s v="Floods"/>
    <s v="General Floods"/>
    <s v="General Floods"/>
    <n v="2300000"/>
    <x v="1"/>
    <s v="IFRC"/>
    <n v="4850000"/>
    <s v="MDRBD002"/>
    <x v="28"/>
    <x v="2"/>
    <m/>
    <m/>
    <n v="1200000"/>
    <m/>
    <m/>
    <n v="1"/>
    <n v="124500"/>
    <m/>
    <m/>
    <m/>
    <n v="124500"/>
    <m/>
    <m/>
    <m/>
    <m/>
    <m/>
    <m/>
    <m/>
    <m/>
    <m/>
    <m/>
    <m/>
    <m/>
    <m/>
    <m/>
    <m/>
    <m/>
    <m/>
    <m/>
    <m/>
    <m/>
    <n v="124500"/>
    <m/>
    <m/>
    <m/>
    <x v="126"/>
    <x v="1"/>
    <m/>
    <m/>
    <m/>
    <m/>
    <s v="2017 / 2099"/>
    <m/>
    <m/>
    <m/>
    <m/>
    <m/>
    <m/>
    <m/>
    <s v="N"/>
    <m/>
    <m/>
    <m/>
    <s v="When this cyclone struck affecting 1.5 million Pakistanis, the American Red Cross supported the Pakistan Red Crescent response operation with $285,000 and also deployed a specialist to serve on a global Red Cross Field Assessment and Coordination Team to assist in initial coordination of the relief operation. "/>
    <s v="CASH: $24,500 PMN to Fed - unearmarked from 2017; $100,000 PMN to Fed - unearmarked from 2099;"/>
  </r>
  <r>
    <m/>
    <n v="172"/>
    <x v="105"/>
    <d v="2007-07-01T00:00:00"/>
    <x v="12"/>
    <x v="3"/>
    <m/>
    <x v="12"/>
    <n v="12"/>
    <x v="3"/>
    <s v="Iraq"/>
    <s v="Human Related"/>
    <s v="Conflict"/>
    <s v="Conflict"/>
    <s v="Conflict"/>
    <n v="2000000"/>
    <x v="1"/>
    <s v="IFRC"/>
    <n v="15000000"/>
    <s v="MDR81002"/>
    <x v="29"/>
    <x v="0"/>
    <m/>
    <m/>
    <n v="250000"/>
    <m/>
    <m/>
    <n v="1"/>
    <n v="250000"/>
    <m/>
    <m/>
    <m/>
    <n v="250000"/>
    <m/>
    <m/>
    <m/>
    <m/>
    <m/>
    <m/>
    <m/>
    <m/>
    <m/>
    <m/>
    <m/>
    <m/>
    <m/>
    <m/>
    <m/>
    <m/>
    <m/>
    <m/>
    <m/>
    <m/>
    <n v="250000"/>
    <m/>
    <m/>
    <m/>
    <x v="35"/>
    <x v="2"/>
    <m/>
    <m/>
    <m/>
    <m/>
    <n v="2099"/>
    <m/>
    <m/>
    <m/>
    <m/>
    <m/>
    <m/>
    <m/>
    <s v="N"/>
    <m/>
    <m/>
    <m/>
    <s v="Refugees from Iraq in Syria and Jordan"/>
    <s v="PMN to Fed - unearmarked"/>
  </r>
  <r>
    <s v="FL-2007-00093-SDN"/>
    <n v="173"/>
    <x v="162"/>
    <d v="2007-07-01T00:00:00"/>
    <x v="12"/>
    <x v="4"/>
    <m/>
    <x v="12"/>
    <n v="13"/>
    <x v="1"/>
    <s v="Sudan"/>
    <s v="Hydrometerological"/>
    <s v="Floods"/>
    <s v="General Floods"/>
    <s v="General Floods"/>
    <n v="365000"/>
    <x v="1"/>
    <s v="IFRC"/>
    <n v="6800000"/>
    <s v="MDRSD004"/>
    <x v="30"/>
    <x v="0"/>
    <m/>
    <m/>
    <n v="200000"/>
    <m/>
    <m/>
    <n v="1"/>
    <n v="100000"/>
    <m/>
    <m/>
    <m/>
    <n v="100000"/>
    <n v="1"/>
    <m/>
    <m/>
    <n v="10000"/>
    <m/>
    <m/>
    <m/>
    <m/>
    <m/>
    <m/>
    <m/>
    <m/>
    <n v="10000"/>
    <m/>
    <m/>
    <m/>
    <m/>
    <m/>
    <n v="44400"/>
    <n v="9000"/>
    <n v="153400"/>
    <m/>
    <m/>
    <m/>
    <x v="127"/>
    <x v="1"/>
    <m/>
    <m/>
    <m/>
    <m/>
    <s v="2802 /2099"/>
    <m/>
    <m/>
    <m/>
    <m/>
    <m/>
    <m/>
    <m/>
    <s v="N"/>
    <m/>
    <m/>
    <m/>
    <m/>
    <s v="CASH: $100,000 PMN to Fed earmarked for improved emergency shelters (Appeal obj 1) and tree saplings (obj 4) for 500 families from AP 2099; PEOPLE: N.Cooper deployed on FACT as Relief/Shelter"/>
  </r>
  <r>
    <s v="FL-2007-000111-GBR"/>
    <n v="174"/>
    <x v="173"/>
    <d v="2007-07-01T00:00:00"/>
    <x v="12"/>
    <x v="5"/>
    <m/>
    <x v="12"/>
    <n v="15"/>
    <x v="3"/>
    <s v="United Kingdom"/>
    <s v="Hydrometerological"/>
    <s v="Floods"/>
    <s v="General Floods"/>
    <s v="General Floods"/>
    <n v="1000000"/>
    <x v="0"/>
    <m/>
    <m/>
    <m/>
    <x v="0"/>
    <x v="0"/>
    <m/>
    <m/>
    <m/>
    <m/>
    <m/>
    <m/>
    <m/>
    <m/>
    <n v="20188"/>
    <m/>
    <n v="20188"/>
    <m/>
    <m/>
    <m/>
    <m/>
    <m/>
    <m/>
    <m/>
    <m/>
    <m/>
    <m/>
    <m/>
    <m/>
    <m/>
    <m/>
    <m/>
    <m/>
    <m/>
    <m/>
    <m/>
    <m/>
    <n v="20188"/>
    <m/>
    <m/>
    <m/>
    <x v="128"/>
    <x v="1"/>
    <m/>
    <m/>
    <m/>
    <m/>
    <n v="2605"/>
    <m/>
    <m/>
    <m/>
    <m/>
    <m/>
    <m/>
    <m/>
    <s v="N"/>
    <m/>
    <m/>
    <m/>
    <m/>
    <s v="Grant letter to British Red Cross; 10,000 GBP donation from Cargill + individual donations"/>
  </r>
  <r>
    <s v="FF-2007-000117-NPL"/>
    <n v="175"/>
    <x v="174"/>
    <d v="2007-08-01T00:00:00"/>
    <x v="12"/>
    <x v="6"/>
    <m/>
    <x v="12"/>
    <n v="16"/>
    <x v="3"/>
    <s v="Nepal"/>
    <s v="Hydrometerological"/>
    <s v="Floods"/>
    <s v="General Floods"/>
    <s v="General Floods"/>
    <n v="645000"/>
    <x v="1"/>
    <s v="IFRC"/>
    <n v="2340000"/>
    <m/>
    <x v="31"/>
    <x v="0"/>
    <s v="Y"/>
    <m/>
    <n v="150000"/>
    <m/>
    <m/>
    <n v="1"/>
    <n v="50000"/>
    <m/>
    <m/>
    <m/>
    <n v="50000"/>
    <m/>
    <m/>
    <m/>
    <m/>
    <m/>
    <m/>
    <m/>
    <m/>
    <m/>
    <m/>
    <m/>
    <m/>
    <m/>
    <m/>
    <m/>
    <m/>
    <m/>
    <m/>
    <m/>
    <m/>
    <n v="50000"/>
    <m/>
    <m/>
    <m/>
    <x v="16"/>
    <x v="2"/>
    <m/>
    <m/>
    <m/>
    <m/>
    <n v="2099"/>
    <m/>
    <m/>
    <m/>
    <m/>
    <m/>
    <m/>
    <m/>
    <s v="N"/>
    <m/>
    <m/>
    <m/>
    <m/>
    <s v="PMN to Fed - unearmarked"/>
  </r>
  <r>
    <s v="EQ-2007-000133-PER"/>
    <n v="176"/>
    <x v="54"/>
    <d v="2007-08-01T00:00:00"/>
    <x v="12"/>
    <x v="7"/>
    <m/>
    <x v="12"/>
    <n v="17"/>
    <x v="2"/>
    <s v="Peru"/>
    <s v="Geophysical"/>
    <s v="Earthquake"/>
    <s v="Earthquake"/>
    <s v="Earthquake"/>
    <n v="655000"/>
    <x v="1"/>
    <s v="IFRC"/>
    <n v="9600000"/>
    <s v="MDRPE003"/>
    <x v="32"/>
    <x v="3"/>
    <m/>
    <m/>
    <n v="37500"/>
    <m/>
    <m/>
    <n v="1"/>
    <n v="300000"/>
    <m/>
    <m/>
    <m/>
    <n v="300000"/>
    <n v="6"/>
    <m/>
    <m/>
    <n v="16500"/>
    <m/>
    <n v="3500"/>
    <m/>
    <m/>
    <m/>
    <m/>
    <n v="2000"/>
    <m/>
    <m/>
    <m/>
    <n v="11000"/>
    <m/>
    <m/>
    <m/>
    <n v="214800"/>
    <n v="5000"/>
    <n v="519800"/>
    <m/>
    <m/>
    <m/>
    <x v="129"/>
    <x v="1"/>
    <m/>
    <m/>
    <m/>
    <m/>
    <n v="2816"/>
    <m/>
    <m/>
    <m/>
    <m/>
    <m/>
    <m/>
    <m/>
    <s v="N"/>
    <m/>
    <m/>
    <s v="y"/>
    <m/>
    <s v="CASH: 100K PMN Unearmarked, 200K PMN earmarked for hygiene kits, jerry cans and shelter kits + ops costs; SUPPLIES: hygiene kits @ $13.55; tarps @ $11.30; kitchen sets @ $14.55 + PSR; PEOPLE: C Michaud deployed on Relief ERU (2 days) replaced by L Aceves for 1 month; C Chaperon sent to deliver equipment; Roberto Brito and Richard Urrutia (early recovery assmt); Shelley Cheatham (Admin/Ops), Lee Malany (shelter) and Jessica (PSP early recovery delegate)"/>
  </r>
  <r>
    <s v="TC-2007-000135"/>
    <n v="177"/>
    <x v="175"/>
    <d v="2007-08-01T00:00:00"/>
    <x v="12"/>
    <x v="8"/>
    <m/>
    <x v="12"/>
    <n v="18"/>
    <x v="2"/>
    <s v="Jamaica"/>
    <s v="Hydrometerological"/>
    <s v="Storm"/>
    <s v="Tropical Cyclone"/>
    <s v="Hurricane"/>
    <n v="210000"/>
    <x v="1"/>
    <s v="IFRC"/>
    <n v="2927000"/>
    <s v="MDR49001"/>
    <x v="2"/>
    <x v="0"/>
    <m/>
    <m/>
    <n v="108550"/>
    <m/>
    <n v="5000"/>
    <m/>
    <m/>
    <m/>
    <m/>
    <m/>
    <n v="0"/>
    <m/>
    <m/>
    <m/>
    <n v="2350"/>
    <m/>
    <n v="1000"/>
    <m/>
    <m/>
    <m/>
    <m/>
    <n v="1000"/>
    <m/>
    <m/>
    <m/>
    <n v="350"/>
    <m/>
    <m/>
    <m/>
    <n v="34565"/>
    <m/>
    <n v="34565"/>
    <m/>
    <m/>
    <m/>
    <x v="130"/>
    <x v="1"/>
    <m/>
    <m/>
    <m/>
    <m/>
    <n v="2837"/>
    <m/>
    <m/>
    <m/>
    <m/>
    <m/>
    <m/>
    <m/>
    <s v="N"/>
    <m/>
    <m/>
    <m/>
    <s v="Dean"/>
    <m/>
  </r>
  <r>
    <s v="TC-2007-000135"/>
    <n v="177"/>
    <x v="175"/>
    <d v="2007-08-01T00:00:00"/>
    <x v="12"/>
    <x v="8"/>
    <m/>
    <x v="12"/>
    <n v="18"/>
    <x v="2"/>
    <s v="Mexico"/>
    <s v="Hydrometerological"/>
    <s v="Storm"/>
    <s v="Tropical Cyclone"/>
    <s v="Hurricane"/>
    <m/>
    <x v="0"/>
    <m/>
    <m/>
    <m/>
    <x v="0"/>
    <x v="0"/>
    <m/>
    <m/>
    <m/>
    <m/>
    <n v="24000"/>
    <m/>
    <m/>
    <m/>
    <n v="298680"/>
    <m/>
    <n v="298680"/>
    <n v="1"/>
    <m/>
    <m/>
    <m/>
    <m/>
    <m/>
    <m/>
    <m/>
    <m/>
    <m/>
    <m/>
    <m/>
    <m/>
    <m/>
    <m/>
    <m/>
    <m/>
    <m/>
    <m/>
    <m/>
    <n v="298680"/>
    <m/>
    <m/>
    <m/>
    <x v="131"/>
    <x v="1"/>
    <m/>
    <m/>
    <m/>
    <m/>
    <s v="2868 / 2099"/>
    <m/>
    <m/>
    <m/>
    <m/>
    <m/>
    <m/>
    <m/>
    <s v="N"/>
    <m/>
    <m/>
    <m/>
    <s v="Dean"/>
    <s v="CASH:  ARC grant ($76k) to MRC for hygiene kits, kitchen sets, and roofing materials for 670 families; ARC/OFDA subgrant to MRC ($222k) for 1,830 families; PEOPLE: Shelley Cheatham (Monitoring)"/>
  </r>
  <r>
    <s v="TC-2007-000135"/>
    <n v="177"/>
    <x v="175"/>
    <d v="2007-08-01T00:00:00"/>
    <x v="12"/>
    <x v="8"/>
    <m/>
    <x v="12"/>
    <n v="18"/>
    <x v="2"/>
    <s v="Haiti"/>
    <s v="Hydrometerological"/>
    <s v="Storm"/>
    <s v="Tropical Cyclone"/>
    <s v="Hurricane"/>
    <m/>
    <x v="0"/>
    <m/>
    <m/>
    <m/>
    <x v="0"/>
    <x v="0"/>
    <m/>
    <m/>
    <m/>
    <m/>
    <m/>
    <m/>
    <m/>
    <m/>
    <n v="2500"/>
    <m/>
    <n v="2500"/>
    <n v="1"/>
    <m/>
    <m/>
    <m/>
    <m/>
    <m/>
    <m/>
    <m/>
    <m/>
    <m/>
    <m/>
    <m/>
    <m/>
    <m/>
    <m/>
    <m/>
    <m/>
    <m/>
    <m/>
    <m/>
    <n v="2500"/>
    <m/>
    <m/>
    <m/>
    <x v="132"/>
    <x v="1"/>
    <m/>
    <m/>
    <m/>
    <m/>
    <n v="2837"/>
    <m/>
    <m/>
    <m/>
    <m/>
    <m/>
    <m/>
    <m/>
    <s v="N"/>
    <m/>
    <m/>
    <m/>
    <s v="Dean"/>
    <s v="CASH: Grant to Haitian Red Cross - restock relief supplies; PEOPLE: Brigitte Gaillis (Contingency Planning)"/>
  </r>
  <r>
    <s v="WF-2007-000148-GRC"/>
    <n v="178"/>
    <x v="176"/>
    <d v="2007-09-01T00:00:00"/>
    <x v="12"/>
    <x v="9"/>
    <m/>
    <x v="12"/>
    <n v="19"/>
    <x v="3"/>
    <s v="Greece"/>
    <s v="Hydrometerological"/>
    <s v="Wildfire"/>
    <s v="Forest Fire"/>
    <s v="Fire"/>
    <m/>
    <x v="0"/>
    <m/>
    <m/>
    <m/>
    <x v="0"/>
    <x v="0"/>
    <m/>
    <m/>
    <m/>
    <m/>
    <m/>
    <m/>
    <m/>
    <m/>
    <n v="40000"/>
    <m/>
    <n v="40000"/>
    <m/>
    <m/>
    <m/>
    <m/>
    <m/>
    <m/>
    <m/>
    <m/>
    <m/>
    <m/>
    <m/>
    <m/>
    <m/>
    <m/>
    <m/>
    <m/>
    <m/>
    <m/>
    <m/>
    <m/>
    <n v="40000"/>
    <m/>
    <m/>
    <m/>
    <x v="27"/>
    <x v="2"/>
    <m/>
    <m/>
    <m/>
    <m/>
    <n v="2099"/>
    <m/>
    <m/>
    <m/>
    <m/>
    <m/>
    <m/>
    <m/>
    <s v="N"/>
    <m/>
    <m/>
    <m/>
    <m/>
    <s v="UPS 25k, Gen Mills 15k - Grant letter"/>
  </r>
  <r>
    <s v="TC-2007-000157"/>
    <n v="179"/>
    <x v="177"/>
    <d v="2007-09-01T00:00:00"/>
    <x v="12"/>
    <x v="10"/>
    <m/>
    <x v="12"/>
    <n v="20"/>
    <x v="2"/>
    <s v="Nicaragua"/>
    <s v="Hydrometerological"/>
    <s v="Storm"/>
    <s v="Tropical Cyclone"/>
    <s v="Hurricane"/>
    <n v="175000"/>
    <x v="1"/>
    <s v="IFRC"/>
    <n v="1300000"/>
    <s v="MDR43002"/>
    <x v="33"/>
    <x v="0"/>
    <m/>
    <m/>
    <n v="31658"/>
    <m/>
    <m/>
    <n v="1"/>
    <n v="50000"/>
    <m/>
    <m/>
    <m/>
    <n v="50000"/>
    <m/>
    <m/>
    <m/>
    <m/>
    <m/>
    <m/>
    <m/>
    <m/>
    <m/>
    <m/>
    <m/>
    <m/>
    <m/>
    <m/>
    <m/>
    <m/>
    <m/>
    <m/>
    <m/>
    <m/>
    <n v="50000"/>
    <m/>
    <m/>
    <m/>
    <x v="16"/>
    <x v="2"/>
    <m/>
    <m/>
    <m/>
    <m/>
    <n v="2099"/>
    <m/>
    <m/>
    <m/>
    <m/>
    <m/>
    <m/>
    <m/>
    <s v="N"/>
    <m/>
    <m/>
    <m/>
    <s v="Felix"/>
    <s v="PMN to Fed - earmarked $50,000 for Nicaragua and $22,500 for Honduras (includes $25,000 from Exxon for Honduras); "/>
  </r>
  <r>
    <s v="TC-2007-000157"/>
    <n v="179"/>
    <x v="177"/>
    <d v="2007-09-01T00:00:00"/>
    <x v="12"/>
    <x v="10"/>
    <m/>
    <x v="12"/>
    <n v="20"/>
    <x v="2"/>
    <s v="Honduras"/>
    <s v="Hydrometerological"/>
    <s v="Storm"/>
    <s v="Tropical Cyclone"/>
    <s v="Hurricane"/>
    <m/>
    <x v="0"/>
    <m/>
    <m/>
    <m/>
    <x v="0"/>
    <x v="0"/>
    <m/>
    <m/>
    <m/>
    <m/>
    <m/>
    <n v="0"/>
    <n v="22500"/>
    <m/>
    <m/>
    <m/>
    <n v="22500"/>
    <m/>
    <m/>
    <m/>
    <m/>
    <m/>
    <m/>
    <m/>
    <m/>
    <m/>
    <m/>
    <m/>
    <m/>
    <m/>
    <m/>
    <m/>
    <m/>
    <m/>
    <m/>
    <m/>
    <m/>
    <n v="22500"/>
    <m/>
    <m/>
    <m/>
    <x v="133"/>
    <x v="2"/>
    <m/>
    <m/>
    <m/>
    <m/>
    <n v="2099"/>
    <m/>
    <m/>
    <m/>
    <m/>
    <m/>
    <m/>
    <m/>
    <s v="N"/>
    <m/>
    <m/>
    <m/>
    <s v="Felix"/>
    <m/>
  </r>
  <r>
    <s v="TC-2007-000157"/>
    <n v="179"/>
    <x v="177"/>
    <d v="2007-09-01T00:00:00"/>
    <x v="12"/>
    <x v="10"/>
    <m/>
    <x v="12"/>
    <n v="20"/>
    <x v="2"/>
    <s v="Honduras"/>
    <s v="Hydrometerological"/>
    <s v="Storm"/>
    <s v="Tropical Cyclone"/>
    <s v="Hurricane"/>
    <m/>
    <x v="0"/>
    <m/>
    <m/>
    <m/>
    <x v="0"/>
    <x v="0"/>
    <m/>
    <m/>
    <m/>
    <m/>
    <m/>
    <n v="0"/>
    <n v="47500"/>
    <m/>
    <m/>
    <m/>
    <n v="47500"/>
    <m/>
    <m/>
    <m/>
    <m/>
    <m/>
    <m/>
    <m/>
    <m/>
    <m/>
    <m/>
    <m/>
    <m/>
    <m/>
    <m/>
    <m/>
    <m/>
    <m/>
    <m/>
    <m/>
    <m/>
    <n v="47500"/>
    <m/>
    <m/>
    <m/>
    <x v="134"/>
    <x v="1"/>
    <m/>
    <m/>
    <m/>
    <m/>
    <n v="2696"/>
    <m/>
    <m/>
    <m/>
    <m/>
    <m/>
    <m/>
    <m/>
    <s v="N"/>
    <m/>
    <m/>
    <m/>
    <s v="Felix"/>
    <s v="CASH: PMN to Fed - unearmarked"/>
  </r>
  <r>
    <s v="EQ-2007-000157-IDN"/>
    <n v="180"/>
    <x v="178"/>
    <d v="2007-09-01T00:00:00"/>
    <x v="12"/>
    <x v="11"/>
    <m/>
    <x v="12"/>
    <n v="21"/>
    <x v="3"/>
    <s v="Indonesia"/>
    <s v="Geophysical"/>
    <s v="Earthquake"/>
    <s v="Earthquake"/>
    <s v="Earthquake"/>
    <m/>
    <x v="0"/>
    <m/>
    <m/>
    <m/>
    <x v="0"/>
    <x v="0"/>
    <m/>
    <m/>
    <m/>
    <m/>
    <m/>
    <m/>
    <m/>
    <m/>
    <n v="3000"/>
    <m/>
    <n v="3000"/>
    <m/>
    <m/>
    <m/>
    <m/>
    <m/>
    <m/>
    <m/>
    <m/>
    <m/>
    <m/>
    <m/>
    <m/>
    <m/>
    <m/>
    <m/>
    <m/>
    <m/>
    <m/>
    <m/>
    <m/>
    <n v="3000"/>
    <m/>
    <m/>
    <m/>
    <x v="86"/>
    <x v="2"/>
    <m/>
    <m/>
    <m/>
    <m/>
    <n v="2799"/>
    <m/>
    <m/>
    <m/>
    <m/>
    <m/>
    <m/>
    <m/>
    <s v="Y"/>
    <m/>
    <m/>
    <m/>
    <s v="Bengkulu"/>
    <s v="Per diem for PMI response team"/>
  </r>
  <r>
    <s v="FL-2007-000138-UGA"/>
    <n v="181"/>
    <x v="179"/>
    <d v="2007-09-01T00:00:00"/>
    <x v="12"/>
    <x v="12"/>
    <m/>
    <x v="12"/>
    <n v="22"/>
    <x v="1"/>
    <s v="Uganda"/>
    <s v="Hydrometerological"/>
    <s v="Floods"/>
    <s v="General Floods"/>
    <s v="General Floods"/>
    <n v="450000"/>
    <x v="1"/>
    <s v="IFRC"/>
    <n v="9511366"/>
    <s v="MDRUG006"/>
    <x v="2"/>
    <x v="4"/>
    <m/>
    <m/>
    <n v="125000"/>
    <m/>
    <m/>
    <m/>
    <m/>
    <m/>
    <m/>
    <m/>
    <n v="0"/>
    <n v="3"/>
    <s v="IT/Telecoms"/>
    <m/>
    <m/>
    <m/>
    <m/>
    <m/>
    <m/>
    <m/>
    <m/>
    <m/>
    <m/>
    <m/>
    <m/>
    <m/>
    <m/>
    <m/>
    <m/>
    <m/>
    <n v="17400"/>
    <n v="17400"/>
    <m/>
    <m/>
    <m/>
    <x v="135"/>
    <x v="2"/>
    <m/>
    <m/>
    <m/>
    <m/>
    <n v="2799"/>
    <m/>
    <m/>
    <m/>
    <m/>
    <m/>
    <m/>
    <m/>
    <s v="Y"/>
    <m/>
    <m/>
    <m/>
    <m/>
    <s v="C Chaperon (relief) and B Nandiga (wat/san) deployed on FACT.  M Million deployed on joint Danish-American IT/Telecom ERU."/>
  </r>
  <r>
    <s v="FL-2007-000158-TGO; FL-2007-000132-BFA;FL-2007-000153-GHA"/>
    <n v="182"/>
    <x v="180"/>
    <d v="2007-09-01T00:00:00"/>
    <x v="12"/>
    <x v="13"/>
    <m/>
    <x v="12"/>
    <n v="23"/>
    <x v="1"/>
    <s v="Togo"/>
    <s v="Hydrometerological"/>
    <s v="Floods"/>
    <s v="General Floods"/>
    <s v="General Floods"/>
    <n v="185000"/>
    <x v="1"/>
    <s v="IFRC"/>
    <n v="3200000"/>
    <s v="MDR61002"/>
    <x v="34"/>
    <x v="2"/>
    <m/>
    <m/>
    <n v="94825"/>
    <m/>
    <m/>
    <n v="0"/>
    <n v="19970"/>
    <m/>
    <m/>
    <m/>
    <n v="19970"/>
    <m/>
    <m/>
    <m/>
    <m/>
    <m/>
    <m/>
    <m/>
    <m/>
    <m/>
    <m/>
    <m/>
    <m/>
    <m/>
    <m/>
    <m/>
    <m/>
    <m/>
    <m/>
    <m/>
    <m/>
    <n v="19970"/>
    <m/>
    <m/>
    <m/>
    <x v="136"/>
    <x v="2"/>
    <m/>
    <m/>
    <m/>
    <m/>
    <n v="2799"/>
    <m/>
    <m/>
    <m/>
    <m/>
    <m/>
    <m/>
    <m/>
    <s v="Y"/>
    <m/>
    <m/>
    <m/>
    <m/>
    <s v="PMN (CHF 10,300) to cover delegate costs for Youssouff Langui on FACT to Togo.  PMN (CHF 13,102) to cover costs for 3 RDRTs for one month."/>
  </r>
  <r>
    <s v="TC-000198-DOM/HTI;"/>
    <n v="183"/>
    <x v="181"/>
    <d v="2007-10-01T00:00:00"/>
    <x v="12"/>
    <x v="14"/>
    <m/>
    <x v="12"/>
    <n v="24"/>
    <x v="2"/>
    <s v="Dominican Republic"/>
    <s v="Hydrometerological"/>
    <s v="Storm"/>
    <s v="Tropical Cyclone"/>
    <s v="Tropical Storm"/>
    <n v="200000"/>
    <x v="1"/>
    <s v="IFRC"/>
    <n v="1544000"/>
    <s v="MDR49002"/>
    <x v="35"/>
    <x v="0"/>
    <m/>
    <m/>
    <n v="52995"/>
    <m/>
    <m/>
    <n v="0"/>
    <n v="35000"/>
    <m/>
    <m/>
    <m/>
    <n v="35000"/>
    <m/>
    <m/>
    <m/>
    <n v="4000"/>
    <m/>
    <n v="1000"/>
    <m/>
    <m/>
    <m/>
    <m/>
    <n v="1000"/>
    <m/>
    <m/>
    <m/>
    <n v="2000"/>
    <m/>
    <m/>
    <m/>
    <n v="69055"/>
    <m/>
    <n v="104055"/>
    <m/>
    <m/>
    <m/>
    <x v="137"/>
    <x v="1"/>
    <m/>
    <m/>
    <m/>
    <m/>
    <n v="2694"/>
    <m/>
    <m/>
    <m/>
    <m/>
    <m/>
    <m/>
    <m/>
    <s v="N"/>
    <m/>
    <m/>
    <m/>
    <s v="Noel"/>
    <s v="PSR"/>
  </r>
  <r>
    <s v="TC-000198-DOM/HTI;"/>
    <n v="183"/>
    <x v="181"/>
    <d v="2007-11-01T00:00:00"/>
    <x v="12"/>
    <x v="14"/>
    <m/>
    <x v="12"/>
    <n v="24"/>
    <x v="2"/>
    <s v="Haiti"/>
    <s v="Hydrometerological"/>
    <s v="Storm"/>
    <s v="Tropical Cyclone"/>
    <s v="Tropical Storm"/>
    <m/>
    <x v="0"/>
    <m/>
    <m/>
    <s v="MDR49002"/>
    <x v="0"/>
    <x v="0"/>
    <m/>
    <m/>
    <m/>
    <m/>
    <m/>
    <n v="1"/>
    <n v="50000"/>
    <m/>
    <m/>
    <m/>
    <n v="50000"/>
    <m/>
    <m/>
    <m/>
    <n v="2000"/>
    <m/>
    <m/>
    <n v="2000"/>
    <m/>
    <m/>
    <m/>
    <m/>
    <m/>
    <m/>
    <m/>
    <m/>
    <m/>
    <m/>
    <m/>
    <n v="8073"/>
    <m/>
    <n v="58073"/>
    <m/>
    <m/>
    <m/>
    <x v="138"/>
    <x v="1"/>
    <m/>
    <m/>
    <m/>
    <m/>
    <n v="2024"/>
    <m/>
    <m/>
    <m/>
    <m/>
    <m/>
    <m/>
    <m/>
    <s v="N"/>
    <m/>
    <m/>
    <m/>
    <s v="Noel"/>
    <s v="PSR"/>
  </r>
  <r>
    <s v="TC-000198-DOM/HTI;"/>
    <n v="183"/>
    <x v="181"/>
    <d v="2007-11-01T00:00:00"/>
    <x v="12"/>
    <x v="14"/>
    <m/>
    <x v="12"/>
    <n v="24"/>
    <x v="2"/>
    <s v="Bahamas"/>
    <s v="Hydrometerological"/>
    <s v="Storm"/>
    <s v="Tropical Cyclone"/>
    <s v="Tropical Storm"/>
    <m/>
    <x v="0"/>
    <m/>
    <m/>
    <s v="MDR49002"/>
    <x v="0"/>
    <x v="0"/>
    <m/>
    <m/>
    <m/>
    <m/>
    <m/>
    <n v="0"/>
    <n v="30000"/>
    <m/>
    <m/>
    <m/>
    <n v="30000"/>
    <n v="2"/>
    <m/>
    <m/>
    <m/>
    <m/>
    <m/>
    <m/>
    <m/>
    <m/>
    <m/>
    <m/>
    <m/>
    <m/>
    <m/>
    <m/>
    <m/>
    <m/>
    <m/>
    <m/>
    <n v="7440"/>
    <n v="37440"/>
    <m/>
    <m/>
    <m/>
    <x v="139"/>
    <x v="1"/>
    <m/>
    <m/>
    <m/>
    <m/>
    <n v="2024"/>
    <m/>
    <m/>
    <m/>
    <m/>
    <m/>
    <m/>
    <m/>
    <s v="N"/>
    <m/>
    <m/>
    <m/>
    <s v="Noel"/>
    <s v="PEOPLE: O Abou-Samra, J Ferguson (cash/livelihoods); CASH: PMN to Fed ($10k for cash distribution project, $20k operational costs)"/>
  </r>
  <r>
    <s v="FL-2007-000200-MEX"/>
    <n v="184"/>
    <x v="6"/>
    <d v="2007-11-01T00:00:00"/>
    <x v="12"/>
    <x v="15"/>
    <m/>
    <x v="12"/>
    <n v="25"/>
    <x v="2"/>
    <s v="Mexico"/>
    <s v="Hydrometerological"/>
    <s v="Floods"/>
    <s v="General Floods"/>
    <s v="General Floods"/>
    <n v="1000000"/>
    <x v="1"/>
    <s v="IFRC"/>
    <n v="1800000"/>
    <s v="MDRMX002"/>
    <x v="36"/>
    <x v="1"/>
    <m/>
    <m/>
    <n v="44380"/>
    <m/>
    <n v="10000"/>
    <n v="1"/>
    <n v="167077"/>
    <m/>
    <n v="350000"/>
    <m/>
    <n v="517077"/>
    <n v="1"/>
    <m/>
    <m/>
    <n v="15500"/>
    <m/>
    <n v="3500"/>
    <m/>
    <m/>
    <m/>
    <m/>
    <n v="2000"/>
    <m/>
    <n v="10000"/>
    <m/>
    <m/>
    <m/>
    <m/>
    <m/>
    <n v="143415"/>
    <n v="357"/>
    <n v="660849"/>
    <m/>
    <m/>
    <m/>
    <x v="140"/>
    <x v="1"/>
    <m/>
    <m/>
    <m/>
    <m/>
    <s v="2690/OFDA/2799 "/>
    <m/>
    <m/>
    <m/>
    <m/>
    <m/>
    <m/>
    <m/>
    <s v="N"/>
    <m/>
    <m/>
    <m/>
    <s v="Tabasco"/>
    <s v="CASH: Grants to MxRC ($50k from 2799 + $300k from 2690), PMN to Fed $167k (earmarked for 4,000 hygiene kits, 4,000 jerry cans, 4,000 buckets);  OFDA Grant; PEOPLE: W Romeril (info)"/>
  </r>
  <r>
    <s v="TC-2007-00178-VNM"/>
    <n v="185"/>
    <x v="182"/>
    <d v="2007-11-01T00:00:00"/>
    <x v="12"/>
    <x v="16"/>
    <m/>
    <x v="12"/>
    <n v="26"/>
    <x v="3"/>
    <s v="Vietnam"/>
    <s v="Hydrometerological"/>
    <s v="Storm"/>
    <s v="Tropical Cyclone"/>
    <s v="Typhoon"/>
    <n v="600000"/>
    <x v="1"/>
    <s v="IFRC"/>
    <n v="2700000"/>
    <s v="MDRVN002"/>
    <x v="37"/>
    <x v="5"/>
    <m/>
    <m/>
    <n v="180000"/>
    <m/>
    <m/>
    <n v="1"/>
    <n v="115000"/>
    <m/>
    <m/>
    <m/>
    <n v="115000"/>
    <m/>
    <m/>
    <m/>
    <m/>
    <m/>
    <m/>
    <m/>
    <m/>
    <m/>
    <m/>
    <m/>
    <m/>
    <m/>
    <m/>
    <m/>
    <m/>
    <m/>
    <m/>
    <m/>
    <m/>
    <n v="115000"/>
    <m/>
    <m/>
    <m/>
    <x v="141"/>
    <x v="1"/>
    <m/>
    <m/>
    <m/>
    <m/>
    <s v="2099/ 2869"/>
    <m/>
    <m/>
    <m/>
    <m/>
    <m/>
    <m/>
    <m/>
    <s v="N"/>
    <m/>
    <s v="ARCT"/>
    <m/>
    <s v="Lekima"/>
    <s v="CASH: PMN  from AP 2099 to Fed unearmarked; PMN from AP 2869 to Fed earmarked purchase/dist household kits;  $100,000 from ARCT for shelter to Federation"/>
  </r>
  <r>
    <s v="FF-2007-000080-BGD"/>
    <n v="186"/>
    <x v="183"/>
    <d v="2007-11-01T00:00:00"/>
    <x v="12"/>
    <x v="17"/>
    <m/>
    <x v="12"/>
    <n v="27"/>
    <x v="3"/>
    <s v="Bangladesh"/>
    <s v="Hydrometerological"/>
    <s v="Storm"/>
    <s v="Tropical Cyclone"/>
    <s v="Cyclone"/>
    <n v="8500000"/>
    <x v="1"/>
    <s v="IFRC"/>
    <n v="22000000"/>
    <s v="MDRBD002"/>
    <x v="38"/>
    <x v="6"/>
    <m/>
    <m/>
    <n v="1215000"/>
    <m/>
    <m/>
    <n v="1"/>
    <n v="1083856"/>
    <m/>
    <m/>
    <m/>
    <n v="1083856"/>
    <n v="3"/>
    <m/>
    <m/>
    <n v="39000"/>
    <m/>
    <n v="4000"/>
    <n v="25000"/>
    <m/>
    <m/>
    <m/>
    <m/>
    <m/>
    <m/>
    <m/>
    <n v="10000"/>
    <m/>
    <m/>
    <m/>
    <n v="260798"/>
    <n v="12000"/>
    <n v="1356654"/>
    <m/>
    <m/>
    <m/>
    <x v="142"/>
    <x v="1"/>
    <m/>
    <m/>
    <m/>
    <m/>
    <s v="2017/OFDA"/>
    <m/>
    <m/>
    <m/>
    <m/>
    <m/>
    <m/>
    <m/>
    <s v="N"/>
    <m/>
    <m/>
    <m/>
    <s v="Sidr"/>
    <s v="CASH:  1st PMN ($100k unearmarked from AP 2099), 2nd PMN ($100k earmarked to tsunami affected areas from AP 2546), 3rd PMN ($300k earmarked for shelter and wat/san from OFDA), 4th PMN ($583k earmarked for shelter and wat/san from OFDA); SUPPLIES: + PSR; PEOPLE: Nek Alam (wat/san); S Wiseman (wat/san), L Malany (shelter)"/>
  </r>
  <r>
    <s v="FL-2007-000209-PNG"/>
    <n v="187"/>
    <x v="184"/>
    <d v="2007-11-01T00:00:00"/>
    <x v="12"/>
    <x v="18"/>
    <m/>
    <x v="12"/>
    <n v="28"/>
    <x v="3"/>
    <s v="Papua New Guinea"/>
    <s v="Hydrometerological"/>
    <s v="Storm"/>
    <s v="Tropical Cyclone"/>
    <s v="Cyclone"/>
    <n v="162000"/>
    <x v="1"/>
    <s v="IFRC"/>
    <n v="672000"/>
    <s v="MDRPG002"/>
    <x v="39"/>
    <x v="7"/>
    <m/>
    <m/>
    <n v="13000"/>
    <m/>
    <m/>
    <n v="0"/>
    <n v="23750"/>
    <m/>
    <m/>
    <m/>
    <n v="23750"/>
    <m/>
    <m/>
    <m/>
    <m/>
    <m/>
    <m/>
    <m/>
    <m/>
    <m/>
    <m/>
    <m/>
    <m/>
    <m/>
    <m/>
    <m/>
    <m/>
    <m/>
    <m/>
    <m/>
    <m/>
    <n v="23750"/>
    <m/>
    <m/>
    <m/>
    <x v="143"/>
    <x v="1"/>
    <m/>
    <m/>
    <m/>
    <m/>
    <n v="2881"/>
    <m/>
    <m/>
    <m/>
    <m/>
    <m/>
    <m/>
    <m/>
    <s v="N"/>
    <m/>
    <m/>
    <m/>
    <s v="Guba"/>
    <s v="CASH: PMN to Fed unearmarked"/>
  </r>
  <r>
    <m/>
    <n v="188"/>
    <x v="185"/>
    <d v="2008-01-01T00:00:00"/>
    <x v="12"/>
    <x v="19"/>
    <m/>
    <x v="13"/>
    <n v="1"/>
    <x v="1"/>
    <s v="Kenya"/>
    <s v="Human Related"/>
    <s v="Civil Unrest"/>
    <s v="Civil Unrest"/>
    <s v="Civil Unrest"/>
    <n v="500000"/>
    <x v="1"/>
    <s v="ICRC"/>
    <n v="14200000"/>
    <m/>
    <x v="40"/>
    <x v="0"/>
    <m/>
    <m/>
    <n v="500000"/>
    <m/>
    <m/>
    <n v="1"/>
    <m/>
    <n v="250000"/>
    <n v="50000"/>
    <m/>
    <n v="300000"/>
    <m/>
    <m/>
    <m/>
    <m/>
    <m/>
    <m/>
    <m/>
    <m/>
    <m/>
    <m/>
    <m/>
    <m/>
    <m/>
    <m/>
    <m/>
    <m/>
    <m/>
    <m/>
    <m/>
    <m/>
    <n v="300000"/>
    <m/>
    <m/>
    <m/>
    <x v="144"/>
    <x v="1"/>
    <m/>
    <m/>
    <m/>
    <m/>
    <s v="2002 / 2099"/>
    <m/>
    <m/>
    <m/>
    <m/>
    <m/>
    <m/>
    <m/>
    <s v="N"/>
    <m/>
    <m/>
    <m/>
    <s v="Elections"/>
    <s v="CASH: 50k to KRCS  from 2799 and 50k to ICRC from 2002; CASH from 2099: 200k to ICRC"/>
  </r>
  <r>
    <s v="CW-2008-000013-CHN"/>
    <n v="189"/>
    <x v="186"/>
    <d v="2008-02-01T00:00:00"/>
    <x v="12"/>
    <x v="23"/>
    <m/>
    <x v="13"/>
    <n v="2"/>
    <x v="3"/>
    <s v="China"/>
    <s v="Hydrometerological"/>
    <s v="Storm"/>
    <s v="Winter Storm"/>
    <s v="Snowstorm"/>
    <n v="7800000"/>
    <x v="0"/>
    <m/>
    <s v="n/a"/>
    <m/>
    <x v="0"/>
    <x v="0"/>
    <m/>
    <m/>
    <s v="n/a"/>
    <m/>
    <s v="n/a"/>
    <m/>
    <m/>
    <m/>
    <n v="867000"/>
    <m/>
    <n v="867000"/>
    <m/>
    <m/>
    <m/>
    <m/>
    <m/>
    <m/>
    <m/>
    <m/>
    <m/>
    <m/>
    <m/>
    <m/>
    <m/>
    <m/>
    <m/>
    <m/>
    <m/>
    <m/>
    <m/>
    <m/>
    <n v="867000"/>
    <m/>
    <m/>
    <m/>
    <x v="145"/>
    <x v="1"/>
    <m/>
    <m/>
    <m/>
    <m/>
    <n v="2060"/>
    <m/>
    <m/>
    <m/>
    <m/>
    <m/>
    <m/>
    <m/>
    <s v="N"/>
    <m/>
    <m/>
    <s v="y"/>
    <m/>
    <s v="CASH: Bilateral to RCSC"/>
  </r>
  <r>
    <m/>
    <n v="190"/>
    <x v="187"/>
    <d v="2008-02-01T00:00:00"/>
    <x v="12"/>
    <x v="20"/>
    <m/>
    <x v="13"/>
    <n v="3"/>
    <x v="1"/>
    <s v="Guyana"/>
    <s v="Human Related"/>
    <s v="Civil Unrest"/>
    <s v="Civil Unrest"/>
    <s v="Civil Unrest"/>
    <m/>
    <x v="0"/>
    <m/>
    <s v="n/a"/>
    <m/>
    <x v="0"/>
    <x v="0"/>
    <m/>
    <m/>
    <n v="0"/>
    <m/>
    <n v="0"/>
    <m/>
    <m/>
    <m/>
    <n v="2400"/>
    <m/>
    <n v="2400"/>
    <n v="2"/>
    <m/>
    <m/>
    <m/>
    <m/>
    <m/>
    <m/>
    <m/>
    <m/>
    <m/>
    <m/>
    <m/>
    <m/>
    <m/>
    <m/>
    <m/>
    <m/>
    <m/>
    <m/>
    <n v="10000"/>
    <n v="12400"/>
    <m/>
    <m/>
    <m/>
    <x v="146"/>
    <x v="2"/>
    <m/>
    <m/>
    <m/>
    <m/>
    <n v="2799"/>
    <m/>
    <m/>
    <m/>
    <m/>
    <m/>
    <m/>
    <m/>
    <s v="Y"/>
    <m/>
    <m/>
    <m/>
    <s v="Violence"/>
    <s v="PEOPLE: G. Dodge, V. Vibhakar to Guyana for PSP ($10k) CASH: cash to NS $2,400 - total both $12,400"/>
  </r>
  <r>
    <m/>
    <n v="191"/>
    <x v="125"/>
    <d v="2008-02-01T00:00:00"/>
    <x v="12"/>
    <x v="21"/>
    <m/>
    <x v="13"/>
    <n v="4"/>
    <x v="1"/>
    <s v="Sudan"/>
    <s v="Human Related"/>
    <s v="Conflict"/>
    <s v="Conflict"/>
    <s v="Conflict"/>
    <n v="2000000"/>
    <x v="1"/>
    <s v="ICRC"/>
    <n v="94000000"/>
    <m/>
    <x v="41"/>
    <x v="0"/>
    <m/>
    <m/>
    <n v="600000"/>
    <m/>
    <m/>
    <n v="1"/>
    <m/>
    <n v="714000"/>
    <m/>
    <m/>
    <n v="714000"/>
    <m/>
    <m/>
    <m/>
    <m/>
    <m/>
    <m/>
    <m/>
    <m/>
    <m/>
    <m/>
    <m/>
    <m/>
    <m/>
    <m/>
    <m/>
    <m/>
    <m/>
    <m/>
    <m/>
    <m/>
    <n v="714000"/>
    <m/>
    <m/>
    <m/>
    <x v="147"/>
    <x v="1"/>
    <m/>
    <m/>
    <m/>
    <m/>
    <n v="2661"/>
    <m/>
    <m/>
    <m/>
    <m/>
    <m/>
    <m/>
    <m/>
    <s v="N"/>
    <m/>
    <m/>
    <m/>
    <m/>
    <s v="CASH: 714k to ICRC from Coca Cola"/>
  </r>
  <r>
    <s v="FL-2008-000018-ECU"/>
    <n v="192"/>
    <x v="188"/>
    <d v="2008-02-01T00:00:00"/>
    <x v="12"/>
    <x v="22"/>
    <m/>
    <x v="13"/>
    <n v="5"/>
    <x v="2"/>
    <s v="Ecuador"/>
    <s v="Hydrometerological"/>
    <s v="Floods"/>
    <s v="General Floods"/>
    <s v="General Floods"/>
    <n v="315000"/>
    <x v="0"/>
    <s v="?"/>
    <n v="700000"/>
    <m/>
    <x v="42"/>
    <x v="0"/>
    <m/>
    <m/>
    <n v="15220"/>
    <m/>
    <n v="6445"/>
    <m/>
    <m/>
    <m/>
    <n v="245000"/>
    <m/>
    <n v="245000"/>
    <m/>
    <m/>
    <m/>
    <m/>
    <m/>
    <m/>
    <m/>
    <m/>
    <m/>
    <m/>
    <m/>
    <m/>
    <m/>
    <m/>
    <m/>
    <m/>
    <m/>
    <m/>
    <m/>
    <m/>
    <n v="245000"/>
    <m/>
    <m/>
    <m/>
    <x v="122"/>
    <x v="1"/>
    <m/>
    <m/>
    <m/>
    <m/>
    <s v="2597 / 2099"/>
    <m/>
    <m/>
    <m/>
    <m/>
    <m/>
    <m/>
    <m/>
    <s v="N"/>
    <m/>
    <m/>
    <m/>
    <s v="Pacific Coast"/>
    <s v="CASH from 2597: OFDA grant for procurement of NFIs - nets, clean-up kits, kitchen sets;  CASH from 2099: To ERC for purchase of food parcels "/>
  </r>
  <r>
    <m/>
    <n v="193"/>
    <x v="105"/>
    <d v="2008-03-08T00:00:00"/>
    <x v="12"/>
    <x v="24"/>
    <m/>
    <x v="13"/>
    <n v="6"/>
    <x v="3"/>
    <s v="Iraq"/>
    <s v="Human Related"/>
    <s v="Conflict"/>
    <s v="Conflict"/>
    <s v="Conflict"/>
    <n v="4000000"/>
    <x v="1"/>
    <s v="IFRC"/>
    <n v="18900000"/>
    <m/>
    <x v="43"/>
    <x v="0"/>
    <m/>
    <m/>
    <n v="900000"/>
    <m/>
    <m/>
    <n v="1"/>
    <n v="269000"/>
    <m/>
    <m/>
    <m/>
    <n v="269000"/>
    <m/>
    <m/>
    <m/>
    <m/>
    <m/>
    <m/>
    <m/>
    <m/>
    <m/>
    <m/>
    <m/>
    <m/>
    <m/>
    <m/>
    <m/>
    <m/>
    <m/>
    <m/>
    <m/>
    <m/>
    <n v="269000"/>
    <m/>
    <m/>
    <m/>
    <x v="148"/>
    <x v="1"/>
    <m/>
    <m/>
    <m/>
    <m/>
    <s v="2099/2689"/>
    <m/>
    <m/>
    <m/>
    <m/>
    <m/>
    <m/>
    <m/>
    <s v="N"/>
    <m/>
    <m/>
    <m/>
    <s v="Country-wide"/>
    <s v="CASH from 2099: $250k Earmarked for OD and M&amp;E; CASH from 2689: $19k Earmarked for OD and M&amp;E;"/>
  </r>
  <r>
    <s v="TC-2008-000023-MDG"/>
    <n v="194"/>
    <x v="189"/>
    <d v="2008-03-08T00:00:00"/>
    <x v="12"/>
    <x v="25"/>
    <m/>
    <x v="13"/>
    <n v="7"/>
    <x v="1"/>
    <s v="Madagascar"/>
    <s v="Hydrometerological"/>
    <s v="Storm"/>
    <s v="Tropical Cyclone"/>
    <s v="Cyclone"/>
    <n v="322000"/>
    <x v="1"/>
    <s v="IFRC"/>
    <n v="1000000"/>
    <s v="MDRMG003"/>
    <x v="2"/>
    <x v="0"/>
    <m/>
    <m/>
    <n v="50000"/>
    <m/>
    <m/>
    <m/>
    <m/>
    <m/>
    <m/>
    <m/>
    <n v="0"/>
    <m/>
    <m/>
    <m/>
    <n v="10000"/>
    <m/>
    <m/>
    <m/>
    <m/>
    <m/>
    <m/>
    <m/>
    <m/>
    <n v="10000"/>
    <m/>
    <m/>
    <m/>
    <m/>
    <m/>
    <n v="50000"/>
    <m/>
    <n v="50000"/>
    <m/>
    <m/>
    <m/>
    <x v="16"/>
    <x v="2"/>
    <m/>
    <m/>
    <m/>
    <m/>
    <n v="2799"/>
    <m/>
    <m/>
    <m/>
    <m/>
    <m/>
    <m/>
    <m/>
    <s v="Y"/>
    <m/>
    <m/>
    <m/>
    <s v="Ivan"/>
    <m/>
  </r>
  <r>
    <s v="TC-2008-000033-MOZ"/>
    <n v="195"/>
    <x v="190"/>
    <d v="2008-03-08T00:00:00"/>
    <x v="12"/>
    <x v="26"/>
    <m/>
    <x v="13"/>
    <n v="8"/>
    <x v="1"/>
    <s v="Mozambique"/>
    <s v="Hydrometerological"/>
    <s v="Floods"/>
    <s v="General Floods"/>
    <s v="General Floods"/>
    <n v="400000"/>
    <x v="1"/>
    <m/>
    <n v="8400000"/>
    <m/>
    <x v="44"/>
    <x v="0"/>
    <m/>
    <m/>
    <n v="97550"/>
    <m/>
    <n v="15000"/>
    <n v="1"/>
    <n v="300000"/>
    <m/>
    <m/>
    <m/>
    <n v="300000"/>
    <m/>
    <m/>
    <m/>
    <m/>
    <m/>
    <m/>
    <m/>
    <m/>
    <m/>
    <m/>
    <m/>
    <m/>
    <m/>
    <m/>
    <m/>
    <m/>
    <m/>
    <m/>
    <m/>
    <m/>
    <n v="300000"/>
    <m/>
    <m/>
    <m/>
    <x v="144"/>
    <x v="1"/>
    <m/>
    <m/>
    <m/>
    <m/>
    <s v="2099/($200k)/2869 ($100k)"/>
    <m/>
    <m/>
    <m/>
    <m/>
    <m/>
    <m/>
    <m/>
    <s v="N"/>
    <m/>
    <s v="ARCT"/>
    <m/>
    <s v="Southern Africa"/>
    <s v="CASH: 285k earmarked shelter/relief activities, 15k earmarked for RDRT costs x3; 2099 = $200k/ 2869 = $100k. Note ARCT funds used - $100,000 to Federation for shelter, see ARCT 2008 report."/>
  </r>
  <r>
    <s v="TC-2008-000033-MOZ"/>
    <n v="196"/>
    <x v="190"/>
    <d v="2008-03-08T00:00:00"/>
    <x v="12"/>
    <x v="27"/>
    <m/>
    <x v="13"/>
    <n v="9"/>
    <x v="1"/>
    <s v="Tanzania"/>
    <s v="Hydrometerological"/>
    <s v="Floods"/>
    <s v="General Floods"/>
    <s v="General Floods"/>
    <n v="2700"/>
    <x v="0"/>
    <m/>
    <s v="n/a"/>
    <m/>
    <x v="0"/>
    <x v="0"/>
    <m/>
    <m/>
    <n v="2700"/>
    <m/>
    <m/>
    <m/>
    <m/>
    <m/>
    <n v="48500"/>
    <m/>
    <n v="48500"/>
    <m/>
    <m/>
    <m/>
    <m/>
    <m/>
    <m/>
    <m/>
    <m/>
    <m/>
    <m/>
    <m/>
    <m/>
    <m/>
    <m/>
    <m/>
    <m/>
    <m/>
    <m/>
    <m/>
    <m/>
    <n v="48500"/>
    <m/>
    <m/>
    <m/>
    <x v="149"/>
    <x v="1"/>
    <m/>
    <m/>
    <m/>
    <m/>
    <n v="2002"/>
    <m/>
    <m/>
    <m/>
    <m/>
    <m/>
    <m/>
    <m/>
    <s v="N"/>
    <m/>
    <m/>
    <m/>
    <s v="Flood/Mine"/>
    <s v="CASH: Grant letter to TRCS, relief/shelter"/>
  </r>
  <r>
    <s v="TC-2008-000057-MMR"/>
    <n v="197"/>
    <x v="191"/>
    <d v="2008-05-08T00:00:00"/>
    <x v="12"/>
    <x v="28"/>
    <m/>
    <x v="13"/>
    <n v="10"/>
    <x v="3"/>
    <s v="Myanmar"/>
    <s v="Hydrometerological"/>
    <s v="Storm"/>
    <s v="Tropical Cyclone"/>
    <s v="Cyclone"/>
    <n v="2400000"/>
    <x v="1"/>
    <s v="IFRC"/>
    <n v="72537164"/>
    <s v="MDRMM002"/>
    <x v="45"/>
    <x v="8"/>
    <m/>
    <m/>
    <n v="500000"/>
    <m/>
    <m/>
    <n v="1"/>
    <n v="250000"/>
    <m/>
    <m/>
    <m/>
    <n v="250000"/>
    <n v="1"/>
    <m/>
    <n v="1"/>
    <n v="205000"/>
    <m/>
    <m/>
    <n v="25000"/>
    <m/>
    <m/>
    <m/>
    <n v="5000"/>
    <m/>
    <n v="20000"/>
    <m/>
    <n v="9995"/>
    <m/>
    <m/>
    <m/>
    <n v="900000"/>
    <m/>
    <n v="1150000"/>
    <m/>
    <m/>
    <m/>
    <x v="129"/>
    <x v="1"/>
    <m/>
    <m/>
    <m/>
    <m/>
    <s v="2594 / 2875"/>
    <m/>
    <m/>
    <m/>
    <m/>
    <m/>
    <m/>
    <m/>
    <s v="N"/>
    <m/>
    <m/>
    <s v="y"/>
    <s v="Nargis"/>
    <s v="SUPPLIES from 2594: OFDA  jerry cans, plus roughly 60k transport and associated costs; SUPPLIES from 2875: $1,150,000 plus transport"/>
  </r>
  <r>
    <s v="EQ-2008-000062-CHN"/>
    <n v="198"/>
    <x v="192"/>
    <d v="2008-05-08T00:00:00"/>
    <x v="12"/>
    <x v="29"/>
    <m/>
    <x v="13"/>
    <n v="11"/>
    <x v="3"/>
    <s v="China"/>
    <s v="Geophysical"/>
    <s v="Earthquake"/>
    <s v="Earthquake"/>
    <s v="Earthquake"/>
    <n v="10000000"/>
    <x v="1"/>
    <s v="IFRC"/>
    <n v="92700000"/>
    <s v="MDRCN003"/>
    <x v="46"/>
    <x v="9"/>
    <m/>
    <m/>
    <n v="500000"/>
    <m/>
    <m/>
    <n v="1"/>
    <n v="10000000"/>
    <m/>
    <m/>
    <m/>
    <n v="10000000"/>
    <n v="3"/>
    <m/>
    <m/>
    <m/>
    <m/>
    <m/>
    <m/>
    <m/>
    <m/>
    <m/>
    <m/>
    <m/>
    <m/>
    <m/>
    <m/>
    <m/>
    <m/>
    <m/>
    <m/>
    <m/>
    <n v="10000000"/>
    <m/>
    <m/>
    <m/>
    <x v="150"/>
    <x v="1"/>
    <m/>
    <m/>
    <m/>
    <m/>
    <n v="2060"/>
    <m/>
    <m/>
    <m/>
    <m/>
    <m/>
    <m/>
    <m/>
    <s v="N"/>
    <m/>
    <m/>
    <s v="y"/>
    <s v="Sichuan"/>
    <s v="CASH: Unearmarked PMN; PEOPLE: R. Rayyis 1 wk info gathering, T. Betz 3 wk relief/logs/monitoring del; S. Thornton 6 mo relief del"/>
  </r>
  <r>
    <s v="DR-2008-000043-ETH"/>
    <n v="199"/>
    <x v="193"/>
    <d v="2008-06-08T00:00:00"/>
    <x v="12"/>
    <x v="30"/>
    <m/>
    <x v="13"/>
    <n v="14"/>
    <x v="1"/>
    <s v="Ethiopia"/>
    <s v="Human Related"/>
    <s v="Food Insecurity"/>
    <s v="Food Insecurity"/>
    <s v="Food Insecurity"/>
    <n v="4500000"/>
    <x v="1"/>
    <s v="IFRC"/>
    <n v="7920006"/>
    <s v="MDRET005"/>
    <x v="47"/>
    <x v="0"/>
    <m/>
    <m/>
    <n v="76075"/>
    <m/>
    <m/>
    <n v="1"/>
    <n v="100000"/>
    <m/>
    <m/>
    <m/>
    <n v="100000"/>
    <m/>
    <m/>
    <m/>
    <m/>
    <m/>
    <m/>
    <m/>
    <m/>
    <m/>
    <m/>
    <m/>
    <m/>
    <m/>
    <m/>
    <m/>
    <m/>
    <m/>
    <m/>
    <m/>
    <m/>
    <n v="100000"/>
    <m/>
    <m/>
    <m/>
    <x v="5"/>
    <x v="1"/>
    <m/>
    <m/>
    <m/>
    <m/>
    <n v="2949"/>
    <m/>
    <m/>
    <m/>
    <m/>
    <m/>
    <m/>
    <m/>
    <s v="N"/>
    <m/>
    <m/>
    <m/>
    <m/>
    <s v="CASH: PMN earmarked for procurement, transport, distribution of food"/>
  </r>
  <r>
    <m/>
    <n v="200"/>
    <x v="194"/>
    <d v="2008-06-08T00:00:00"/>
    <x v="12"/>
    <x v="31"/>
    <m/>
    <x v="13"/>
    <n v="12"/>
    <x v="1"/>
    <s v="South Africa"/>
    <s v="Human Related"/>
    <s v="Civil Unrest"/>
    <s v="Civil Unrest"/>
    <s v="Civil Unrest"/>
    <n v="50000"/>
    <x v="0"/>
    <m/>
    <s v="n/a"/>
    <m/>
    <x v="0"/>
    <x v="0"/>
    <m/>
    <m/>
    <n v="30000"/>
    <m/>
    <n v="0"/>
    <m/>
    <m/>
    <m/>
    <m/>
    <m/>
    <n v="0"/>
    <n v="1"/>
    <m/>
    <m/>
    <m/>
    <m/>
    <m/>
    <m/>
    <m/>
    <m/>
    <m/>
    <m/>
    <m/>
    <m/>
    <m/>
    <m/>
    <m/>
    <m/>
    <m/>
    <m/>
    <n v="10000"/>
    <n v="10000"/>
    <m/>
    <m/>
    <m/>
    <x v="6"/>
    <x v="2"/>
    <m/>
    <m/>
    <m/>
    <m/>
    <n v="2799"/>
    <m/>
    <m/>
    <m/>
    <m/>
    <m/>
    <m/>
    <m/>
    <s v="Y"/>
    <m/>
    <m/>
    <m/>
    <s v="Urban Violence"/>
    <s v="PEOPLE: C. Bell bilateral - dev systems/tracking"/>
  </r>
  <r>
    <s v="FL-2008-000069-CHL"/>
    <n v="201"/>
    <x v="195"/>
    <d v="2008-06-08T00:00:00"/>
    <x v="12"/>
    <x v="32"/>
    <m/>
    <x v="13"/>
    <n v="13"/>
    <x v="2"/>
    <s v="Chile"/>
    <s v="Hydrometerological"/>
    <s v="Floods"/>
    <s v="General Floods"/>
    <s v="General Floods"/>
    <n v="50000"/>
    <x v="0"/>
    <m/>
    <s v="n/a"/>
    <m/>
    <x v="0"/>
    <x v="0"/>
    <m/>
    <m/>
    <n v="4000"/>
    <m/>
    <n v="1250"/>
    <n v="0"/>
    <n v="2000"/>
    <m/>
    <m/>
    <m/>
    <n v="2000"/>
    <n v="1"/>
    <m/>
    <m/>
    <m/>
    <m/>
    <m/>
    <m/>
    <m/>
    <m/>
    <m/>
    <m/>
    <m/>
    <m/>
    <m/>
    <m/>
    <m/>
    <m/>
    <m/>
    <m/>
    <m/>
    <n v="2000"/>
    <m/>
    <m/>
    <m/>
    <x v="55"/>
    <x v="2"/>
    <m/>
    <m/>
    <m/>
    <m/>
    <n v="2799"/>
    <m/>
    <m/>
    <m/>
    <m/>
    <m/>
    <m/>
    <m/>
    <s v="Y"/>
    <m/>
    <m/>
    <m/>
    <m/>
    <s v="PEOPLE: S. DiPretoro, w/RIT, cash voucher/market assessment"/>
  </r>
  <r>
    <s v="TC-2008-000093-PHL"/>
    <n v="202"/>
    <x v="196"/>
    <d v="2008-06-08T00:00:00"/>
    <x v="12"/>
    <x v="33"/>
    <m/>
    <x v="13"/>
    <n v="15"/>
    <x v="3"/>
    <s v="Philippines"/>
    <s v="Hydrometerological"/>
    <s v="Storm"/>
    <s v="Tropical Cyclone"/>
    <s v="Typhoon"/>
    <n v="4800000"/>
    <x v="1"/>
    <s v="IFRC"/>
    <n v="8000000"/>
    <s v="MDRPH004"/>
    <x v="48"/>
    <x v="1"/>
    <m/>
    <m/>
    <n v="30000"/>
    <m/>
    <m/>
    <n v="1"/>
    <n v="185000"/>
    <m/>
    <m/>
    <m/>
    <n v="185000"/>
    <n v="1"/>
    <m/>
    <m/>
    <m/>
    <m/>
    <m/>
    <m/>
    <m/>
    <m/>
    <m/>
    <m/>
    <m/>
    <m/>
    <m/>
    <m/>
    <m/>
    <m/>
    <m/>
    <m/>
    <m/>
    <n v="185000"/>
    <m/>
    <m/>
    <m/>
    <x v="151"/>
    <x v="1"/>
    <m/>
    <m/>
    <m/>
    <m/>
    <s v="2032/2799/2869"/>
    <m/>
    <m/>
    <m/>
    <m/>
    <m/>
    <m/>
    <m/>
    <s v="N"/>
    <m/>
    <s v="ARCT"/>
    <m/>
    <s v="Fengshen"/>
    <s v="CASH: 1st PMN (135K)earmarked for typhoon-resistant shelter construction, and DP programs, 2nd (50k) earmarked for shelters after IFRC reported severe underfunding; 1st PMN: AP 2869 - $80,938.17, AP 2799 - $45,211.83. AP 2032 - $8,850.00 / 2nd PMN: AP 2799 - $50,000 PEOPLE: G. Bicego, wat/san assessment team, Fed will pay all expenses. Note: ARCT Funds $100,000 used for shelter to Federation as noted in ARCT report for 2008."/>
  </r>
  <r>
    <m/>
    <n v="203"/>
    <x v="197"/>
    <d v="2008-07-08T00:00:00"/>
    <x v="13"/>
    <x v="1"/>
    <m/>
    <x v="13"/>
    <n v="16"/>
    <x v="3"/>
    <s v="Yemen"/>
    <s v="Human Related"/>
    <s v="Conflict"/>
    <s v="Conflict"/>
    <s v="Conflict"/>
    <n v="77000"/>
    <x v="1"/>
    <s v="ICRC"/>
    <n v="13707000"/>
    <m/>
    <x v="49"/>
    <x v="0"/>
    <m/>
    <m/>
    <n v="80500"/>
    <m/>
    <m/>
    <n v="1"/>
    <m/>
    <n v="50000"/>
    <m/>
    <m/>
    <n v="50000"/>
    <m/>
    <m/>
    <m/>
    <s v="-"/>
    <m/>
    <m/>
    <m/>
    <m/>
    <m/>
    <m/>
    <m/>
    <m/>
    <m/>
    <m/>
    <m/>
    <m/>
    <m/>
    <m/>
    <m/>
    <m/>
    <n v="50000"/>
    <m/>
    <m/>
    <m/>
    <x v="16"/>
    <x v="2"/>
    <m/>
    <m/>
    <m/>
    <m/>
    <n v="2799"/>
    <m/>
    <m/>
    <m/>
    <m/>
    <m/>
    <m/>
    <m/>
    <s v="Y"/>
    <m/>
    <m/>
    <m/>
    <s v="Believing Youth"/>
    <s v="CASH: $50,000 Pledge Letter to ICRC"/>
  </r>
  <r>
    <s v="FL-2008-000095-SUR"/>
    <n v="204"/>
    <x v="198"/>
    <d v="2008-07-01T00:00:00"/>
    <x v="13"/>
    <x v="2"/>
    <m/>
    <x v="13"/>
    <n v="17"/>
    <x v="2"/>
    <s v="Suriname"/>
    <s v="Hydrometerological"/>
    <s v="Floods"/>
    <s v="General Floods"/>
    <s v="General Floods"/>
    <n v="49090"/>
    <x v="1"/>
    <s v="IFRC"/>
    <n v="861000"/>
    <s v="MDRSR002"/>
    <x v="2"/>
    <x v="0"/>
    <m/>
    <m/>
    <n v="3000"/>
    <m/>
    <m/>
    <m/>
    <m/>
    <m/>
    <m/>
    <m/>
    <s v="-"/>
    <n v="2"/>
    <s v="IT/Telecoms"/>
    <n v="2"/>
    <s v="-"/>
    <m/>
    <m/>
    <m/>
    <m/>
    <m/>
    <m/>
    <m/>
    <m/>
    <m/>
    <m/>
    <m/>
    <m/>
    <m/>
    <m/>
    <s v="-"/>
    <s v="-"/>
    <m/>
    <m/>
    <m/>
    <m/>
    <x v="152"/>
    <x v="2"/>
    <m/>
    <m/>
    <m/>
    <m/>
    <n v="2799"/>
    <m/>
    <m/>
    <m/>
    <m/>
    <m/>
    <m/>
    <m/>
    <s v="Y"/>
    <m/>
    <m/>
    <m/>
    <m/>
    <s v="PEOPLE: M. Million, R. Palmer IT capacity bldg"/>
  </r>
  <r>
    <s v="FL-2008-000122-UKR/MDA"/>
    <n v="205"/>
    <x v="199"/>
    <d v="2008-08-01T00:00:00"/>
    <x v="13"/>
    <x v="3"/>
    <m/>
    <x v="13"/>
    <n v="18"/>
    <x v="3"/>
    <s v="Ukraine"/>
    <s v="Hydrometerological"/>
    <s v="Floods"/>
    <s v="General Floods"/>
    <s v="General Floods"/>
    <n v="30000"/>
    <x v="1"/>
    <s v="IFRC"/>
    <n v="1193000"/>
    <s v="MDR67003"/>
    <x v="50"/>
    <x v="10"/>
    <m/>
    <m/>
    <n v="60000"/>
    <m/>
    <m/>
    <n v="1"/>
    <n v="44250"/>
    <m/>
    <m/>
    <m/>
    <n v="44250"/>
    <m/>
    <m/>
    <m/>
    <s v="-"/>
    <m/>
    <m/>
    <m/>
    <m/>
    <m/>
    <m/>
    <m/>
    <m/>
    <m/>
    <m/>
    <m/>
    <m/>
    <m/>
    <m/>
    <m/>
    <m/>
    <n v="44250"/>
    <m/>
    <m/>
    <m/>
    <x v="153"/>
    <x v="1"/>
    <m/>
    <m/>
    <m/>
    <m/>
    <n v="2048"/>
    <m/>
    <m/>
    <m/>
    <m/>
    <m/>
    <m/>
    <m/>
    <s v="N"/>
    <m/>
    <m/>
    <m/>
    <m/>
    <s v="CASH: $44,280 PMN unearmarked, Boeing donation"/>
  </r>
  <r>
    <m/>
    <n v="206"/>
    <x v="200"/>
    <d v="2008-08-01T00:00:00"/>
    <x v="13"/>
    <x v="4"/>
    <m/>
    <x v="13"/>
    <n v="19"/>
    <x v="3"/>
    <s v="Georgia"/>
    <s v="Human Related"/>
    <s v="Conflict"/>
    <s v="Conflict"/>
    <s v="Conflict"/>
    <n v="72000"/>
    <x v="1"/>
    <s v="ICRC"/>
    <n v="7395000"/>
    <s v="REX08/555"/>
    <x v="51"/>
    <x v="0"/>
    <m/>
    <m/>
    <n v="50000"/>
    <m/>
    <m/>
    <n v="1"/>
    <m/>
    <n v="100000"/>
    <m/>
    <m/>
    <n v="100000"/>
    <m/>
    <m/>
    <m/>
    <s v="-"/>
    <m/>
    <m/>
    <m/>
    <m/>
    <m/>
    <m/>
    <m/>
    <m/>
    <m/>
    <m/>
    <m/>
    <m/>
    <m/>
    <m/>
    <m/>
    <m/>
    <n v="100000"/>
    <m/>
    <m/>
    <m/>
    <x v="5"/>
    <x v="2"/>
    <m/>
    <m/>
    <m/>
    <m/>
    <n v="2799"/>
    <m/>
    <m/>
    <m/>
    <m/>
    <m/>
    <m/>
    <m/>
    <s v="Y"/>
    <m/>
    <m/>
    <m/>
    <s v="S. Ossetia"/>
    <s v="CASH: $100,000 Pledge Letter to ICRC"/>
  </r>
  <r>
    <s v="FL-2008-000104-NPL"/>
    <n v="207"/>
    <x v="174"/>
    <d v="2008-09-08T00:00:00"/>
    <x v="13"/>
    <x v="5"/>
    <m/>
    <x v="13"/>
    <n v="20"/>
    <x v="3"/>
    <s v="Nepal"/>
    <s v="Hydrometerological"/>
    <s v="Floods"/>
    <s v="General Floods"/>
    <s v="General Floods"/>
    <n v="70000"/>
    <x v="1"/>
    <s v="IFRC"/>
    <n v="2647699"/>
    <s v="MDRNP002"/>
    <x v="52"/>
    <x v="11"/>
    <m/>
    <m/>
    <n v="150000"/>
    <m/>
    <m/>
    <n v="1"/>
    <n v="50000"/>
    <m/>
    <m/>
    <m/>
    <n v="50000"/>
    <m/>
    <m/>
    <m/>
    <s v="-"/>
    <m/>
    <m/>
    <m/>
    <m/>
    <m/>
    <m/>
    <m/>
    <m/>
    <m/>
    <m/>
    <m/>
    <m/>
    <m/>
    <m/>
    <m/>
    <m/>
    <n v="50000"/>
    <m/>
    <m/>
    <m/>
    <x v="16"/>
    <x v="2"/>
    <m/>
    <m/>
    <m/>
    <m/>
    <n v="2799"/>
    <m/>
    <m/>
    <m/>
    <m/>
    <m/>
    <m/>
    <m/>
    <s v="Y"/>
    <m/>
    <m/>
    <m/>
    <s v="Koshi River Embankment Breach"/>
    <s v="CASH: PMN $50,000 unearmarked to Fed"/>
  </r>
  <r>
    <s v="TC-2008-000147-HTI"/>
    <n v="208"/>
    <x v="201"/>
    <d v="2008-09-08T00:00:00"/>
    <x v="13"/>
    <x v="6"/>
    <m/>
    <x v="13"/>
    <n v="21"/>
    <x v="2"/>
    <s v="Haiti"/>
    <s v="Hydrometerological"/>
    <s v="Storm"/>
    <s v="Tropical Cyclone"/>
    <s v="Hurricane"/>
    <n v="800000"/>
    <x v="1"/>
    <s v="IFRC"/>
    <n v="7600000"/>
    <s v="MDRHT005"/>
    <x v="53"/>
    <x v="12"/>
    <m/>
    <m/>
    <n v="50000"/>
    <m/>
    <m/>
    <n v="1"/>
    <n v="283682"/>
    <m/>
    <m/>
    <m/>
    <n v="283682"/>
    <n v="5"/>
    <s v="Relief ERU"/>
    <n v="5"/>
    <n v="19100"/>
    <m/>
    <n v="4000"/>
    <m/>
    <m/>
    <n v="4800"/>
    <m/>
    <n v="3000"/>
    <m/>
    <n v="6000"/>
    <m/>
    <n v="1300"/>
    <m/>
    <m/>
    <m/>
    <n v="340000"/>
    <m/>
    <n v="1532876"/>
    <m/>
    <m/>
    <m/>
    <x v="154"/>
    <x v="1"/>
    <m/>
    <m/>
    <m/>
    <m/>
    <s v="2869/2885/ 2591"/>
    <m/>
    <m/>
    <m/>
    <m/>
    <m/>
    <m/>
    <m/>
    <s v="N"/>
    <m/>
    <s v="OFDA grant for $500,000; ARCT funds used - $100,000"/>
    <s v="y"/>
    <s v="Gustav, Hanna, Ike"/>
    <s v="CASH: $100K PMN from AP 2885 earmarked for shelter kits from ARCT; PEOPLE: B. Gaillis (FACT TL), Relief ERU - C. Chaperon (TL), M. Marek, 2nd round - M. Marek (TL), J. Manley, G. Matthews, value at 50k to Fed;  OFDA grant for $500,000. SUPPLIES plus transport/PSR"/>
  </r>
  <r>
    <s v="TC-2008-000143"/>
    <n v="209"/>
    <x v="202"/>
    <d v="2008-09-08T00:00:00"/>
    <x v="13"/>
    <x v="7"/>
    <m/>
    <x v="13"/>
    <n v="22"/>
    <x v="2"/>
    <s v="Bahamas"/>
    <s v="Hydrometerological"/>
    <s v="Storm"/>
    <s v="Tropical Cyclone"/>
    <s v="Hurricane"/>
    <n v="9750"/>
    <x v="1"/>
    <s v="IFRC"/>
    <n v="1638300"/>
    <s v="MDR49003"/>
    <x v="54"/>
    <x v="5"/>
    <m/>
    <m/>
    <n v="20000"/>
    <m/>
    <m/>
    <n v="1"/>
    <n v="121044"/>
    <m/>
    <m/>
    <m/>
    <n v="121044"/>
    <n v="1"/>
    <m/>
    <n v="1"/>
    <s v="-"/>
    <m/>
    <m/>
    <m/>
    <m/>
    <m/>
    <m/>
    <m/>
    <m/>
    <m/>
    <m/>
    <m/>
    <m/>
    <m/>
    <m/>
    <m/>
    <m/>
    <n v="121044"/>
    <m/>
    <m/>
    <m/>
    <x v="155"/>
    <x v="2"/>
    <m/>
    <m/>
    <m/>
    <m/>
    <n v="2799"/>
    <m/>
    <m/>
    <m/>
    <m/>
    <m/>
    <m/>
    <m/>
    <s v="Y"/>
    <m/>
    <m/>
    <s v="y"/>
    <s v="Bahamas, Jamaica"/>
    <s v="CASH: PMN $100,000 earmarked for Bahamas and Jamaica; PEOPLE: C. Hammond (RIT)"/>
  </r>
  <r>
    <s v="TC-2008-000143"/>
    <n v="209"/>
    <x v="203"/>
    <d v="2008-09-08T00:00:00"/>
    <x v="13"/>
    <x v="7"/>
    <m/>
    <x v="13"/>
    <n v="22"/>
    <x v="2"/>
    <s v="Jamaica"/>
    <s v="Hydrometerological"/>
    <s v="Storm"/>
    <s v="Tropical Cyclone"/>
    <s v="Hurricane"/>
    <n v="4000"/>
    <x v="0"/>
    <m/>
    <s v="-"/>
    <s v="MDR49003"/>
    <x v="0"/>
    <x v="0"/>
    <m/>
    <m/>
    <s v="-"/>
    <m/>
    <s v="-"/>
    <m/>
    <m/>
    <m/>
    <m/>
    <m/>
    <m/>
    <m/>
    <m/>
    <m/>
    <s v="-"/>
    <m/>
    <m/>
    <m/>
    <m/>
    <m/>
    <m/>
    <m/>
    <m/>
    <m/>
    <m/>
    <m/>
    <m/>
    <m/>
    <m/>
    <m/>
    <m/>
    <s v="-"/>
    <m/>
    <m/>
    <m/>
    <x v="156"/>
    <x v="1"/>
    <m/>
    <m/>
    <m/>
    <m/>
    <m/>
    <m/>
    <m/>
    <m/>
    <m/>
    <m/>
    <m/>
    <m/>
    <s v="N"/>
    <m/>
    <m/>
    <s v="y"/>
    <s v="Bahamas, Jamaica"/>
    <s v="CASH: PMN earmarked for Bahamas and Jamaica"/>
  </r>
  <r>
    <s v="TC-2008-000143"/>
    <n v="210"/>
    <x v="204"/>
    <d v="2008-09-08T00:00:00"/>
    <x v="13"/>
    <x v="8"/>
    <m/>
    <x v="13"/>
    <n v="23"/>
    <x v="2"/>
    <s v="Cuba"/>
    <s v="Hydrometerological"/>
    <s v="Storm"/>
    <s v="Tropical Cyclone"/>
    <s v="Hurricane"/>
    <n v="2900000"/>
    <x v="1"/>
    <s v="IFRC"/>
    <n v="8811345"/>
    <s v="MDRCU001"/>
    <x v="55"/>
    <x v="6"/>
    <m/>
    <m/>
    <n v="60000"/>
    <m/>
    <n v="10380"/>
    <n v="1"/>
    <n v="1129943"/>
    <m/>
    <m/>
    <m/>
    <n v="1129943"/>
    <m/>
    <m/>
    <m/>
    <s v="-"/>
    <m/>
    <m/>
    <m/>
    <m/>
    <m/>
    <m/>
    <m/>
    <m/>
    <m/>
    <m/>
    <m/>
    <m/>
    <m/>
    <m/>
    <m/>
    <m/>
    <n v="1129943"/>
    <m/>
    <m/>
    <m/>
    <x v="157"/>
    <x v="2"/>
    <m/>
    <m/>
    <m/>
    <m/>
    <n v="2099"/>
    <m/>
    <m/>
    <m/>
    <m/>
    <m/>
    <m/>
    <m/>
    <s v="N"/>
    <m/>
    <m/>
    <s v="y"/>
    <s v="Gustav, Ike"/>
    <s v="CASH: PMN unearmarked - OFAC license received"/>
  </r>
  <r>
    <s v="FL-2008-000198"/>
    <n v="211"/>
    <x v="205"/>
    <d v="2008-10-01T00:00:00"/>
    <x v="13"/>
    <x v="9"/>
    <m/>
    <x v="13"/>
    <n v="24"/>
    <x v="2"/>
    <s v="Nicaragua"/>
    <s v="Hydrometerological"/>
    <s v="Floods"/>
    <s v="Storm Surge"/>
    <s v="Storm Surge"/>
    <s v="-"/>
    <x v="0"/>
    <m/>
    <s v="-"/>
    <m/>
    <x v="0"/>
    <x v="0"/>
    <m/>
    <m/>
    <s v="-"/>
    <m/>
    <s v="-"/>
    <m/>
    <m/>
    <m/>
    <m/>
    <m/>
    <m/>
    <m/>
    <m/>
    <m/>
    <s v="-"/>
    <m/>
    <m/>
    <m/>
    <m/>
    <m/>
    <m/>
    <m/>
    <m/>
    <m/>
    <m/>
    <m/>
    <m/>
    <m/>
    <m/>
    <m/>
    <m/>
    <s v="-"/>
    <m/>
    <m/>
    <m/>
    <x v="156"/>
    <x v="1"/>
    <m/>
    <m/>
    <m/>
    <m/>
    <m/>
    <m/>
    <m/>
    <m/>
    <m/>
    <m/>
    <m/>
    <m/>
    <s v="N"/>
    <m/>
    <m/>
    <s v="y"/>
    <m/>
    <m/>
  </r>
  <r>
    <s v="FL-2008-000198"/>
    <n v="211"/>
    <x v="205"/>
    <d v="2008-10-01T00:00:00"/>
    <x v="13"/>
    <x v="9"/>
    <m/>
    <x v="13"/>
    <n v="24"/>
    <x v="2"/>
    <s v="Honduras"/>
    <s v="Hydrometerological"/>
    <s v="Floods"/>
    <s v="Storm Surge"/>
    <s v="Storm Surge"/>
    <s v="-"/>
    <x v="0"/>
    <m/>
    <s v="-"/>
    <m/>
    <x v="0"/>
    <x v="0"/>
    <m/>
    <m/>
    <s v="-"/>
    <m/>
    <s v="-"/>
    <n v="0"/>
    <n v="25000"/>
    <m/>
    <m/>
    <m/>
    <m/>
    <m/>
    <m/>
    <m/>
    <s v="-"/>
    <m/>
    <m/>
    <m/>
    <m/>
    <m/>
    <m/>
    <m/>
    <m/>
    <m/>
    <m/>
    <m/>
    <m/>
    <m/>
    <m/>
    <m/>
    <m/>
    <s v="-"/>
    <m/>
    <m/>
    <m/>
    <x v="156"/>
    <x v="1"/>
    <m/>
    <m/>
    <m/>
    <m/>
    <n v="2882"/>
    <m/>
    <m/>
    <m/>
    <m/>
    <m/>
    <m/>
    <m/>
    <s v="N"/>
    <m/>
    <m/>
    <s v="y"/>
    <m/>
    <s v="CASH: PMN 25k earmarked to Honduras from 2882"/>
  </r>
  <r>
    <s v="FL-2008-000198"/>
    <n v="211"/>
    <x v="205"/>
    <d v="2008-10-01T00:00:00"/>
    <x v="13"/>
    <x v="9"/>
    <m/>
    <x v="13"/>
    <n v="24"/>
    <x v="2"/>
    <s v="[rollup]"/>
    <s v="Hydrometerological"/>
    <s v="Floods"/>
    <s v="Storm Surge"/>
    <s v="Storm Surge"/>
    <n v="328000"/>
    <x v="1"/>
    <s v="IFRC"/>
    <n v="1388924"/>
    <s v="MDR43004"/>
    <x v="56"/>
    <x v="13"/>
    <m/>
    <m/>
    <n v="32000"/>
    <m/>
    <m/>
    <n v="1"/>
    <n v="246683"/>
    <m/>
    <m/>
    <m/>
    <n v="246683"/>
    <m/>
    <m/>
    <m/>
    <s v="-"/>
    <m/>
    <m/>
    <m/>
    <m/>
    <m/>
    <m/>
    <m/>
    <m/>
    <m/>
    <m/>
    <m/>
    <m/>
    <m/>
    <m/>
    <m/>
    <m/>
    <n v="246683"/>
    <m/>
    <m/>
    <m/>
    <x v="158"/>
    <x v="1"/>
    <m/>
    <m/>
    <m/>
    <m/>
    <s v="2799 /2882 /2869"/>
    <m/>
    <m/>
    <m/>
    <m/>
    <m/>
    <m/>
    <m/>
    <s v="N"/>
    <m/>
    <s v="ARCT funds used - $100,000"/>
    <s v="y"/>
    <m/>
    <s v="CASH: PMN 100k from 2799 unearmarked; PMN 91k - ( $88,500 from 2869 ARCT and $2,500 from 2799); $25,000 from 2882 earmarked for Honduras"/>
  </r>
  <r>
    <s v="FL-2008-000198"/>
    <n v="211"/>
    <x v="205"/>
    <d v="2008-10-01T00:00:00"/>
    <x v="13"/>
    <x v="9"/>
    <m/>
    <x v="13"/>
    <n v="24"/>
    <x v="2"/>
    <s v="Guatemala"/>
    <s v="Hydrometerological"/>
    <s v="Floods"/>
    <s v="Storm Surge"/>
    <s v="Storm Surge"/>
    <m/>
    <x v="0"/>
    <m/>
    <m/>
    <m/>
    <x v="0"/>
    <x v="0"/>
    <m/>
    <m/>
    <m/>
    <m/>
    <m/>
    <m/>
    <m/>
    <m/>
    <m/>
    <m/>
    <m/>
    <m/>
    <m/>
    <m/>
    <s v="-"/>
    <m/>
    <m/>
    <m/>
    <m/>
    <m/>
    <m/>
    <m/>
    <m/>
    <m/>
    <m/>
    <m/>
    <m/>
    <m/>
    <m/>
    <m/>
    <m/>
    <m/>
    <m/>
    <m/>
    <m/>
    <x v="7"/>
    <x v="1"/>
    <m/>
    <m/>
    <m/>
    <m/>
    <m/>
    <m/>
    <m/>
    <m/>
    <m/>
    <m/>
    <m/>
    <m/>
    <s v="N"/>
    <m/>
    <m/>
    <s v="y"/>
    <m/>
    <m/>
  </r>
  <r>
    <s v="EQ-2008-000206-PAK"/>
    <n v="212"/>
    <x v="206"/>
    <d v="2008-11-08T00:00:00"/>
    <x v="13"/>
    <x v="10"/>
    <m/>
    <x v="13"/>
    <n v="25"/>
    <x v="3"/>
    <s v="Pakistan"/>
    <s v="Geophysical"/>
    <s v="Earthquake"/>
    <s v="Earthquake"/>
    <s v="Earthquake"/>
    <n v="366000"/>
    <x v="1"/>
    <s v="ICRC &amp; IFRC"/>
    <n v="9880000"/>
    <s v="REX08/722 &amp; MDRPK002"/>
    <x v="57"/>
    <x v="0"/>
    <m/>
    <m/>
    <n v="37930"/>
    <m/>
    <m/>
    <m/>
    <m/>
    <m/>
    <n v="100000"/>
    <m/>
    <n v="100000"/>
    <m/>
    <m/>
    <m/>
    <s v="-"/>
    <m/>
    <m/>
    <m/>
    <m/>
    <m/>
    <m/>
    <m/>
    <m/>
    <m/>
    <m/>
    <m/>
    <m/>
    <m/>
    <m/>
    <m/>
    <m/>
    <n v="100000"/>
    <m/>
    <m/>
    <n v="37930"/>
    <x v="5"/>
    <x v="2"/>
    <m/>
    <m/>
    <m/>
    <m/>
    <n v="2799"/>
    <m/>
    <m/>
    <m/>
    <m/>
    <m/>
    <m/>
    <m/>
    <s v="Y"/>
    <m/>
    <m/>
    <m/>
    <s v="Pakistan Baluchistan Earthquake – November 2008: After the Baluchistan earthquake in 2008, the American Red Cross provided $100,000 to the Pakistan Red Crescent for the purchase of relief supplies."/>
    <s v="CASH: $100,000 bilateral contribution to purchase relief supplies."/>
  </r>
  <r>
    <s v="FF-2008-000211-VNM"/>
    <n v="213"/>
    <x v="21"/>
    <d v="2008-11-08T00:00:00"/>
    <x v="13"/>
    <x v="11"/>
    <m/>
    <x v="13"/>
    <n v="26"/>
    <x v="3"/>
    <s v="Vietnam"/>
    <s v="Hydrometerological"/>
    <s v="Floods"/>
    <s v="General Floods"/>
    <s v="General Floods"/>
    <n v="600000"/>
    <x v="1"/>
    <s v="IFRC"/>
    <n v="4000000"/>
    <s v="MDRVN005"/>
    <x v="58"/>
    <x v="14"/>
    <m/>
    <m/>
    <n v="300000"/>
    <m/>
    <m/>
    <n v="1"/>
    <n v="50000"/>
    <m/>
    <m/>
    <m/>
    <n v="50000"/>
    <m/>
    <m/>
    <m/>
    <s v="-"/>
    <m/>
    <m/>
    <m/>
    <m/>
    <m/>
    <m/>
    <m/>
    <m/>
    <m/>
    <m/>
    <m/>
    <m/>
    <m/>
    <m/>
    <m/>
    <m/>
    <n v="50000"/>
    <m/>
    <m/>
    <m/>
    <x v="16"/>
    <x v="2"/>
    <m/>
    <m/>
    <m/>
    <m/>
    <n v="2799"/>
    <m/>
    <m/>
    <m/>
    <m/>
    <m/>
    <m/>
    <m/>
    <s v="Y"/>
    <m/>
    <m/>
    <m/>
    <s v="North and Central Regions"/>
    <s v="CASH: PMN 50k unearmarked "/>
  </r>
  <r>
    <s v="FL-2008-000232-CRI"/>
    <n v="214"/>
    <x v="207"/>
    <d v="2008-12-09T00:00:00"/>
    <x v="13"/>
    <x v="12"/>
    <m/>
    <x v="13"/>
    <n v="27"/>
    <x v="2"/>
    <s v="Costa Rica"/>
    <s v="Hydrometerological"/>
    <s v="Floods"/>
    <s v="General Floods"/>
    <m/>
    <s v="-"/>
    <x v="0"/>
    <m/>
    <s v="-"/>
    <m/>
    <x v="0"/>
    <x v="0"/>
    <m/>
    <m/>
    <s v="-"/>
    <m/>
    <s v="-"/>
    <m/>
    <m/>
    <m/>
    <m/>
    <m/>
    <m/>
    <m/>
    <m/>
    <m/>
    <s v="-"/>
    <m/>
    <m/>
    <m/>
    <m/>
    <m/>
    <m/>
    <m/>
    <m/>
    <m/>
    <m/>
    <m/>
    <m/>
    <m/>
    <m/>
    <m/>
    <m/>
    <s v="-"/>
    <m/>
    <m/>
    <m/>
    <x v="156"/>
    <x v="1"/>
    <m/>
    <m/>
    <m/>
    <m/>
    <m/>
    <m/>
    <m/>
    <m/>
    <m/>
    <m/>
    <m/>
    <m/>
    <s v="N"/>
    <m/>
    <m/>
    <m/>
    <m/>
    <m/>
  </r>
  <r>
    <s v="FL-2008-000158-PAN"/>
    <n v="214"/>
    <x v="207"/>
    <d v="2008-12-08T00:00:00"/>
    <x v="13"/>
    <x v="12"/>
    <m/>
    <x v="13"/>
    <n v="27"/>
    <x v="2"/>
    <s v="Panama"/>
    <s v="Hydrometerological"/>
    <s v="Floods"/>
    <s v="General Floods"/>
    <m/>
    <n v="40158"/>
    <x v="1"/>
    <s v="IFRC"/>
    <n v="571953"/>
    <s v="MDR43005"/>
    <x v="59"/>
    <x v="15"/>
    <m/>
    <m/>
    <n v="15000"/>
    <m/>
    <m/>
    <n v="1"/>
    <n v="100000"/>
    <m/>
    <m/>
    <m/>
    <n v="100000"/>
    <m/>
    <m/>
    <m/>
    <s v="-"/>
    <m/>
    <m/>
    <m/>
    <m/>
    <m/>
    <m/>
    <m/>
    <m/>
    <m/>
    <m/>
    <m/>
    <m/>
    <m/>
    <m/>
    <m/>
    <m/>
    <n v="100000"/>
    <m/>
    <m/>
    <m/>
    <x v="5"/>
    <x v="2"/>
    <m/>
    <m/>
    <m/>
    <m/>
    <n v="2799"/>
    <m/>
    <m/>
    <m/>
    <m/>
    <m/>
    <m/>
    <m/>
    <s v="Y"/>
    <m/>
    <m/>
    <m/>
    <m/>
    <s v="CASH: PMN $100,000 for Fed Appeal"/>
  </r>
  <r>
    <m/>
    <n v="215"/>
    <x v="208"/>
    <d v="2008-12-11T00:00:00"/>
    <x v="13"/>
    <x v="13"/>
    <m/>
    <x v="13"/>
    <n v="28"/>
    <x v="1"/>
    <s v="Ethiopia"/>
    <s v="Human Related"/>
    <s v="Food Insecurity"/>
    <s v="Food Insecurity"/>
    <m/>
    <s v="-"/>
    <x v="0"/>
    <m/>
    <s v="-"/>
    <m/>
    <x v="0"/>
    <x v="0"/>
    <m/>
    <m/>
    <s v="-"/>
    <m/>
    <s v="-"/>
    <m/>
    <m/>
    <m/>
    <m/>
    <m/>
    <m/>
    <m/>
    <m/>
    <m/>
    <s v="-"/>
    <m/>
    <m/>
    <m/>
    <m/>
    <m/>
    <m/>
    <m/>
    <m/>
    <m/>
    <m/>
    <m/>
    <m/>
    <m/>
    <m/>
    <m/>
    <m/>
    <s v="-"/>
    <m/>
    <m/>
    <m/>
    <x v="156"/>
    <x v="1"/>
    <m/>
    <m/>
    <m/>
    <m/>
    <m/>
    <m/>
    <m/>
    <m/>
    <m/>
    <m/>
    <m/>
    <m/>
    <s v="N"/>
    <m/>
    <m/>
    <m/>
    <m/>
    <m/>
  </r>
  <r>
    <m/>
    <n v="215"/>
    <x v="208"/>
    <d v="2008-12-12T00:00:00"/>
    <x v="13"/>
    <x v="13"/>
    <m/>
    <x v="13"/>
    <n v="28"/>
    <x v="1"/>
    <s v="Kenya"/>
    <s v="Human Related"/>
    <s v="Food Insecurity"/>
    <s v="Food Insecurity"/>
    <m/>
    <s v="-"/>
    <x v="0"/>
    <m/>
    <s v="-"/>
    <m/>
    <x v="0"/>
    <x v="0"/>
    <m/>
    <m/>
    <s v="-"/>
    <m/>
    <s v="-"/>
    <m/>
    <m/>
    <m/>
    <m/>
    <m/>
    <m/>
    <m/>
    <m/>
    <m/>
    <s v="-"/>
    <m/>
    <m/>
    <m/>
    <m/>
    <m/>
    <m/>
    <m/>
    <m/>
    <m/>
    <m/>
    <m/>
    <m/>
    <m/>
    <m/>
    <m/>
    <m/>
    <s v="-"/>
    <m/>
    <m/>
    <m/>
    <x v="156"/>
    <x v="1"/>
    <m/>
    <m/>
    <m/>
    <m/>
    <m/>
    <m/>
    <m/>
    <m/>
    <m/>
    <m/>
    <m/>
    <m/>
    <s v="N"/>
    <m/>
    <m/>
    <m/>
    <m/>
    <m/>
  </r>
  <r>
    <m/>
    <n v="215"/>
    <x v="208"/>
    <d v="2008-12-13T00:00:00"/>
    <x v="13"/>
    <x v="13"/>
    <m/>
    <x v="13"/>
    <n v="28"/>
    <x v="1"/>
    <s v="Somalia"/>
    <s v="Human Related"/>
    <s v="Food Insecurity"/>
    <s v="Food Insecurity"/>
    <m/>
    <s v="-"/>
    <x v="0"/>
    <m/>
    <s v="-"/>
    <m/>
    <x v="0"/>
    <x v="0"/>
    <m/>
    <m/>
    <s v="-"/>
    <m/>
    <s v="-"/>
    <m/>
    <m/>
    <m/>
    <m/>
    <m/>
    <m/>
    <m/>
    <m/>
    <m/>
    <s v="-"/>
    <m/>
    <m/>
    <m/>
    <m/>
    <m/>
    <m/>
    <m/>
    <m/>
    <m/>
    <m/>
    <m/>
    <m/>
    <m/>
    <m/>
    <m/>
    <m/>
    <s v="-"/>
    <m/>
    <m/>
    <m/>
    <x v="156"/>
    <x v="1"/>
    <m/>
    <m/>
    <m/>
    <m/>
    <m/>
    <m/>
    <m/>
    <m/>
    <m/>
    <m/>
    <m/>
    <m/>
    <s v="N"/>
    <m/>
    <m/>
    <m/>
    <m/>
    <m/>
  </r>
  <r>
    <s v="OT-2008-000196-DJI/ERI/ETH/KEN/SOM"/>
    <n v="215"/>
    <x v="208"/>
    <d v="2008-12-10T00:00:00"/>
    <x v="13"/>
    <x v="13"/>
    <m/>
    <x v="13"/>
    <n v="28"/>
    <x v="1"/>
    <s v="Djibouti"/>
    <s v="Human Related"/>
    <s v="Food Insecurity"/>
    <s v="Food Insecurity"/>
    <m/>
    <n v="16800000"/>
    <x v="1"/>
    <s v="IFRC"/>
    <n v="66586679"/>
    <s v="MDR64003"/>
    <x v="60"/>
    <x v="16"/>
    <s v="Y"/>
    <n v="118830"/>
    <n v="2488500"/>
    <m/>
    <m/>
    <m/>
    <m/>
    <m/>
    <n v="500000"/>
    <m/>
    <m/>
    <n v="1"/>
    <m/>
    <n v="1"/>
    <s v="-"/>
    <m/>
    <m/>
    <m/>
    <m/>
    <m/>
    <m/>
    <m/>
    <m/>
    <m/>
    <m/>
    <m/>
    <m/>
    <m/>
    <m/>
    <m/>
    <m/>
    <n v="0"/>
    <m/>
    <m/>
    <m/>
    <x v="7"/>
    <x v="2"/>
    <m/>
    <m/>
    <m/>
    <m/>
    <n v="2799"/>
    <m/>
    <m/>
    <m/>
    <m/>
    <m/>
    <m/>
    <m/>
    <s v="Y"/>
    <m/>
    <m/>
    <m/>
    <m/>
    <s v="PEOPLE: T. Reines, relief del on Fed assessment team x3 wks (entire Horn of Africa); CASH: Intially $500,000 was approved but issues related to the programming and the appeal kept these funds from being disbursed to IFRC appeal. Eventually appeal was cancelled. Instead, ARC provided the resources to a British Red Cross led effort in Djibouti around livelihoods that was consistent with the appeal and recognized by the Federation as such."/>
  </r>
  <r>
    <m/>
    <n v="216"/>
    <x v="209"/>
    <d v="2008-12-14T00:00:00"/>
    <x v="13"/>
    <x v="14"/>
    <m/>
    <x v="13"/>
    <n v="29"/>
    <x v="1"/>
    <s v="Uganda"/>
    <s v="Human Related"/>
    <s v="Conflict"/>
    <s v="Conflict"/>
    <s v="Conflict"/>
    <n v="280000"/>
    <x v="1"/>
    <s v="IFRC"/>
    <n v="1437632"/>
    <s v="MDR64004"/>
    <x v="61"/>
    <x v="17"/>
    <s v="Y"/>
    <n v="201571"/>
    <n v="60000"/>
    <m/>
    <m/>
    <n v="1"/>
    <n v="50000"/>
    <m/>
    <m/>
    <m/>
    <n v="50000"/>
    <n v="1"/>
    <m/>
    <n v="1"/>
    <s v="-"/>
    <m/>
    <m/>
    <m/>
    <m/>
    <m/>
    <m/>
    <m/>
    <m/>
    <m/>
    <m/>
    <m/>
    <m/>
    <m/>
    <m/>
    <m/>
    <m/>
    <n v="50000"/>
    <m/>
    <m/>
    <m/>
    <x v="16"/>
    <x v="2"/>
    <m/>
    <m/>
    <m/>
    <m/>
    <n v="2799"/>
    <m/>
    <m/>
    <m/>
    <m/>
    <m/>
    <m/>
    <m/>
    <s v="Y"/>
    <m/>
    <m/>
    <m/>
    <m/>
    <s v="CASH: $50,000 PMN to Appeal earmarked to Uganda. PEOPLE: B. Banks, seconded to NBO as backfill DM coordinator deployed to Uganda on Fed assessment"/>
  </r>
  <r>
    <s v="EP-2008-000218-ZWE"/>
    <n v="217"/>
    <x v="210"/>
    <d v="2008-12-17T00:00:00"/>
    <x v="13"/>
    <x v="15"/>
    <m/>
    <x v="13"/>
    <n v="30"/>
    <x v="1"/>
    <s v="Zimbabwe"/>
    <s v="Biological"/>
    <s v="Epidemic"/>
    <s v="Disease"/>
    <s v="Cholera"/>
    <n v="50000"/>
    <x v="1"/>
    <s v="IFRC"/>
    <n v="9200000"/>
    <s v="MDRZW004"/>
    <x v="62"/>
    <x v="4"/>
    <s v="Y"/>
    <n v="359374"/>
    <n v="1500000"/>
    <m/>
    <m/>
    <n v="1"/>
    <n v="100000"/>
    <m/>
    <m/>
    <m/>
    <n v="100000"/>
    <m/>
    <m/>
    <m/>
    <s v="-"/>
    <m/>
    <m/>
    <m/>
    <m/>
    <m/>
    <m/>
    <m/>
    <m/>
    <m/>
    <m/>
    <m/>
    <m/>
    <m/>
    <m/>
    <m/>
    <m/>
    <n v="100000"/>
    <m/>
    <m/>
    <m/>
    <x v="5"/>
    <x v="2"/>
    <m/>
    <m/>
    <m/>
    <m/>
    <n v="2799"/>
    <m/>
    <m/>
    <m/>
    <m/>
    <m/>
    <m/>
    <m/>
    <s v="Y"/>
    <m/>
    <m/>
    <m/>
    <m/>
    <s v="CASH: PMN $100k to IFRC from 2799 - 75% operational needs, 25% support costs."/>
  </r>
  <r>
    <m/>
    <n v="218"/>
    <x v="211"/>
    <d v="2008-12-17T00:00:00"/>
    <x v="13"/>
    <x v="16"/>
    <m/>
    <x v="13"/>
    <n v="31"/>
    <x v="3"/>
    <s v="Israel"/>
    <s v="Human Related"/>
    <s v="Conflict"/>
    <s v="Conflict"/>
    <s v="Conflict"/>
    <s v="-"/>
    <x v="1"/>
    <s v="ICRC/Ntl Socs"/>
    <s v="-"/>
    <m/>
    <x v="0"/>
    <x v="0"/>
    <m/>
    <m/>
    <s v="-"/>
    <m/>
    <s v="-"/>
    <m/>
    <m/>
    <s v=" "/>
    <n v="200000"/>
    <m/>
    <m/>
    <m/>
    <m/>
    <m/>
    <s v="-"/>
    <m/>
    <m/>
    <m/>
    <m/>
    <m/>
    <m/>
    <m/>
    <m/>
    <m/>
    <m/>
    <m/>
    <m/>
    <m/>
    <m/>
    <m/>
    <m/>
    <s v="-"/>
    <m/>
    <m/>
    <m/>
    <x v="156"/>
    <x v="2"/>
    <m/>
    <m/>
    <m/>
    <m/>
    <n v="2099"/>
    <m/>
    <m/>
    <m/>
    <m/>
    <m/>
    <m/>
    <m/>
    <s v="N"/>
    <m/>
    <m/>
    <m/>
    <m/>
    <s v="CASH: 5 Jan 09 - $250,000 from 2799 RRF to ICRC;  9 Jan 09 $250,000 from 2799 RRF, to PRCS;  30 Jan 09 $200,000 from 2099 IRF to MDA;  5 Feb 09: $110,625 from 2010 Middle East, to PRCS appeal, and $110,625, 2010 Middle East to ICRC appeal."/>
  </r>
  <r>
    <m/>
    <n v="218"/>
    <x v="212"/>
    <d v="2008-12-17T00:00:00"/>
    <x v="13"/>
    <x v="16"/>
    <m/>
    <x v="13"/>
    <n v="31"/>
    <x v="3"/>
    <s v="Palestine"/>
    <s v="Human Related"/>
    <s v="Conflict"/>
    <s v="Conflict"/>
    <s v="Conflict"/>
    <n v="90000"/>
    <x v="1"/>
    <s v="ICRC/Ntl Socs"/>
    <m/>
    <m/>
    <x v="0"/>
    <x v="0"/>
    <s v="Y"/>
    <n v="310244"/>
    <n v="50000"/>
    <m/>
    <m/>
    <n v="1"/>
    <m/>
    <n v="360625"/>
    <n v="560625"/>
    <m/>
    <n v="921250"/>
    <m/>
    <m/>
    <m/>
    <s v="-"/>
    <m/>
    <m/>
    <m/>
    <m/>
    <m/>
    <m/>
    <m/>
    <m/>
    <m/>
    <m/>
    <m/>
    <m/>
    <m/>
    <m/>
    <m/>
    <m/>
    <n v="921250"/>
    <m/>
    <m/>
    <m/>
    <x v="159"/>
    <x v="1"/>
    <m/>
    <m/>
    <m/>
    <m/>
    <s v="2799/2099/2010"/>
    <m/>
    <m/>
    <m/>
    <m/>
    <m/>
    <m/>
    <m/>
    <s v="N"/>
    <m/>
    <m/>
    <m/>
    <s v="In late December 2008, the Government of Israel began a military offensive in Gaza, with the aim of ending Hamas rocket attacks on Israeli soil.  The most serious outbreak of hostilities in the Gaza Strip in decades, the conflict has resulted in significant civilian casualties and damage to homes, hospitals and infrastructure.   The American Red Cross has pledged a total of US $921,250 in support of Red Cross and Red Crescent response efforts.  This includes a new commitment of $110,625 each to the Palestine Red Crescent Society (PRCS) and the International Committee of the Red Cross (ICRC), as well as US $700,000 in previous contributions to ICRC, PRCS and Magen David Adom (MDA), the Israeli equivalent of the Red Cross."/>
    <s v="CASH: 5 Jan 09 - $250,000 from 2799 RRF to ICRC;  9 Jan 09 $250,000 from 2799 RRF, to PRCS;  30 Jan 09 $200,000 from 2099 IRF to MDA;  5 Feb 09: $110,625 from 2010 Middle East, to PRCS appeal, and $110,625, 2010 Middle East to ICRC appeal."/>
  </r>
  <r>
    <s v="EQ-2009-000009-CRI"/>
    <n v="219"/>
    <x v="213"/>
    <d v="2009-01-08T00:00:00"/>
    <x v="13"/>
    <x v="17"/>
    <s v="Q3"/>
    <x v="14"/>
    <n v="2"/>
    <x v="2"/>
    <s v="Costa Rica"/>
    <s v="Geophysical"/>
    <s v="Earthquake"/>
    <s v="Earthquake"/>
    <s v="Earthquake"/>
    <n v="2943"/>
    <x v="2"/>
    <m/>
    <s v="-"/>
    <m/>
    <x v="0"/>
    <x v="0"/>
    <s v="Y"/>
    <n v="49273"/>
    <s v="-"/>
    <s v="Y"/>
    <n v="640"/>
    <m/>
    <m/>
    <m/>
    <n v="62250"/>
    <m/>
    <n v="62250"/>
    <n v="2"/>
    <m/>
    <n v="2"/>
    <m/>
    <m/>
    <m/>
    <m/>
    <m/>
    <m/>
    <m/>
    <m/>
    <m/>
    <m/>
    <m/>
    <m/>
    <m/>
    <m/>
    <m/>
    <m/>
    <n v="11950"/>
    <n v="74200"/>
    <m/>
    <m/>
    <m/>
    <x v="160"/>
    <x v="1"/>
    <m/>
    <m/>
    <m/>
    <m/>
    <n v="2882"/>
    <m/>
    <m/>
    <m/>
    <m/>
    <m/>
    <m/>
    <m/>
    <s v="N"/>
    <m/>
    <m/>
    <m/>
    <s v="On January 8, a 6.2 earthquake struck  Costa Rica, triggering landslides, blocking roads and isolating communities, affecting more than 100,000 people.  The Costa Rican Red Cross delivered relief supplies, conducted search and rescue activities, provided evacuation, supported temporary shelter and conducted needs assessments.   The American Red Cross contributed $65,000 bilaterally to the CRRC to support a cash voucher program, disaster training and distribution of food packets. In addition, it deployed two delegates to help conduct assessments and develop the cash voucher program."/>
    <s v="CASH: Bilateral to CRRC; PEOPLE: S. DiPretoro, A. Vargas"/>
  </r>
  <r>
    <s v="WF-2009-000035-AUS"/>
    <n v="220"/>
    <x v="214"/>
    <d v="2009-02-07T00:00:00"/>
    <x v="13"/>
    <x v="18"/>
    <s v="Q3"/>
    <x v="14"/>
    <n v="3"/>
    <x v="3"/>
    <s v="Australia"/>
    <s v="Hydrometerological"/>
    <s v="Wildfire"/>
    <m/>
    <m/>
    <n v="22000"/>
    <x v="2"/>
    <m/>
    <m/>
    <m/>
    <x v="0"/>
    <x v="0"/>
    <m/>
    <m/>
    <m/>
    <s v="Y"/>
    <m/>
    <m/>
    <m/>
    <m/>
    <n v="1520000"/>
    <m/>
    <n v="1520000"/>
    <m/>
    <m/>
    <m/>
    <m/>
    <m/>
    <m/>
    <m/>
    <m/>
    <m/>
    <m/>
    <m/>
    <m/>
    <m/>
    <m/>
    <m/>
    <m/>
    <m/>
    <m/>
    <m/>
    <m/>
    <n v="1520000"/>
    <m/>
    <m/>
    <m/>
    <x v="161"/>
    <x v="1"/>
    <m/>
    <m/>
    <m/>
    <m/>
    <n v="2881"/>
    <m/>
    <m/>
    <m/>
    <m/>
    <m/>
    <m/>
    <m/>
    <s v="N"/>
    <m/>
    <m/>
    <m/>
    <s v="Wildfires in southeastern Australia destroyed more than 1,033 homes,  left more than 181 people dead and hundreds injured.  The Australian Red Cross has deployed more than 400 volunteers and staff to operate evacuation centers in 20 locations across the state of Victoria.   The American Red Cross coordinated  US corporate donations and ultimately provided  $1.52 million bilaterally to the Australian Red Cross._x000a_"/>
    <s v="CASH: ARC coordinated US corporate donations to joint domestic AusRC &amp; Ntl Govt appeal -  totaled $1,250,000 - sent August 2009"/>
  </r>
  <r>
    <m/>
    <n v="221"/>
    <x v="167"/>
    <d v="2009-03-05T00:00:00"/>
    <x v="13"/>
    <x v="19"/>
    <s v="Q3"/>
    <x v="14"/>
    <n v="4"/>
    <x v="3"/>
    <s v="Sri Lanka"/>
    <s v="Human Related"/>
    <s v="Conflict"/>
    <m/>
    <m/>
    <n v="250000"/>
    <x v="1"/>
    <s v="ICRC"/>
    <m/>
    <m/>
    <x v="0"/>
    <x v="0"/>
    <m/>
    <m/>
    <m/>
    <m/>
    <n v="20000"/>
    <n v="1"/>
    <m/>
    <n v="500000"/>
    <m/>
    <m/>
    <n v="500000"/>
    <n v="1"/>
    <m/>
    <n v="1"/>
    <m/>
    <m/>
    <m/>
    <m/>
    <m/>
    <m/>
    <m/>
    <m/>
    <m/>
    <m/>
    <m/>
    <m/>
    <m/>
    <m/>
    <m/>
    <m/>
    <m/>
    <n v="500000"/>
    <m/>
    <m/>
    <m/>
    <x v="162"/>
    <x v="1"/>
    <m/>
    <m/>
    <m/>
    <m/>
    <s v="TRP"/>
    <m/>
    <m/>
    <m/>
    <m/>
    <m/>
    <m/>
    <m/>
    <s v="N"/>
    <m/>
    <m/>
    <m/>
    <s v="Sri Lanka  experienced years of civil conflict between the government and rebel forces which intensified in recent months.   As Sri Lankan government forces advanced  50,000 ethnic Tamils were trapped in a five square kilometer area experiencing intense conflict on the northern coast.  Approximately 194,000 people fled the active conflict zone and were transferred to temporary camps or hospitals by government forces. The International Committee of the Red Cross worked with Sri Lanka Red Cross to assist those trapped in affected areas and provided relief supplies to displaced people in temporary camps.  At the request of the ICRC, the American Red Cross provided a delegate to assist in distribution of relief items in the temporary camps.  _x000a_"/>
    <s v="CASH: $500,000 to ICRC for baby kits to IDPs in camps. PEOPLE: Gina Guinta ICRC volunteer to work in IDP camps doing relief distribution, 30 days."/>
  </r>
  <r>
    <s v="FL-2009-000052-COL"/>
    <n v="222"/>
    <x v="157"/>
    <d v="2009-03-19T00:00:00"/>
    <x v="13"/>
    <x v="23"/>
    <s v="Q3"/>
    <x v="14"/>
    <n v="5"/>
    <x v="2"/>
    <s v="Colombia"/>
    <s v="Hydrometerological"/>
    <s v="Floods"/>
    <m/>
    <m/>
    <n v="31250"/>
    <x v="1"/>
    <s v="IFRC"/>
    <n v="957924"/>
    <s v="MDRCO006"/>
    <x v="2"/>
    <x v="18"/>
    <s v="Y"/>
    <n v="152369"/>
    <n v="25000"/>
    <m/>
    <m/>
    <m/>
    <m/>
    <m/>
    <m/>
    <m/>
    <m/>
    <m/>
    <m/>
    <m/>
    <n v="8000"/>
    <m/>
    <m/>
    <m/>
    <n v="8000"/>
    <m/>
    <m/>
    <m/>
    <m/>
    <m/>
    <m/>
    <m/>
    <m/>
    <m/>
    <m/>
    <n v="30000"/>
    <m/>
    <n v="30000"/>
    <m/>
    <m/>
    <m/>
    <x v="163"/>
    <x v="2"/>
    <m/>
    <m/>
    <m/>
    <m/>
    <n v="2799"/>
    <m/>
    <m/>
    <m/>
    <m/>
    <m/>
    <m/>
    <m/>
    <s v="Y"/>
    <m/>
    <m/>
    <m/>
    <s v="Flooding severely affecting 31,250 people in the Andean region of Colombia.  A request from the Colombian Red Cross for relief,shelter, water and sanitation and health support. American Red Cross provided $30,000 in jerry cans from PADRU stocks._x000a_"/>
    <s v="SUPPLIES: 8,000 ARC Jerry Cans from stock at PADRU shipped to IFRC in Colombia."/>
  </r>
  <r>
    <s v="EQ-2009-000072-ITA"/>
    <n v="223"/>
    <x v="96"/>
    <d v="2009-04-07T00:00:00"/>
    <x v="13"/>
    <x v="20"/>
    <s v="Q4"/>
    <x v="14"/>
    <n v="6"/>
    <x v="3"/>
    <s v="Italy"/>
    <s v="Geophysical"/>
    <s v="Earthquake"/>
    <m/>
    <m/>
    <n v="48000"/>
    <x v="2"/>
    <m/>
    <m/>
    <m/>
    <x v="0"/>
    <x v="0"/>
    <s v="Y"/>
    <n v="613944"/>
    <m/>
    <s v="Y"/>
    <m/>
    <m/>
    <m/>
    <m/>
    <n v="981315"/>
    <m/>
    <n v="981315"/>
    <m/>
    <m/>
    <m/>
    <m/>
    <m/>
    <m/>
    <m/>
    <m/>
    <m/>
    <m/>
    <m/>
    <m/>
    <m/>
    <m/>
    <m/>
    <m/>
    <m/>
    <m/>
    <m/>
    <m/>
    <n v="981315"/>
    <m/>
    <m/>
    <m/>
    <x v="164"/>
    <x v="1"/>
    <m/>
    <m/>
    <m/>
    <m/>
    <s v="2799/2697"/>
    <m/>
    <m/>
    <m/>
    <m/>
    <m/>
    <m/>
    <m/>
    <s v="N"/>
    <m/>
    <m/>
    <m/>
    <s v="A powerful 6.3 magnitude earthquake struck the city of L'Aquila in central Italy on April 6, the worst to hit the region in nearly 30 years, leaving 298 dead and 28,000 homeless.   The Italian Red Cross supported the affected population with food, shelter, and psychological support.  The American Red Cross provided $981,315 to the Italian Red Cross in support of response efforts. "/>
    <s v="CASH: $50,000 to Italian Red Cross from RRF 2799 - later repaid by 2697 when raised; Receiving donor funds to AP 2697 from public and chapters. Additional $522,180 from donor funds sent 5/29/09. Final amount in Aug. 2009"/>
  </r>
  <r>
    <s v="Fl-2009-000062-NAM"/>
    <n v="224"/>
    <x v="215"/>
    <d v="2009-05-15T00:00:00"/>
    <x v="13"/>
    <x v="21"/>
    <s v="Q4"/>
    <x v="14"/>
    <n v="7"/>
    <x v="1"/>
    <s v="Namibia"/>
    <s v="Hydrometerological"/>
    <s v="Floods"/>
    <m/>
    <m/>
    <n v="700000"/>
    <x v="1"/>
    <s v="IFRC"/>
    <n v="1878181"/>
    <s v="MDRNA004"/>
    <x v="63"/>
    <x v="19"/>
    <s v="Y"/>
    <n v="128552"/>
    <n v="20000"/>
    <m/>
    <m/>
    <n v="1"/>
    <n v="50000"/>
    <m/>
    <m/>
    <m/>
    <n v="50000"/>
    <m/>
    <m/>
    <m/>
    <m/>
    <m/>
    <m/>
    <m/>
    <m/>
    <m/>
    <m/>
    <m/>
    <m/>
    <m/>
    <m/>
    <m/>
    <m/>
    <m/>
    <m/>
    <m/>
    <m/>
    <n v="50000"/>
    <m/>
    <m/>
    <m/>
    <x v="16"/>
    <x v="2"/>
    <m/>
    <m/>
    <m/>
    <m/>
    <n v="2799"/>
    <m/>
    <m/>
    <m/>
    <m/>
    <m/>
    <m/>
    <m/>
    <s v="Y"/>
    <m/>
    <m/>
    <m/>
    <s v="In northern Namibia, heavy rains have led to severe flooding in six regions and the worst flooding in over 40 years, affecting more than 350,000 people. It also caused large scale destruction of homes, schools, health facilities, crops and infrastructure. The Namibian Red Cross provided medicines, shelter, water and sanitation, relief items and camp management. The American Red Cross pledged $50,000 to support response efforts through the appeal. _x000a_"/>
    <s v="CASH: $50k to IFRC from 2799 earmarked for relief supplies"/>
  </r>
  <r>
    <m/>
    <n v="225"/>
    <x v="216"/>
    <d v="2009-05-15T00:00:00"/>
    <x v="13"/>
    <x v="22"/>
    <s v="Q4"/>
    <x v="14"/>
    <n v="8"/>
    <x v="1"/>
    <s v="Sudan"/>
    <s v="Biological"/>
    <s v="Epidemic"/>
    <m/>
    <m/>
    <n v="25000000"/>
    <x v="1"/>
    <s v="IFRC"/>
    <n v="2200000"/>
    <s v="MDR61004; MDR64004; MDR63002"/>
    <x v="64"/>
    <x v="20"/>
    <s v="Y"/>
    <n v="315628"/>
    <n v="25000000"/>
    <m/>
    <m/>
    <n v="1"/>
    <n v="200000"/>
    <m/>
    <m/>
    <m/>
    <n v="200000"/>
    <m/>
    <m/>
    <m/>
    <m/>
    <m/>
    <m/>
    <m/>
    <m/>
    <m/>
    <m/>
    <m/>
    <m/>
    <m/>
    <m/>
    <m/>
    <m/>
    <m/>
    <m/>
    <m/>
    <m/>
    <n v="200000"/>
    <m/>
    <m/>
    <m/>
    <x v="121"/>
    <x v="1"/>
    <m/>
    <m/>
    <m/>
    <m/>
    <n v="2869"/>
    <m/>
    <m/>
    <m/>
    <m/>
    <m/>
    <s v="Y"/>
    <m/>
    <s v="N"/>
    <m/>
    <s v="ARCT Funds used - $200,000"/>
    <m/>
    <s v="Polio outbreak were confirmed in 15 countries across Sub-Saharan Africa, undermining progress made to eradicate polio over the last two decades.   The American Red Cross has pledged US $200,000 to the International Federation Emergency Appeal for mass social mobilization activities related to emergency polio vaccination campaigns.  "/>
    <s v="CASH: $200k to IFRC earmarked for Sudan vaccination campaign from ARCT - funds went out as of August 2009."/>
  </r>
  <r>
    <m/>
    <n v="226"/>
    <x v="217"/>
    <d v="2009-05-15T00:00:00"/>
    <x v="13"/>
    <x v="24"/>
    <s v="Q4"/>
    <x v="14"/>
    <n v="9"/>
    <x v="3"/>
    <s v="Pakistan"/>
    <s v="Human Related"/>
    <s v="Conflict"/>
    <m/>
    <m/>
    <n v="2000000"/>
    <x v="1"/>
    <s v="IFRC"/>
    <n v="7300000"/>
    <s v="MDRPK003"/>
    <x v="65"/>
    <x v="21"/>
    <m/>
    <m/>
    <n v="91000"/>
    <m/>
    <m/>
    <n v="1"/>
    <n v="250000"/>
    <m/>
    <m/>
    <m/>
    <n v="250000"/>
    <m/>
    <m/>
    <m/>
    <n v="5150"/>
    <m/>
    <m/>
    <m/>
    <m/>
    <m/>
    <m/>
    <m/>
    <m/>
    <m/>
    <m/>
    <m/>
    <m/>
    <m/>
    <m/>
    <n v="80000"/>
    <m/>
    <n v="330000"/>
    <m/>
    <m/>
    <m/>
    <x v="165"/>
    <x v="2"/>
    <m/>
    <m/>
    <m/>
    <m/>
    <n v="2799"/>
    <m/>
    <m/>
    <m/>
    <m/>
    <m/>
    <m/>
    <m/>
    <s v="Y"/>
    <m/>
    <m/>
    <m/>
    <s v="During the Internally Displaced Persons Crisis of 2009, the American Red Cross provided $330,000 in support for relief supplies for those living in temporary camps. "/>
    <s v="SUPPLIES: $80,000 bilateral for beds and mattresses to be transported to PRCS for IDP camps. CASH: $250,000 earmarked for NFIs. on June 26 to support Federation Appeal. "/>
  </r>
  <r>
    <s v="TC-2009-000105-BGD"/>
    <n v="227"/>
    <x v="218"/>
    <d v="2009-06-26T00:00:00"/>
    <x v="13"/>
    <x v="25"/>
    <s v="Q4"/>
    <x v="14"/>
    <n v="10"/>
    <x v="3"/>
    <s v="Bangladesh"/>
    <s v="Hydrometerological"/>
    <s v="Storm"/>
    <m/>
    <m/>
    <n v="3928238"/>
    <x v="1"/>
    <s v="IFRC"/>
    <n v="2200000"/>
    <s v="MDRBD004"/>
    <x v="2"/>
    <x v="0"/>
    <s v="Y"/>
    <n v="230677"/>
    <n v="184000"/>
    <m/>
    <m/>
    <m/>
    <m/>
    <m/>
    <m/>
    <m/>
    <m/>
    <n v="1"/>
    <m/>
    <n v="1"/>
    <m/>
    <m/>
    <m/>
    <m/>
    <m/>
    <m/>
    <m/>
    <m/>
    <m/>
    <m/>
    <m/>
    <m/>
    <m/>
    <m/>
    <m/>
    <m/>
    <m/>
    <n v="0"/>
    <m/>
    <m/>
    <m/>
    <x v="7"/>
    <x v="1"/>
    <m/>
    <m/>
    <m/>
    <m/>
    <n v="2017"/>
    <m/>
    <m/>
    <m/>
    <m/>
    <m/>
    <m/>
    <m/>
    <s v="N"/>
    <m/>
    <m/>
    <m/>
    <s v="Cyclone Aila hit southwestern Bangladesh, killing 190 people and causing widespread devastation in 14 districts. Some 600,000 people were evacuated prior to the cyclone - significantly minimizing the loss of life.  The Bangladesh Red Crescent responded, activating thousands of volunteers to provide relief supplies and medical care.   The American Red Cross deployed a relief operations support delegate to assist the Bangladesh Red Crescent in response operations.  "/>
    <s v="PEOPLE: Relief Operations Support Delegate: Travis Betz deployed 4 weeks as a Relief Operations Support Delegate to provide support to the Bangladesh Delegation and affected National Society in response to Cyclone Aila. "/>
  </r>
  <r>
    <s v="FL-2009-000095-TJK"/>
    <n v="228"/>
    <x v="219"/>
    <d v="2009-08-12T00:00:00"/>
    <x v="14"/>
    <x v="1"/>
    <s v="Q1"/>
    <x v="14"/>
    <n v="11"/>
    <x v="3"/>
    <s v="Tajikistan"/>
    <s v="Hydrometerological"/>
    <s v="Floods"/>
    <m/>
    <m/>
    <n v="12000"/>
    <x v="1"/>
    <s v="IFRC"/>
    <n v="806936"/>
    <s v="MDRTJ005"/>
    <x v="66"/>
    <x v="22"/>
    <s v="Y"/>
    <n v="118472"/>
    <n v="4320"/>
    <m/>
    <n v="165"/>
    <m/>
    <n v="11500"/>
    <m/>
    <m/>
    <m/>
    <n v="11500"/>
    <m/>
    <m/>
    <m/>
    <m/>
    <m/>
    <m/>
    <m/>
    <m/>
    <m/>
    <m/>
    <m/>
    <m/>
    <m/>
    <m/>
    <m/>
    <m/>
    <m/>
    <m/>
    <m/>
    <m/>
    <n v="11500"/>
    <m/>
    <m/>
    <m/>
    <x v="166"/>
    <x v="2"/>
    <m/>
    <m/>
    <m/>
    <m/>
    <n v="2799"/>
    <m/>
    <m/>
    <m/>
    <m/>
    <m/>
    <m/>
    <m/>
    <s v="Y"/>
    <m/>
    <m/>
    <m/>
    <s v="Heavy rainfall resulted in flooding in various parts of Tajikistan, killing 26 and affecting 12,000 people. The Tajikistan Red Crescent responded with relief items, supported by two Regional Disaster Response Teams (RDRT). The American Red Cross provided $11,500 for construction tool kits. "/>
    <s v="CASH: $11,500 (plus cost recovery) to IFRC Appeal from 2799"/>
  </r>
  <r>
    <s v="DR-2009-00149-SYR"/>
    <n v="229"/>
    <x v="220"/>
    <d v="2009-09-01T00:00:00"/>
    <x v="14"/>
    <x v="2"/>
    <s v="Q1"/>
    <x v="14"/>
    <n v="12"/>
    <x v="3"/>
    <s v="Syria"/>
    <s v="Hydrometerological"/>
    <s v="Drought"/>
    <m/>
    <m/>
    <n v="1300000"/>
    <x v="1"/>
    <s v="IFRC"/>
    <n v="3076415"/>
    <s v="MDRSY001"/>
    <x v="67"/>
    <x v="23"/>
    <s v="Y"/>
    <n v="303195"/>
    <n v="260000"/>
    <m/>
    <m/>
    <n v="1"/>
    <n v="50000"/>
    <m/>
    <m/>
    <m/>
    <n v="50000"/>
    <m/>
    <m/>
    <m/>
    <m/>
    <m/>
    <m/>
    <m/>
    <m/>
    <m/>
    <m/>
    <m/>
    <m/>
    <m/>
    <m/>
    <m/>
    <m/>
    <m/>
    <m/>
    <m/>
    <m/>
    <n v="50000"/>
    <m/>
    <m/>
    <m/>
    <x v="16"/>
    <x v="1"/>
    <m/>
    <m/>
    <m/>
    <m/>
    <n v="2869"/>
    <m/>
    <m/>
    <m/>
    <m/>
    <m/>
    <s v="Y"/>
    <m/>
    <s v="N"/>
    <m/>
    <s v="ARCT Funds used"/>
    <m/>
    <s v="Syria experienced a drought since 2006, but conditions have worsened in the last eight months as high temperatures and low rainfall destroyed much of the seasonal crop of grain. Currently 1.3 million people in eastern Syria are affected, and an estimated 800,000 have lost most of their income and are facing extreme hardship. These conditions have triggered a substantial increase in the rate of migration from villages in the affected areas to urban centers during the past year. The Syrian Arab Red Crescent worked to deliver food items, healthcare, hygiene kits, and water and sanitation services to those affected by the drought.   In support of the response, the American Red Cross committed $50,000 to the International Federation appeal.  "/>
    <s v="CASH: $50,000 from ARCT for Overlooked Disasters Fund (plus cost recovery to be covered from RRF 2799)"/>
  </r>
  <r>
    <s v="FL-2009-000172-BFA "/>
    <n v="230"/>
    <x v="221"/>
    <d v="2009-09-10T00:00:00"/>
    <x v="14"/>
    <x v="3"/>
    <s v="Q1"/>
    <x v="14"/>
    <n v="13"/>
    <x v="1"/>
    <s v="Burkina Faso"/>
    <s v="Hydrometerological"/>
    <s v="Floods"/>
    <m/>
    <m/>
    <n v="600000"/>
    <x v="1"/>
    <s v="IFRC"/>
    <n v="2600000"/>
    <s v="MDRBF008 &amp; MDRSN002"/>
    <x v="2"/>
    <x v="24"/>
    <s v="Y"/>
    <n v="419190"/>
    <n v="40000"/>
    <m/>
    <m/>
    <m/>
    <m/>
    <m/>
    <m/>
    <m/>
    <n v="0"/>
    <n v="1"/>
    <m/>
    <n v="1"/>
    <m/>
    <m/>
    <n v="7500"/>
    <n v="37500"/>
    <n v="7500"/>
    <n v="7500"/>
    <n v="500"/>
    <n v="7500"/>
    <m/>
    <m/>
    <m/>
    <m/>
    <m/>
    <m/>
    <m/>
    <m/>
    <m/>
    <n v="0"/>
    <m/>
    <m/>
    <m/>
    <x v="7"/>
    <x v="2"/>
    <m/>
    <m/>
    <m/>
    <m/>
    <n v="2799"/>
    <m/>
    <m/>
    <m/>
    <m/>
    <m/>
    <m/>
    <m/>
    <s v="Y"/>
    <m/>
    <m/>
    <m/>
    <s v="A heavier than normal rainy season in West and Central Africa has caused serious flooding in 16 countries. Beginning in early September the flooding worsened, affecting more than 600,000 people in Benin, Central African Republic, Chad, Cote d'Ivoire, Gambia, Ghana, Guinea, Guinea Bissau, Liberia, Mali, Mauritania, Niger, Nigeria, Senegal, Sierra Leone and Togo. The rains have caused 159 deaths and considerable damage to homes and infrastructure, leaving thousands homeless.  Red Cross national societies in the affected countries are providing food and relief items, emergency healthcare and psychosocial support, water and sanitation services and livelihoods assistance.  The American Red Cross provided equipment and three delegates for a Relief Emergency Response Unit to be deployed to Senegal. This is in addition to a delegate deployed as part of a Field Assessment and Coordination Team to assess needs in Burkina Faso.  "/>
    <s v="PEOPLE: John Manley deployed to Burkina Faso as FACT team member for 1 month. "/>
  </r>
  <r>
    <s v="FL-2009-000164-SEN"/>
    <n v="230"/>
    <x v="222"/>
    <d v="2009-09-10T00:00:00"/>
    <x v="14"/>
    <x v="3"/>
    <s v="Q1"/>
    <x v="14"/>
    <n v="13"/>
    <x v="1"/>
    <s v="Senegal"/>
    <s v="Hydrometerological"/>
    <s v="Floods"/>
    <m/>
    <m/>
    <n v="156000"/>
    <x v="1"/>
    <s v="IFRC"/>
    <n v="2000000"/>
    <s v="MDRBF008 &amp; MDRSN002"/>
    <x v="2"/>
    <x v="14"/>
    <s v="Y"/>
    <n v="419190"/>
    <n v="25000"/>
    <m/>
    <m/>
    <m/>
    <m/>
    <m/>
    <m/>
    <m/>
    <n v="0"/>
    <n v="3"/>
    <s v="Relief ERU"/>
    <n v="3"/>
    <m/>
    <m/>
    <m/>
    <m/>
    <m/>
    <m/>
    <m/>
    <m/>
    <m/>
    <m/>
    <m/>
    <m/>
    <m/>
    <m/>
    <m/>
    <m/>
    <m/>
    <n v="0"/>
    <m/>
    <m/>
    <m/>
    <x v="7"/>
    <x v="2"/>
    <m/>
    <m/>
    <m/>
    <m/>
    <n v="2799"/>
    <m/>
    <m/>
    <m/>
    <m/>
    <m/>
    <m/>
    <m/>
    <s v="Y"/>
    <m/>
    <m/>
    <m/>
    <s v="A heavier than normal rainy season in West and Central Africa has caused serious flooding in 16 countries. Beginning in early September the flooding worsened, affecting more than 600,000 people in Benin, Central African Republic, Chad, Cote d'Ivoire, Gambia, Ghana, Guinea, Guinea Bissau, Liberia, Mali, Mauritania, Niger, Nigeria, Senegal, Sierra Leone and Togo. The rains have caused 159 deaths and considerable damage to homes and infrastructure, leaving thousands homeless.  Red Cross national societies in the affected countries are providing food and relief items, emergency healthcare and psychosocial support, water and sanitation services and livelihoods assistance.  The American Red Cross provided equipment and three delegates for a Relief Emergency Response Unit to be deployed to Senegal. This is in addition to a delegate deployed as part of a Field Assessment and Coordination Team to assess needs in Burkina Faso.  "/>
    <s v="PEOPLE: 3 ERU team members deployed jointly with DanishRC for 1 month: Steve McAndrew – ERU Team leader, Shinko Mondori- ERU team member, Luis Matnog- ERU team member . ERUs are part of Appeal Mob table so we can claim multilateral beneficiaries."/>
  </r>
  <r>
    <s v="TC-2009-000167-MEX"/>
    <n v="231"/>
    <x v="223"/>
    <d v="2009-09-03T00:00:00"/>
    <x v="14"/>
    <x v="4"/>
    <s v="Q1"/>
    <x v="14"/>
    <n v="14"/>
    <x v="2"/>
    <s v="Mexico"/>
    <s v="Hydrometerological"/>
    <s v="Tropical Storm"/>
    <m/>
    <m/>
    <n v="100000"/>
    <x v="2"/>
    <m/>
    <m/>
    <m/>
    <x v="0"/>
    <x v="0"/>
    <s v="Y"/>
    <n v="319632"/>
    <m/>
    <s v="Y"/>
    <n v="15000"/>
    <m/>
    <m/>
    <m/>
    <m/>
    <m/>
    <n v="0"/>
    <n v="1"/>
    <m/>
    <n v="1"/>
    <n v="13840"/>
    <s v="mixed"/>
    <n v="1840"/>
    <m/>
    <m/>
    <m/>
    <m/>
    <n v="3000"/>
    <m/>
    <n v="6000"/>
    <m/>
    <m/>
    <m/>
    <n v="3000"/>
    <m/>
    <n v="259500"/>
    <m/>
    <n v="259500"/>
    <m/>
    <m/>
    <m/>
    <x v="167"/>
    <x v="2"/>
    <m/>
    <m/>
    <m/>
    <m/>
    <s v="2799  + OFDA"/>
    <m/>
    <m/>
    <m/>
    <m/>
    <m/>
    <m/>
    <s v="Y"/>
    <s v="N"/>
    <m/>
    <m/>
    <m/>
    <s v="Hurricane Jimena hit Mexico’s Baja California peninsula as a category two hurricane on September 3, affecting the state of Baja California Sur and Sonora. The hurricane affected 120,000 people, causing damage to homes, businesses, electricity infrastructure, and water and transportation systems.   The Mexican Red Cross performed assessments and mobilized  to provide food and relief items to those affected.  The American Red Cross provided a bilateral contribution of  7,800 relief items, including hygiene kits, kitchen sets and reconstruction kits for distribution to those affected by the storm."/>
    <s v="SUPPLIES: Bilateral to Mexican RC: 1,840 hygiene kits from stock at PADRU, 3,000 kitchen sets from stock at PADRU, 3,000 reconstruction kits to be procured locally. Funding: For 1,840  hygiene kits ($60,000) from 2799; 3,000 kitchen sets ($75,000) from OFDA; 3,000 reconstruction kits ($124,500) from OFDA.  PEOPLE: Jono Anzalone deployed to do M &amp; E for relief distribution."/>
  </r>
  <r>
    <s v="EQ-2009-000173-IDN"/>
    <n v="232"/>
    <x v="224"/>
    <d v="2009-09-02T00:00:00"/>
    <x v="14"/>
    <x v="5"/>
    <s v="Q1"/>
    <x v="14"/>
    <n v="15"/>
    <x v="3"/>
    <s v="Indonesia"/>
    <s v="Geophysical"/>
    <s v="Earthquake"/>
    <m/>
    <m/>
    <n v="90000"/>
    <x v="2"/>
    <m/>
    <m/>
    <m/>
    <x v="0"/>
    <x v="0"/>
    <s v="N"/>
    <m/>
    <m/>
    <s v="Y"/>
    <m/>
    <m/>
    <m/>
    <m/>
    <m/>
    <m/>
    <n v="0"/>
    <n v="1"/>
    <m/>
    <n v="1"/>
    <m/>
    <m/>
    <m/>
    <m/>
    <m/>
    <m/>
    <m/>
    <m/>
    <m/>
    <m/>
    <m/>
    <m/>
    <m/>
    <m/>
    <m/>
    <m/>
    <m/>
    <n v="0"/>
    <m/>
    <m/>
    <m/>
    <x v="7"/>
    <x v="2"/>
    <m/>
    <m/>
    <m/>
    <m/>
    <n v="2799"/>
    <m/>
    <m/>
    <m/>
    <m/>
    <m/>
    <m/>
    <m/>
    <s v="Y"/>
    <m/>
    <m/>
    <m/>
    <s v="In response to an earthquake, the American Red Cross sent Christina Hammond to  to fill the role of IFRC Shelter Cluster Information Manager for Java Earthquake response  for four weeks"/>
    <s v="PEOPLE: Cristina Hammond deployed to fill the role of IFRC Shelter Cluster Information Manager for Java Earthquake response - 4 weeks."/>
  </r>
  <r>
    <s v="TC-2009-000205-PHL"/>
    <n v="233"/>
    <x v="225"/>
    <d v="2009-09-02T00:00:00"/>
    <x v="14"/>
    <x v="6"/>
    <s v="Q1"/>
    <x v="14"/>
    <n v="16"/>
    <x v="3"/>
    <s v="Philippines"/>
    <s v="Hydrometerological"/>
    <s v="Tropical Storm"/>
    <m/>
    <m/>
    <n v="1000000"/>
    <x v="1"/>
    <s v="IFRC"/>
    <n v="6650000"/>
    <s v="MDRPH005"/>
    <x v="68"/>
    <x v="25"/>
    <s v="Y"/>
    <n v="242000"/>
    <n v="200000"/>
    <m/>
    <n v="50000"/>
    <n v="1"/>
    <n v="550000"/>
    <m/>
    <n v="500000"/>
    <m/>
    <n v="1050000"/>
    <n v="2"/>
    <m/>
    <n v="2"/>
    <n v="22300"/>
    <s v="Y"/>
    <m/>
    <n v="4000"/>
    <n v="10000"/>
    <m/>
    <m/>
    <n v="1500"/>
    <m/>
    <n v="6800"/>
    <m/>
    <m/>
    <m/>
    <m/>
    <m/>
    <n v="118000"/>
    <m/>
    <n v="1168000"/>
    <m/>
    <m/>
    <m/>
    <x v="168"/>
    <x v="1"/>
    <m/>
    <m/>
    <m/>
    <m/>
    <n v="2698"/>
    <m/>
    <m/>
    <m/>
    <m/>
    <m/>
    <m/>
    <s v="Y"/>
    <s v="N"/>
    <m/>
    <s v="OFDA grant for $500,000 for NFIs"/>
    <m/>
    <s v="In September 2009, a series of typhoons hit Southeast Asia, causing floods and landslides affecting millions.  Typhoons Ketsana and Parma were particularly damaging to communities in the Philippines and Vietnam, although areas of Cambodia and Laos were also impacted.  The Philippine Red Cross and Vietnam Red Cross provided clean water, food parcels and relief items to affected families. In Vietnam, the American Red Cross implemented a $500,000 OFDA grant to provide emergency cash grants and it provided $100,000 to support future disaster risk reduction activities, for a total of $955,750.  In the Philippines, the American Red Cross implemented $500,000 OFDA grant to for  relief supplies. It also provided $250,000 to support early recovery activities, for a totalof $1,168,000. _x000a_"/>
    <s v="Philippines: SUPPLIES: approx $118,000 in relief supplies from KL warehouse. CASH: $550,000 = $250,000 PMN to Philippines Appeal for early recovery (plus cost recovery) +$300,000 PMN to Philippines appeal for shelter, relief and watsan (plus cost recovery); plus OFDA grant for $500,000 for locally procured NFIs l w/ARC mgmt through Philippines RC (counted as cash to Ntl Soc). PEOPLE: 1) Mariza Rogers deployed as shelter coordinator delegate for one month - started Oct. 5.  2) Cristina Hammond deployed to implement OFDA NFI distribution Oct. 16 for one month"/>
  </r>
  <r>
    <s v="FL-2009-000207-VNM"/>
    <n v="233"/>
    <x v="226"/>
    <d v="2009-09-02T00:00:00"/>
    <x v="14"/>
    <x v="6"/>
    <s v="Q1"/>
    <x v="14"/>
    <n v="16"/>
    <x v="3"/>
    <s v="Vietnam"/>
    <s v="Hydrometerological"/>
    <s v="Tropical Storm"/>
    <m/>
    <m/>
    <n v="3000000"/>
    <x v="1"/>
    <s v="IFRC"/>
    <n v="5470000"/>
    <s v="MDRRVN006"/>
    <x v="69"/>
    <x v="5"/>
    <s v="Y"/>
    <n v="324167"/>
    <n v="270000"/>
    <m/>
    <m/>
    <n v="1"/>
    <n v="450000"/>
    <m/>
    <n v="500000"/>
    <m/>
    <n v="950000"/>
    <n v="1"/>
    <m/>
    <n v="1"/>
    <m/>
    <m/>
    <m/>
    <m/>
    <m/>
    <m/>
    <m/>
    <m/>
    <m/>
    <m/>
    <m/>
    <m/>
    <m/>
    <m/>
    <m/>
    <m/>
    <m/>
    <n v="950000"/>
    <n v="1200000"/>
    <m/>
    <m/>
    <x v="169"/>
    <x v="1"/>
    <m/>
    <m/>
    <m/>
    <m/>
    <n v="2698"/>
    <m/>
    <m/>
    <m/>
    <m/>
    <m/>
    <m/>
    <s v="Y"/>
    <s v="N"/>
    <m/>
    <s v="OFDA grant for $500,000 for cash transfer programming"/>
    <m/>
    <s v="In September 2009, a series of typhoons hit Southeast Asia, causing floods and landslides affecting millions.  Typhoons Ketsana and Parma were particularly damaging to communities in the Philippines and Vietnam, although areas of Cambodia and Laos were also impacted.  The Philippine Red Cross and Vietnam Red Cross provided clean water, food parcels and relief items to affected families. In Vietnam, the American Red Cross implemented a $500,000 OFDA grant to provide emergency cash grants and it provided $100,000 to support future disaster risk reduction activities, for a total of $955,750.  In the Philippines, the American Red Cross implemented $500,000 OFDA grant to for  relief supplies. It also provided $250,000 to support early recovery activities, for a totalof $1,168,000. _x000a_"/>
    <s v="Vietnam: CASH: Cash: $450,000 total:  $50,000 PMN Oct. 2 + $300,000 PMN Oct. 5 to Federation Vietnam Appeal - earmarked for shelter, NFIs and Wat/San + $100,000 PMN to Vietnam Appeal for DRR (plus cost recovery). OFDA grant for $500,000 for cash programming; PEOPLE: Michael Zeleke delegate to Vietnam to work on cash programming."/>
  </r>
  <r>
    <s v="TS-2009-000211-IDN"/>
    <n v="234"/>
    <x v="227"/>
    <d v="2009-09-02T00:00:00"/>
    <x v="14"/>
    <x v="7"/>
    <s v="Q1"/>
    <x v="14"/>
    <n v="17"/>
    <x v="3"/>
    <s v="Indonesia"/>
    <s v="Geophysical"/>
    <s v="Earthquake"/>
    <m/>
    <m/>
    <n v="1000000"/>
    <x v="1"/>
    <s v="IFRC"/>
    <n v="18600000"/>
    <s v="MDRID004"/>
    <x v="70"/>
    <x v="3"/>
    <s v="Y"/>
    <n v="227106"/>
    <n v="100000"/>
    <m/>
    <n v="25000"/>
    <n v="1"/>
    <m/>
    <m/>
    <n v="500000"/>
    <m/>
    <n v="500000"/>
    <n v="1"/>
    <m/>
    <n v="1"/>
    <n v="44181"/>
    <s v="Y"/>
    <m/>
    <n v="20981"/>
    <m/>
    <m/>
    <m/>
    <m/>
    <m/>
    <n v="13200"/>
    <m/>
    <n v="10000"/>
    <m/>
    <m/>
    <m/>
    <n v="400000"/>
    <m/>
    <n v="900000"/>
    <n v="764192.86"/>
    <m/>
    <m/>
    <x v="170"/>
    <x v="1"/>
    <m/>
    <m/>
    <m/>
    <m/>
    <n v="2930"/>
    <m/>
    <m/>
    <m/>
    <m/>
    <m/>
    <m/>
    <s v="Y"/>
    <s v="N"/>
    <m/>
    <s v="OFDA grant for $500,000 for NFIs"/>
    <m/>
    <s v="Over a 48-hour period, two earthquakes struck the west coast of the island of Sumatra in Indonesia, killing 1,195 people. The Indonesian Red Cross (PMI) provided relief items, medical support, family reunification and temporary shelters, and  emergency water and sanitation services. The American Red Cross provided $400,000 in relief supplies and received a $500,000 OFDA grant to provide additional relief supplies and potable water. It also  deployed a disaster specialist to monitor and evaluate the progress of relief supply distribution. _x000a_"/>
    <s v="CASH: OFDA grant for $500,000 to fund NFIs; SUPPLIES: 44,180 supplies (cost: $400,000) from KL warehouse; PEOPLE: Alex Mahoney onsite 3 weeks to coordinate OFDA NFIs distribution."/>
  </r>
  <r>
    <s v="2009-000209 - ASM; 2009-000210-WSM"/>
    <n v="235"/>
    <x v="228"/>
    <d v="2009-10-01T00:00:00"/>
    <x v="14"/>
    <x v="8"/>
    <s v="Q2"/>
    <x v="14"/>
    <n v="18"/>
    <x v="3"/>
    <s v="Samoa"/>
    <s v="Hydrometerological"/>
    <s v="Tsunami"/>
    <m/>
    <m/>
    <n v="10000"/>
    <x v="1"/>
    <s v="IFRC"/>
    <n v="2450000"/>
    <s v="MDRWS001"/>
    <x v="71"/>
    <x v="26"/>
    <s v="Y"/>
    <n v="313729"/>
    <n v="5000"/>
    <m/>
    <n v="2500"/>
    <n v="1"/>
    <n v="100000"/>
    <m/>
    <m/>
    <m/>
    <n v="100000"/>
    <m/>
    <m/>
    <m/>
    <m/>
    <m/>
    <m/>
    <m/>
    <m/>
    <m/>
    <m/>
    <m/>
    <m/>
    <m/>
    <m/>
    <m/>
    <m/>
    <m/>
    <m/>
    <m/>
    <m/>
    <n v="100000"/>
    <m/>
    <m/>
    <m/>
    <x v="5"/>
    <x v="2"/>
    <m/>
    <m/>
    <m/>
    <m/>
    <n v="2799"/>
    <m/>
    <m/>
    <m/>
    <m/>
    <m/>
    <m/>
    <m/>
    <s v="Y"/>
    <m/>
    <m/>
    <m/>
    <s v="On September 29, an earthquake of magnitude 8.0 occurred in the Pacific Ocean off the coast of American Samoa, causing a destructive tsunami wave that struck American Samoa, Samoa and the island of Niuatoputapu in Tonga.  The Samoa Red Cross Society, the Tonga Red Cross Society, and the domestic Disaster Services of the American Red Cross responded directly with food, shelter and relief supplies.  International Services of the American Red Cross provided $100,000 to support the Federation's appeal for  Samoa."/>
    <s v="CASH: $100,000 PMN to Federation Appeal from Rapid Response Fund"/>
  </r>
  <r>
    <s v="FL-2009-000217-IND"/>
    <n v="236"/>
    <x v="33"/>
    <d v="2009-10-27T00:00:00"/>
    <x v="14"/>
    <x v="9"/>
    <s v="Q2"/>
    <x v="14"/>
    <n v="19"/>
    <x v="3"/>
    <s v="India"/>
    <s v="Hydrometerological"/>
    <s v="Floods"/>
    <m/>
    <m/>
    <n v="4100000"/>
    <x v="1"/>
    <s v="NS"/>
    <n v="3100000"/>
    <s v="MDRIN004"/>
    <x v="2"/>
    <x v="0"/>
    <s v="Y"/>
    <n v="51364"/>
    <n v="125000"/>
    <m/>
    <m/>
    <m/>
    <m/>
    <m/>
    <m/>
    <m/>
    <n v="0"/>
    <m/>
    <m/>
    <m/>
    <n v="7500"/>
    <s v="N"/>
    <m/>
    <m/>
    <m/>
    <m/>
    <m/>
    <n v="7500"/>
    <m/>
    <m/>
    <m/>
    <m/>
    <m/>
    <m/>
    <m/>
    <n v="190000"/>
    <m/>
    <n v="190000"/>
    <m/>
    <m/>
    <m/>
    <x v="171"/>
    <x v="1"/>
    <m/>
    <m/>
    <m/>
    <m/>
    <s v="2003/2695"/>
    <m/>
    <m/>
    <m/>
    <m/>
    <m/>
    <m/>
    <m/>
    <s v="N"/>
    <m/>
    <m/>
    <m/>
    <s v="The heaviest rains in more than a century have inundated parts of Andhra Pradesh and Karnataka states in southern India. The Krishna River and its tributaries has flooded surrounding villages, killing 384 people, displacing 674,500 and affecting more than 4.1 million.  The Indian Red Cross provided relief supplies,  damage assessments and issued a $3.1 million national appeal for assistance.  The American Red Cross is providing relief supplies valued at $180,000 to the Indian Red Cross to assist in the response operation."/>
    <s v="SUPPLIES: In response to Indian RC national appeal, ARC locally procured approx 2,700 kitchen sets to deliver to Indian RC, using APs 2003 (India R &amp; D) and 2695 (TRP funds for Andra Pradesh DM) - this effectively closes out these APs ($190,000 spent total)"/>
  </r>
  <r>
    <s v="DR-2009-000197-KEN"/>
    <n v="237"/>
    <x v="229"/>
    <d v="2009-11-05T00:00:00"/>
    <x v="14"/>
    <x v="10"/>
    <s v="Q2"/>
    <x v="14"/>
    <n v="20"/>
    <x v="1"/>
    <s v="Kenya"/>
    <s v="Hydrometerological"/>
    <s v="Drought"/>
    <m/>
    <m/>
    <n v="3800000"/>
    <x v="1"/>
    <s v="IFRC"/>
    <n v="8427856"/>
    <s v="MDRKE009"/>
    <x v="72"/>
    <x v="27"/>
    <s v="Y"/>
    <n v="500000"/>
    <n v="1692428"/>
    <m/>
    <n v="21668"/>
    <n v="1"/>
    <n v="100000"/>
    <m/>
    <m/>
    <m/>
    <n v="100000"/>
    <m/>
    <m/>
    <m/>
    <m/>
    <m/>
    <m/>
    <m/>
    <m/>
    <m/>
    <m/>
    <m/>
    <m/>
    <m/>
    <m/>
    <m/>
    <m/>
    <m/>
    <m/>
    <m/>
    <m/>
    <n v="100000"/>
    <m/>
    <m/>
    <m/>
    <x v="5"/>
    <x v="2"/>
    <m/>
    <m/>
    <m/>
    <m/>
    <n v="2799"/>
    <m/>
    <m/>
    <m/>
    <m/>
    <m/>
    <m/>
    <m/>
    <s v="Y"/>
    <m/>
    <m/>
    <m/>
    <s v="In Kenya, the cumulative effects of three consecutive failed rainy seasons and the 2008 post election violence crippled food production, reducing it by 40%. An estimated 3.8 million pastoralists and marginal farmers required urgent food assistance. The Kenya Red Cross distributed seeds to farming households, trucked water to areas with severe shortages and provided food.  The American Red Cross provided $100,000 in support of the response. "/>
    <s v="CASH: $100,000 PMN to Federation Appeal from Rapid Response Fund earmarked for seeds."/>
  </r>
  <r>
    <s v="FL-2009-000206-HTI"/>
    <n v="238"/>
    <x v="120"/>
    <d v="2009-11-12T00:00:00"/>
    <x v="14"/>
    <x v="11"/>
    <s v="Q2"/>
    <x v="14"/>
    <n v="21"/>
    <x v="2"/>
    <s v="Haiti"/>
    <s v="Hydrometerological"/>
    <s v="Floods"/>
    <m/>
    <m/>
    <n v="2500"/>
    <x v="2"/>
    <m/>
    <m/>
    <m/>
    <x v="0"/>
    <x v="0"/>
    <s v="Y"/>
    <n v="103918"/>
    <n v="2500"/>
    <s v="Y"/>
    <m/>
    <m/>
    <m/>
    <m/>
    <m/>
    <m/>
    <n v="0"/>
    <n v="1"/>
    <m/>
    <n v="1"/>
    <m/>
    <m/>
    <m/>
    <m/>
    <m/>
    <m/>
    <m/>
    <m/>
    <m/>
    <m/>
    <m/>
    <m/>
    <m/>
    <m/>
    <m/>
    <m/>
    <m/>
    <n v="0"/>
    <m/>
    <m/>
    <m/>
    <x v="7"/>
    <x v="1"/>
    <m/>
    <m/>
    <m/>
    <m/>
    <n v="2885"/>
    <m/>
    <m/>
    <m/>
    <m/>
    <m/>
    <m/>
    <m/>
    <s v="N"/>
    <m/>
    <m/>
    <m/>
    <s v="Heavy rains triggered flooding in Haiti’s Carrefour department, causing floods and damaging 500 homes.  The Haitian Red Cross conducted assessments of water systems and distributed water to the affected population.   The American Red Cross provided a disaster specialist to assist the Haitian Red Cross in its response operation.  "/>
    <s v="PEOPLE: John Manley deployed to Haiti NRC as a RIT for DREF operation."/>
  </r>
  <r>
    <s v="FL-2009-000238-SLV"/>
    <n v="239"/>
    <x v="230"/>
    <d v="2009-11-16T00:00:00"/>
    <x v="14"/>
    <x v="12"/>
    <s v="Q2"/>
    <x v="14"/>
    <n v="22"/>
    <x v="2"/>
    <s v="El Salvador"/>
    <s v="Hydrometerological"/>
    <s v="Floods"/>
    <m/>
    <m/>
    <n v="75000"/>
    <x v="1"/>
    <s v="IFRC"/>
    <n v="1681039"/>
    <s v="MDRSV002"/>
    <x v="73"/>
    <x v="28"/>
    <s v="Y"/>
    <n v="180614"/>
    <n v="10000"/>
    <m/>
    <m/>
    <n v="1"/>
    <n v="243605"/>
    <m/>
    <m/>
    <m/>
    <n v="243605"/>
    <m/>
    <m/>
    <m/>
    <n v="1000"/>
    <s v="Y"/>
    <n v="500"/>
    <m/>
    <m/>
    <m/>
    <m/>
    <n v="500"/>
    <m/>
    <m/>
    <m/>
    <m/>
    <m/>
    <m/>
    <m/>
    <n v="31240"/>
    <m/>
    <n v="274845"/>
    <m/>
    <m/>
    <m/>
    <x v="172"/>
    <x v="1"/>
    <m/>
    <m/>
    <m/>
    <m/>
    <n v="2882"/>
    <m/>
    <m/>
    <m/>
    <m/>
    <m/>
    <s v="Y"/>
    <m/>
    <s v="N"/>
    <m/>
    <s v="UPS donated $50,000; ARCT Funds applied for as of 11/18/09"/>
    <s v="ARCT"/>
    <s v="El Salvador experienced significant floods and mudslides due to the combined effects of Tropical Storm Ida resulting in overflowing rivers, destroyed houses, health centers, crops and infrastructure.  The Salvadoran Red Cross mobilized, providing search and rescue services, transport, first aid, basic relief supplies and safe drinking water. The American Red Cross provided $193,000  to support transitional shelters and kitchen sets and hygiene kits valued at $31,000."/>
    <s v="CASH: $193,603 to Federation Appeal earmarked for transitional shelter; SUPPLIES: $24,500 in kitchen sets and hygiene kits. "/>
  </r>
  <r>
    <s v="EQ-2010-000009-HTI"/>
    <n v="240"/>
    <x v="231"/>
    <d v="2010-01-12T00:00:00"/>
    <x v="14"/>
    <x v="13"/>
    <s v="Q3"/>
    <x v="15"/>
    <n v="1"/>
    <x v="2"/>
    <s v="Haiti"/>
    <s v="Geophysical"/>
    <s v="Earthquake"/>
    <m/>
    <m/>
    <n v="2000000"/>
    <x v="1"/>
    <s v="IFRC"/>
    <n v="200000000"/>
    <s v="MDRHT008"/>
    <x v="74"/>
    <x v="29"/>
    <s v="Y"/>
    <n v="491265"/>
    <n v="400000"/>
    <m/>
    <m/>
    <n v="1"/>
    <n v="30000000"/>
    <n v="4377346.43"/>
    <m/>
    <m/>
    <m/>
    <n v="82"/>
    <s v=" IT/Telecoms; Relief ERU"/>
    <n v="85"/>
    <n v="5143307"/>
    <s v="Y"/>
    <m/>
    <m/>
    <m/>
    <m/>
    <m/>
    <m/>
    <m/>
    <m/>
    <m/>
    <m/>
    <m/>
    <m/>
    <m/>
    <n v="15266353"/>
    <m/>
    <n v="139611532"/>
    <n v="337000000"/>
    <m/>
    <m/>
    <x v="173"/>
    <x v="1"/>
    <s v="F"/>
    <n v="476611532"/>
    <d v="2010-09-01T00:00:00"/>
    <m/>
    <n v="2888"/>
    <m/>
    <m/>
    <m/>
    <m/>
    <m/>
    <m/>
    <m/>
    <s v="N"/>
    <m/>
    <s v="various - notably online and text donations from individuals; telethons. "/>
    <s v="Yes"/>
    <s v="On January 12, a magnitude 7 earthquake struck Haiti near Port-au-Prince, causing massive damage, killing more than 200,000 people and displacing 2 million people from their homes. "/>
    <s v="As of June 30 2010: CASH &amp; SUPPLIES: See detailed donor report, mob table, etc. for specific amounts to Federation, amount spent, etc. Raised: $468 million. PEOPLE: 65+ deployed to Haiti, DR and PADRU: Relief and IT/Telecoms ERU deployed, and various delegates to Fed and ARC delegation in Haiti, to Fed at PADRU, to Fed logistics in Santo Domingo, DR, plus NHQ to backfill. See the Deployments History tab in this spreadsheet or the RAPs for list of all personnel deploying and roles. "/>
  </r>
  <r>
    <s v="FL-2009-000264-TZA"/>
    <n v="241"/>
    <x v="232"/>
    <d v="2010-01-25T00:00:00"/>
    <x v="14"/>
    <x v="14"/>
    <s v="Q3"/>
    <x v="15"/>
    <n v="2"/>
    <x v="1"/>
    <s v="Tanzania"/>
    <m/>
    <s v="Floods"/>
    <m/>
    <m/>
    <n v="50000"/>
    <x v="1"/>
    <s v="IFRC"/>
    <n v="1625152"/>
    <s v="MDRTZ010"/>
    <x v="75"/>
    <x v="30"/>
    <s v="Y"/>
    <n v="313536"/>
    <n v="23000"/>
    <m/>
    <m/>
    <n v="1"/>
    <n v="200000"/>
    <m/>
    <m/>
    <m/>
    <n v="200000"/>
    <m/>
    <m/>
    <m/>
    <m/>
    <m/>
    <m/>
    <m/>
    <m/>
    <m/>
    <m/>
    <m/>
    <m/>
    <m/>
    <m/>
    <m/>
    <m/>
    <m/>
    <m/>
    <m/>
    <m/>
    <n v="200000"/>
    <m/>
    <m/>
    <m/>
    <x v="121"/>
    <x v="1"/>
    <m/>
    <m/>
    <m/>
    <m/>
    <n v="2869"/>
    <m/>
    <m/>
    <m/>
    <m/>
    <m/>
    <s v="Y"/>
    <m/>
    <s v="N"/>
    <m/>
    <s v="ARCT funds - $200,000"/>
    <s v="ARCT"/>
    <m/>
    <s v="CASH: Anne Ray Charitable Trust funds applied $200,000 towards water and sanitation equipment."/>
  </r>
  <r>
    <s v="EQ-2010-000034-CHL "/>
    <n v="242"/>
    <x v="233"/>
    <d v="2010-02-27T00:00:00"/>
    <x v="14"/>
    <x v="15"/>
    <s v="Q3"/>
    <x v="15"/>
    <n v="3"/>
    <x v="2"/>
    <s v="Chile"/>
    <m/>
    <s v="Earthquake"/>
    <m/>
    <m/>
    <n v="2000000"/>
    <x v="1"/>
    <s v="IFRC"/>
    <n v="6400000"/>
    <s v="MDRCL006"/>
    <x v="76"/>
    <x v="31"/>
    <s v="Y"/>
    <n v="279350"/>
    <n v="100000"/>
    <m/>
    <m/>
    <n v="1"/>
    <n v="500000"/>
    <m/>
    <n v="500000"/>
    <m/>
    <n v="1000000"/>
    <n v="2"/>
    <m/>
    <n v="2"/>
    <n v="6160"/>
    <s v="Y"/>
    <n v="1160"/>
    <m/>
    <n v="5000"/>
    <m/>
    <m/>
    <m/>
    <m/>
    <m/>
    <m/>
    <m/>
    <m/>
    <m/>
    <m/>
    <n v="96000"/>
    <m/>
    <n v="1096000"/>
    <n v="5304000"/>
    <m/>
    <m/>
    <x v="174"/>
    <x v="1"/>
    <m/>
    <m/>
    <m/>
    <m/>
    <n v="2896"/>
    <m/>
    <m/>
    <m/>
    <m/>
    <m/>
    <m/>
    <m/>
    <s v="N"/>
    <m/>
    <m/>
    <s v="Yes"/>
    <s v="On February 27, 2010, an 8.8 earthquake occurred in Bío-Bío region in central Chile. An ensuing tsunami affected the island of Juan Fernandez and communities along the coast in Bío-Bío region, inflicting loss of life and major damage to infrastructure. The Chile Red Cross mobilized volunteers and provided emergency relief to more than 22,000 Chileans.  The American Red Cross deployeda team to assess recovery needs in the areas of health, shelter, water and sanitation, and disaster preparedness.  The American Red Cross then formed a long ter program in Chile for  more than $3 million to support recovery efforts."/>
    <s v="CASH: $50,000 made available from IRF as initial response. $450,000 made available in subsequent week. SUPPLIES: 5,000 jerry cans; 1,160 hygiene kits. PEOPLE: Alvaro Garita  - Relief delegate, Gonzalo Aquino - Water and Sanitation  delegate."/>
  </r>
  <r>
    <s v="EQ-2010-000073-CHN"/>
    <n v="243"/>
    <x v="104"/>
    <d v="2010-04-10T00:00:00"/>
    <x v="14"/>
    <x v="16"/>
    <s v="Q4"/>
    <x v="15"/>
    <n v="4"/>
    <x v="3"/>
    <s v="China"/>
    <m/>
    <s v="Earthquake"/>
    <m/>
    <m/>
    <n v="100000"/>
    <x v="1"/>
    <s v="NS"/>
    <m/>
    <m/>
    <x v="0"/>
    <x v="0"/>
    <m/>
    <m/>
    <s v="tbd"/>
    <m/>
    <m/>
    <m/>
    <n v="0"/>
    <m/>
    <n v="500000"/>
    <m/>
    <n v="500000"/>
    <m/>
    <m/>
    <m/>
    <m/>
    <m/>
    <m/>
    <n v="198970"/>
    <m/>
    <m/>
    <m/>
    <m/>
    <m/>
    <m/>
    <m/>
    <m/>
    <m/>
    <m/>
    <m/>
    <m/>
    <m/>
    <n v="500000"/>
    <m/>
    <m/>
    <m/>
    <x v="162"/>
    <x v="1"/>
    <m/>
    <m/>
    <m/>
    <m/>
    <n v="2571"/>
    <m/>
    <m/>
    <m/>
    <m/>
    <m/>
    <m/>
    <m/>
    <s v="N"/>
    <m/>
    <m/>
    <m/>
    <s v="A 6.9 magnitude earthquake hit northwest China's Qinghai Province on April 14, 2010, the strongest quake to hit the remote mountainous area since 1976. The Red Cross Society of China responded with teams and relief supplies from their regional warehouses.   • Although international assistance was not requested the American Red Cross provided $500,000 in support of the Red Cross response.  _x000a_"/>
    <s v="National Society has issued it own appeal. ARC decided to contribute $500,000 after June 30 2010.  An additional $500,000 will go to future community disaster preparedness."/>
  </r>
  <r>
    <s v="CW-2010-000010-MNG"/>
    <n v="244"/>
    <x v="234"/>
    <d v="2010-05-10T00:00:00"/>
    <x v="14"/>
    <x v="17"/>
    <s v="Q4"/>
    <x v="15"/>
    <n v="5"/>
    <x v="3"/>
    <s v="Mongolia"/>
    <m/>
    <s v="Winter storm"/>
    <m/>
    <m/>
    <n v="507000"/>
    <x v="1"/>
    <s v="IFRC"/>
    <n v="991697"/>
    <s v="    MDRMN004"/>
    <x v="77"/>
    <x v="32"/>
    <s v="Y"/>
    <n v="93924"/>
    <n v="13600"/>
    <m/>
    <m/>
    <n v="1"/>
    <n v="145000"/>
    <m/>
    <m/>
    <m/>
    <n v="145000"/>
    <m/>
    <m/>
    <m/>
    <m/>
    <m/>
    <m/>
    <m/>
    <m/>
    <m/>
    <m/>
    <m/>
    <m/>
    <m/>
    <m/>
    <m/>
    <m/>
    <m/>
    <m/>
    <m/>
    <m/>
    <n v="145000"/>
    <m/>
    <m/>
    <m/>
    <x v="175"/>
    <x v="1"/>
    <m/>
    <m/>
    <m/>
    <m/>
    <n v="2869"/>
    <m/>
    <m/>
    <m/>
    <m/>
    <m/>
    <s v="Y"/>
    <m/>
    <s v="N"/>
    <m/>
    <s v="ARCT"/>
    <s v="ARCT"/>
    <s v="More than ninety percent of Mongolia experienced severe winter conditions compounded by dzud -- continuous heavy snowfall combined with extreme cold and preceded by dry summers, resulting in the insufficient production of grazing pastures. The dzud   devastated the livelihood of herders by causing a serious loss of livestock, their primary source of income and food.  The Mongolian Red Cross provided relief supplies, health services and psychosocial support and herd restocking support.   The American Red Cross  provided nearly $144,690 to support relief supplies, healthcare support and livelihoods rehabilitation.  "/>
    <s v="CASH: $145,000 contribution made to Federation appeal from Anne Ray Charitable Trust (ARCT) funds"/>
  </r>
  <r>
    <m/>
    <n v="245"/>
    <x v="235"/>
    <d v="2010-05-20T00:00:00"/>
    <x v="14"/>
    <x v="18"/>
    <s v="Q4"/>
    <x v="15"/>
    <n v="6"/>
    <x v="3"/>
    <s v="Nepal"/>
    <m/>
    <s v="Epidemic"/>
    <m/>
    <m/>
    <n v="67000"/>
    <x v="1"/>
    <s v="IFRC"/>
    <n v="664175"/>
    <m/>
    <x v="78"/>
    <x v="0"/>
    <s v="Y"/>
    <n v="179855"/>
    <n v="189000"/>
    <m/>
    <m/>
    <n v="1"/>
    <n v="50000"/>
    <m/>
    <m/>
    <m/>
    <n v="50000"/>
    <m/>
    <m/>
    <m/>
    <m/>
    <m/>
    <m/>
    <m/>
    <m/>
    <m/>
    <m/>
    <m/>
    <m/>
    <m/>
    <m/>
    <m/>
    <m/>
    <m/>
    <m/>
    <m/>
    <m/>
    <n v="50000"/>
    <m/>
    <m/>
    <m/>
    <x v="16"/>
    <x v="2"/>
    <m/>
    <m/>
    <m/>
    <m/>
    <n v="2799"/>
    <m/>
    <m/>
    <m/>
    <m/>
    <m/>
    <m/>
    <m/>
    <s v="Y"/>
    <m/>
    <m/>
    <m/>
    <s v="Diarrhea is endemic to Nepal due to unsafe hygiene practices, open defecation and lack of access to safe drinking water.  Cases rose in remote districts of western Nepal, with 17 deaths and 300 cases officially reported. The Nepal Red Cross Society mobilized to conduct emergency hygiene promotion campaigns and preposition relief supplies.  In response, the American Red Cross provided $50,000 to help distribute diarrhea prevention kits and support hygiene promotion.  "/>
    <s v="CASH: $50,000 towards Federation appeal."/>
  </r>
  <r>
    <s v="TC-2010-000105-GTM"/>
    <n v="246"/>
    <x v="236"/>
    <d v="2010-06-01T00:00:00"/>
    <x v="14"/>
    <x v="19"/>
    <s v="Q4"/>
    <x v="15"/>
    <n v="7"/>
    <x v="2"/>
    <s v="Guatemala"/>
    <m/>
    <s v="Tropical Storm"/>
    <m/>
    <m/>
    <n v="173518"/>
    <x v="1"/>
    <s v="IFRC"/>
    <n v="1112170"/>
    <s v="MDRGT002"/>
    <x v="79"/>
    <x v="0"/>
    <s v="Y"/>
    <n v="307254"/>
    <n v="7500"/>
    <m/>
    <n v="1250"/>
    <n v="1"/>
    <n v="100000"/>
    <m/>
    <m/>
    <m/>
    <n v="100000"/>
    <m/>
    <m/>
    <m/>
    <n v="9900"/>
    <s v="Y"/>
    <n v="1000"/>
    <n v="7500"/>
    <n v="900"/>
    <m/>
    <m/>
    <n v="500"/>
    <m/>
    <m/>
    <m/>
    <m/>
    <m/>
    <m/>
    <m/>
    <n v="80000"/>
    <m/>
    <n v="180000"/>
    <m/>
    <m/>
    <m/>
    <x v="176"/>
    <x v="2"/>
    <m/>
    <m/>
    <m/>
    <m/>
    <n v="2799"/>
    <m/>
    <m/>
    <m/>
    <m/>
    <m/>
    <m/>
    <m/>
    <s v="Y"/>
    <m/>
    <m/>
    <m/>
    <s v="Tropical Storm Agatha brought unusually heavy rainfall to Central America. El Salvador, Guatemala and Honduras were impacted, with Guatemala experiencing the highest amount of rainfall since 1949.  More than 150,000 people were evacuated from their homes and landslides occurred. Red Cross national societies in the affected countries  mobilized to meet the basic needs of the affected population.  The American Red Cross provided $100,000 toward the global Red Cross relief operation in Guatemala and $80,000 in relief supplies. _x000a_"/>
    <s v="CASH: $100,000 to Federation appeal. SUPPLIES: $80,000 in relief supplies from PADRU."/>
  </r>
  <r>
    <s v="OT-2010-000113-KGZ"/>
    <n v="247"/>
    <x v="237"/>
    <d v="2010-06-01T00:00:00"/>
    <x v="14"/>
    <x v="23"/>
    <s v="Q4"/>
    <x v="15"/>
    <n v="8"/>
    <x v="3"/>
    <s v="Kyrgyzstan"/>
    <m/>
    <s v="Conflict"/>
    <m/>
    <m/>
    <n v="375000"/>
    <x v="1"/>
    <s v="ICRC /IFRC"/>
    <n v="9966159"/>
    <s v="MDRUZ002"/>
    <x v="80"/>
    <x v="0"/>
    <s v="Y"/>
    <n v="269348"/>
    <n v="124000"/>
    <m/>
    <m/>
    <n v="1"/>
    <n v="50000"/>
    <n v="50000"/>
    <m/>
    <m/>
    <n v="100000"/>
    <m/>
    <m/>
    <m/>
    <m/>
    <m/>
    <m/>
    <m/>
    <m/>
    <m/>
    <m/>
    <m/>
    <m/>
    <m/>
    <m/>
    <m/>
    <m/>
    <m/>
    <m/>
    <m/>
    <m/>
    <n v="100000"/>
    <m/>
    <m/>
    <m/>
    <x v="5"/>
    <x v="1"/>
    <m/>
    <m/>
    <m/>
    <m/>
    <s v="2955/2799"/>
    <m/>
    <m/>
    <m/>
    <m/>
    <m/>
    <m/>
    <m/>
    <s v="Y"/>
    <m/>
    <m/>
    <m/>
    <s v="Since April 2010, political upheaval and ethnic clashes  escalated between Kyrgyz and Uzbeks living in southwest Kyrgyzstan.  Violent clashes, including looting and targeted killing led an estimated 375,000 residents to flee their homes.  The Kyrgyz Red Crescent Society and the Uzbek Red Cross Society provided relief supplies and other support to those affected by the conflict. The American Red Cross committed $200,000 to ICRC and Federation appeals in support of response efforts. "/>
    <s v="CASH: $50,000 to ICRC Kyrgyzstan appeal; $50,000 to IFRC Kyrgyzstan appeal; $100,000 to IFRC Uzbekistan appeal (this amount from GM donation). "/>
  </r>
  <r>
    <s v="OT-2010-000113-KGZ"/>
    <n v="247"/>
    <x v="237"/>
    <d v="2010-06-01T00:00:00"/>
    <x v="14"/>
    <x v="23"/>
    <s v="Q4"/>
    <x v="15"/>
    <n v="8"/>
    <x v="3"/>
    <s v="Uzbekistan"/>
    <m/>
    <s v="Conflict"/>
    <m/>
    <m/>
    <m/>
    <x v="1"/>
    <s v="IFRC"/>
    <n v="911836"/>
    <s v="MDRKG007"/>
    <x v="81"/>
    <x v="0"/>
    <m/>
    <m/>
    <n v="5265"/>
    <m/>
    <m/>
    <n v="1"/>
    <n v="100000"/>
    <m/>
    <m/>
    <m/>
    <n v="100000"/>
    <m/>
    <m/>
    <m/>
    <m/>
    <m/>
    <m/>
    <m/>
    <m/>
    <m/>
    <m/>
    <m/>
    <m/>
    <m/>
    <m/>
    <m/>
    <m/>
    <m/>
    <m/>
    <m/>
    <m/>
    <n v="100000"/>
    <m/>
    <m/>
    <m/>
    <x v="5"/>
    <x v="1"/>
    <m/>
    <m/>
    <m/>
    <m/>
    <s v="2955/2799"/>
    <m/>
    <m/>
    <m/>
    <m/>
    <m/>
    <m/>
    <m/>
    <s v="Y"/>
    <m/>
    <m/>
    <m/>
    <s v="Since April 2010, political upheaval and ethnic clashes  escalated between Kyrgyz and Uzbeks living in southwest Kyrgyzstan.  Violent clashes, including looting and targeted killing led an estimated 375,000 residents to flee their homes.  The Kyrgyz Red Crescent Society and the Uzbek Red Cross Society provided relief supplies and other support to those affected by the conflict. The American Red Cross committed $200,000 to ICRC and Federation appeals in support of response efforts. "/>
    <s v="see above"/>
  </r>
  <r>
    <s v="FL-2010-00141-PAK"/>
    <n v="248"/>
    <x v="238"/>
    <d v="2010-08-02T00:00:00"/>
    <x v="15"/>
    <x v="1"/>
    <s v="Q1"/>
    <x v="15"/>
    <n v="9"/>
    <x v="3"/>
    <s v="Pakistan"/>
    <m/>
    <s v="Floods"/>
    <m/>
    <m/>
    <n v="20000000"/>
    <x v="1"/>
    <s v="IFRC &amp; ICRC"/>
    <n v="148500000"/>
    <s v="MDRPK006"/>
    <x v="82"/>
    <x v="0"/>
    <s v="Y"/>
    <n v="239406"/>
    <n v="2600000"/>
    <m/>
    <m/>
    <n v="1"/>
    <n v="4100000"/>
    <m/>
    <m/>
    <m/>
    <n v="4850000"/>
    <n v="2"/>
    <m/>
    <n v="2"/>
    <n v="99900"/>
    <s v="Y"/>
    <m/>
    <n v="35000"/>
    <n v="15000"/>
    <n v="3650"/>
    <m/>
    <n v="10000"/>
    <m/>
    <n v="20000"/>
    <m/>
    <n v="10000"/>
    <m/>
    <n v="6250"/>
    <m/>
    <n v="824977"/>
    <m/>
    <n v="5674977"/>
    <n v="2525023"/>
    <m/>
    <m/>
    <x v="177"/>
    <x v="1"/>
    <m/>
    <m/>
    <m/>
    <m/>
    <n v="2799"/>
    <m/>
    <n v="2699"/>
    <m/>
    <m/>
    <m/>
    <m/>
    <m/>
    <s v="Y"/>
    <m/>
    <m/>
    <s v="Yes"/>
    <s v="In response to the devastating floods of 2010, the American Red Cross provided assistance valued at $8.2 million.  This consisted of:  $4.8 million for emergency shelter and other support; $2.5 million for vaccinations for measles and other diseases; 131,00 relief items from our regional warehouse; and deployment of two disaster relief specialists to help the Pakistan Red Crescent coordinate international assistance for the operation. "/>
    <s v="CASH: $100,000 PMN to Federation Appeal from AP2799/RRF - not to be replenished; $3,000,000 ($3M) PMN to Federation Appeal from AP2699 earmarked for relief &amp; emergency shelter;  $300,000 PMN to Federation Appeal from AP 2699 earmarked for relief &amp; emergency shelter; $700,000 PMN to Federation Appeal from AP2699 earmarked for relief; $1,000,000 allocated to contribution to the Measles Initiative, recipient organization TBD._x000a_SUPPLIES: Relief supplies from both KL and Dubai warehouses - emptied both - approx $1M total including transport; PEOPLE: Robin Younger and Christophe Lobry-Boulanger deployed fro Relief coordination cell to PRCS support. Raj Zafar was used from Federation Delegation for surge support for  Federation in Islamabad._x000a_$8.2M raised - remainder put into 'early recovery' column"/>
  </r>
  <r>
    <m/>
    <n v="249"/>
    <x v="6"/>
    <d v="2010-10-01T00:00:00"/>
    <x v="15"/>
    <x v="2"/>
    <s v="Q2"/>
    <x v="15"/>
    <n v="10"/>
    <x v="2"/>
    <s v="Mexico"/>
    <m/>
    <s v="Floods"/>
    <m/>
    <m/>
    <n v="500000"/>
    <x v="2"/>
    <m/>
    <m/>
    <m/>
    <x v="0"/>
    <x v="0"/>
    <s v="N"/>
    <m/>
    <m/>
    <s v="Y"/>
    <n v="50000"/>
    <m/>
    <m/>
    <m/>
    <n v="200000"/>
    <m/>
    <n v="200000"/>
    <m/>
    <m/>
    <m/>
    <m/>
    <m/>
    <m/>
    <m/>
    <m/>
    <m/>
    <m/>
    <m/>
    <m/>
    <m/>
    <m/>
    <m/>
    <m/>
    <m/>
    <m/>
    <m/>
    <m/>
    <n v="200000"/>
    <m/>
    <m/>
    <m/>
    <x v="121"/>
    <x v="2"/>
    <m/>
    <m/>
    <m/>
    <m/>
    <s v="2869/ARCT"/>
    <m/>
    <m/>
    <m/>
    <m/>
    <m/>
    <s v="Y"/>
    <m/>
    <s v="N"/>
    <m/>
    <s v="ARCT funds - $200,000"/>
    <s v="ARCT"/>
    <s v="The 2010 hurricane season significantly impacted Mexico with record high seasonal rains combined with two major storms generated extensive flooding in Mexico’s southern states, affecting an estimated 500,000 people.   The American Red Cross committed a total of $400,000 in bilateral support the Mexican Red Cross response."/>
    <s v="CASH: $200,000 bilateral contribution/grant letter to Mexican Red Cross for relief - paid by ARCT funds."/>
  </r>
  <r>
    <s v="FL-2010-00194-VNM"/>
    <n v="250"/>
    <x v="21"/>
    <d v="2010-10-18T00:00:00"/>
    <x v="15"/>
    <x v="3"/>
    <s v="Q2"/>
    <x v="15"/>
    <n v="11"/>
    <x v="3"/>
    <s v="Vietnam"/>
    <m/>
    <s v="Floods"/>
    <m/>
    <m/>
    <n v="660000"/>
    <x v="1"/>
    <s v="IFRC"/>
    <n v="1080000"/>
    <s v="MDRVN007"/>
    <x v="83"/>
    <x v="0"/>
    <s v="Y"/>
    <n v="160853"/>
    <n v="120000"/>
    <m/>
    <m/>
    <m/>
    <n v="30000"/>
    <m/>
    <m/>
    <m/>
    <n v="30000"/>
    <m/>
    <m/>
    <m/>
    <m/>
    <m/>
    <m/>
    <m/>
    <m/>
    <m/>
    <m/>
    <m/>
    <m/>
    <m/>
    <m/>
    <m/>
    <m/>
    <m/>
    <m/>
    <m/>
    <m/>
    <n v="30000"/>
    <m/>
    <m/>
    <m/>
    <x v="163"/>
    <x v="2"/>
    <m/>
    <m/>
    <m/>
    <m/>
    <n v="2799"/>
    <m/>
    <m/>
    <m/>
    <m/>
    <m/>
    <m/>
    <m/>
    <s v="Y"/>
    <m/>
    <m/>
    <m/>
    <s v="Torrential rains  caused rivers and dams to overflow, inundating five provinces in Central Vietnam.   More than 100 people died and another 660,000 affected in the worst flooding in the country in 20 years.  The Vietnam Red Cross helped evacuate more than 24,000 people, distributed 3,400 household kits of supplies and $22,870 in small cash grants. The American Red Cross committed $30,000 to support relief efforts._x000a_"/>
    <s v="CASH: $30,000 PMN to Federation Appeal from 2799 (RRF) earmarked for relief."/>
  </r>
  <r>
    <s v="EP-2010-000210-HTI"/>
    <n v="251"/>
    <x v="239"/>
    <d v="2010-10-24T00:00:00"/>
    <x v="15"/>
    <x v="4"/>
    <s v="Q2"/>
    <x v="15"/>
    <n v="12"/>
    <x v="2"/>
    <s v="Haiti"/>
    <m/>
    <s v="Epidemic"/>
    <m/>
    <m/>
    <m/>
    <x v="1"/>
    <s v="IFRC"/>
    <n v="6000000"/>
    <s v="MDR49007"/>
    <x v="84"/>
    <x v="0"/>
    <s v="Y"/>
    <n v="80618"/>
    <n v="1500000"/>
    <m/>
    <m/>
    <n v="1"/>
    <n v="2166133"/>
    <m/>
    <m/>
    <m/>
    <n v="2320081"/>
    <m/>
    <m/>
    <m/>
    <m/>
    <m/>
    <m/>
    <m/>
    <m/>
    <m/>
    <m/>
    <m/>
    <m/>
    <m/>
    <m/>
    <m/>
    <m/>
    <m/>
    <m/>
    <n v="694910"/>
    <m/>
    <n v="16068357"/>
    <m/>
    <m/>
    <m/>
    <x v="178"/>
    <x v="1"/>
    <s v="P"/>
    <m/>
    <m/>
    <m/>
    <n v="2888"/>
    <m/>
    <m/>
    <m/>
    <m/>
    <m/>
    <m/>
    <m/>
    <s v="N"/>
    <m/>
    <m/>
    <m/>
    <s v="A severe cholera outbreak spread from the Artibonite River area to all departments in Haiti.  The American Red Cross reached almost 116,000 people with information on cholera prevention, transmission and symptoms, as well as demonstrations on how to prepare oral rehydration solution and proper hand washing. Some 235 health promoters are going tent-to-tent with these messages in camps in Port-au-Prince, and an additional 130 volunteers are providing information in schools in the Northeast department. _x000a_Teams are also distributing soap, oral rehydration salts and water purification tablets in camps in Port-au-Prince, and have distributed some 253,000 relief items to over 110,000 people to date. In all the American Red Cross provided 14 million in support for the cholera response from its structure already in place in the Haiti Operation._x000a_"/>
    <s v="Spent figure directly from HAP as of May 2011. ARC committed to spend $14 million on Cholera. See HAP for additional details._x000a_CASH: $566,133 PMN to Federation Appeal: $537,500 earmarked for Haiti AP2888; $28,634 earmarked for Dominican Republic from AP2884; $1.6 million PMN for relief supplies; Funding transportation/flights of supplies for Partners in Health etc. Funding supplies, etc._x000a_SUPPLIES:Hygiene promotion, soap, oral rehydration salts, water tablets and chlorine for water purification, 5,000 Cots for medical facilities, Transport of medical supplies, vehicle for Haitian Red Cross. _x000a_PEOPLE: 6 ARC Haiti staff deployed for Red Cross Emergency Response Teams for Cholera outbreak in northern Haiti. _x000a_See latest response report and RAP for full details of items provided. "/>
  </r>
  <r>
    <s v="EP-2010-000210-HTI"/>
    <n v="251"/>
    <x v="239"/>
    <d v="2010-10-24T00:00:00"/>
    <x v="15"/>
    <x v="4"/>
    <s v="Q2"/>
    <x v="15"/>
    <n v="12"/>
    <x v="2"/>
    <s v="Dominican Republic"/>
    <m/>
    <m/>
    <m/>
    <m/>
    <m/>
    <x v="0"/>
    <m/>
    <m/>
    <m/>
    <x v="0"/>
    <x v="0"/>
    <m/>
    <m/>
    <m/>
    <m/>
    <m/>
    <m/>
    <m/>
    <m/>
    <m/>
    <m/>
    <m/>
    <m/>
    <m/>
    <m/>
    <m/>
    <m/>
    <m/>
    <m/>
    <m/>
    <m/>
    <m/>
    <m/>
    <m/>
    <m/>
    <m/>
    <m/>
    <m/>
    <m/>
    <m/>
    <m/>
    <m/>
    <m/>
    <m/>
    <m/>
    <m/>
    <x v="152"/>
    <x v="0"/>
    <m/>
    <m/>
    <m/>
    <m/>
    <m/>
    <m/>
    <m/>
    <m/>
    <m/>
    <m/>
    <m/>
    <m/>
    <m/>
    <m/>
    <m/>
    <m/>
    <s v="A severe cholera outbreak spread from the Artibonite River area to all departments in Haiti.  The American Red Cross reached almost 116,000 people with information on cholera prevention, transmission and symptoms, as well as demonstrations on how to prepare oral rehydration solution and proper hand washing. Some 235 health promoters are going tent-to-tent with these messages in camps in Port-au-Prince, and an additional 130 volunteers are providing information in schools in the Northeast department. _x000a_Teams are also distributing soap, oral rehydration salts and water purification tablets in camps in Port-au-Prince, and have distributed some 253,000 relief items to over 110,000 people to date. In all the American Red Cross provided 14 million in support for the cholera response from its structure already in place in the Haiti Operation._x000a_"/>
    <m/>
  </r>
  <r>
    <s v="TC-2010-000205-PHL"/>
    <n v="252"/>
    <x v="240"/>
    <d v="2010-10-26T00:00:00"/>
    <x v="15"/>
    <x v="5"/>
    <s v="Q2"/>
    <x v="15"/>
    <n v="13"/>
    <x v="3"/>
    <s v="Philippines"/>
    <m/>
    <s v="Tropical Storm"/>
    <m/>
    <m/>
    <n v="2000000"/>
    <x v="1"/>
    <s v="IFRC"/>
    <n v="4310000"/>
    <s v="MDRPH006"/>
    <x v="85"/>
    <x v="0"/>
    <s v="Y"/>
    <n v="214855"/>
    <n v="60000"/>
    <m/>
    <m/>
    <m/>
    <n v="30000"/>
    <m/>
    <m/>
    <m/>
    <n v="30000"/>
    <m/>
    <m/>
    <m/>
    <m/>
    <m/>
    <m/>
    <m/>
    <m/>
    <m/>
    <m/>
    <m/>
    <m/>
    <m/>
    <m/>
    <m/>
    <m/>
    <m/>
    <m/>
    <m/>
    <m/>
    <n v="30000"/>
    <m/>
    <m/>
    <m/>
    <x v="163"/>
    <x v="2"/>
    <m/>
    <m/>
    <m/>
    <m/>
    <n v="2032"/>
    <n v="30000"/>
    <m/>
    <m/>
    <m/>
    <m/>
    <m/>
    <m/>
    <s v="N"/>
    <m/>
    <m/>
    <m/>
    <s v="Typhoon Megi battered the Philippines as a Category 5 typhoon with 140 mph winds and heavy rains.  While evacuation efforts saved many lives, the typhoon caused significant damage to homes, livelihoods and infrastructure.  The Philippine Red Cross provided food and relief supplies to those in need and conducted rapid assessments to determine needs.  In response, the American Red Cross committed $30,000 to support relief efforts."/>
    <s v="CASH: $30,000 PMN to Federation Appeal from 2032 earmarked for relief distribution."/>
  </r>
  <r>
    <s v="EQ-2010-000213-IDN &amp; VO-2010-000214-IDN"/>
    <n v="253"/>
    <x v="241"/>
    <d v="2010-11-08T00:00:00"/>
    <x v="15"/>
    <x v="6"/>
    <s v="Q2"/>
    <x v="15"/>
    <n v="14"/>
    <x v="3"/>
    <s v="Indonesia"/>
    <m/>
    <s v="Tsunami &amp; Volcanic Eruption"/>
    <m/>
    <m/>
    <n v="215000"/>
    <x v="1"/>
    <s v="IFRC"/>
    <n v="2865860"/>
    <s v="MDRID006"/>
    <x v="86"/>
    <x v="0"/>
    <s v="Y"/>
    <m/>
    <n v="25000"/>
    <m/>
    <m/>
    <n v="1"/>
    <n v="50000"/>
    <m/>
    <m/>
    <m/>
    <n v="50000"/>
    <m/>
    <m/>
    <m/>
    <m/>
    <m/>
    <m/>
    <m/>
    <m/>
    <m/>
    <m/>
    <m/>
    <m/>
    <m/>
    <m/>
    <m/>
    <m/>
    <m/>
    <m/>
    <m/>
    <m/>
    <n v="50000"/>
    <m/>
    <m/>
    <m/>
    <x v="16"/>
    <x v="2"/>
    <m/>
    <m/>
    <m/>
    <m/>
    <n v="2799"/>
    <m/>
    <m/>
    <m/>
    <m/>
    <m/>
    <m/>
    <m/>
    <s v="Y"/>
    <m/>
    <m/>
    <m/>
    <s v="Following a 7.7 magnitude earthquake, a 9-foot tsunami hit the Mentawai Islands off the coast of Sumatra, travelling at least a quarter of a mile inland and destroying the coastline in many locations. On the island of Java, the Mount Merapi volcano erupted, killling 104 people. The Indonesian Red Cross (PMI) performed search and rescue activities, conducted assessments and distributed relief supplies to those in need.  In response, the American Red Cross committed $50,000 to support Red Cross relief efforts."/>
    <s v="CASH: $50,000 PMN to Federation Appeal from 2799 earmarked for relief."/>
  </r>
  <r>
    <s v="TC-2010-000216-BRB/LCA/VCT"/>
    <n v="254"/>
    <x v="242"/>
    <d v="2010-11-03T00:00:00"/>
    <x v="15"/>
    <x v="7"/>
    <s v="Q2"/>
    <x v="15"/>
    <n v="15"/>
    <x v="2"/>
    <s v="Saint Lucia/ Saint Vincent and the Grenadines/ Barbados "/>
    <m/>
    <s v="Tropical Storm"/>
    <m/>
    <m/>
    <n v="9500"/>
    <x v="1"/>
    <s v="IFRC"/>
    <n v="622109"/>
    <s v="MDR49006"/>
    <x v="87"/>
    <x v="0"/>
    <m/>
    <m/>
    <n v="7500"/>
    <m/>
    <m/>
    <n v="1"/>
    <n v="145000"/>
    <m/>
    <m/>
    <m/>
    <n v="145000"/>
    <n v="6"/>
    <m/>
    <n v="6"/>
    <m/>
    <m/>
    <m/>
    <m/>
    <m/>
    <m/>
    <m/>
    <m/>
    <m/>
    <m/>
    <m/>
    <m/>
    <m/>
    <m/>
    <m/>
    <m/>
    <m/>
    <n v="145000"/>
    <m/>
    <m/>
    <m/>
    <x v="175"/>
    <x v="2"/>
    <m/>
    <m/>
    <m/>
    <m/>
    <n v="2799"/>
    <m/>
    <m/>
    <m/>
    <m/>
    <m/>
    <m/>
    <m/>
    <s v="Y"/>
    <m/>
    <m/>
    <m/>
    <s v="In November 2010, Hurricane Tomas struck the Caribbean Islands of Barbados, Saint Lucia, and Saint Vincent and the Grenadines, and Haiti, causing landslides and damage to homes and infrastructure. Although damage in Haiti was less severe than expected, at least 21 deaths were reported.   The Red Cross national societies of Saint Lucia, Saint Vincent and the Grenadines and Barbados have deployed search and rescue teams, conducted damage assessments and distributed relief supplies.   The American Red Cross provided relief supplies and cash totalling $141,000."/>
    <s v="CASH: $75,000 PMN to Federation Appeal from 2799 earmarked for relief. $70,000 PMN to Federation appeal earmarked for relief supplies for St. Lucia (see RAP). PEOPLE: Six bilateral staff from ARC Haiti office deployed on Federation Emergency Response Teams."/>
  </r>
  <r>
    <m/>
    <n v="255"/>
    <x v="243"/>
    <d v="2010-11-09T00:00:00"/>
    <x v="15"/>
    <x v="8"/>
    <s v="Q2"/>
    <x v="15"/>
    <n v="16"/>
    <x v="2"/>
    <s v="Belize"/>
    <m/>
    <s v="Tropical Storm"/>
    <m/>
    <m/>
    <m/>
    <x v="2"/>
    <m/>
    <m/>
    <s v="MDRBZ002"/>
    <x v="0"/>
    <x v="0"/>
    <s v="Y"/>
    <n v="56303"/>
    <m/>
    <m/>
    <n v="4639"/>
    <m/>
    <m/>
    <m/>
    <n v="80000"/>
    <m/>
    <n v="80000"/>
    <n v="1"/>
    <m/>
    <n v="1"/>
    <m/>
    <m/>
    <m/>
    <m/>
    <m/>
    <m/>
    <m/>
    <m/>
    <m/>
    <m/>
    <m/>
    <m/>
    <m/>
    <m/>
    <m/>
    <m/>
    <m/>
    <n v="80000"/>
    <m/>
    <m/>
    <m/>
    <x v="9"/>
    <x v="2"/>
    <m/>
    <m/>
    <m/>
    <m/>
    <n v="2799"/>
    <m/>
    <m/>
    <m/>
    <m/>
    <m/>
    <m/>
    <m/>
    <s v="Y"/>
    <m/>
    <m/>
    <m/>
    <s v="Hurricane Richard hit Belize with sustained winds of 90 mph, crossing the cities of Belmopan and Belize City, damaging more than 800 homes and destroying local agriculture.  The Belize Red Cross distributed relief supplies to 3,000 people and developed a plan of action to assist with longer term recovery needs.The American Red Cross committed $80,000 to support Belize Red Cross relief efforts and deployed one cash delegate for shelter recovery."/>
    <s v="CASH: $80,000 bilateral contribution by grant letter to Belize Red Cross earmarked for emergency shelter. _x000a_PEOPLE: Laura Havesi deployed for emergency shelter support and cash voucher program."/>
  </r>
  <r>
    <s v="EQ-2010-000251-CRI"/>
    <n v="256"/>
    <x v="7"/>
    <d v="2010-11-10T00:00:00"/>
    <x v="15"/>
    <x v="9"/>
    <s v="Q2"/>
    <x v="15"/>
    <n v="17"/>
    <x v="2"/>
    <s v="Costa Rica"/>
    <m/>
    <s v="Floods"/>
    <m/>
    <m/>
    <n v="13500"/>
    <x v="2"/>
    <m/>
    <m/>
    <m/>
    <x v="0"/>
    <x v="0"/>
    <s v="Y"/>
    <n v="123611"/>
    <n v="1000"/>
    <s v="Y"/>
    <m/>
    <m/>
    <m/>
    <m/>
    <n v="322330"/>
    <m/>
    <n v="322330"/>
    <m/>
    <m/>
    <m/>
    <m/>
    <m/>
    <m/>
    <m/>
    <m/>
    <m/>
    <m/>
    <m/>
    <m/>
    <m/>
    <m/>
    <m/>
    <m/>
    <m/>
    <m/>
    <m/>
    <m/>
    <n v="322330"/>
    <m/>
    <m/>
    <m/>
    <x v="179"/>
    <x v="1"/>
    <m/>
    <m/>
    <m/>
    <m/>
    <s v="2760 OFDA "/>
    <m/>
    <m/>
    <m/>
    <m/>
    <m/>
    <m/>
    <s v="Y"/>
    <s v="N"/>
    <m/>
    <s v="OFDA"/>
    <m/>
    <s v="Torrential rains hit Costa Rica, triggering landslides, floods, the destruction of infrastructure and the movement of thousands of people to shelters along the Pacific coast and in the Central Valley.  The American Red Cross provided $322,330 to the Costa Rican Red Cross for distribution of relief supplies and a cash transfer program for 1,000 families."/>
    <s v="CASH: OFDA grant for $322,330 for distribution of relief supplies; small cash transfer program; disaster risk reduction workshops  "/>
  </r>
  <r>
    <s v="FL-2010-000076-COL"/>
    <n v="257"/>
    <x v="244"/>
    <d v="2010-12-16T00:00:00"/>
    <x v="15"/>
    <x v="10"/>
    <s v="Q2"/>
    <x v="15"/>
    <n v="18"/>
    <x v="2"/>
    <s v="Colombia"/>
    <m/>
    <s v="Floods"/>
    <m/>
    <m/>
    <n v="1500000"/>
    <x v="1"/>
    <s v="IFRC"/>
    <n v="1109939"/>
    <s v="MDRCO008"/>
    <x v="88"/>
    <x v="0"/>
    <s v="Y"/>
    <n v="64807"/>
    <n v="71500"/>
    <m/>
    <n v="1500"/>
    <n v="1"/>
    <n v="80000"/>
    <m/>
    <n v="120000"/>
    <m/>
    <n v="200000"/>
    <m/>
    <m/>
    <m/>
    <n v="6000"/>
    <s v="Y"/>
    <m/>
    <m/>
    <m/>
    <m/>
    <m/>
    <m/>
    <m/>
    <n v="6000"/>
    <m/>
    <m/>
    <m/>
    <m/>
    <m/>
    <n v="40000"/>
    <m/>
    <n v="240000"/>
    <m/>
    <m/>
    <m/>
    <x v="180"/>
    <x v="1"/>
    <s v="C"/>
    <m/>
    <m/>
    <m/>
    <n v="2799"/>
    <m/>
    <n v="2025"/>
    <n v="155000"/>
    <m/>
    <m/>
    <m/>
    <m/>
    <s v="Y"/>
    <m/>
    <s v="Dow - $120,000; Merck - $10,000; Citigroup - $25,000. "/>
    <m/>
    <s v="Colombia suffered an uncommonly long rainy season due to the effects of the La Niña weather phenomenon, with heavy rains for more than eight months. The resulting floods have affected 28 of the 32 departments in the country, triggered landslides and destroyed infrastructure, homes and crops.  The Colombian Red Cross worked in affected areas, delivering food, relief supplies and safe water, as well as providing transitional shelter and logistical support, reaching 575,000 people.  The American Red Cross provided $200,000 plus 6,000 mosquito nets to support integrated mobile health clinics for the Red Cross response operation. _x000a_"/>
    <s v="SUPPLIES: IFRC mob table contribution: 6,000 mosquito nets @ $40,000; CASH: $80,000 cash pledge to Federation appeal - MDRCO008 earmarked for NFIs for relief distribution; Bilateral $120,000 bilateral contribution for health and DRR programming. "/>
  </r>
  <r>
    <s v="FL-2010-000225-PAN"/>
    <n v="258"/>
    <x v="80"/>
    <d v="2010-11-30T00:00:00"/>
    <x v="15"/>
    <x v="11"/>
    <s v="Q2"/>
    <x v="15"/>
    <n v="19"/>
    <x v="2"/>
    <s v="Panama"/>
    <m/>
    <s v="Floods"/>
    <m/>
    <m/>
    <n v="6200"/>
    <x v="1"/>
    <s v="IFRC"/>
    <n v="364732"/>
    <s v="MDRPA007"/>
    <x v="2"/>
    <x v="0"/>
    <s v="Y"/>
    <n v="82608"/>
    <n v="10225"/>
    <m/>
    <n v="300"/>
    <m/>
    <m/>
    <m/>
    <m/>
    <m/>
    <m/>
    <m/>
    <m/>
    <m/>
    <n v="1714"/>
    <s v="Y"/>
    <n v="214"/>
    <n v="1500"/>
    <m/>
    <m/>
    <m/>
    <m/>
    <m/>
    <m/>
    <m/>
    <m/>
    <m/>
    <m/>
    <m/>
    <n v="9812"/>
    <m/>
    <n v="9812"/>
    <m/>
    <m/>
    <m/>
    <x v="181"/>
    <x v="2"/>
    <m/>
    <m/>
    <m/>
    <m/>
    <n v="2799"/>
    <m/>
    <m/>
    <m/>
    <m/>
    <m/>
    <m/>
    <m/>
    <s v="Y"/>
    <m/>
    <m/>
    <m/>
    <s v="Continuous rains across Panama caused two deaths and affected more than 24,000 people in eight provinces. Overflowing rivers caused severe floods and landslides which affected thousands and cut off many communities. The Red Cross Society of Panama conducted assessments and distributed relief supplies to over 7,300 people.  The American Red Cross contributed relief supplies totalling $50,000 in relief supplies to support the Red Cross Society of Panama response. "/>
    <s v="SUPPPLIES: 1,500 blankets and 214 hygiene kits at $9,812 from PADRU."/>
  </r>
  <r>
    <s v="OT-2011-000025-TUN/LBY/EGY"/>
    <n v="259"/>
    <x v="245"/>
    <d v="2011-02-28T00:00:00"/>
    <x v="15"/>
    <x v="12"/>
    <s v="Q3"/>
    <x v="16"/>
    <n v="1"/>
    <x v="3"/>
    <s v="Tunisia"/>
    <m/>
    <s v="Civil Unrest"/>
    <m/>
    <m/>
    <m/>
    <x v="1"/>
    <s v="IFRC &amp; ICRC"/>
    <n v="45216000"/>
    <s v="MDR82001 &amp; REX2011/114"/>
    <x v="89"/>
    <x v="0"/>
    <s v="Y"/>
    <n v="431000"/>
    <n v="306000"/>
    <m/>
    <m/>
    <n v="1"/>
    <n v="397270"/>
    <n v="100000"/>
    <m/>
    <m/>
    <n v="497270"/>
    <n v="5"/>
    <m/>
    <m/>
    <n v="1500"/>
    <s v="Y"/>
    <m/>
    <m/>
    <m/>
    <m/>
    <m/>
    <m/>
    <m/>
    <m/>
    <m/>
    <n v="1500"/>
    <m/>
    <m/>
    <m/>
    <n v="43000"/>
    <m/>
    <n v="540270"/>
    <m/>
    <m/>
    <m/>
    <x v="182"/>
    <x v="1"/>
    <s v="P"/>
    <n v="154218"/>
    <m/>
    <m/>
    <s v="2869/ARCT"/>
    <m/>
    <n v="2010"/>
    <m/>
    <n v="2799"/>
    <s v="FACT deployment expenses"/>
    <s v="Y"/>
    <m/>
    <s v="N"/>
    <m/>
    <s v="Online designation on redcross.org.  An overwhelming majority of the $150k funds raised were through the online designation. ARCT/ 2869; AP 2010, Middle East R&amp;D – revenue;  2099, IRF – 100k to ICRC (replenished by 2010); 2799, RRF – FACT deployment expenses + PMN for Syria"/>
    <m/>
    <s v="Soon after violence broke out in Libya in February 2011, hundreds of thousands of people fled to neighboring countries, with the greatest number arriving in Tunisia. Along the border, Red Crescent volunteers greeted the initial droves of migrant workers and provided them with first aid, shelter, food, blankets, clean water, sanitation services, and phone calls to loved ones until they could make arrangements to return to their homelands. To support these efforts, the American Red Cross also led teams of Red Cross and Red Crescent workers from around the world to build and support a tent community in Tunisia for families escaping the violence across the border and provided $300,000 in assistance for the operation."/>
    <s v="CASH: 1) $100,000 to ICRC earmarked for Tunisia from AP2010; PMN for $162,270 earmarked for locally procured supplies by AP2869/ARCT; 2) $135,000 PMN from AP 2799 for $44,000 and AP 2831/ ARCT for $91,000 earmarked for Syria for local procurement of food parcels.  3) $100,000 PMN from AP 2799 for relief for Syria Civil Unrest - 3/7/12._x000a_SUPPLIES:1500 tarps from Dubai warehouse as of March 2011; _x000a_PEOPLE: Deployed for FACT team members: Langdon Greenhalgh, FACT team leader; Marian Spivey-Estrada, FACT Info &amp; Reporting; Colin Chaperon, FACT relief coordinator; Gina Guinta, FACT Info &amp; Reporting - 2nd round; Laura Hevesi FACT relief coordinator."/>
  </r>
  <r>
    <s v="EQ-2011-000024-NZL"/>
    <n v="260"/>
    <x v="246"/>
    <d v="2011-02-23T00:00:00"/>
    <x v="15"/>
    <x v="13"/>
    <s v="Q3"/>
    <x v="16"/>
    <n v="2"/>
    <x v="3"/>
    <s v="New Zealand"/>
    <m/>
    <s v="Earthquake"/>
    <m/>
    <m/>
    <m/>
    <x v="2"/>
    <m/>
    <m/>
    <m/>
    <x v="0"/>
    <x v="0"/>
    <m/>
    <m/>
    <n v="47800"/>
    <s v="Y"/>
    <m/>
    <m/>
    <m/>
    <m/>
    <n v="826450"/>
    <m/>
    <n v="826450"/>
    <m/>
    <m/>
    <m/>
    <m/>
    <m/>
    <m/>
    <m/>
    <m/>
    <m/>
    <m/>
    <m/>
    <m/>
    <m/>
    <m/>
    <m/>
    <m/>
    <m/>
    <m/>
    <m/>
    <m/>
    <n v="826450"/>
    <m/>
    <m/>
    <m/>
    <x v="183"/>
    <x v="1"/>
    <s v="P"/>
    <n v="898367"/>
    <d v="2011-04-19T00:00:00"/>
    <d v="2011-04-19T00:00:00"/>
    <n v="2881"/>
    <m/>
    <m/>
    <m/>
    <m/>
    <m/>
    <m/>
    <m/>
    <s v="N"/>
    <m/>
    <m/>
    <m/>
    <s v="A 6.3 magnitude earthquake struck near Christchurch, New Zealand on February 22. There was widespread damage, including collapsed buildings in the city center and damage to roads and bridges. The New Zealand Red Cross operated  recovery assistance centers and conducted home visits to those affected. It provided assistance to 47,800 people. The American Red Cross provided $772,000 to the New Zealand Red Cross in support of its response operations.   "/>
    <s v="CASH: Two grant letters to be made - $772,000 on April 12, 2011; second one for $54,450 June 23, 2011"/>
  </r>
  <r>
    <m/>
    <n v="261"/>
    <x v="247"/>
    <d v="2011-03-01T00:00:00"/>
    <x v="15"/>
    <x v="14"/>
    <s v="Q3"/>
    <x v="16"/>
    <n v="3"/>
    <x v="2"/>
    <s v="Paraguay"/>
    <m/>
    <s v="Epidemic"/>
    <m/>
    <m/>
    <m/>
    <x v="2"/>
    <m/>
    <m/>
    <m/>
    <x v="0"/>
    <x v="0"/>
    <s v="N"/>
    <m/>
    <m/>
    <s v="Y"/>
    <n v="2000"/>
    <m/>
    <m/>
    <m/>
    <n v="56000"/>
    <m/>
    <n v="56000"/>
    <m/>
    <m/>
    <m/>
    <m/>
    <m/>
    <m/>
    <m/>
    <m/>
    <m/>
    <m/>
    <m/>
    <m/>
    <m/>
    <m/>
    <m/>
    <m/>
    <m/>
    <m/>
    <m/>
    <m/>
    <n v="56000"/>
    <m/>
    <m/>
    <m/>
    <x v="184"/>
    <x v="1"/>
    <s v="C"/>
    <n v="56000"/>
    <d v="2011-02-28T00:00:00"/>
    <d v="2011-02-28T00:00:00"/>
    <n v="2025"/>
    <m/>
    <m/>
    <m/>
    <m/>
    <m/>
    <m/>
    <m/>
    <s v="N"/>
    <m/>
    <s v="Part of GE $250,000 contribution for Brazil Floods and went to various South American disasters."/>
    <m/>
    <s v="An outbreak of Dengue fever in Paraguay caused more than  400 confirmed cases.  The Paraguayan Red Cross responded, targeting 2,000 people to reduce the vector sites and build awareness among community members on how to reduce exposure to mosquitoes. The American Red Cross provided $56,000 in support to the Paraguayan Red Cross for their response."/>
    <s v="CASH: $50,000 Bilateral contribution via grant letter to Paraguay Red Cross for Dengue outbreak activities."/>
  </r>
  <r>
    <s v="EQ-2011-000028-JPN"/>
    <n v="262"/>
    <x v="248"/>
    <d v="2011-03-11T00:00:00"/>
    <x v="15"/>
    <x v="15"/>
    <s v="Q3"/>
    <x v="16"/>
    <n v="4"/>
    <x v="3"/>
    <s v="Japan"/>
    <m/>
    <s v="Earthquake/ Tsunami"/>
    <m/>
    <m/>
    <n v="300000"/>
    <x v="2"/>
    <m/>
    <m/>
    <m/>
    <x v="0"/>
    <x v="0"/>
    <m/>
    <m/>
    <n v="225000"/>
    <s v="Y"/>
    <m/>
    <m/>
    <m/>
    <m/>
    <n v="276000000"/>
    <n v="1500000"/>
    <n v="279800000"/>
    <n v="3"/>
    <m/>
    <m/>
    <m/>
    <m/>
    <m/>
    <m/>
    <m/>
    <m/>
    <m/>
    <m/>
    <m/>
    <m/>
    <m/>
    <m/>
    <m/>
    <m/>
    <m/>
    <m/>
    <m/>
    <n v="279800000"/>
    <m/>
    <m/>
    <m/>
    <x v="185"/>
    <x v="1"/>
    <s v="P"/>
    <n v="307256521"/>
    <d v="2011-12-01T00:00:00"/>
    <s v="ongoing"/>
    <n v="2687"/>
    <m/>
    <n v="2841"/>
    <m/>
    <m/>
    <m/>
    <m/>
    <m/>
    <s v="N"/>
    <m/>
    <m/>
    <s v="Yes"/>
    <s v="On March 11, a record 9.0 magnitude earthquake struck Sendai, Japan, generating a powerful 32-foot tsunami which caused widespread destruction to northern Japanese coastal areas and communities. More than 19,000 died. The Japanese Red Cross responded by providing medical services, relief supplies, pscychosocial support, and social services. In recovery they rebuilt hospitals and clinics. The American Red Cross committed more than $312 million for the Japan response. See One Year Update report for more information."/>
    <s v="CASH: Bilateral contribution via grant letter to Japanese Red Cross  for response activities: 1) $10M March 14, 2) $50M - April 1; 3) $40M - April 11; 4) $30M - April 29; 5) $30M - May 12; 6) $46 M - June 10; 7) $35M - July 11;  8) $15M - Aug. 28_x000a_Additional cash grants to JRCS will occur. _x000a_To other agencies: 1) $500,000 - March 21 -World Food Programme; 2) $1M total -  $3M - April 11 - IOM; Note refund from IOM due to programming - $2M October 2011. _x000a_ARC internal: $300,000 - March 21 - Service to Armed Forces; _x000a_PEOPLE: Nan Buzard on high level Fed Liaison trip; Tom Alcedo to Fed Liaison team; John Manley to Fed Liaison team."/>
  </r>
  <r>
    <s v="FL-2011-000020-BOL"/>
    <n v="263"/>
    <x v="48"/>
    <d v="2011-03-23T00:00:00"/>
    <x v="15"/>
    <x v="16"/>
    <s v="Q3"/>
    <x v="16"/>
    <n v="5"/>
    <x v="2"/>
    <s v="Bolivia"/>
    <m/>
    <s v="Floods"/>
    <m/>
    <m/>
    <n v="70000"/>
    <x v="1"/>
    <s v="IFRC"/>
    <n v="571602"/>
    <s v="MDRBO006"/>
    <x v="90"/>
    <x v="0"/>
    <m/>
    <m/>
    <n v="2500"/>
    <m/>
    <m/>
    <n v="1"/>
    <n v="182000"/>
    <m/>
    <m/>
    <m/>
    <n v="182000"/>
    <m/>
    <m/>
    <m/>
    <m/>
    <m/>
    <m/>
    <m/>
    <m/>
    <m/>
    <m/>
    <m/>
    <m/>
    <m/>
    <m/>
    <m/>
    <m/>
    <m/>
    <m/>
    <m/>
    <m/>
    <n v="182000"/>
    <m/>
    <m/>
    <m/>
    <x v="186"/>
    <x v="1"/>
    <s v="C"/>
    <n v="200000"/>
    <d v="2011-05-10T00:00:00"/>
    <d v="2011-05-10T00:00:00"/>
    <s v="2869/ARCT"/>
    <n v="100000"/>
    <n v="2025"/>
    <n v="100000"/>
    <m/>
    <m/>
    <s v="Y"/>
    <m/>
    <s v="N"/>
    <m/>
    <s v="ARCT funding - $100,000. GE corporate contribution - $100,000."/>
    <m/>
    <s v="The La Niña effect resulted in heavy rains in Bolivia, causing floods and mudslides affecting 88,000 people in 30% of the country’s municipalities. The American Red Cross provided $182,000 to support Bolivian Red Cross response operations for water and sanitation hygiene, transitional housing and early recovery activities. "/>
    <s v="CASH: 1) PMN for $91,000 from ARCT IERRF funds for appeal. 2) Second PMN for $91,000 from 2025 - South America R &amp; D"/>
  </r>
  <r>
    <s v="OT-2010-000255-CIV"/>
    <n v="264"/>
    <x v="249"/>
    <d v="2011-04-01T00:00:00"/>
    <x v="15"/>
    <x v="17"/>
    <s v="Q4"/>
    <x v="16"/>
    <n v="6"/>
    <x v="1"/>
    <s v="Liberia"/>
    <m/>
    <s v="Population Movement"/>
    <m/>
    <m/>
    <m/>
    <x v="1"/>
    <s v="IFRC"/>
    <n v="4340568"/>
    <s v="MDR61007"/>
    <x v="91"/>
    <x v="0"/>
    <m/>
    <m/>
    <n v="67500"/>
    <m/>
    <m/>
    <n v="1"/>
    <n v="150000"/>
    <m/>
    <m/>
    <m/>
    <n v="150000"/>
    <m/>
    <m/>
    <m/>
    <m/>
    <m/>
    <m/>
    <m/>
    <m/>
    <m/>
    <m/>
    <m/>
    <m/>
    <m/>
    <m/>
    <m/>
    <m/>
    <m/>
    <m/>
    <m/>
    <m/>
    <n v="150000"/>
    <m/>
    <m/>
    <m/>
    <x v="13"/>
    <x v="2"/>
    <m/>
    <m/>
    <m/>
    <m/>
    <n v="2799"/>
    <m/>
    <m/>
    <m/>
    <m/>
    <m/>
    <m/>
    <m/>
    <s v="Y"/>
    <m/>
    <m/>
    <m/>
    <s v="Political turmoil following presidential elections in Cote d’Ivoire caused armed clashes and prompted significant internal and cross border population movements into neighboring countries. Liberia was particularly impacted with thousands of Ivorians crossing its border, placing burdens on communities.  The ICRC and Liberian Red Cross responded, providing  medical services, water and sanitation and distributing food and relief supplies to refugees and host families.The American Red Cross has provided $150,000 in funding to support the Red Cross response in Liberia. "/>
    <s v="CASH: Contribution to Federation appeal MDR61007 for $150,000 for Liberia earmarked for relief and operations. "/>
  </r>
  <r>
    <s v="FL-2011-000007-NAM"/>
    <n v="265"/>
    <x v="215"/>
    <d v="2011-03-25T00:00:00"/>
    <x v="15"/>
    <x v="18"/>
    <s v="Q4"/>
    <x v="16"/>
    <n v="7"/>
    <x v="1"/>
    <s v="Namibia"/>
    <m/>
    <s v="Floods"/>
    <m/>
    <m/>
    <n v="228500"/>
    <x v="1"/>
    <s v="IFRC"/>
    <n v="2032221"/>
    <s v="MDRNA006"/>
    <x v="92"/>
    <x v="0"/>
    <m/>
    <m/>
    <n v="37457"/>
    <m/>
    <m/>
    <n v="1"/>
    <n v="50000"/>
    <m/>
    <m/>
    <m/>
    <n v="50000"/>
    <m/>
    <m/>
    <m/>
    <m/>
    <m/>
    <m/>
    <m/>
    <m/>
    <m/>
    <m/>
    <m/>
    <m/>
    <m/>
    <m/>
    <m/>
    <m/>
    <m/>
    <m/>
    <m/>
    <m/>
    <n v="50000"/>
    <m/>
    <m/>
    <m/>
    <x v="16"/>
    <x v="2"/>
    <m/>
    <m/>
    <m/>
    <m/>
    <n v="2799"/>
    <m/>
    <m/>
    <m/>
    <m/>
    <m/>
    <m/>
    <m/>
    <s v="Y"/>
    <m/>
    <m/>
    <m/>
    <s v="Months of rain caused large-scale flooding in northern Namibia, displacing thousands of people and destroying homes, crops, roads and other infrastructure.  The Namibia Red Cross Society conducted assessments and provided relief supplies, food, water and sanitation to the most vulnerable families affected. The American Red Cross provided $50,000 to support Namibia Red Cross Society response operations.   _x000a_"/>
    <s v="CASH: Contribution to Namibia floods Federation appeal MDRNA006 for $50,000 earmarked for emergency shelter and watsan. "/>
  </r>
  <r>
    <s v="DR-2011-000029-KEN"/>
    <n v="266"/>
    <x v="250"/>
    <d v="2011-07-28T00:00:00"/>
    <x v="16"/>
    <x v="1"/>
    <s v="Q1"/>
    <x v="16"/>
    <n v="8"/>
    <x v="1"/>
    <s v="[rollup]"/>
    <m/>
    <s v="Drought"/>
    <m/>
    <m/>
    <n v="13300000"/>
    <x v="1"/>
    <s v="IFRC &amp; ICRC"/>
    <n v="254000000"/>
    <s v="Various - see RAP"/>
    <x v="93"/>
    <x v="0"/>
    <m/>
    <m/>
    <n v="2840000"/>
    <m/>
    <m/>
    <n v="4"/>
    <n v="2000000"/>
    <n v="1113000"/>
    <m/>
    <m/>
    <n v="3113000"/>
    <m/>
    <m/>
    <m/>
    <m/>
    <s v="Y"/>
    <m/>
    <m/>
    <m/>
    <n v="4900"/>
    <m/>
    <m/>
    <m/>
    <n v="20000"/>
    <m/>
    <m/>
    <m/>
    <m/>
    <m/>
    <n v="122000"/>
    <m/>
    <n v="3235000"/>
    <m/>
    <m/>
    <m/>
    <x v="187"/>
    <x v="1"/>
    <s v="P"/>
    <n v="4185949"/>
    <d v="2011-12-01T00:00:00"/>
    <s v="ongoing"/>
    <s v="2831/ARCT"/>
    <n v="200000"/>
    <n v="2836"/>
    <n v="2553000"/>
    <n v="2099"/>
    <n v="200000"/>
    <s v="Y"/>
    <m/>
    <s v="N"/>
    <s v="Y"/>
    <s v="ARCT -2831 FY12 fund - $200,000"/>
    <m/>
    <s v="A drought beginningin 2009 in the Horn of Africa resulted in massive crop failure, water scarcity, low food supplies, livestock deaths and the migration of people from Ethiopia, Kenya, Djibouti, Tanzania and most severely, Somalia. More than 13 million people were affected.  Red Cross and Red Crescent societies in these countries responded to the disaster with support from partners in the global Red Cross network.  The American Red Cross committed $3.9 million in support of Red Cross and Red Crescent response activities in the region."/>
    <s v="CASH: 1) $582,000 +$531,000 contribution to ICRC emergency appeal EA2011 for Somalia - sources:  $182,000 from ARCT/2831, $200,000 + $531,000 from 2836, and $200,000 from IRF/2099 per Sr VP; 2). PMN $1,000,000 contribution to Kenya Drought appeal MDRKE016 from 2836; 3) PMN for$600,000 contribution to Ethiopia appeal MDRE010 from 2836; 4) PMN for $100,000 for Tanzania Drought appeal MDRTZ012 from 2836. 5) Pledge letter to ICRC 2012 Somalia Emergency Appeal for $500,000; 6) PMN to IFRC Regional Framework"/>
  </r>
  <r>
    <s v="DR-2011-000029-KEN"/>
    <n v="266"/>
    <x v="250"/>
    <d v="2011-07-28T00:00:00"/>
    <x v="16"/>
    <x v="1"/>
    <s v="Q1"/>
    <x v="16"/>
    <n v="8"/>
    <x v="1"/>
    <s v="Kenya"/>
    <m/>
    <m/>
    <m/>
    <m/>
    <m/>
    <x v="0"/>
    <m/>
    <m/>
    <m/>
    <x v="0"/>
    <x v="0"/>
    <m/>
    <m/>
    <n v="1000000"/>
    <m/>
    <m/>
    <m/>
    <n v="1200000"/>
    <m/>
    <m/>
    <m/>
    <m/>
    <m/>
    <m/>
    <m/>
    <m/>
    <m/>
    <m/>
    <m/>
    <m/>
    <m/>
    <m/>
    <m/>
    <m/>
    <m/>
    <m/>
    <m/>
    <m/>
    <m/>
    <m/>
    <m/>
    <m/>
    <m/>
    <m/>
    <m/>
    <m/>
    <x v="152"/>
    <x v="0"/>
    <m/>
    <m/>
    <m/>
    <m/>
    <m/>
    <m/>
    <m/>
    <m/>
    <m/>
    <m/>
    <m/>
    <m/>
    <m/>
    <m/>
    <m/>
    <m/>
    <m/>
    <m/>
  </r>
  <r>
    <s v="DR-2011-000029-KEN"/>
    <n v="266"/>
    <x v="250"/>
    <d v="2011-07-28T00:00:00"/>
    <x v="16"/>
    <x v="1"/>
    <s v="Q1"/>
    <x v="16"/>
    <n v="8"/>
    <x v="1"/>
    <s v="Ethiopia"/>
    <m/>
    <m/>
    <m/>
    <m/>
    <m/>
    <x v="0"/>
    <m/>
    <m/>
    <m/>
    <x v="0"/>
    <x v="0"/>
    <m/>
    <m/>
    <n v="570000"/>
    <m/>
    <m/>
    <m/>
    <n v="800000"/>
    <m/>
    <m/>
    <m/>
    <m/>
    <m/>
    <m/>
    <m/>
    <m/>
    <m/>
    <m/>
    <m/>
    <m/>
    <m/>
    <m/>
    <m/>
    <m/>
    <m/>
    <m/>
    <m/>
    <m/>
    <m/>
    <m/>
    <m/>
    <m/>
    <m/>
    <m/>
    <m/>
    <m/>
    <x v="152"/>
    <x v="0"/>
    <m/>
    <m/>
    <m/>
    <m/>
    <m/>
    <m/>
    <m/>
    <m/>
    <m/>
    <m/>
    <m/>
    <m/>
    <m/>
    <m/>
    <m/>
    <m/>
    <m/>
    <m/>
  </r>
  <r>
    <s v="DR-2011-000029-KEN"/>
    <n v="266"/>
    <x v="250"/>
    <d v="2011-07-28T00:00:00"/>
    <x v="16"/>
    <x v="1"/>
    <s v="Q1"/>
    <x v="16"/>
    <n v="8"/>
    <x v="1"/>
    <s v="Somalia"/>
    <m/>
    <m/>
    <m/>
    <m/>
    <m/>
    <x v="0"/>
    <m/>
    <m/>
    <m/>
    <x v="0"/>
    <x v="0"/>
    <m/>
    <m/>
    <n v="1250000"/>
    <m/>
    <m/>
    <m/>
    <m/>
    <m/>
    <m/>
    <m/>
    <m/>
    <m/>
    <m/>
    <m/>
    <m/>
    <m/>
    <m/>
    <m/>
    <m/>
    <m/>
    <m/>
    <m/>
    <m/>
    <m/>
    <m/>
    <m/>
    <m/>
    <m/>
    <m/>
    <m/>
    <m/>
    <m/>
    <m/>
    <m/>
    <m/>
    <x v="152"/>
    <x v="0"/>
    <m/>
    <m/>
    <m/>
    <m/>
    <m/>
    <m/>
    <m/>
    <m/>
    <m/>
    <m/>
    <m/>
    <m/>
    <m/>
    <m/>
    <m/>
    <m/>
    <m/>
    <m/>
  </r>
  <r>
    <s v="DR-2011-000029-KEN"/>
    <n v="266"/>
    <x v="250"/>
    <d v="2011-07-28T00:00:00"/>
    <x v="16"/>
    <x v="1"/>
    <s v="Q1"/>
    <x v="16"/>
    <n v="8"/>
    <x v="1"/>
    <s v="Tanzania"/>
    <m/>
    <m/>
    <m/>
    <m/>
    <m/>
    <x v="0"/>
    <m/>
    <m/>
    <m/>
    <x v="0"/>
    <x v="0"/>
    <m/>
    <m/>
    <n v="20000"/>
    <m/>
    <m/>
    <m/>
    <m/>
    <m/>
    <m/>
    <m/>
    <m/>
    <m/>
    <m/>
    <m/>
    <m/>
    <m/>
    <m/>
    <m/>
    <m/>
    <m/>
    <m/>
    <m/>
    <m/>
    <m/>
    <m/>
    <m/>
    <m/>
    <m/>
    <m/>
    <m/>
    <m/>
    <m/>
    <m/>
    <m/>
    <m/>
    <x v="152"/>
    <x v="0"/>
    <m/>
    <m/>
    <m/>
    <m/>
    <m/>
    <m/>
    <m/>
    <m/>
    <m/>
    <m/>
    <m/>
    <m/>
    <m/>
    <m/>
    <m/>
    <m/>
    <m/>
    <m/>
  </r>
  <r>
    <s v="FL-2011-000096-PRK"/>
    <n v="267"/>
    <x v="251"/>
    <d v="2011-08-24T00:00:00"/>
    <x v="16"/>
    <x v="2"/>
    <s v="Q1"/>
    <x v="16"/>
    <n v="9"/>
    <x v="3"/>
    <s v="DPRK/North Korea"/>
    <m/>
    <s v="Floods"/>
    <m/>
    <m/>
    <n v="45000"/>
    <x v="1"/>
    <s v="IFRC"/>
    <n v="4400000"/>
    <s v="MDRKP003"/>
    <x v="94"/>
    <x v="0"/>
    <s v="Y"/>
    <n v="575551"/>
    <n v="30000"/>
    <m/>
    <m/>
    <n v="1"/>
    <n v="50000"/>
    <m/>
    <m/>
    <m/>
    <n v="50000"/>
    <m/>
    <m/>
    <m/>
    <m/>
    <m/>
    <m/>
    <m/>
    <m/>
    <m/>
    <m/>
    <m/>
    <m/>
    <m/>
    <m/>
    <m/>
    <m/>
    <m/>
    <m/>
    <m/>
    <m/>
    <n v="50000"/>
    <m/>
    <m/>
    <m/>
    <x v="16"/>
    <x v="2"/>
    <m/>
    <m/>
    <m/>
    <m/>
    <n v="2799"/>
    <m/>
    <m/>
    <m/>
    <m/>
    <m/>
    <m/>
    <m/>
    <s v="Y"/>
    <m/>
    <m/>
    <m/>
    <s v="In the Democratic People’s Republic of Korea (North Korea), months of heavy rainfall and a typhoon caused flooding.  Homes, infrastructure and crops were destroyed, leaving 27,500 people homeless. The Democratic People’s Republic of Korea Red Cross is distributing relief supplies, performing disaster assessments, helping with evacuations and providing first aid to those in need.  The American Red Cross has committed $50,000 to support Red Cross response activities._x000a_"/>
    <s v="CASH: $50,000 contribution to appeal earmarked for food procurement, from 2799/RRF."/>
  </r>
  <r>
    <s v="FL-2011-000093-BGD"/>
    <n v="268"/>
    <x v="19"/>
    <d v="2011-08-31T00:00:00"/>
    <x v="16"/>
    <x v="3"/>
    <s v="Q1"/>
    <x v="16"/>
    <n v="10"/>
    <x v="3"/>
    <s v="Bangladesh"/>
    <m/>
    <s v="Floods"/>
    <m/>
    <m/>
    <n v="700000"/>
    <x v="1"/>
    <s v="IFRC"/>
    <n v="1500000"/>
    <s v="MDRBD009"/>
    <x v="95"/>
    <x v="0"/>
    <s v="Y"/>
    <m/>
    <n v="50000"/>
    <m/>
    <m/>
    <n v="1"/>
    <n v="50000"/>
    <m/>
    <m/>
    <m/>
    <n v="50000"/>
    <m/>
    <m/>
    <m/>
    <m/>
    <m/>
    <m/>
    <m/>
    <m/>
    <m/>
    <m/>
    <m/>
    <m/>
    <m/>
    <m/>
    <m/>
    <m/>
    <m/>
    <m/>
    <m/>
    <m/>
    <n v="50000"/>
    <m/>
    <m/>
    <m/>
    <x v="16"/>
    <x v="2"/>
    <m/>
    <m/>
    <m/>
    <m/>
    <n v="2799"/>
    <m/>
    <m/>
    <m/>
    <m/>
    <m/>
    <m/>
    <m/>
    <s v="Y"/>
    <m/>
    <m/>
    <m/>
    <s v="Two months of continuous torrential rains caused flooding that has affected more than 1.5 million people in 18 districts in Bangladesh. There was significant damage to homes, property, livelihoods, crops and water sources. The Bangladesh Red Crescent assisted authorities in evacuations and provided food, clothing and relief supplies to those in need. The American Red Cross committed $50,000 to support the Bangladesh Red Crescent response._x000a_"/>
    <s v="CASH: $50,000 contribution to appeal earmarked for relilef distribution from 2799/RRF."/>
  </r>
  <r>
    <s v="FL-2011-000130-PAK"/>
    <n v="269"/>
    <x v="252"/>
    <d v="2011-09-12T00:00:00"/>
    <x v="16"/>
    <x v="4"/>
    <s v="Q1"/>
    <x v="16"/>
    <n v="11"/>
    <x v="3"/>
    <s v="Pakistan"/>
    <m/>
    <s v="Floods"/>
    <m/>
    <m/>
    <n v="5000000"/>
    <x v="1"/>
    <s v="IFRC"/>
    <n v="11900000"/>
    <s v="MDRPK007"/>
    <x v="96"/>
    <x v="0"/>
    <s v="Y"/>
    <m/>
    <n v="105000"/>
    <m/>
    <m/>
    <n v="1"/>
    <n v="50000"/>
    <m/>
    <m/>
    <m/>
    <n v="50000"/>
    <m/>
    <m/>
    <m/>
    <m/>
    <m/>
    <m/>
    <m/>
    <m/>
    <m/>
    <m/>
    <m/>
    <m/>
    <m/>
    <m/>
    <m/>
    <m/>
    <m/>
    <m/>
    <m/>
    <m/>
    <n v="50000"/>
    <m/>
    <m/>
    <m/>
    <x v="16"/>
    <x v="2"/>
    <m/>
    <m/>
    <m/>
    <m/>
    <n v="2799"/>
    <m/>
    <m/>
    <m/>
    <m/>
    <m/>
    <m/>
    <m/>
    <s v="Y"/>
    <m/>
    <m/>
    <m/>
    <s v="Monsoon rains caused widespread flooding in southern Pakistan, where communities were recovering from the previous year’s floods. More than 5 million people were affected, 1 million homes damaged or destroyed and an estimated 142,000 people were in temporary camps. The Pakistan Red Crescent, with the support of the global Red Cross and Red Crescent network, reached approximately 73,500 people with food and relief supplies with more assistance to an additional 100,000 people.  The American Red Cross committed $50,000 to support the Pakistan Red Crescent response._x000a_"/>
    <s v="CASH: $50,000 contribution to appeal earmarked for relilef distribution from 2799/RRF."/>
  </r>
  <r>
    <s v="TC-2011-000147-PhL"/>
    <n v="270"/>
    <x v="163"/>
    <d v="2011-10-06T00:00:00"/>
    <x v="16"/>
    <x v="5"/>
    <s v="Q2"/>
    <x v="16"/>
    <n v="12"/>
    <x v="3"/>
    <s v="Philippines"/>
    <m/>
    <s v="Tropical Storm"/>
    <m/>
    <m/>
    <n v="3200000"/>
    <x v="1"/>
    <s v="IFRC"/>
    <n v="3800000"/>
    <s v="MDRPH007"/>
    <x v="97"/>
    <x v="0"/>
    <s v="Y"/>
    <m/>
    <n v="250000"/>
    <m/>
    <m/>
    <n v="1"/>
    <n v="50000"/>
    <m/>
    <m/>
    <m/>
    <n v="50000"/>
    <m/>
    <m/>
    <m/>
    <m/>
    <m/>
    <m/>
    <m/>
    <m/>
    <m/>
    <m/>
    <m/>
    <m/>
    <m/>
    <m/>
    <m/>
    <m/>
    <m/>
    <m/>
    <m/>
    <m/>
    <n v="50000"/>
    <m/>
    <m/>
    <m/>
    <x v="16"/>
    <x v="2"/>
    <m/>
    <m/>
    <m/>
    <m/>
    <n v="2799"/>
    <m/>
    <m/>
    <m/>
    <m/>
    <m/>
    <m/>
    <m/>
    <s v="Y"/>
    <m/>
    <m/>
    <m/>
    <s v="Beginning in late September two typhoons hit the Philippines within a five-day span, with rains triggering floods and widespread damage across the entire island of Luzon. More than 3.2 million people wereaffected and an estimated 260,000 people were in evacuation centers.  The Philippines Red Cross responded with more than 2,400 volunteers and  staff providing food, shelter and relief items. It also communicated early warning messages to warn people, prepare volunteers and pre-position supplies prior to the storms’ landfall.  The American Red Cross committed $50,000 to support the Philippines Red Cross response. _x000a_"/>
    <s v="CASH: $50,000 contribution to appeal earmarked for relilef distribution from 2799/RRF."/>
  </r>
  <r>
    <s v="TC-2011-000157-GTM"/>
    <n v="271"/>
    <x v="205"/>
    <d v="2011-10-20T00:00:00"/>
    <x v="16"/>
    <x v="6"/>
    <s v="Q2"/>
    <x v="16"/>
    <n v="13"/>
    <x v="2"/>
    <s v="[rollup]"/>
    <m/>
    <s v="Floods"/>
    <m/>
    <m/>
    <n v="638000"/>
    <x v="1"/>
    <s v="IFRC"/>
    <n v="2198600"/>
    <s v="MDRGT003 / MDRSV004"/>
    <x v="98"/>
    <x v="0"/>
    <s v="Y"/>
    <m/>
    <n v="2500"/>
    <s v="Y"/>
    <n v="9000"/>
    <m/>
    <m/>
    <m/>
    <n v="48940"/>
    <m/>
    <n v="48940"/>
    <n v="3"/>
    <m/>
    <n v="3"/>
    <n v="26000"/>
    <s v="Y"/>
    <n v="2300"/>
    <n v="11500"/>
    <n v="4600"/>
    <m/>
    <m/>
    <m/>
    <m/>
    <n v="4600"/>
    <m/>
    <n v="3000"/>
    <m/>
    <m/>
    <m/>
    <n v="255000"/>
    <m/>
    <n v="303940"/>
    <m/>
    <m/>
    <m/>
    <x v="188"/>
    <x v="1"/>
    <s v="C"/>
    <m/>
    <m/>
    <d v="2011-11-03T00:00:00"/>
    <s v="2831/ARCT"/>
    <n v="200000"/>
    <n v="2882"/>
    <n v="103940"/>
    <m/>
    <m/>
    <s v="Y"/>
    <m/>
    <s v="N"/>
    <m/>
    <s v="ARCT - 2831 FY12 fund - $200,000_x000a_Expenses werecharged to AP 2882, Central America R &amp; D. Any designated funds and the $200,000 ARCT funds backfilled this AP. If we don’t receive enough funding to cover these expenses then the RRF, AP 2799 will supplement outstanding expenses.  "/>
    <m/>
    <s v="Heavy rains caused flooding and landslides throughout Central America—most severely in Guatemala, El Salvador, Honduras and Nicaragua—resulting in more than 100 deaths and affecting more than 630,000 people. Red Cross societies throughout Central America  responded in Guatemala, El Salvador, Honduras and Nicaragua. They provided food, shelter, first aid and evacuation assistance.  The American Red Cross has committed $260,000 for relief supplies for 2,300 families (11,500 people) and other support for the Red Cross response operations in El Salvador, Honduras, Guatemala and Nicaragua. It also provided three disaster specialists from its regional office in Panama to assist operations._x000a_"/>
    <s v="CASH: $17,190 bilateral grant letter to El Salvador Red Cross for distribution costs; $18,125 bilateral grant letter to Honduras Red Cross for distribution costs; $13,625 bilateral grant letter to Nicaragua Red Cross for distribution costs._x000a_SUPPLIES: Bilateral contributions - see RAPs for detail: Supplies for 500 families  to Nicaraguan Red Cross valued at$61,000; supplies for 800 families for El Salvador Red Cross valued at$73,000; supplies for 500 families to Honduras Red Cross valued at $60,000. Multilateral contribution - supplies from Guatemala appeal mob table  for 500 families to Guatemalan Red Cross valued at $61,000.  Supplies for bilateral El Salvador and Honduras contribution and Guatemala appeal were paid for by ARCT funds._x000a_PEOPLE:  Three Panama delegation-based ARC staff deployed as disaster management liasons: Raymundo Ortega to assist Nicaragua Red Cross; Luis Guzman to assist El Salvador Red Cross; Alvaro Garita to assist Honduras Red Cross."/>
  </r>
  <r>
    <s v="TC-2011-000157-GTM"/>
    <n v="271"/>
    <x v="205"/>
    <d v="2011-10-20T00:00:00"/>
    <x v="16"/>
    <x v="6"/>
    <s v="Q2"/>
    <x v="16"/>
    <n v="13"/>
    <x v="2"/>
    <s v="El Salvador"/>
    <m/>
    <m/>
    <m/>
    <m/>
    <m/>
    <x v="0"/>
    <m/>
    <n v="1300000"/>
    <s v="MDRSV004"/>
    <x v="99"/>
    <x v="0"/>
    <m/>
    <m/>
    <m/>
    <m/>
    <m/>
    <m/>
    <m/>
    <m/>
    <n v="17190"/>
    <m/>
    <m/>
    <m/>
    <m/>
    <m/>
    <m/>
    <m/>
    <n v="800"/>
    <n v="4000"/>
    <n v="1600"/>
    <m/>
    <m/>
    <m/>
    <m/>
    <n v="1600"/>
    <m/>
    <m/>
    <m/>
    <m/>
    <m/>
    <m/>
    <m/>
    <m/>
    <m/>
    <m/>
    <m/>
    <x v="152"/>
    <x v="0"/>
    <m/>
    <m/>
    <m/>
    <m/>
    <m/>
    <m/>
    <m/>
    <m/>
    <m/>
    <m/>
    <m/>
    <m/>
    <m/>
    <m/>
    <m/>
    <m/>
    <m/>
    <m/>
  </r>
  <r>
    <s v="TC-2011-000157-GTM"/>
    <n v="271"/>
    <x v="205"/>
    <d v="2011-10-20T00:00:00"/>
    <x v="16"/>
    <x v="6"/>
    <s v="Q2"/>
    <x v="16"/>
    <n v="13"/>
    <x v="2"/>
    <s v="Honduras"/>
    <m/>
    <m/>
    <m/>
    <m/>
    <m/>
    <x v="0"/>
    <m/>
    <m/>
    <m/>
    <x v="0"/>
    <x v="0"/>
    <m/>
    <m/>
    <m/>
    <m/>
    <m/>
    <m/>
    <m/>
    <m/>
    <n v="18125"/>
    <m/>
    <m/>
    <m/>
    <m/>
    <m/>
    <m/>
    <m/>
    <n v="500"/>
    <n v="2500"/>
    <n v="1000"/>
    <m/>
    <m/>
    <m/>
    <m/>
    <n v="1000"/>
    <m/>
    <n v="1000"/>
    <m/>
    <m/>
    <m/>
    <m/>
    <m/>
    <m/>
    <m/>
    <m/>
    <m/>
    <x v="152"/>
    <x v="0"/>
    <m/>
    <m/>
    <m/>
    <m/>
    <m/>
    <m/>
    <m/>
    <m/>
    <m/>
    <m/>
    <m/>
    <m/>
    <m/>
    <m/>
    <m/>
    <m/>
    <m/>
    <m/>
  </r>
  <r>
    <s v="TC-2011-000157-GTM"/>
    <n v="271"/>
    <x v="205"/>
    <d v="2011-10-20T00:00:00"/>
    <x v="16"/>
    <x v="6"/>
    <s v="Q2"/>
    <x v="16"/>
    <n v="13"/>
    <x v="2"/>
    <s v="Guatemala"/>
    <m/>
    <m/>
    <m/>
    <m/>
    <m/>
    <x v="0"/>
    <m/>
    <n v="898600"/>
    <s v="MDRGT003"/>
    <x v="2"/>
    <x v="0"/>
    <m/>
    <m/>
    <m/>
    <m/>
    <m/>
    <m/>
    <m/>
    <m/>
    <m/>
    <m/>
    <m/>
    <m/>
    <m/>
    <m/>
    <m/>
    <m/>
    <n v="500"/>
    <n v="2500"/>
    <n v="1000"/>
    <m/>
    <m/>
    <m/>
    <m/>
    <n v="1000"/>
    <m/>
    <n v="1000"/>
    <m/>
    <m/>
    <m/>
    <m/>
    <m/>
    <m/>
    <m/>
    <m/>
    <m/>
    <x v="152"/>
    <x v="0"/>
    <m/>
    <m/>
    <m/>
    <m/>
    <m/>
    <m/>
    <m/>
    <m/>
    <m/>
    <m/>
    <m/>
    <m/>
    <m/>
    <m/>
    <m/>
    <m/>
    <m/>
    <m/>
  </r>
  <r>
    <s v="TC-2011-000157-GTM"/>
    <n v="271"/>
    <x v="205"/>
    <d v="2011-10-20T00:00:00"/>
    <x v="16"/>
    <x v="6"/>
    <s v="Q2"/>
    <x v="16"/>
    <n v="13"/>
    <x v="2"/>
    <s v="Nicaragua"/>
    <m/>
    <m/>
    <m/>
    <m/>
    <m/>
    <x v="0"/>
    <m/>
    <m/>
    <m/>
    <x v="0"/>
    <x v="0"/>
    <m/>
    <m/>
    <m/>
    <m/>
    <m/>
    <m/>
    <m/>
    <m/>
    <n v="13625"/>
    <m/>
    <m/>
    <m/>
    <m/>
    <m/>
    <m/>
    <m/>
    <n v="500"/>
    <n v="2500"/>
    <n v="1000"/>
    <m/>
    <m/>
    <m/>
    <m/>
    <n v="1000"/>
    <m/>
    <n v="1000"/>
    <m/>
    <m/>
    <m/>
    <m/>
    <m/>
    <m/>
    <m/>
    <m/>
    <m/>
    <x v="152"/>
    <x v="0"/>
    <m/>
    <m/>
    <m/>
    <m/>
    <m/>
    <m/>
    <m/>
    <m/>
    <m/>
    <m/>
    <m/>
    <m/>
    <m/>
    <m/>
    <m/>
    <m/>
    <m/>
    <m/>
  </r>
  <r>
    <s v="EQ-2011-000162-TUR"/>
    <n v="272"/>
    <x v="253"/>
    <d v="2011-10-26T00:00:00"/>
    <x v="16"/>
    <x v="7"/>
    <s v="Q2"/>
    <x v="16"/>
    <n v="14"/>
    <x v="3"/>
    <s v="Turkey"/>
    <m/>
    <s v="Earthquake"/>
    <m/>
    <m/>
    <n v="250000"/>
    <x v="1"/>
    <s v="IFRC"/>
    <n v="11800000"/>
    <s v="MDRTR002"/>
    <x v="100"/>
    <x v="0"/>
    <m/>
    <m/>
    <n v="60000"/>
    <m/>
    <m/>
    <n v="1"/>
    <n v="897000"/>
    <m/>
    <m/>
    <m/>
    <n v="897000"/>
    <m/>
    <m/>
    <m/>
    <m/>
    <m/>
    <m/>
    <m/>
    <m/>
    <m/>
    <m/>
    <m/>
    <m/>
    <m/>
    <m/>
    <m/>
    <m/>
    <m/>
    <m/>
    <m/>
    <m/>
    <n v="897000"/>
    <m/>
    <m/>
    <m/>
    <x v="189"/>
    <x v="1"/>
    <s v="C"/>
    <n v="915000"/>
    <d v="2011-11-22T00:00:00"/>
    <s v="ongoing"/>
    <n v="2814"/>
    <m/>
    <m/>
    <m/>
    <m/>
    <m/>
    <m/>
    <m/>
    <s v="N"/>
    <m/>
    <s v="2814 - Turkey Relief &amp;  Development. Designated fundraising from corporations only. 2799/RRF funds were used for first $100,000, but later reimbursed by 2814 funds."/>
    <m/>
    <s v="On October 23rd, a magnitude 7.2 earthquake struck Van province in eastern Turkey, killing more than 600 people, toppling buildings and destroying infrastructure. Two additional 5.6 and 4.5 earthquakes shook Van on November 9, killing 40 people. The Turkish Red Crescent response operation provided immediate food and relief supplies longer term sheltering those left homeless by the quake. It has provided emergency shelter for 272,000 people and now is focused on providing transitional homes for 12,000 people in advance of winter. The American Red Cross has committed $897,000 to the International Federation appeal in support of the Turkish Red Crescent response."/>
    <s v="CASH: 1) Oct 26 - $100,000 PMN contribution to Federation appeal earmarked for relief - originally paid by RRF/2799, but later reimbursed by AP 2814. 2) Nov 22 - $709,000 PMN earmarked for shelter.  (Previous Nov 3 PMN contribution to Federation appeal for $500,000 earmarked for relief was nulled as relief objective filled)."/>
  </r>
  <r>
    <m/>
    <n v="273"/>
    <x v="6"/>
    <d v="2011-11-01T00:00:00"/>
    <x v="16"/>
    <x v="8"/>
    <s v="Q2"/>
    <x v="16"/>
    <n v="15"/>
    <x v="2"/>
    <s v="Mexico"/>
    <m/>
    <s v="Floods"/>
    <m/>
    <m/>
    <n v="318846"/>
    <x v="2"/>
    <m/>
    <m/>
    <s v="bilateral request"/>
    <x v="0"/>
    <x v="0"/>
    <m/>
    <m/>
    <m/>
    <s v="Y"/>
    <n v="45000"/>
    <m/>
    <m/>
    <m/>
    <n v="270000"/>
    <m/>
    <n v="270000"/>
    <m/>
    <m/>
    <m/>
    <m/>
    <m/>
    <m/>
    <m/>
    <m/>
    <m/>
    <m/>
    <m/>
    <m/>
    <m/>
    <m/>
    <m/>
    <m/>
    <m/>
    <m/>
    <m/>
    <m/>
    <n v="270000"/>
    <m/>
    <m/>
    <m/>
    <x v="190"/>
    <x v="1"/>
    <s v="C"/>
    <n v="287000"/>
    <d v="2011-11-01T00:00:00"/>
    <d v="2011-11-01T00:00:00"/>
    <n v="2020"/>
    <m/>
    <m/>
    <m/>
    <m/>
    <m/>
    <m/>
    <m/>
    <s v="N"/>
    <m/>
    <m/>
    <m/>
    <s v="Heavy rains caused flooding in more than 900 communities in the southeastern Mexican state of Tabasco, affecting more than 300,000 people. The Mexican Red Cross mobilized more than 1,500 volunteers to assist in evacuations, provide medical assistance and distribute food and relief supplies to those in need.  The American Red Cross committed $270,000 to support the Mexican Red Cross response._x000a_"/>
    <s v="CASH: A bilateral grant to the Mexican Red Cross for prcurement of food parcels and clean up kits for 9,000 families /45,000 people."/>
  </r>
  <r>
    <s v="FL-2011-000137-VNM"/>
    <n v="274"/>
    <x v="21"/>
    <d v="2011-11-10T00:00:00"/>
    <x v="16"/>
    <x v="9"/>
    <s v="Q2"/>
    <x v="16"/>
    <n v="16"/>
    <x v="3"/>
    <s v="Vietnam"/>
    <m/>
    <s v="Floods"/>
    <m/>
    <m/>
    <n v="590000"/>
    <x v="1"/>
    <s v="IFRC"/>
    <n v="1229430"/>
    <s v="MDRVN009"/>
    <x v="101"/>
    <x v="0"/>
    <m/>
    <m/>
    <n v="42000"/>
    <m/>
    <m/>
    <n v="1"/>
    <n v="50000"/>
    <m/>
    <m/>
    <m/>
    <n v="50000"/>
    <m/>
    <m/>
    <m/>
    <m/>
    <m/>
    <m/>
    <m/>
    <m/>
    <m/>
    <m/>
    <m/>
    <m/>
    <m/>
    <m/>
    <m/>
    <m/>
    <m/>
    <m/>
    <m/>
    <m/>
    <n v="50000"/>
    <m/>
    <m/>
    <m/>
    <x v="16"/>
    <x v="2"/>
    <m/>
    <m/>
    <m/>
    <m/>
    <n v="2799"/>
    <m/>
    <m/>
    <m/>
    <m/>
    <m/>
    <m/>
    <m/>
    <s v="Y"/>
    <m/>
    <m/>
    <m/>
    <s v="In September 2011, floods swept through seven provinces in Vietnam’s Mekong Delta, causing significant losses to agriculture and homes. These surpassed the regular annual floods in scope and damage, extending well beyond the traditional flood plain and affecting more than 590,000 people.  In response to the disaster, the Vietnam Red Cross has performed needs assessments and provided more than 62,500 people with household relief supplies, safe water and cash grants. They also assisted an additional 42,000 people with support from the global Red Cross and Red Crescent network.  The American Red Cross has committed $50,000 to the International Federation appeal in support of the Vietnam Red Cross response._x000a_"/>
    <s v="CASH: PMN contribution of $50,000 towards appeal, earmarked for relief objective."/>
  </r>
  <r>
    <s v="FL-2011-000135-THA"/>
    <n v="275"/>
    <x v="254"/>
    <d v="2011-11-10T00:00:00"/>
    <x v="16"/>
    <x v="10"/>
    <s v="Q2"/>
    <x v="16"/>
    <n v="17"/>
    <x v="3"/>
    <s v="Thailand"/>
    <m/>
    <s v="Floods"/>
    <m/>
    <m/>
    <n v="3400000"/>
    <x v="2"/>
    <m/>
    <m/>
    <s v="regional plan"/>
    <x v="0"/>
    <x v="0"/>
    <m/>
    <m/>
    <s v="n/a"/>
    <m/>
    <m/>
    <n v="1"/>
    <n v="167000"/>
    <m/>
    <m/>
    <m/>
    <n v="167000"/>
    <m/>
    <m/>
    <m/>
    <m/>
    <m/>
    <m/>
    <m/>
    <m/>
    <m/>
    <m/>
    <m/>
    <m/>
    <m/>
    <m/>
    <m/>
    <m/>
    <m/>
    <m/>
    <m/>
    <m/>
    <n v="167000"/>
    <m/>
    <m/>
    <m/>
    <x v="191"/>
    <x v="1"/>
    <s v="C"/>
    <n v="189000"/>
    <d v="2011-11-22T00:00:00"/>
    <d v="2011-11-17T00:00:00"/>
    <n v="2689"/>
    <m/>
    <m/>
    <m/>
    <m/>
    <m/>
    <m/>
    <m/>
    <s v="N"/>
    <m/>
    <s v="2689 - Southeast Asia Typhoons and Floods. Designated funding for corporate  contributions only.  $189k raised as of 11/22"/>
    <m/>
    <s v="More than 3.4 million people were affected by Thailand’s worst flooding in more than five decades. Many communities across the country were isolated for weeks, relying on local authorities and organizations like the Thai Red Cross for basic assistance. The Thai Red Cross assisted in evacuations and distributing food, water and relief supplies in affected rural and urban areas. In isolated communities, Red Cross relief and medical teams used flat-bottom boats to reach those most affected. In the urban Bangkok area, Red Cross mobile kitchens and water purification teams distributed thousands of meals and clean water daily.   The American Red Cross has committed $167,000 to the International Federation1 in support of the Thai Red Cross response."/>
    <s v="CASH: $167,000 Cash grant to Intl Federation Regional Country Plan (not appeal) due to Thai RC not wanting an appeal."/>
  </r>
  <r>
    <s v="FL-2011-000170-COL"/>
    <n v="276"/>
    <x v="157"/>
    <d v="2011-12-05T00:00:00"/>
    <x v="16"/>
    <x v="10"/>
    <s v="Q2"/>
    <x v="16"/>
    <n v="17"/>
    <x v="2"/>
    <s v="Colombia"/>
    <m/>
    <s v="Floods"/>
    <m/>
    <m/>
    <n v="410420"/>
    <x v="2"/>
    <m/>
    <m/>
    <m/>
    <x v="0"/>
    <x v="0"/>
    <m/>
    <m/>
    <m/>
    <s v="Y"/>
    <n v="3000"/>
    <m/>
    <m/>
    <m/>
    <n v="100000"/>
    <m/>
    <n v="100000"/>
    <m/>
    <m/>
    <m/>
    <m/>
    <m/>
    <m/>
    <m/>
    <m/>
    <m/>
    <m/>
    <m/>
    <m/>
    <m/>
    <m/>
    <m/>
    <m/>
    <m/>
    <m/>
    <m/>
    <m/>
    <n v="100000"/>
    <m/>
    <m/>
    <m/>
    <x v="5"/>
    <x v="2"/>
    <m/>
    <m/>
    <m/>
    <m/>
    <n v="2799"/>
    <m/>
    <m/>
    <m/>
    <m/>
    <m/>
    <m/>
    <m/>
    <s v="Y"/>
    <m/>
    <s v="2799 Rapid Response Fund"/>
    <m/>
    <s v="A heavier than normal rainy season affected more than 410,000 people in 80 percent of Colombia. Those affected are relying on government authorities and the Colombian Red Cross for basic assistance. More than 100 people have died and 62,300 homes have been damaged. Colombian Red Cross volunteers have conducted damage assessments, provided search and rescue service and distributed food and relief supplies. They plan to provide water and sanitation services, temporary shelter, food and relief supplies as well as health and emotional support services through mobile health teams.  The American Red Cross has committed $100,000 to the Colombian Red Cross for their expanded response to reach 18,000 people. _x000a_The American Red Cross has committed $100,000 to the Colombian Red Cross for their expanded response to reach 18,000 people._x000a_"/>
    <s v="CASH: $100,000 grant letter bilaterally to Colombian Red Cross in response to their proposal to fund part of their plan of action."/>
  </r>
  <r>
    <s v="TC-2011-000189-PHL"/>
    <n v="277"/>
    <x v="255"/>
    <d v="2011-12-21T00:00:00"/>
    <x v="16"/>
    <x v="11"/>
    <s v="Q2"/>
    <x v="16"/>
    <n v="18"/>
    <x v="3"/>
    <s v="Philippines"/>
    <m/>
    <s v="Tropical Storm"/>
    <m/>
    <m/>
    <n v="641098"/>
    <x v="1"/>
    <s v="IFRC"/>
    <n v="2800000"/>
    <s v="MDRPH008"/>
    <x v="102"/>
    <x v="0"/>
    <m/>
    <m/>
    <n v="25000"/>
    <m/>
    <m/>
    <n v="1"/>
    <n v="75000"/>
    <m/>
    <m/>
    <m/>
    <n v="75000"/>
    <m/>
    <m/>
    <m/>
    <m/>
    <m/>
    <m/>
    <m/>
    <m/>
    <m/>
    <m/>
    <m/>
    <m/>
    <m/>
    <m/>
    <m/>
    <m/>
    <m/>
    <m/>
    <m/>
    <m/>
    <n v="75000"/>
    <m/>
    <m/>
    <m/>
    <x v="56"/>
    <x v="1"/>
    <s v="P"/>
    <m/>
    <m/>
    <m/>
    <n v="2799"/>
    <m/>
    <m/>
    <m/>
    <m/>
    <m/>
    <m/>
    <m/>
    <s v="Y"/>
    <m/>
    <s v="2799 Rapid Response Fund"/>
    <m/>
    <s v="Typhoon Washi hit the southern Philippines on December 17, bringing heavy rains and strong winds which resulted in massive flooding and widespread damage in the Northern Mindanao area.  More than 10,000 homes were damaged or destroyed, displacing 284,600 people.  The Philippine Red Cross deployed search and rescue units to perform evacuations and volunteers to provide hot meals and food supplies to more than 3,000 people in affected areas. Through support from the global Red Cross and Red Crescent network, they provided 25,000 affected people with food, relief supplies, water and sanitation, hygiene, shelter and livelihoods assistance.  The American Red Cross committed $75,000  in support of the Philippine Red Cross response._x000a_"/>
    <s v="CASH: $75,000 cash pledge to the Federation appeal earmarked for relief from AP 2799/RRF."/>
  </r>
  <r>
    <m/>
    <n v="278"/>
    <x v="256"/>
    <m/>
    <x v="17"/>
    <x v="0"/>
    <m/>
    <x v="17"/>
    <m/>
    <x v="0"/>
    <m/>
    <m/>
    <m/>
    <m/>
    <m/>
    <m/>
    <x v="0"/>
    <m/>
    <m/>
    <m/>
    <x v="103"/>
    <x v="0"/>
    <m/>
    <m/>
    <m/>
    <m/>
    <m/>
    <m/>
    <m/>
    <m/>
    <m/>
    <m/>
    <m/>
    <m/>
    <m/>
    <m/>
    <m/>
    <m/>
    <m/>
    <m/>
    <m/>
    <m/>
    <m/>
    <m/>
    <m/>
    <m/>
    <m/>
    <m/>
    <m/>
    <m/>
    <m/>
    <m/>
    <m/>
    <m/>
    <m/>
    <m/>
    <m/>
    <x v="152"/>
    <x v="1"/>
    <m/>
    <n v="0"/>
    <m/>
    <m/>
    <m/>
    <m/>
    <m/>
    <m/>
    <m/>
    <m/>
    <m/>
    <m/>
    <m/>
    <m/>
    <m/>
    <m/>
    <m/>
    <s v="We agreed to accept funds for this but did not receive any. There was no response contribution."/>
  </r>
  <r>
    <s v="OT-2011-000205-NER"/>
    <n v="279"/>
    <x v="136"/>
    <d v="2012-02-08T00:00:00"/>
    <x v="16"/>
    <x v="12"/>
    <s v="Q3"/>
    <x v="18"/>
    <n v="1"/>
    <x v="1"/>
    <s v="[rollup]"/>
    <m/>
    <s v="Food Insecurity"/>
    <m/>
    <m/>
    <n v="11000000"/>
    <x v="1"/>
    <s v="IFRC"/>
    <s v="various"/>
    <s v="various"/>
    <x v="103"/>
    <x v="0"/>
    <m/>
    <m/>
    <m/>
    <m/>
    <m/>
    <m/>
    <m/>
    <m/>
    <m/>
    <m/>
    <n v="0"/>
    <n v="1"/>
    <m/>
    <n v="1"/>
    <m/>
    <m/>
    <m/>
    <m/>
    <m/>
    <m/>
    <m/>
    <m/>
    <m/>
    <m/>
    <m/>
    <m/>
    <m/>
    <m/>
    <m/>
    <m/>
    <m/>
    <n v="0"/>
    <m/>
    <m/>
    <m/>
    <x v="7"/>
    <x v="2"/>
    <m/>
    <m/>
    <m/>
    <m/>
    <n v="2002"/>
    <m/>
    <m/>
    <m/>
    <m/>
    <m/>
    <m/>
    <m/>
    <s v="Y"/>
    <m/>
    <m/>
    <m/>
    <s v="More than 11 million people in the Sahel region of West Africa which includes Burkina Faso, Chad, Mali, Mauritania, Niger and some parts of Senegal face severe food shortages due to erratic rainfall and drought which has caused crop failures.  Red Cross and Red Crescent societies in Burkina Faso, Mali, Mauritania, Senegal, Chad and Niger are all responding to the crisis and working with global Red Cross partners on response planning and assessments.  The American Red Cross deployed a logistics specialist to participate in a multi-national Red Cross FACT team which will support planning and assessments for local Red Cross and Red Crescent response operations in affected countries._x000a_"/>
    <s v="PEOPLE: Deployed Rosemary Parnell as logistics delegate to FACT team. Based in Senegal, but she assisted entire operation."/>
  </r>
  <r>
    <s v="OT-2011-000205-NER"/>
    <n v="279"/>
    <x v="136"/>
    <d v="2012-02-08T00:00:00"/>
    <x v="16"/>
    <x v="12"/>
    <s v="Q3"/>
    <x v="18"/>
    <n v="1"/>
    <x v="1"/>
    <s v="Senegal"/>
    <m/>
    <m/>
    <m/>
    <m/>
    <m/>
    <x v="0"/>
    <m/>
    <m/>
    <m/>
    <x v="103"/>
    <x v="0"/>
    <m/>
    <m/>
    <m/>
    <m/>
    <m/>
    <m/>
    <m/>
    <m/>
    <m/>
    <m/>
    <m/>
    <m/>
    <m/>
    <m/>
    <m/>
    <m/>
    <m/>
    <m/>
    <m/>
    <m/>
    <m/>
    <m/>
    <m/>
    <m/>
    <m/>
    <m/>
    <m/>
    <m/>
    <m/>
    <m/>
    <m/>
    <m/>
    <m/>
    <m/>
    <m/>
    <x v="152"/>
    <x v="0"/>
    <m/>
    <m/>
    <m/>
    <m/>
    <m/>
    <m/>
    <m/>
    <m/>
    <m/>
    <m/>
    <m/>
    <m/>
    <m/>
    <m/>
    <m/>
    <m/>
    <m/>
    <m/>
  </r>
  <r>
    <s v="OT-2011-000205-NER"/>
    <n v="279"/>
    <x v="136"/>
    <d v="2012-02-08T00:00:00"/>
    <x v="16"/>
    <x v="12"/>
    <s v="Q3"/>
    <x v="18"/>
    <n v="1"/>
    <x v="1"/>
    <s v="Burkina Faso"/>
    <m/>
    <m/>
    <m/>
    <m/>
    <m/>
    <x v="0"/>
    <m/>
    <m/>
    <m/>
    <x v="103"/>
    <x v="0"/>
    <m/>
    <m/>
    <m/>
    <m/>
    <m/>
    <m/>
    <m/>
    <m/>
    <m/>
    <m/>
    <m/>
    <m/>
    <m/>
    <m/>
    <m/>
    <m/>
    <m/>
    <m/>
    <m/>
    <m/>
    <m/>
    <m/>
    <m/>
    <m/>
    <m/>
    <m/>
    <m/>
    <m/>
    <m/>
    <m/>
    <m/>
    <m/>
    <m/>
    <m/>
    <m/>
    <x v="152"/>
    <x v="0"/>
    <m/>
    <m/>
    <m/>
    <m/>
    <m/>
    <m/>
    <m/>
    <m/>
    <m/>
    <m/>
    <m/>
    <m/>
    <m/>
    <m/>
    <m/>
    <m/>
    <m/>
    <m/>
  </r>
  <r>
    <s v="OT-2011-000205-NER"/>
    <n v="279"/>
    <x v="136"/>
    <d v="2012-02-08T00:00:00"/>
    <x v="16"/>
    <x v="12"/>
    <s v="Q3"/>
    <x v="18"/>
    <n v="1"/>
    <x v="1"/>
    <s v="Chad"/>
    <m/>
    <m/>
    <m/>
    <m/>
    <m/>
    <x v="0"/>
    <m/>
    <m/>
    <m/>
    <x v="103"/>
    <x v="0"/>
    <m/>
    <m/>
    <m/>
    <m/>
    <m/>
    <m/>
    <m/>
    <m/>
    <m/>
    <m/>
    <m/>
    <m/>
    <m/>
    <m/>
    <m/>
    <m/>
    <m/>
    <m/>
    <m/>
    <m/>
    <m/>
    <m/>
    <m/>
    <m/>
    <m/>
    <m/>
    <m/>
    <m/>
    <m/>
    <m/>
    <m/>
    <m/>
    <m/>
    <m/>
    <m/>
    <x v="152"/>
    <x v="0"/>
    <m/>
    <m/>
    <m/>
    <m/>
    <m/>
    <m/>
    <m/>
    <m/>
    <m/>
    <m/>
    <m/>
    <m/>
    <m/>
    <m/>
    <m/>
    <m/>
    <m/>
    <m/>
  </r>
  <r>
    <s v="OT-2011-000205-NER"/>
    <n v="279"/>
    <x v="136"/>
    <d v="2012-02-08T00:00:00"/>
    <x v="16"/>
    <x v="12"/>
    <s v="Q3"/>
    <x v="18"/>
    <n v="1"/>
    <x v="1"/>
    <s v="Niger"/>
    <m/>
    <m/>
    <m/>
    <m/>
    <m/>
    <x v="0"/>
    <m/>
    <m/>
    <m/>
    <x v="103"/>
    <x v="0"/>
    <m/>
    <m/>
    <m/>
    <m/>
    <m/>
    <m/>
    <m/>
    <m/>
    <m/>
    <m/>
    <m/>
    <m/>
    <m/>
    <m/>
    <m/>
    <m/>
    <m/>
    <m/>
    <m/>
    <m/>
    <m/>
    <m/>
    <m/>
    <m/>
    <m/>
    <m/>
    <m/>
    <m/>
    <m/>
    <m/>
    <m/>
    <m/>
    <m/>
    <m/>
    <m/>
    <x v="152"/>
    <x v="0"/>
    <m/>
    <m/>
    <m/>
    <m/>
    <m/>
    <m/>
    <m/>
    <m/>
    <m/>
    <m/>
    <m/>
    <m/>
    <m/>
    <m/>
    <m/>
    <m/>
    <m/>
    <m/>
  </r>
  <r>
    <s v="OT-2011-000205-NER"/>
    <n v="279"/>
    <x v="136"/>
    <d v="2012-02-08T00:00:00"/>
    <x v="16"/>
    <x v="12"/>
    <s v="Q3"/>
    <x v="18"/>
    <n v="1"/>
    <x v="1"/>
    <s v="Mauritania"/>
    <m/>
    <m/>
    <m/>
    <m/>
    <m/>
    <x v="0"/>
    <m/>
    <m/>
    <m/>
    <x v="103"/>
    <x v="0"/>
    <m/>
    <m/>
    <m/>
    <m/>
    <m/>
    <m/>
    <m/>
    <m/>
    <m/>
    <m/>
    <m/>
    <m/>
    <m/>
    <m/>
    <m/>
    <m/>
    <m/>
    <m/>
    <m/>
    <m/>
    <m/>
    <m/>
    <m/>
    <m/>
    <m/>
    <m/>
    <m/>
    <m/>
    <m/>
    <m/>
    <m/>
    <m/>
    <m/>
    <m/>
    <m/>
    <x v="152"/>
    <x v="0"/>
    <m/>
    <m/>
    <m/>
    <m/>
    <m/>
    <m/>
    <m/>
    <m/>
    <m/>
    <m/>
    <m/>
    <m/>
    <m/>
    <m/>
    <m/>
    <m/>
    <m/>
    <m/>
  </r>
  <r>
    <s v="OT-2011-000205-NER"/>
    <n v="279"/>
    <x v="136"/>
    <d v="2012-02-08T00:00:00"/>
    <x v="16"/>
    <x v="12"/>
    <s v="Q3"/>
    <x v="18"/>
    <n v="1"/>
    <x v="1"/>
    <s v="Mali"/>
    <m/>
    <m/>
    <m/>
    <m/>
    <m/>
    <x v="0"/>
    <m/>
    <m/>
    <m/>
    <x v="103"/>
    <x v="0"/>
    <m/>
    <m/>
    <m/>
    <m/>
    <m/>
    <m/>
    <m/>
    <m/>
    <m/>
    <m/>
    <m/>
    <m/>
    <m/>
    <m/>
    <m/>
    <m/>
    <m/>
    <m/>
    <m/>
    <m/>
    <m/>
    <m/>
    <m/>
    <m/>
    <m/>
    <m/>
    <m/>
    <m/>
    <m/>
    <m/>
    <m/>
    <m/>
    <m/>
    <m/>
    <m/>
    <x v="152"/>
    <x v="0"/>
    <m/>
    <m/>
    <m/>
    <m/>
    <m/>
    <m/>
    <m/>
    <m/>
    <m/>
    <m/>
    <m/>
    <m/>
    <m/>
    <m/>
    <m/>
    <m/>
    <m/>
    <m/>
  </r>
  <r>
    <s v="DR-2012-000011-PRY"/>
    <n v="280"/>
    <x v="94"/>
    <d v="2012-03-05T00:00:00"/>
    <x v="16"/>
    <x v="13"/>
    <s v="Q3"/>
    <x v="18"/>
    <n v="2"/>
    <x v="2"/>
    <s v="Paraguay"/>
    <m/>
    <s v="Drought"/>
    <m/>
    <m/>
    <n v="1300000"/>
    <x v="2"/>
    <m/>
    <m/>
    <m/>
    <x v="103"/>
    <x v="0"/>
    <m/>
    <m/>
    <m/>
    <s v="Y"/>
    <n v="3065"/>
    <m/>
    <m/>
    <m/>
    <n v="45000"/>
    <m/>
    <n v="45000"/>
    <m/>
    <m/>
    <m/>
    <m/>
    <m/>
    <m/>
    <m/>
    <m/>
    <m/>
    <m/>
    <m/>
    <m/>
    <m/>
    <m/>
    <m/>
    <m/>
    <m/>
    <m/>
    <m/>
    <m/>
    <n v="45000"/>
    <m/>
    <m/>
    <m/>
    <x v="49"/>
    <x v="2"/>
    <m/>
    <m/>
    <m/>
    <m/>
    <n v="2799"/>
    <n v="45000"/>
    <m/>
    <m/>
    <m/>
    <m/>
    <m/>
    <m/>
    <s v="Y"/>
    <m/>
    <s v="2799 Rapid Response Fund"/>
    <m/>
    <s v="A La Niña weather pattern has caused a serious drought in southern Paraguay, in one of the most important agricultural regions of the country affecting more than 263,800 families, or 1.3 million people.  The Paraguayan Red Cross performed rapid needs assessments and provided food parcels and seeds to affected farming families.  The American Red Cross  committed $45,000 to the Paraguay Red Cross to support their response efforts. The American Red Cross also supports the LARRA long term disaster risk reduction program in Paraguay.  "/>
    <s v="CASH: $45,000 grant letter bilaterally to Paraguayan Red Cross in support of their proposal for response to fund plan of action for drought."/>
  </r>
  <r>
    <s v="FL-2012-000032-BOL"/>
    <n v="281"/>
    <x v="48"/>
    <d v="2012-03-16T00:00:00"/>
    <x v="16"/>
    <x v="14"/>
    <s v="Q3"/>
    <x v="18"/>
    <n v="3"/>
    <x v="2"/>
    <s v="Bolivia"/>
    <m/>
    <s v="Floods"/>
    <m/>
    <m/>
    <n v="65000"/>
    <x v="1"/>
    <s v="IFRC"/>
    <n v="540000"/>
    <s v="MDRBO007"/>
    <x v="104"/>
    <x v="0"/>
    <m/>
    <m/>
    <n v="10000"/>
    <m/>
    <m/>
    <s v="Y"/>
    <n v="75000"/>
    <m/>
    <m/>
    <m/>
    <n v="75000"/>
    <m/>
    <m/>
    <m/>
    <m/>
    <m/>
    <m/>
    <m/>
    <m/>
    <m/>
    <m/>
    <m/>
    <m/>
    <m/>
    <m/>
    <m/>
    <m/>
    <m/>
    <m/>
    <m/>
    <m/>
    <n v="75000"/>
    <m/>
    <m/>
    <m/>
    <x v="56"/>
    <x v="2"/>
    <m/>
    <m/>
    <m/>
    <m/>
    <n v="2799"/>
    <n v="75000"/>
    <m/>
    <m/>
    <m/>
    <m/>
    <m/>
    <m/>
    <s v="Y"/>
    <m/>
    <s v="2799 Rapid Response Fund"/>
    <m/>
    <s v="A La Niña weather phenomenon has created irregular rain patterns throughout South America, causing serious flooding in Bolivia.  The Bolivian Red Cross performed rapid needs assessments and relief supplies, food and water and sanitation to 2,000 affected farming families.  The American Red Cross  committed $75,000 to the Federation appeal in support their response efforts.   "/>
    <s v="CASH: $75,000 PMN to appeal earmarked for relief activities."/>
  </r>
</pivotCacheRecords>
</file>

<file path=xl/pivotCache/pivotCacheRecords17.xml><?xml version="1.0" encoding="utf-8"?>
<pivotCacheRecords xmlns="http://schemas.openxmlformats.org/spreadsheetml/2006/main" xmlns:r="http://schemas.openxmlformats.org/officeDocument/2006/relationships" count="106">
  <r>
    <m/>
    <e v="#N/A"/>
    <m/>
    <n v="0"/>
    <m/>
    <m/>
    <s v="Africa"/>
    <s v="Southern Africa"/>
    <x v="0"/>
    <s v="Hydrometeorological"/>
    <s v="Preliminary emergency appeal"/>
    <d v="2008-01-18T00:00:00"/>
    <m/>
    <x v="0"/>
    <n v="2008"/>
  </r>
  <r>
    <m/>
    <e v="#N/A"/>
    <m/>
    <n v="0"/>
    <m/>
    <m/>
    <s v="Middle East/North Africa"/>
    <s v="Iraq"/>
    <x v="1"/>
    <s v="Human Related"/>
    <s v="Emergency Appeal (Appeal no.MDRIQ003)"/>
    <d v="2008-02-12T00:00:00"/>
    <m/>
    <x v="0"/>
    <n v="2008"/>
  </r>
  <r>
    <m/>
    <e v="#N/A"/>
    <m/>
    <n v="0"/>
    <m/>
    <m/>
    <s v="Africa"/>
    <s v="Cameroon"/>
    <x v="2"/>
    <s v="Human Related"/>
    <s v="Emergency appeal"/>
    <d v="2008-02-13T00:00:00"/>
    <m/>
    <x v="0"/>
    <n v="2008"/>
  </r>
  <r>
    <m/>
    <e v="#N/A"/>
    <m/>
    <n v="0"/>
    <m/>
    <m/>
    <s v="Africa"/>
    <s v="Madagascar"/>
    <x v="3"/>
    <s v="Hydrometeorological"/>
    <s v="Emergency appeal"/>
    <d v="2008-03-06T00:00:00"/>
    <m/>
    <x v="0"/>
    <n v="2008"/>
  </r>
  <r>
    <m/>
    <e v="#N/A"/>
    <m/>
    <n v="0"/>
    <m/>
    <m/>
    <s v="Europe"/>
    <s v="Tajikistan"/>
    <x v="4"/>
    <s v="Hydrometeorological"/>
    <s v="Emergency appeal"/>
    <d v="2008-03-06T00:00:00"/>
    <m/>
    <x v="0"/>
    <n v="2008"/>
  </r>
  <r>
    <m/>
    <e v="#N/A"/>
    <m/>
    <n v="0"/>
    <m/>
    <m/>
    <s v="Americas"/>
    <s v="Caribbean"/>
    <x v="5"/>
    <s v="Hydrometeorological"/>
    <s v="Revised Appeal"/>
    <d v="2008-04-21T00:00:00"/>
    <m/>
    <x v="0"/>
    <n v="2008"/>
  </r>
  <r>
    <m/>
    <e v="#N/A"/>
    <m/>
    <n v="0"/>
    <m/>
    <m/>
    <s v="Asia Pacific"/>
    <s v="Nepal"/>
    <x v="6"/>
    <s v="Hydrometeorological"/>
    <s v="Revised Emergency Appeal"/>
    <d v="2008-04-24T00:00:00"/>
    <m/>
    <x v="0"/>
    <n v="2008"/>
  </r>
  <r>
    <m/>
    <e v="#N/A"/>
    <m/>
    <n v="0"/>
    <m/>
    <m/>
    <s v="Asia Pacific"/>
    <s v="Myanmar"/>
    <x v="7"/>
    <s v="Hydrometeorological"/>
    <s v="Emergency appeal"/>
    <d v="2008-05-06T00:00:00"/>
    <m/>
    <x v="0"/>
    <n v="2008"/>
  </r>
  <r>
    <m/>
    <e v="#N/A"/>
    <m/>
    <n v="0"/>
    <m/>
    <m/>
    <s v="Africa"/>
    <s v="Ethiopia"/>
    <x v="8"/>
    <s v="Human Related"/>
    <s v="Preliminary emergency appeal"/>
    <d v="2008-05-14T00:00:00"/>
    <m/>
    <x v="0"/>
    <n v="2008"/>
  </r>
  <r>
    <m/>
    <e v="#N/A"/>
    <m/>
    <n v="0"/>
    <m/>
    <m/>
    <s v="Asia Pacific"/>
    <s v="China"/>
    <x v="9"/>
    <s v="Geophysical"/>
    <s v="Emergency appeal"/>
    <d v="2008-05-15T00:00:00"/>
    <m/>
    <x v="0"/>
    <n v="2008"/>
  </r>
  <r>
    <m/>
    <e v="#N/A"/>
    <m/>
    <n v="0"/>
    <m/>
    <m/>
    <s v="Asia Pacific"/>
    <s v="Philippines"/>
    <x v="10"/>
    <s v="Hydrometeorological"/>
    <s v="Preliminary emergency appeal"/>
    <d v="2008-06-24T00:00:00"/>
    <m/>
    <x v="0"/>
    <n v="2008"/>
  </r>
  <r>
    <m/>
    <e v="#N/A"/>
    <m/>
    <n v="0"/>
    <m/>
    <m/>
    <s v="Americas"/>
    <s v="Surinam"/>
    <x v="11"/>
    <s v="Hydrometeorological"/>
    <s v="Emergency appeal"/>
    <d v="2008-06-27T00:00:00"/>
    <m/>
    <x v="0"/>
    <n v="2008"/>
  </r>
  <r>
    <m/>
    <e v="#N/A"/>
    <m/>
    <n v="0"/>
    <m/>
    <m/>
    <s v="Africa"/>
    <s v="Uganda"/>
    <x v="12"/>
    <s v="Biological"/>
    <s v="Emergency appeal"/>
    <d v="2008-07-10T00:00:00"/>
    <s v="Q1"/>
    <x v="1"/>
    <n v="2008"/>
  </r>
  <r>
    <m/>
    <e v="#N/A"/>
    <m/>
    <n v="0"/>
    <m/>
    <m/>
    <s v="Africa"/>
    <s v="West Africa"/>
    <x v="13"/>
    <s v="Hydrometeorological"/>
    <s v="Preliminary Appeal"/>
    <d v="2008-07-11T00:00:00"/>
    <s v="Q1"/>
    <x v="1"/>
    <n v="2008"/>
  </r>
  <r>
    <m/>
    <e v="#N/A"/>
    <m/>
    <n v="0"/>
    <m/>
    <m/>
    <s v="Europe"/>
    <s v="Belarus, Russian Federation, Ukraine, Moldova"/>
    <x v="14"/>
    <s v="Hydrometeorological"/>
    <s v="Emergency appeal"/>
    <d v="2008-08-05T00:00:00"/>
    <s v="Q1"/>
    <x v="1"/>
    <n v="2008"/>
  </r>
  <r>
    <m/>
    <e v="#N/A"/>
    <m/>
    <n v="0"/>
    <m/>
    <m/>
    <s v="Africa"/>
    <s v="Zimbabwe"/>
    <x v="15"/>
    <s v="Human Related"/>
    <s v="Preliminary emergency appeal"/>
    <d v="2008-08-07T00:00:00"/>
    <s v="Q1"/>
    <x v="1"/>
    <n v="2008"/>
  </r>
  <r>
    <m/>
    <e v="#N/A"/>
    <m/>
    <n v="0"/>
    <m/>
    <m/>
    <s v="Americas"/>
    <s v="Haiti"/>
    <x v="16"/>
    <s v="Hydrometeorological"/>
    <s v="Preliminary emergency appeal"/>
    <d v="2008-09-05T00:00:00"/>
    <s v="Q1"/>
    <x v="1"/>
    <n v="2008"/>
  </r>
  <r>
    <m/>
    <e v="#N/A"/>
    <m/>
    <n v="0"/>
    <m/>
    <m/>
    <s v="Americas"/>
    <s v="Cuba"/>
    <x v="17"/>
    <s v="Hydrometeorological"/>
    <s v="Preliminary Appeal"/>
    <d v="2008-09-08T00:00:00"/>
    <s v="Q1"/>
    <x v="1"/>
    <n v="2008"/>
  </r>
  <r>
    <m/>
    <e v="#N/A"/>
    <m/>
    <n v="0"/>
    <m/>
    <m/>
    <s v="Americas"/>
    <s v="Caribbean"/>
    <x v="18"/>
    <s v="Hydrometeorological"/>
    <s v="Preliminary emergency appeal"/>
    <d v="2008-09-09T00:00:00"/>
    <s v="Q1"/>
    <x v="1"/>
    <n v="2008"/>
  </r>
  <r>
    <m/>
    <e v="#N/A"/>
    <m/>
    <n v="0"/>
    <m/>
    <m/>
    <s v="Africa"/>
    <s v="Central Africa"/>
    <x v="19"/>
    <s v="Hydrometeorological"/>
    <s v="Emergency appeal"/>
    <d v="2008-09-29T00:00:00"/>
    <s v="Q1"/>
    <x v="1"/>
    <n v="2008"/>
  </r>
  <r>
    <m/>
    <e v="#N/A"/>
    <m/>
    <n v="0"/>
    <m/>
    <m/>
    <s v="Middle East/North Africa"/>
    <s v="Algeria"/>
    <x v="20"/>
    <s v="Hydrometeorological"/>
    <s v="Emergency Appeal (Appeal no.MDRDZ001)"/>
    <d v="2008-10-17T00:00:00"/>
    <s v="Q2"/>
    <x v="1"/>
    <n v="2008"/>
  </r>
  <r>
    <m/>
    <e v="#N/A"/>
    <m/>
    <n v="0"/>
    <m/>
    <m/>
    <s v="Asia Pacific"/>
    <s v="Nepal"/>
    <x v="21"/>
    <s v="Hydrometeorological"/>
    <s v="Emergency appeal"/>
    <d v="2008-10-20T00:00:00"/>
    <s v="Q2"/>
    <x v="1"/>
    <n v="2008"/>
  </r>
  <r>
    <m/>
    <e v="#N/A"/>
    <m/>
    <n v="0"/>
    <m/>
    <m/>
    <s v="Americas"/>
    <s v="Central America"/>
    <x v="22"/>
    <s v="Hydrometeorological"/>
    <s v="Preliminary emergency appeal"/>
    <d v="2008-10-24T00:00:00"/>
    <s v="Q2"/>
    <x v="1"/>
    <n v="2008"/>
  </r>
  <r>
    <m/>
    <e v="#N/A"/>
    <m/>
    <n v="0"/>
    <m/>
    <m/>
    <s v="Middle East/North Africa"/>
    <s v="Morocco"/>
    <x v="23"/>
    <s v="Hydrometeorological"/>
    <s v="Emergency Appeal (Appeal no.MDRMA001)"/>
    <d v="2008-11-07T00:00:00"/>
    <s v="Q2"/>
    <x v="1"/>
    <n v="2008"/>
  </r>
  <r>
    <m/>
    <e v="#N/A"/>
    <m/>
    <n v="0"/>
    <m/>
    <m/>
    <s v="Middle East/North Africa"/>
    <s v="Yemen"/>
    <x v="24"/>
    <s v="Hydrometeorological"/>
    <s v="Preliminary Emergency Appeal (no.MDRYE002)"/>
    <d v="2008-11-10T00:00:00"/>
    <s v="Q2"/>
    <x v="1"/>
    <n v="2008"/>
  </r>
  <r>
    <m/>
    <e v="#N/A"/>
    <m/>
    <n v="0"/>
    <m/>
    <m/>
    <s v="Africa"/>
    <s v="Nigeria"/>
    <x v="25"/>
    <s v="Human Related"/>
    <s v="Emergency appeal"/>
    <d v="2008-11-11T00:00:00"/>
    <s v="Q2"/>
    <x v="1"/>
    <n v="2008"/>
  </r>
  <r>
    <m/>
    <e v="#N/A"/>
    <m/>
    <n v="0"/>
    <m/>
    <m/>
    <s v="Asia Pacific"/>
    <s v="Vietnam"/>
    <x v="26"/>
    <s v="Hydrometeorological"/>
    <s v="Emergency appeal"/>
    <d v="2008-11-11T00:00:00"/>
    <s v="Q2"/>
    <x v="1"/>
    <n v="2008"/>
  </r>
  <r>
    <m/>
    <e v="#N/A"/>
    <m/>
    <n v="0"/>
    <m/>
    <m/>
    <s v="Asia Pacific"/>
    <s v="Pakistan"/>
    <x v="27"/>
    <s v="Geophysical"/>
    <s v="Emergency appeal"/>
    <d v="2008-11-19T00:00:00"/>
    <s v="Q2"/>
    <x v="1"/>
    <n v="2008"/>
  </r>
  <r>
    <m/>
    <e v="#N/A"/>
    <m/>
    <n v="0"/>
    <m/>
    <m/>
    <s v="Africa"/>
    <s v="Kenya"/>
    <x v="28"/>
    <s v="Hydrometeorological"/>
    <s v="Preliminary emergency appeal"/>
    <d v="2008-11-25T00:00:00"/>
    <s v="Q2"/>
    <x v="1"/>
    <n v="2008"/>
  </r>
  <r>
    <m/>
    <e v="#N/A"/>
    <m/>
    <n v="0"/>
    <m/>
    <m/>
    <s v="Americas"/>
    <s v="Costa Rica, Panama"/>
    <x v="29"/>
    <s v="Hydrometeorological"/>
    <s v="Preliminary emergency appeal"/>
    <d v="2008-12-01T00:00:00"/>
    <s v="Q2"/>
    <x v="1"/>
    <n v="2008"/>
  </r>
  <r>
    <m/>
    <e v="#N/A"/>
    <m/>
    <n v="0"/>
    <m/>
    <m/>
    <s v="Africa"/>
    <s v="East Africa"/>
    <x v="30"/>
    <s v="Human Related"/>
    <s v="Emergency appeal"/>
    <d v="2008-12-11T00:00:00"/>
    <s v="Q2"/>
    <x v="1"/>
    <n v="2008"/>
  </r>
  <r>
    <m/>
    <e v="#N/A"/>
    <m/>
    <n v="0"/>
    <m/>
    <m/>
    <s v="Africa"/>
    <s v="Zimbabwe"/>
    <x v="31"/>
    <s v="Biological"/>
    <s v="Emergency appeal"/>
    <d v="2008-12-23T00:00:00"/>
    <s v="Q2"/>
    <x v="1"/>
    <n v="2008"/>
  </r>
  <r>
    <s v="MDRCO006"/>
    <e v="#N/A"/>
    <m/>
    <n v="0"/>
    <m/>
    <m/>
    <s v="Americas"/>
    <s v="Colombia"/>
    <x v="32"/>
    <s v="Hydrometeorological"/>
    <s v="Emergency appeal"/>
    <d v="2009-02-23T00:00:00"/>
    <s v="Q3"/>
    <x v="1"/>
    <n v="2009"/>
  </r>
  <r>
    <m/>
    <e v="#N/A"/>
    <m/>
    <n v="0"/>
    <m/>
    <m/>
    <s v="Africa"/>
    <s v="Namibia"/>
    <x v="33"/>
    <s v="Hydrometeorological"/>
    <s v="Emergency appeal"/>
    <d v="2009-03-25T00:00:00"/>
    <s v="Q3"/>
    <x v="1"/>
    <n v="2009"/>
  </r>
  <r>
    <m/>
    <e v="#N/A"/>
    <m/>
    <n v="0"/>
    <m/>
    <m/>
    <s v="Africa"/>
    <s v="Africa"/>
    <x v="34"/>
    <s v="Biological"/>
    <s v="Emergency appeal"/>
    <d v="2009-04-07T00:00:00"/>
    <s v="Q4"/>
    <x v="1"/>
    <n v="2009"/>
  </r>
  <r>
    <s v="MDR00002 "/>
    <e v="#N/A"/>
    <m/>
    <n v="0"/>
    <m/>
    <m/>
    <s v="Global"/>
    <s v="Global"/>
    <x v="35"/>
    <s v="Biological"/>
    <s v="Emergency appeal"/>
    <d v="2009-04-28T00:00:00"/>
    <s v="Q4"/>
    <x v="1"/>
    <n v="2009"/>
  </r>
  <r>
    <m/>
    <e v="#N/A"/>
    <m/>
    <n v="0"/>
    <m/>
    <m/>
    <s v="Africa"/>
    <s v="Tanzania"/>
    <x v="36"/>
    <s v="Technical"/>
    <s v="Emergency appeal"/>
    <d v="2009-05-21T00:00:00"/>
    <s v="Q4"/>
    <x v="1"/>
    <n v="2009"/>
  </r>
  <r>
    <m/>
    <e v="#N/A"/>
    <m/>
    <n v="0"/>
    <m/>
    <m/>
    <s v="Europe/Central Asia"/>
    <s v="Tajikistan"/>
    <x v="37"/>
    <s v="Hydrometeorological"/>
    <s v="Emergency appeal"/>
    <d v="2009-05-22T00:00:00"/>
    <s v="Q4"/>
    <x v="1"/>
    <n v="2009"/>
  </r>
  <r>
    <m/>
    <e v="#N/A"/>
    <m/>
    <n v="0"/>
    <m/>
    <m/>
    <s v="Asia Pacific"/>
    <s v="Pakistan"/>
    <x v="38"/>
    <s v="Human Related"/>
    <s v="Emergency appeal"/>
    <d v="2009-06-04T00:00:00"/>
    <s v="Q4"/>
    <x v="1"/>
    <n v="2009"/>
  </r>
  <r>
    <m/>
    <e v="#N/A"/>
    <m/>
    <n v="0"/>
    <m/>
    <m/>
    <s v="Asia Pacific"/>
    <s v="Bangladesh"/>
    <x v="39"/>
    <s v="Hydrometeorological"/>
    <s v="Emergency appeal"/>
    <d v="2009-06-24T00:00:00"/>
    <s v="Q4"/>
    <x v="1"/>
    <n v="2009"/>
  </r>
  <r>
    <s v="MDRCF006"/>
    <e v="#N/A"/>
    <n v="805260"/>
    <n v="880366.60019999999"/>
    <n v="0.22"/>
    <n v="193680.65204399999"/>
    <s v="Africa"/>
    <s v="Central African Republic"/>
    <x v="40"/>
    <s v="Hydrometeorological"/>
    <s v="Emergency appeal"/>
    <d v="2009-08-06T00:00:00"/>
    <s v="Q1"/>
    <x v="2"/>
    <n v="2009"/>
  </r>
  <r>
    <s v="MDR61005"/>
    <e v="#N/A"/>
    <n v="918563"/>
    <n v="1004237.37101"/>
    <n v="1"/>
    <n v="1004237.37101"/>
    <s v="Africa"/>
    <s v="West Africa"/>
    <x v="41"/>
    <s v="Human Related"/>
    <s v="Emergency appeal"/>
    <d v="2009-08-06T00:00:00"/>
    <s v="Q1"/>
    <x v="2"/>
    <n v="2009"/>
  </r>
  <r>
    <s v="MDRSY001"/>
    <e v="#N/A"/>
    <n v="3255615"/>
    <n v="3559266.21105"/>
    <n v="0.49"/>
    <n v="1744040.4434145"/>
    <s v="Middle East/North Africa"/>
    <s v="Syria"/>
    <x v="42"/>
    <s v="Hydrometeorological"/>
    <s v="Emergency Appeal (no.MDRSY001)"/>
    <d v="2009-08-26T00:00:00"/>
    <s v="Q1"/>
    <x v="2"/>
    <n v="2009"/>
  </r>
  <r>
    <s v="MDRSD007"/>
    <e v="#N/A"/>
    <n v="1950241"/>
    <n v="2132139.9780699997"/>
    <n v="0.12"/>
    <n v="255856.79736839994"/>
    <s v="Africa"/>
    <s v="Sudan "/>
    <x v="43"/>
    <s v="Hydrometeorological"/>
    <s v="Emergency appeal"/>
    <d v="2009-09-02T00:00:00"/>
    <s v="Q1"/>
    <x v="2"/>
    <n v="2009"/>
  </r>
  <r>
    <s v="MDRBF008"/>
    <e v="#N/A"/>
    <n v="3500000"/>
    <n v="3826445"/>
    <n v="0.75"/>
    <n v="2869833.75"/>
    <s v="Africa"/>
    <s v="Burkina Faso"/>
    <x v="44"/>
    <s v="Hydrometeorological"/>
    <s v="Emergency appeal"/>
    <d v="2009-09-09T00:00:00"/>
    <s v="Q1"/>
    <x v="2"/>
    <n v="2009"/>
  </r>
  <r>
    <s v="MDRSN002"/>
    <e v="#N/A"/>
    <n v="2100000"/>
    <n v="2295867"/>
    <n v="0.49"/>
    <n v="1124974.83"/>
    <s v="Africa"/>
    <s v="Senegal"/>
    <x v="45"/>
    <s v="Hydrometeorological"/>
    <s v="Emergency appeal"/>
    <d v="2009-09-09T00:00:00"/>
    <s v="Q1"/>
    <x v="2"/>
    <n v="2009"/>
  </r>
  <r>
    <s v="MDRKE009"/>
    <e v="#N/A"/>
    <n v="2056046"/>
    <n v="2247813.4104200001"/>
    <n v="1"/>
    <n v="2247813.4104200001"/>
    <s v="Africa"/>
    <s v="Kenya"/>
    <x v="46"/>
    <s v="Hydrometeorological"/>
    <s v="Emergency appeal"/>
    <d v="2009-09-17T00:00:00"/>
    <s v="Q1"/>
    <x v="2"/>
    <n v="2009"/>
  </r>
  <r>
    <s v="MDRPH005 "/>
    <e v="#N/A"/>
    <n v="12724570"/>
    <n v="13911390.6439"/>
    <n v="0.87"/>
    <n v="12102909.860192999"/>
    <s v="Asia Pacific"/>
    <s v="Philippines"/>
    <x v="47"/>
    <s v="Hydrometeorological"/>
    <s v="Emergency appeal"/>
    <d v="2009-09-28T00:00:00"/>
    <s v="Q1"/>
    <x v="2"/>
    <n v="2009"/>
  </r>
  <r>
    <s v="MDRVN006 "/>
    <n v="2032221"/>
    <n v="4464332"/>
    <n v="4880720.2456399994"/>
    <n v="1.01"/>
    <n v="4929527.4480963992"/>
    <s v="Asia Pacific"/>
    <s v="Vietnam"/>
    <x v="48"/>
    <s v="Hydrometeorological"/>
    <s v="Emergency appeal"/>
    <d v="2009-09-29T00:00:00"/>
    <s v="Q1"/>
    <x v="2"/>
    <n v="2009"/>
  </r>
  <r>
    <s v="MDRWS001 "/>
    <n v="2032221"/>
    <n v="2506427"/>
    <n v="2740201.4462899999"/>
    <n v="1.01"/>
    <n v="2767603.4607528998"/>
    <s v="Asia Pacific"/>
    <s v="Samoa"/>
    <x v="49"/>
    <s v="Hydrometeorological"/>
    <s v="Emergency appeal"/>
    <d v="2009-09-30T00:00:00"/>
    <s v="Q1"/>
    <x v="2"/>
    <n v="2009"/>
  </r>
  <r>
    <s v="MDRID004 "/>
    <e v="#N/A"/>
    <n v="14219542"/>
    <n v="15545798.68234"/>
    <n v="1.03"/>
    <n v="16012172.642810199"/>
    <s v="Asia Pacific"/>
    <s v="Indonesia"/>
    <x v="50"/>
    <s v="Geophysical"/>
    <s v="Emergency appeal"/>
    <d v="2009-10-01T00:00:00"/>
    <s v="Q2"/>
    <x v="2"/>
    <n v="2009"/>
  </r>
  <r>
    <s v="MDR64006 "/>
    <e v="#N/A"/>
    <n v="1124682"/>
    <n v="1229581.09014"/>
    <n v="0.18"/>
    <n v="221324.59622519999"/>
    <s v="Africa"/>
    <s v="East Africa"/>
    <x v="51"/>
    <s v="Hydrometeorological"/>
    <s v="Emergency appeal"/>
    <d v="2009-10-13T00:00:00"/>
    <s v="Q2"/>
    <x v="2"/>
    <n v="2009"/>
  </r>
  <r>
    <s v="MDRSV002 "/>
    <e v="#N/A"/>
    <n v="1680178"/>
    <n v="1836888.20206"/>
    <n v="0.92"/>
    <n v="1689937.1458952001"/>
    <s v="Americas"/>
    <s v="El Salvador"/>
    <x v="52"/>
    <s v="Hydrometeorological"/>
    <s v="Emergency appeal"/>
    <d v="2009-11-09T00:00:00"/>
    <s v="Q2"/>
    <x v="2"/>
    <n v="2009"/>
  </r>
  <r>
    <s v="MDRSY002 "/>
    <e v="#N/A"/>
    <n v="4649445"/>
    <n v="5083098.7351500001"/>
    <n v="0.95"/>
    <n v="4828943.7983924998"/>
    <s v="Middle East and North Africa "/>
    <s v="Syria"/>
    <x v="53"/>
    <s v="Human Related"/>
    <s v="Emergency appeal"/>
    <d v="2010-01-01T00:00:00"/>
    <s v="Q3"/>
    <x v="2"/>
    <n v="2010"/>
  </r>
  <r>
    <s v="MDRHT008 "/>
    <e v="#N/A"/>
    <n v="247279612"/>
    <n v="270343381.41123998"/>
    <n v="0.94"/>
    <n v="254122778.52656558"/>
    <s v="Americas"/>
    <s v="Haiti "/>
    <x v="54"/>
    <s v="Geophysical"/>
    <s v="Emergency appeal"/>
    <d v="2010-01-13T00:00:00"/>
    <s v="Q3"/>
    <x v="2"/>
    <n v="2010"/>
  </r>
  <r>
    <s v="MDRTZ010 "/>
    <n v="2032221"/>
    <n v="923594"/>
    <n v="1009737.6123799999"/>
    <n v="0.9"/>
    <n v="908763.85114199994"/>
    <s v="Africa"/>
    <s v="Tanzania"/>
    <x v="55"/>
    <s v="Hydrometeorological"/>
    <s v="Emergency appeal"/>
    <d v="2010-01-20T00:00:00"/>
    <s v="Q3"/>
    <x v="2"/>
    <n v="2010"/>
  </r>
  <r>
    <s v="MDRET007 "/>
    <e v="#N/A"/>
    <n v="30579088"/>
    <n v="33431199.537760001"/>
    <n v="0.17"/>
    <n v="5683303.9214192005"/>
    <s v="Africa"/>
    <s v="Ethiopia "/>
    <x v="56"/>
    <s v="Hydrometeorological"/>
    <s v="Emergency appeal"/>
    <d v="2010-02-05T00:00:00"/>
    <s v="Q3"/>
    <x v="2"/>
    <n v="2010"/>
  </r>
  <r>
    <s v="MDRCL006 "/>
    <e v="#N/A"/>
    <n v="16075870"/>
    <n v="17575266.394899998"/>
    <n v="0.93"/>
    <n v="16344997.747256998"/>
    <s v="Americas"/>
    <s v="Chile - Earthquake "/>
    <x v="57"/>
    <s v="Geophysical"/>
    <s v="Emergency appeal"/>
    <d v="2010-03-02T00:00:00"/>
    <s v="Q3"/>
    <x v="2"/>
    <n v="2010"/>
  </r>
  <r>
    <s v="MDRNE005 "/>
    <e v="#N/A"/>
    <n v="3670686"/>
    <n v="4013050.8832199997"/>
    <n v="0.54"/>
    <n v="2167047.4769388"/>
    <s v="Africa"/>
    <s v="Niger "/>
    <x v="58"/>
    <s v="Human Related"/>
    <s v="Emergency appeal"/>
    <d v="2010-03-18T00:00:00"/>
    <s v="Q3"/>
    <x v="2"/>
    <n v="2010"/>
  </r>
  <r>
    <s v="MDRMN004 "/>
    <e v="#N/A"/>
    <n v="1312670"/>
    <n v="1435102.7308999998"/>
    <n v="1"/>
    <n v="1435102.7308999998"/>
    <s v="Asia Pacific"/>
    <s v="Mongolia "/>
    <x v="59"/>
    <s v="Hydrometeorological"/>
    <s v="Emergency appeal"/>
    <d v="2010-03-29T00:00:00"/>
    <s v="Q3"/>
    <x v="2"/>
    <n v="2010"/>
  </r>
  <r>
    <s v="MDRLK002 "/>
    <e v="#N/A"/>
    <n v="6170000"/>
    <n v="6745475.8999999994"/>
    <n v="0.98"/>
    <n v="6610566.3819999993"/>
    <s v="Asia Pacific"/>
    <s v="Sri Lanka"/>
    <x v="60"/>
    <s v="Human Related"/>
    <s v="Emergency appeal"/>
    <d v="2010-04-12T00:00:00"/>
    <s v="Q4"/>
    <x v="2"/>
    <n v="2010"/>
  </r>
  <r>
    <s v="MDRTD004 "/>
    <e v="#N/A"/>
    <n v="1252369"/>
    <n v="1369177.4566299999"/>
    <n v="0.84"/>
    <n v="1150109.0635692"/>
    <s v="Africa"/>
    <s v="Chad "/>
    <x v="61"/>
    <s v="Human Related"/>
    <s v="Emergency appeal"/>
    <d v="2010-04-26T00:00:00"/>
    <s v="Q4"/>
    <x v="2"/>
    <n v="2010"/>
  </r>
  <r>
    <s v="MDRNP004 "/>
    <e v="#N/A"/>
    <n v="738960"/>
    <n v="807882.79920000001"/>
    <n v="0.59"/>
    <n v="476650.85152799997"/>
    <s v="Asia Pacific"/>
    <s v="Nepal "/>
    <x v="62"/>
    <s v="Biological"/>
    <s v="Emergency appeal"/>
    <d v="2010-05-13T00:00:00"/>
    <s v="Q4"/>
    <x v="2"/>
    <n v="2010"/>
  </r>
  <r>
    <s v="MDRKE012 "/>
    <e v="#N/A"/>
    <n v="8757898"/>
    <n v="9574747.1464600004"/>
    <n v="0.27"/>
    <n v="2585181.7295442005"/>
    <s v="Africa"/>
    <s v="Kenya "/>
    <x v="63"/>
    <s v="Hydrometeorological"/>
    <s v="Emergency appeal"/>
    <d v="2010-05-14T00:00:00"/>
    <s v="Q4"/>
    <x v="2"/>
    <n v="2010"/>
  </r>
  <r>
    <s v="MDRGT002 "/>
    <e v="#N/A"/>
    <n v="1286382"/>
    <n v="1406362.8491400001"/>
    <n v="1.03"/>
    <n v="1448553.7346142002"/>
    <s v="Americas"/>
    <s v="Guatemala "/>
    <x v="64"/>
    <s v="Hydrometeorological"/>
    <s v="Emergency appeal"/>
    <d v="2010-06-01T00:00:00"/>
    <s v="Q4"/>
    <x v="2"/>
    <n v="2010"/>
  </r>
  <r>
    <s v="MDRUZ002 "/>
    <n v="2032221"/>
    <n v="1166159"/>
    <n v="1274926.6499300001"/>
    <n v="0.96"/>
    <n v="1223929.5839328"/>
    <s v="Europe/Central Asia"/>
    <s v="Uzbekistan "/>
    <x v="65"/>
    <s v="Human Related"/>
    <s v="Emergency appeal"/>
    <d v="2010-06-15T00:00:00"/>
    <s v="Q4"/>
    <x v="2"/>
    <n v="2010"/>
  </r>
  <r>
    <s v="MDRKG007 "/>
    <e v="#N/A"/>
    <n v="965069"/>
    <n v="1055080.98563"/>
    <n v="0.46"/>
    <n v="485337.25338980003"/>
    <s v="Europe/Central Asia"/>
    <s v="Kyrgyzstan "/>
    <x v="66"/>
    <s v="Human Related"/>
    <s v="Emergency appeal"/>
    <d v="2010-07-15T00:00:00"/>
    <s v="Q1"/>
    <x v="3"/>
    <n v="2010"/>
  </r>
  <r>
    <s v="MDRPK006  "/>
    <e v="#N/A"/>
    <n v="130673677"/>
    <n v="142861610.85378999"/>
    <n v="0.71"/>
    <n v="101431743.70619088"/>
    <s v="Asia Pacific"/>
    <s v="Pakistan"/>
    <x v="67"/>
    <s v="Hydrometeorological"/>
    <s v="Emergency appeal"/>
    <d v="2010-08-02T00:00:00"/>
    <s v="Q1"/>
    <x v="3"/>
    <n v="2010"/>
  </r>
  <r>
    <s v="MDRTD005 "/>
    <e v="#N/A"/>
    <n v="1283953"/>
    <n v="1403707.2963099999"/>
    <n v="0.27"/>
    <n v="379000.9700037"/>
    <s v="Africa"/>
    <s v="Chad"/>
    <x v="68"/>
    <s v="Hydrometeorological"/>
    <s v="Emergency appeal"/>
    <d v="2010-10-08T00:00:00"/>
    <s v="Q2"/>
    <x v="3"/>
    <n v="2010"/>
  </r>
  <r>
    <s v="MDRBF010 "/>
    <e v="#N/A"/>
    <n v="2803535"/>
    <n v="3065020.70945"/>
    <n v="0.2"/>
    <n v="613004.14188999997"/>
    <s v="Africa"/>
    <s v="Burkina Faso"/>
    <x v="69"/>
    <s v="Hydrometeorological"/>
    <s v="Emergency appeal"/>
    <d v="2010-10-11T00:00:00"/>
    <s v="Q2"/>
    <x v="3"/>
    <n v="2010"/>
  </r>
  <r>
    <s v="MDRVN007 "/>
    <n v="2032221"/>
    <n v="1070620"/>
    <n v="1170476.7274"/>
    <n v="0.99"/>
    <n v="1158771.960126"/>
    <s v="Asia Pacific"/>
    <s v="Vietnam"/>
    <x v="70"/>
    <s v="Hydrometeorological"/>
    <s v="Emergency appeal"/>
    <d v="2010-10-18T00:00:00"/>
    <s v="Q2"/>
    <x v="3"/>
    <n v="2010"/>
  </r>
  <r>
    <s v="MDRSD009 "/>
    <e v="#N/A"/>
    <n v="2318437"/>
    <n v="2534677.6189899999"/>
    <n v="0.24"/>
    <n v="608322.62855759996"/>
    <s v="Africa"/>
    <s v="Sudan"/>
    <x v="71"/>
    <s v="Hydrometeorological"/>
    <s v="Emergency appeal"/>
    <d v="2010-10-25T00:00:00"/>
    <s v="Q2"/>
    <x v="3"/>
    <n v="2010"/>
  </r>
  <r>
    <s v="MDRPH006 "/>
    <e v="#N/A"/>
    <n v="4183640"/>
    <n v="4573848.1027999995"/>
    <n v="0.67"/>
    <n v="3064478.2288759998"/>
    <s v="Asia Pacific"/>
    <s v="Philippines"/>
    <x v="72"/>
    <s v="Hydrometeorological"/>
    <s v="Emergency appeal"/>
    <d v="2010-10-26T00:00:00"/>
    <s v="Q2"/>
    <x v="3"/>
    <n v="2010"/>
  </r>
  <r>
    <s v="MDR49006 "/>
    <e v="#N/A"/>
    <n v="1045054"/>
    <n v="1142526.18658"/>
    <n v="0.66"/>
    <n v="754067.28314279998"/>
    <s v="Americas"/>
    <s v="Caribbean "/>
    <x v="73"/>
    <s v="Hydrometeorological"/>
    <s v="Emergency appeal"/>
    <d v="2010-11-02T00:00:00"/>
    <s v="Q2"/>
    <x v="3"/>
    <n v="2010"/>
  </r>
  <r>
    <s v="MDR49007 "/>
    <e v="#N/A"/>
    <n v="11486804"/>
    <n v="12558178.209079999"/>
    <n v="0.81"/>
    <n v="10172124.3493548"/>
    <s v="Americas"/>
    <s v="Haiti &amp; Dominican Republic"/>
    <x v="74"/>
    <s v="Epidemic"/>
    <s v="Emergency appeal"/>
    <d v="2010-11-03T00:00:00"/>
    <s v="Q2"/>
    <x v="3"/>
    <n v="2010"/>
  </r>
  <r>
    <s v="MDRID006 "/>
    <e v="#N/A"/>
    <n v="5038981"/>
    <n v="5508966.7578699999"/>
    <n v="0.61"/>
    <n v="3360469.7223006999"/>
    <s v="Asia Pacific"/>
    <s v="Indonesia"/>
    <x v="75"/>
    <s v="Geophysical"/>
    <s v="Emergency appeal"/>
    <d v="2010-11-03T00:00:00"/>
    <s v="Q2"/>
    <x v="3"/>
    <n v="2010"/>
  </r>
  <r>
    <s v="MDRCG006"/>
    <e v="#N/A"/>
    <n v="1505011"/>
    <n v="1645383.3759699999"/>
    <n v="0.28000000000000003"/>
    <n v="460707.3452716"/>
    <s v="Africa"/>
    <s v="Congo"/>
    <x v="76"/>
    <s v="Epidemic"/>
    <s v="Emergency appeal"/>
    <d v="2010-11-15T00:00:00"/>
    <s v="Q2"/>
    <x v="3"/>
    <n v="2010"/>
  </r>
  <r>
    <s v="MDRSD010 "/>
    <e v="#N/A"/>
    <n v="3030275"/>
    <n v="3312908.7492499999"/>
    <n v="0.51"/>
    <n v="1689583.4621174999"/>
    <s v="Africa"/>
    <s v="Sudan"/>
    <x v="77"/>
    <s v="Human Related"/>
    <s v="Emergency appeal"/>
    <d v="2010-11-15T00:00:00"/>
    <s v="Q2"/>
    <x v="3"/>
    <n v="2010"/>
  </r>
  <r>
    <s v="MDRRS004   "/>
    <e v="#N/A"/>
    <n v="409759"/>
    <n v="447977.22193"/>
    <n v="0.44"/>
    <n v="197109.97764920001"/>
    <s v="Europe/Central Asia"/>
    <s v="Serbia"/>
    <x v="78"/>
    <s v="Geophysical"/>
    <s v="Emergency appeal"/>
    <d v="2010-11-19T00:00:00"/>
    <s v="Q2"/>
    <x v="3"/>
    <n v="2010"/>
  </r>
  <r>
    <s v="MDRCO008 "/>
    <e v="#N/A"/>
    <n v="1320879"/>
    <n v="1444077.38433"/>
    <n v="0.86"/>
    <n v="1241906.5505238001"/>
    <s v="Americas"/>
    <s v="Colombia "/>
    <x v="32"/>
    <s v="Hydrometeorological"/>
    <s v="Emergency appeal"/>
    <d v="2010-12-08T00:00:00"/>
    <s v="Q2"/>
    <x v="3"/>
    <n v="2010"/>
  </r>
  <r>
    <s v="MDRPA007 "/>
    <e v="#N/A"/>
    <n v="701023"/>
    <n v="766407.41521000001"/>
    <n v="0.47"/>
    <n v="360211.48514869995"/>
    <s v="Americas"/>
    <s v="Panama"/>
    <x v="79"/>
    <s v="Hydrometeorological"/>
    <s v="Emergency appeal"/>
    <d v="2010-12-14T00:00:00"/>
    <s v="Q2"/>
    <x v="3"/>
    <n v="2010"/>
  </r>
  <r>
    <s v="MDRVE001   "/>
    <n v="2032221"/>
    <n v="575146"/>
    <n v="628789.86742000002"/>
    <n v="1"/>
    <n v="628789.86742000002"/>
    <s v="Americas"/>
    <s v="Venezuela"/>
    <x v="80"/>
    <s v="Hydrometeorological"/>
    <s v="Emergency appeal"/>
    <d v="2010-12-21T00:00:00"/>
    <s v="Q2"/>
    <x v="3"/>
    <n v="2010"/>
  </r>
  <r>
    <s v="MDR61007"/>
    <e v="#N/A"/>
    <n v="4872842"/>
    <n v="5327331.97334"/>
    <n v="0.89"/>
    <n v="4741325.4562726002"/>
    <s v="Africa"/>
    <s v="West Africa"/>
    <x v="81"/>
    <s v="Human Related"/>
    <s v="Emergency appeal"/>
    <d v="2010-12-22T00:00:00"/>
    <s v="Q2"/>
    <x v="3"/>
    <n v="2010"/>
  </r>
  <r>
    <s v="MDRLK003"/>
    <e v="#N/A"/>
    <n v="4620000"/>
    <n v="5050907.3999999994"/>
    <n v="0.51"/>
    <n v="2575962.7739999997"/>
    <s v="Asia Pacific"/>
    <s v="Sri Lanka"/>
    <x v="82"/>
    <s v="Hydrometeorological"/>
    <s v="Preliminary emergency appeal"/>
    <d v="2011-01-14T00:00:00"/>
    <s v="Q3"/>
    <x v="3"/>
    <n v="2011"/>
  </r>
  <r>
    <s v="MDRBO006"/>
    <e v="#N/A"/>
    <n v="518725"/>
    <n v="567106.48074999999"/>
    <n v="0.88"/>
    <n v="499053.70305999997"/>
    <s v="Americas"/>
    <s v="Bolivia"/>
    <x v="83"/>
    <s v="Hydrometeorological"/>
    <s v="Emergency appeal"/>
    <d v="2011-03-08T00:00:00"/>
    <s v="Q3"/>
    <x v="3"/>
    <n v="2011"/>
  </r>
  <r>
    <s v="MDRKE014"/>
    <e v="#N/A"/>
    <n v="3586266"/>
    <n v="3920757.0298199998"/>
    <n v="0.08"/>
    <n v="313660.5623856"/>
    <s v="Africa"/>
    <s v="Kenya"/>
    <x v="84"/>
    <s v="Human Related"/>
    <s v="Emergency appeal"/>
    <d v="2011-03-09T00:00:00"/>
    <s v="Q3"/>
    <x v="3"/>
    <n v="2011"/>
  </r>
  <r>
    <s v="MDRKE016"/>
    <e v="#N/A"/>
    <n v="30438354"/>
    <n v="33277339.27758"/>
    <n v="0.33"/>
    <n v="10981521.961601401"/>
    <s v="Africa"/>
    <s v="Kenya"/>
    <x v="85"/>
    <s v="Hydrometeorological"/>
    <s v="Emergency appeal"/>
    <d v="2011-03-23T00:00:00"/>
    <s v="Q3"/>
    <x v="3"/>
    <n v="2011"/>
  </r>
  <r>
    <s v="MDRCM011"/>
    <e v="#N/A"/>
    <n v="1361331"/>
    <n v="1488302.34237"/>
    <n v="0.21"/>
    <n v="312543.49189770001"/>
    <s v="Africa"/>
    <s v="Cameroon"/>
    <x v="86"/>
    <s v="Epidemic"/>
    <s v="Emergency appeal"/>
    <d v="2011-04-04T00:00:00"/>
    <s v="Q4"/>
    <x v="3"/>
    <n v="2011"/>
  </r>
  <r>
    <s v="MDRNA006"/>
    <e v="#N/A"/>
    <n v="1811530"/>
    <n v="1980491.4031"/>
    <n v="0.38"/>
    <n v="752586.73317799997"/>
    <s v="Africa"/>
    <s v="Namibia"/>
    <x v="87"/>
    <s v="Hydrometeorological"/>
    <s v="Emergency appeal"/>
    <d v="2011-04-08T00:00:00"/>
    <s v="Q4"/>
    <x v="3"/>
    <n v="2011"/>
  </r>
  <r>
    <s v="MDRCI003"/>
    <e v="#N/A"/>
    <n v="6702008"/>
    <n v="7327104.2861599997"/>
    <n v="0.11"/>
    <n v="805981.47147759993"/>
    <s v="Africa"/>
    <s v="Cote d'Ivoire"/>
    <x v="88"/>
    <s v="Human Related"/>
    <s v="Emergency appeal"/>
    <d v="2011-06-17T00:00:00"/>
    <s v="Q4"/>
    <x v="3"/>
    <n v="2011"/>
  </r>
  <r>
    <s v="MDRSD011"/>
    <e v="#N/A"/>
    <m/>
    <n v="0"/>
    <m/>
    <n v="0"/>
    <s v="Africa"/>
    <s v="Sudan"/>
    <x v="89"/>
    <s v="Human Related"/>
    <s v="Emergency appeal"/>
    <d v="2011-07-01T00:00:00"/>
    <s v="Q1"/>
    <x v="4"/>
    <n v="2011"/>
  </r>
  <r>
    <s v="MDRKP003"/>
    <e v="#N/A"/>
    <m/>
    <n v="0"/>
    <m/>
    <n v="0"/>
    <s v="Asia Pacific"/>
    <s v="Korea, Democratic People's Republic of"/>
    <x v="90"/>
    <s v="Hydrometeorological"/>
    <s v="Emergency appeal"/>
    <d v="2011-08-22T00:00:00"/>
    <s v="Q1"/>
    <x v="4"/>
    <n v="2011"/>
  </r>
  <r>
    <s v="MDRBD009"/>
    <e v="#N/A"/>
    <m/>
    <n v="0"/>
    <m/>
    <n v="0"/>
    <s v="Asia Pacific"/>
    <s v="Bangladesh"/>
    <x v="91"/>
    <s v="Hydrometeorological"/>
    <s v="Emergency appeal"/>
    <d v="2011-08-26T00:00:00"/>
    <s v="Q1"/>
    <x v="4"/>
    <n v="2011"/>
  </r>
  <r>
    <s v="MDRPK007"/>
    <e v="#N/A"/>
    <m/>
    <n v="0"/>
    <m/>
    <n v="0"/>
    <s v="Asia Pacific"/>
    <s v="Pakistan"/>
    <x v="23"/>
    <s v="Hydrometeorological"/>
    <s v="Preliminary emergency appeal "/>
    <d v="2011-09-09T00:00:00"/>
    <s v="Q1"/>
    <x v="4"/>
    <n v="2011"/>
  </r>
  <r>
    <s v="MDRSO001"/>
    <e v="#N/A"/>
    <m/>
    <n v="0"/>
    <m/>
    <n v="0"/>
    <s v="Africa"/>
    <s v="Somalia"/>
    <x v="42"/>
    <s v="Hydrometeorological"/>
    <s v="Emergency appeal"/>
    <d v="2011-09-22T00:00:00"/>
    <s v="Q1"/>
    <x v="4"/>
    <n v="2011"/>
  </r>
  <r>
    <s v="MDRTZ012"/>
    <n v="2032221"/>
    <m/>
    <n v="0"/>
    <m/>
    <n v="0"/>
    <s v="Africa"/>
    <s v="Tanzania, United Republic of"/>
    <x v="92"/>
    <s v="Hydrometeorological"/>
    <s v="Emergency appeal"/>
    <d v="2011-09-28T00:00:00"/>
    <s v="Q1"/>
    <x v="4"/>
    <n v="2011"/>
  </r>
  <r>
    <s v="MDRGT003"/>
    <e v="#N/A"/>
    <m/>
    <n v="0"/>
    <m/>
    <n v="0"/>
    <s v="Americas"/>
    <s v="Guatemala"/>
    <x v="93"/>
    <s v="Hydrometeorological"/>
    <s v="Emergency appeal"/>
    <d v="2011-10-26T00:00:00"/>
    <s v="Q2"/>
    <x v="4"/>
    <n v="2011"/>
  </r>
  <r>
    <s v="MDRET011"/>
    <e v="#N/A"/>
    <m/>
    <n v="0"/>
    <m/>
    <n v="0"/>
    <s v="Africa"/>
    <s v="Ethiopia"/>
    <x v="94"/>
    <s v="Human Related"/>
    <s v="Emergency appeal"/>
    <d v="2011-10-28T00:00:00"/>
    <s v="Q2"/>
    <x v="4"/>
    <n v="2011"/>
  </r>
  <r>
    <s v="MDRSV004"/>
    <e v="#N/A"/>
    <m/>
    <n v="0"/>
    <m/>
    <n v="0"/>
    <s v="Americas"/>
    <s v="El Salvador"/>
    <x v="95"/>
    <s v="Hydrometeorological"/>
    <s v="Emergency appeal"/>
    <d v="2011-11-04T00:00:00"/>
    <s v="Q2"/>
    <x v="4"/>
    <n v="2011"/>
  </r>
  <r>
    <s v="MDRVN009"/>
    <n v="2032221"/>
    <m/>
    <n v="0"/>
    <m/>
    <n v="0"/>
    <s v="Asia Pacfic"/>
    <s v="Viet Nam"/>
    <x v="96"/>
    <s v="Hydrometeorological"/>
    <s v="Emergency appeal"/>
    <d v="2011-11-09T00:00:00"/>
    <s v="Q2"/>
    <x v="4"/>
    <n v="2011"/>
  </r>
  <r>
    <s v="MDRKE018"/>
    <e v="#N/A"/>
    <m/>
    <n v="0"/>
    <m/>
    <n v="0"/>
    <s v="Africa"/>
    <s v="Kenya"/>
    <x v="97"/>
    <s v="Human Related"/>
    <s v="Emergency appeal"/>
    <d v="2011-11-29T00:00:00"/>
    <s v="Q2"/>
    <x v="4"/>
    <n v="2011"/>
  </r>
  <r>
    <s v="MDRNE010"/>
    <e v="#N/A"/>
    <m/>
    <n v="0"/>
    <m/>
    <n v="0"/>
    <s v="Africa"/>
    <s v="Niger"/>
    <x v="98"/>
    <s v="Human Related"/>
    <s v="Emergency appeal"/>
    <d v="2012-01-30T00:00:00"/>
    <s v="Q3"/>
    <x v="4"/>
    <n v="2012"/>
  </r>
  <r>
    <s v="MDRTR002"/>
    <n v="2032221"/>
    <m/>
    <n v="0"/>
    <m/>
    <n v="0"/>
    <s v="Europe/Central Asia"/>
    <s v="Turkey"/>
    <x v="99"/>
    <s v="Geophysical"/>
    <s v="Revised Emergency Appeal "/>
    <d v="2011-11-16T00:00:00"/>
    <s v="Q2"/>
    <x v="4"/>
    <n v="2011"/>
  </r>
  <r>
    <s v="MDRPH008"/>
    <e v="#N/A"/>
    <m/>
    <n v="0"/>
    <m/>
    <n v="0"/>
    <s v="Asia Pacific"/>
    <s v="Philippines"/>
    <x v="100"/>
    <s v="Hydrometeorological"/>
    <s v="Revised Emergnecy Appeal"/>
    <d v="2012-01-23T00:00:00"/>
    <s v="Q3"/>
    <x v="4"/>
    <n v="2012"/>
  </r>
  <r>
    <s v="MDRTD008"/>
    <e v="#N/A"/>
    <m/>
    <n v="0"/>
    <m/>
    <n v="0"/>
    <s v="Africa"/>
    <s v="Chad"/>
    <x v="101"/>
    <s v="Epidemic"/>
    <s v="Revised Emergency Appeal"/>
    <d v="2011-11-23T00:00:00"/>
    <s v="Q2"/>
    <x v="4"/>
    <n v="2011"/>
  </r>
  <r>
    <s v="MDRET010"/>
    <e v="#N/A"/>
    <m/>
    <n v="0"/>
    <m/>
    <n v="0"/>
    <s v="Africa"/>
    <s v="Ethiopia"/>
    <x v="42"/>
    <s v="Hydrometeorological"/>
    <s v="Emergency Appeal (revised)"/>
    <d v="2011-09-26T00:00:00"/>
    <s v="Q1"/>
    <x v="4"/>
    <n v="2011"/>
  </r>
</pivotCacheRecords>
</file>

<file path=xl/pivotCache/pivotCacheRecords18.xml><?xml version="1.0" encoding="utf-8"?>
<pivotCacheRecords xmlns="http://schemas.openxmlformats.org/spreadsheetml/2006/main" xmlns:r="http://schemas.openxmlformats.org/officeDocument/2006/relationships" count="455">
  <r>
    <m/>
    <s v="a"/>
    <x v="0"/>
    <d v="1985-09-01T00:00:00"/>
    <x v="0"/>
    <m/>
    <m/>
    <n v="1985"/>
    <m/>
    <m/>
    <m/>
    <m/>
    <m/>
    <m/>
    <m/>
    <m/>
    <x v="0"/>
    <m/>
    <m/>
    <m/>
    <m/>
    <s v=""/>
    <m/>
    <m/>
    <m/>
    <m/>
    <m/>
    <m/>
    <m/>
    <x v="0"/>
    <m/>
    <m/>
    <m/>
    <m/>
    <m/>
    <m/>
    <m/>
    <m/>
    <m/>
    <m/>
    <m/>
    <m/>
    <m/>
    <m/>
    <m/>
    <m/>
    <m/>
    <m/>
    <m/>
    <m/>
    <m/>
    <m/>
    <m/>
    <m/>
    <m/>
    <m/>
    <m/>
    <m/>
    <m/>
    <n v="19700000"/>
    <x v="0"/>
    <m/>
    <m/>
    <m/>
    <m/>
    <m/>
    <m/>
    <m/>
    <m/>
    <m/>
    <m/>
    <m/>
    <m/>
    <m/>
    <m/>
    <m/>
    <m/>
    <m/>
    <m/>
  </r>
  <r>
    <m/>
    <s v="b"/>
    <x v="1"/>
    <d v="1988-12-01T00:00:00"/>
    <x v="1"/>
    <m/>
    <m/>
    <n v="1988"/>
    <m/>
    <m/>
    <m/>
    <m/>
    <m/>
    <m/>
    <m/>
    <m/>
    <x v="0"/>
    <m/>
    <m/>
    <m/>
    <m/>
    <s v=""/>
    <m/>
    <m/>
    <m/>
    <m/>
    <m/>
    <m/>
    <m/>
    <x v="0"/>
    <m/>
    <m/>
    <m/>
    <m/>
    <m/>
    <m/>
    <m/>
    <m/>
    <m/>
    <m/>
    <m/>
    <m/>
    <m/>
    <m/>
    <m/>
    <m/>
    <m/>
    <m/>
    <m/>
    <m/>
    <m/>
    <m/>
    <m/>
    <m/>
    <m/>
    <m/>
    <m/>
    <m/>
    <m/>
    <n v="14000000"/>
    <x v="0"/>
    <m/>
    <m/>
    <m/>
    <m/>
    <m/>
    <m/>
    <m/>
    <m/>
    <m/>
    <m/>
    <m/>
    <m/>
    <m/>
    <m/>
    <m/>
    <m/>
    <m/>
    <m/>
  </r>
  <r>
    <m/>
    <s v="c"/>
    <x v="2"/>
    <d v="1994-06-01T00:00:00"/>
    <x v="2"/>
    <m/>
    <m/>
    <n v="1994"/>
    <m/>
    <m/>
    <m/>
    <m/>
    <m/>
    <m/>
    <m/>
    <m/>
    <x v="0"/>
    <m/>
    <m/>
    <m/>
    <m/>
    <s v=""/>
    <m/>
    <m/>
    <m/>
    <m/>
    <m/>
    <m/>
    <m/>
    <x v="0"/>
    <m/>
    <m/>
    <m/>
    <m/>
    <m/>
    <m/>
    <m/>
    <m/>
    <m/>
    <m/>
    <m/>
    <m/>
    <m/>
    <m/>
    <m/>
    <m/>
    <m/>
    <m/>
    <m/>
    <m/>
    <m/>
    <m/>
    <m/>
    <m/>
    <m/>
    <m/>
    <m/>
    <m/>
    <m/>
    <n v="18000000"/>
    <x v="0"/>
    <m/>
    <m/>
    <m/>
    <m/>
    <m/>
    <m/>
    <m/>
    <m/>
    <m/>
    <m/>
    <m/>
    <m/>
    <m/>
    <m/>
    <m/>
    <m/>
    <m/>
    <m/>
  </r>
  <r>
    <m/>
    <s v="d"/>
    <x v="3"/>
    <d v="1998-10-01T00:00:00"/>
    <x v="3"/>
    <m/>
    <m/>
    <n v="1998"/>
    <m/>
    <m/>
    <m/>
    <m/>
    <m/>
    <m/>
    <m/>
    <n v="2998214"/>
    <x v="0"/>
    <m/>
    <m/>
    <m/>
    <m/>
    <s v=""/>
    <m/>
    <m/>
    <m/>
    <m/>
    <m/>
    <m/>
    <m/>
    <x v="0"/>
    <m/>
    <m/>
    <m/>
    <m/>
    <m/>
    <m/>
    <m/>
    <m/>
    <m/>
    <m/>
    <m/>
    <m/>
    <m/>
    <m/>
    <m/>
    <m/>
    <m/>
    <m/>
    <m/>
    <m/>
    <m/>
    <m/>
    <m/>
    <m/>
    <m/>
    <m/>
    <m/>
    <m/>
    <m/>
    <n v="50000000"/>
    <x v="0"/>
    <m/>
    <m/>
    <m/>
    <m/>
    <m/>
    <m/>
    <m/>
    <m/>
    <m/>
    <m/>
    <m/>
    <m/>
    <m/>
    <m/>
    <m/>
    <m/>
    <m/>
    <m/>
  </r>
  <r>
    <m/>
    <s v="e"/>
    <x v="4"/>
    <d v="1999-03-01T00:00:00"/>
    <x v="3"/>
    <m/>
    <m/>
    <n v="1999"/>
    <m/>
    <m/>
    <m/>
    <m/>
    <m/>
    <m/>
    <m/>
    <m/>
    <x v="0"/>
    <m/>
    <m/>
    <m/>
    <m/>
    <s v=""/>
    <m/>
    <m/>
    <m/>
    <m/>
    <m/>
    <m/>
    <m/>
    <x v="0"/>
    <m/>
    <m/>
    <m/>
    <m/>
    <m/>
    <m/>
    <m/>
    <m/>
    <m/>
    <m/>
    <m/>
    <m/>
    <m/>
    <m/>
    <m/>
    <m/>
    <m/>
    <m/>
    <m/>
    <m/>
    <m/>
    <m/>
    <m/>
    <m/>
    <m/>
    <m/>
    <m/>
    <m/>
    <m/>
    <n v="39000000"/>
    <x v="0"/>
    <m/>
    <m/>
    <m/>
    <m/>
    <m/>
    <m/>
    <m/>
    <m/>
    <m/>
    <m/>
    <m/>
    <m/>
    <m/>
    <m/>
    <m/>
    <m/>
    <m/>
    <m/>
  </r>
  <r>
    <m/>
    <n v="1"/>
    <x v="5"/>
    <d v="1999-06-01T00:00:00"/>
    <x v="3"/>
    <n v="1"/>
    <m/>
    <n v="1999"/>
    <n v="1"/>
    <s v="Africa"/>
    <s v="Ethiopia"/>
    <m/>
    <s v="Drought"/>
    <s v="Drought"/>
    <s v="Drought"/>
    <m/>
    <x v="0"/>
    <m/>
    <m/>
    <m/>
    <m/>
    <s v=""/>
    <m/>
    <m/>
    <m/>
    <m/>
    <m/>
    <m/>
    <m/>
    <x v="1"/>
    <n v="100000"/>
    <m/>
    <m/>
    <m/>
    <n v="100000"/>
    <n v="0"/>
    <m/>
    <m/>
    <m/>
    <m/>
    <m/>
    <m/>
    <m/>
    <m/>
    <m/>
    <m/>
    <m/>
    <m/>
    <m/>
    <m/>
    <m/>
    <m/>
    <m/>
    <m/>
    <m/>
    <n v="100000"/>
    <m/>
    <m/>
    <n v="7159.297959242117"/>
    <n v="100000"/>
    <x v="1"/>
    <m/>
    <m/>
    <m/>
    <m/>
    <n v="2898"/>
    <m/>
    <m/>
    <m/>
    <m/>
    <m/>
    <m/>
    <m/>
    <m/>
    <m/>
    <m/>
    <m/>
    <m/>
    <s v="Region response"/>
  </r>
  <r>
    <m/>
    <n v="2"/>
    <x v="6"/>
    <d v="1999-06-01T00:00:00"/>
    <x v="3"/>
    <n v="2"/>
    <m/>
    <n v="1999"/>
    <n v="2"/>
    <s v="LAC"/>
    <s v="Mexico"/>
    <m/>
    <s v="Floods"/>
    <s v="General Floods"/>
    <s v="General Floods"/>
    <m/>
    <x v="0"/>
    <m/>
    <m/>
    <m/>
    <m/>
    <s v=""/>
    <m/>
    <m/>
    <m/>
    <m/>
    <m/>
    <m/>
    <m/>
    <x v="0"/>
    <m/>
    <m/>
    <n v="100000"/>
    <m/>
    <n v="100000"/>
    <n v="1"/>
    <m/>
    <m/>
    <m/>
    <m/>
    <m/>
    <m/>
    <m/>
    <m/>
    <m/>
    <m/>
    <m/>
    <m/>
    <m/>
    <m/>
    <m/>
    <m/>
    <m/>
    <m/>
    <m/>
    <n v="100000"/>
    <m/>
    <m/>
    <n v="34050"/>
    <n v="100000"/>
    <x v="1"/>
    <m/>
    <m/>
    <m/>
    <m/>
    <n v="2898"/>
    <m/>
    <m/>
    <m/>
    <m/>
    <m/>
    <m/>
    <m/>
    <m/>
    <m/>
    <m/>
    <m/>
    <m/>
    <m/>
  </r>
  <r>
    <m/>
    <n v="3"/>
    <x v="7"/>
    <d v="1999-06-01T00:00:00"/>
    <x v="3"/>
    <n v="3"/>
    <m/>
    <n v="1999"/>
    <n v="3"/>
    <s v="LAC"/>
    <s v="Costa Rica"/>
    <m/>
    <s v="Floods"/>
    <s v="General Floods"/>
    <s v="General Floods"/>
    <m/>
    <x v="0"/>
    <m/>
    <m/>
    <m/>
    <m/>
    <s v=""/>
    <m/>
    <m/>
    <m/>
    <m/>
    <m/>
    <m/>
    <m/>
    <x v="2"/>
    <n v="10000"/>
    <m/>
    <m/>
    <m/>
    <n v="10000"/>
    <n v="0"/>
    <m/>
    <m/>
    <m/>
    <m/>
    <m/>
    <m/>
    <m/>
    <m/>
    <m/>
    <m/>
    <m/>
    <m/>
    <m/>
    <m/>
    <m/>
    <m/>
    <m/>
    <m/>
    <m/>
    <n v="10000"/>
    <m/>
    <m/>
    <n v="1000"/>
    <n v="10000"/>
    <x v="1"/>
    <m/>
    <m/>
    <m/>
    <m/>
    <n v="2898"/>
    <m/>
    <m/>
    <m/>
    <m/>
    <m/>
    <m/>
    <m/>
    <m/>
    <m/>
    <m/>
    <m/>
    <m/>
    <s v="Region response"/>
  </r>
  <r>
    <m/>
    <n v="4"/>
    <x v="8"/>
    <d v="1999-08-01T00:00:00"/>
    <x v="4"/>
    <n v="1"/>
    <m/>
    <n v="1999"/>
    <n v="4"/>
    <s v="Europe/Asia"/>
    <s v="China"/>
    <m/>
    <s v="Floods"/>
    <s v="General Floods"/>
    <s v="General Floods"/>
    <m/>
    <x v="0"/>
    <m/>
    <m/>
    <m/>
    <m/>
    <s v=""/>
    <m/>
    <m/>
    <m/>
    <m/>
    <m/>
    <m/>
    <m/>
    <x v="1"/>
    <n v="100000"/>
    <m/>
    <m/>
    <m/>
    <n v="100000"/>
    <n v="0"/>
    <m/>
    <m/>
    <m/>
    <m/>
    <m/>
    <m/>
    <m/>
    <m/>
    <m/>
    <m/>
    <m/>
    <m/>
    <m/>
    <m/>
    <m/>
    <m/>
    <m/>
    <m/>
    <m/>
    <n v="100000"/>
    <m/>
    <m/>
    <n v="15080.681646810435"/>
    <n v="100000"/>
    <x v="1"/>
    <m/>
    <m/>
    <m/>
    <m/>
    <n v="2060"/>
    <m/>
    <m/>
    <m/>
    <m/>
    <m/>
    <m/>
    <m/>
    <m/>
    <m/>
    <m/>
    <m/>
    <m/>
    <s v="Region response"/>
  </r>
  <r>
    <m/>
    <n v="5"/>
    <x v="9"/>
    <d v="1999-08-01T00:00:00"/>
    <x v="4"/>
    <n v="2"/>
    <m/>
    <n v="1999"/>
    <n v="5"/>
    <s v="Europe/Asia"/>
    <s v="Turkey"/>
    <m/>
    <s v="Earthquake"/>
    <s v="Earthquake"/>
    <s v="Earthquake"/>
    <m/>
    <x v="0"/>
    <m/>
    <m/>
    <m/>
    <m/>
    <s v=""/>
    <m/>
    <m/>
    <m/>
    <m/>
    <m/>
    <m/>
    <m/>
    <x v="0"/>
    <m/>
    <m/>
    <m/>
    <m/>
    <n v="0"/>
    <n v="20"/>
    <m/>
    <m/>
    <m/>
    <m/>
    <m/>
    <m/>
    <m/>
    <m/>
    <m/>
    <m/>
    <m/>
    <m/>
    <m/>
    <m/>
    <m/>
    <m/>
    <m/>
    <n v="0"/>
    <n v="0"/>
    <n v="0"/>
    <m/>
    <m/>
    <m/>
    <n v="0"/>
    <x v="1"/>
    <m/>
    <m/>
    <m/>
    <m/>
    <n v="2814"/>
    <m/>
    <m/>
    <m/>
    <m/>
    <m/>
    <m/>
    <m/>
    <m/>
    <m/>
    <m/>
    <m/>
    <m/>
    <s v="Total expenses combined with (#19, below)"/>
  </r>
  <r>
    <m/>
    <n v="6"/>
    <x v="10"/>
    <d v="1999-08-01T00:00:00"/>
    <x v="4"/>
    <n v="3"/>
    <m/>
    <n v="1999"/>
    <n v="6"/>
    <s v="LAC"/>
    <s v="Nicaragua"/>
    <m/>
    <s v="Volcano"/>
    <s v="Volcanic Eruption"/>
    <s v="Volcanic Eruption"/>
    <m/>
    <x v="0"/>
    <m/>
    <m/>
    <m/>
    <m/>
    <s v=""/>
    <m/>
    <m/>
    <m/>
    <m/>
    <m/>
    <m/>
    <m/>
    <x v="0"/>
    <m/>
    <m/>
    <n v="10000"/>
    <m/>
    <n v="10000"/>
    <n v="2"/>
    <m/>
    <m/>
    <m/>
    <m/>
    <m/>
    <m/>
    <m/>
    <m/>
    <m/>
    <m/>
    <m/>
    <m/>
    <m/>
    <m/>
    <m/>
    <m/>
    <m/>
    <m/>
    <m/>
    <n v="10000"/>
    <m/>
    <m/>
    <n v="1000"/>
    <n v="10000"/>
    <x v="1"/>
    <m/>
    <m/>
    <m/>
    <m/>
    <n v="2898"/>
    <m/>
    <m/>
    <m/>
    <m/>
    <m/>
    <m/>
    <m/>
    <m/>
    <m/>
    <m/>
    <m/>
    <m/>
    <s v="Gisla Dewey and Carol Schimke sent to assist and observe"/>
  </r>
  <r>
    <m/>
    <n v="7"/>
    <x v="11"/>
    <d v="1999-08-01T00:00:00"/>
    <x v="4"/>
    <n v="4"/>
    <m/>
    <n v="1999"/>
    <n v="7"/>
    <s v="Europe/Asia"/>
    <s v="Cambodia"/>
    <m/>
    <s v="Floods"/>
    <s v="General Floods"/>
    <s v="General Floods"/>
    <m/>
    <x v="0"/>
    <m/>
    <m/>
    <m/>
    <m/>
    <s v=""/>
    <m/>
    <m/>
    <m/>
    <m/>
    <m/>
    <m/>
    <m/>
    <x v="2"/>
    <n v="25000"/>
    <m/>
    <m/>
    <m/>
    <n v="25000"/>
    <n v="0"/>
    <m/>
    <m/>
    <m/>
    <m/>
    <m/>
    <m/>
    <m/>
    <m/>
    <m/>
    <m/>
    <m/>
    <m/>
    <m/>
    <m/>
    <m/>
    <m/>
    <m/>
    <m/>
    <m/>
    <n v="25000"/>
    <m/>
    <m/>
    <n v="1321.7075933422946"/>
    <n v="25000"/>
    <x v="1"/>
    <m/>
    <m/>
    <m/>
    <m/>
    <n v="2898"/>
    <m/>
    <m/>
    <m/>
    <m/>
    <m/>
    <m/>
    <m/>
    <m/>
    <m/>
    <m/>
    <m/>
    <m/>
    <s v="Region response"/>
  </r>
  <r>
    <m/>
    <n v="8"/>
    <x v="12"/>
    <d v="1999-09-01T00:00:00"/>
    <x v="4"/>
    <n v="5"/>
    <m/>
    <n v="1999"/>
    <n v="8"/>
    <s v="Europe/Asia"/>
    <s v="Greece"/>
    <m/>
    <s v="Earthquake"/>
    <s v="Earthquake"/>
    <s v="Earthquake"/>
    <m/>
    <x v="0"/>
    <m/>
    <m/>
    <m/>
    <m/>
    <s v=""/>
    <m/>
    <m/>
    <m/>
    <m/>
    <m/>
    <m/>
    <m/>
    <x v="1"/>
    <n v="80000"/>
    <m/>
    <m/>
    <m/>
    <n v="80000"/>
    <n v="0"/>
    <m/>
    <m/>
    <m/>
    <m/>
    <m/>
    <m/>
    <m/>
    <m/>
    <m/>
    <m/>
    <m/>
    <m/>
    <m/>
    <m/>
    <m/>
    <m/>
    <m/>
    <m/>
    <m/>
    <n v="80000"/>
    <m/>
    <m/>
    <n v="2580.0991790124413"/>
    <n v="80000"/>
    <x v="1"/>
    <m/>
    <m/>
    <m/>
    <m/>
    <n v="2898"/>
    <m/>
    <m/>
    <m/>
    <m/>
    <m/>
    <m/>
    <m/>
    <m/>
    <m/>
    <m/>
    <m/>
    <m/>
    <m/>
  </r>
  <r>
    <m/>
    <n v="9"/>
    <x v="13"/>
    <d v="1999-09-01T00:00:00"/>
    <x v="4"/>
    <n v="6"/>
    <m/>
    <n v="1999"/>
    <n v="9"/>
    <s v="LAC"/>
    <s v="Bahamas"/>
    <m/>
    <s v="Storm"/>
    <s v="Tropical Cyclone"/>
    <s v="Hurricane"/>
    <m/>
    <x v="0"/>
    <m/>
    <m/>
    <m/>
    <m/>
    <s v=""/>
    <m/>
    <m/>
    <m/>
    <m/>
    <m/>
    <m/>
    <m/>
    <x v="0"/>
    <m/>
    <m/>
    <n v="25000"/>
    <m/>
    <n v="25000"/>
    <n v="3"/>
    <m/>
    <m/>
    <m/>
    <m/>
    <m/>
    <m/>
    <m/>
    <m/>
    <m/>
    <m/>
    <m/>
    <m/>
    <m/>
    <m/>
    <m/>
    <m/>
    <m/>
    <n v="97443"/>
    <n v="9750"/>
    <n v="132193"/>
    <m/>
    <m/>
    <n v="12383.247348462506"/>
    <n v="132193"/>
    <x v="1"/>
    <m/>
    <m/>
    <m/>
    <m/>
    <n v="2898"/>
    <m/>
    <m/>
    <m/>
    <m/>
    <m/>
    <m/>
    <m/>
    <m/>
    <m/>
    <m/>
    <m/>
    <s v="Floyd"/>
    <s v="Hygiene kits, plastic sheeting, flashlights,batteries, bedsheets, and tents"/>
  </r>
  <r>
    <m/>
    <n v="10"/>
    <x v="14"/>
    <d v="1999-09-01T00:00:00"/>
    <x v="4"/>
    <n v="7"/>
    <m/>
    <n v="1999"/>
    <n v="10"/>
    <s v="Europe/Asia"/>
    <s v="Taiwan"/>
    <m/>
    <s v="Earthquake"/>
    <s v="Earthquake"/>
    <s v="Earthquake"/>
    <m/>
    <x v="0"/>
    <m/>
    <m/>
    <m/>
    <m/>
    <s v=""/>
    <m/>
    <m/>
    <m/>
    <m/>
    <m/>
    <m/>
    <m/>
    <x v="1"/>
    <n v="1200000"/>
    <m/>
    <m/>
    <m/>
    <n v="1200000"/>
    <n v="0"/>
    <m/>
    <m/>
    <m/>
    <m/>
    <m/>
    <m/>
    <m/>
    <m/>
    <m/>
    <m/>
    <m/>
    <m/>
    <m/>
    <m/>
    <m/>
    <m/>
    <m/>
    <m/>
    <m/>
    <n v="1200000"/>
    <m/>
    <m/>
    <n v="54838.842352037951"/>
    <n v="1200000"/>
    <x v="1"/>
    <m/>
    <m/>
    <m/>
    <m/>
    <n v="2824"/>
    <m/>
    <m/>
    <m/>
    <m/>
    <m/>
    <m/>
    <m/>
    <m/>
    <m/>
    <m/>
    <m/>
    <m/>
    <s v="Money sent to Federation"/>
  </r>
  <r>
    <m/>
    <n v="11"/>
    <x v="15"/>
    <d v="1999-09-01T00:00:00"/>
    <x v="4"/>
    <n v="8"/>
    <m/>
    <n v="1999"/>
    <n v="11"/>
    <s v="Europe/Asia"/>
    <s v="Japan"/>
    <m/>
    <s v="Industrial"/>
    <s v="Radiation"/>
    <s v="Radiation"/>
    <m/>
    <x v="0"/>
    <m/>
    <m/>
    <m/>
    <m/>
    <s v=""/>
    <m/>
    <m/>
    <m/>
    <m/>
    <m/>
    <m/>
    <m/>
    <x v="0"/>
    <m/>
    <m/>
    <m/>
    <m/>
    <n v="0"/>
    <n v="0"/>
    <m/>
    <m/>
    <m/>
    <m/>
    <m/>
    <m/>
    <m/>
    <m/>
    <m/>
    <m/>
    <m/>
    <m/>
    <m/>
    <m/>
    <m/>
    <m/>
    <m/>
    <n v="200"/>
    <m/>
    <n v="200"/>
    <m/>
    <m/>
    <m/>
    <n v="200"/>
    <x v="1"/>
    <m/>
    <m/>
    <m/>
    <m/>
    <n v="2898"/>
    <m/>
    <m/>
    <m/>
    <m/>
    <m/>
    <m/>
    <m/>
    <m/>
    <m/>
    <m/>
    <m/>
    <s v="Nuclear Power Plant"/>
    <s v="Manuals related to Nuclear disasters sent to JRCS"/>
  </r>
  <r>
    <m/>
    <n v="12"/>
    <x v="0"/>
    <d v="1999-09-01T00:00:00"/>
    <x v="4"/>
    <n v="9"/>
    <m/>
    <n v="1999"/>
    <n v="12"/>
    <s v="LAC"/>
    <s v="Mexico"/>
    <m/>
    <s v="Earthquake"/>
    <s v="Earthquake"/>
    <s v="Earthquake"/>
    <m/>
    <x v="0"/>
    <m/>
    <m/>
    <m/>
    <m/>
    <s v=""/>
    <m/>
    <m/>
    <m/>
    <m/>
    <m/>
    <m/>
    <m/>
    <x v="0"/>
    <m/>
    <m/>
    <n v="150000"/>
    <m/>
    <n v="150000"/>
    <n v="3"/>
    <m/>
    <m/>
    <m/>
    <m/>
    <m/>
    <m/>
    <m/>
    <m/>
    <m/>
    <m/>
    <m/>
    <m/>
    <m/>
    <m/>
    <m/>
    <m/>
    <m/>
    <m/>
    <m/>
    <n v="150000"/>
    <m/>
    <m/>
    <m/>
    <n v="150000"/>
    <x v="1"/>
    <m/>
    <m/>
    <m/>
    <m/>
    <n v="2020"/>
    <m/>
    <m/>
    <m/>
    <m/>
    <m/>
    <m/>
    <m/>
    <m/>
    <m/>
    <m/>
    <m/>
    <m/>
    <m/>
  </r>
  <r>
    <m/>
    <n v="13"/>
    <x v="16"/>
    <d v="1999-10-01T00:00:00"/>
    <x v="4"/>
    <n v="10"/>
    <m/>
    <n v="1999"/>
    <n v="13"/>
    <s v="LAC"/>
    <s v="Mexico"/>
    <m/>
    <s v="Floods "/>
    <s v="General Floods"/>
    <s v="General Floods"/>
    <m/>
    <x v="0"/>
    <m/>
    <m/>
    <m/>
    <m/>
    <s v=""/>
    <m/>
    <m/>
    <m/>
    <m/>
    <m/>
    <m/>
    <m/>
    <x v="0"/>
    <m/>
    <m/>
    <n v="200000"/>
    <m/>
    <n v="200000"/>
    <n v="4"/>
    <m/>
    <m/>
    <m/>
    <m/>
    <m/>
    <m/>
    <m/>
    <m/>
    <m/>
    <m/>
    <m/>
    <m/>
    <m/>
    <m/>
    <m/>
    <m/>
    <m/>
    <m/>
    <n v="5000"/>
    <n v="205000"/>
    <m/>
    <m/>
    <n v="12000"/>
    <n v="205000"/>
    <x v="1"/>
    <m/>
    <m/>
    <m/>
    <m/>
    <n v="2020"/>
    <m/>
    <m/>
    <m/>
    <m/>
    <m/>
    <m/>
    <m/>
    <m/>
    <m/>
    <m/>
    <m/>
    <m/>
    <m/>
  </r>
  <r>
    <m/>
    <n v="14"/>
    <x v="17"/>
    <d v="1999-10-01T00:00:00"/>
    <x v="4"/>
    <n v="11"/>
    <m/>
    <n v="1999"/>
    <n v="14"/>
    <s v="Europe/Asia"/>
    <s v="Russian Fed."/>
    <m/>
    <s v="Conflict"/>
    <s v="Conflict"/>
    <s v="Conflict"/>
    <m/>
    <x v="0"/>
    <m/>
    <m/>
    <m/>
    <m/>
    <s v=""/>
    <m/>
    <m/>
    <m/>
    <m/>
    <m/>
    <m/>
    <m/>
    <x v="0"/>
    <m/>
    <m/>
    <n v="75000"/>
    <m/>
    <n v="75000"/>
    <n v="0"/>
    <m/>
    <m/>
    <n v="76700"/>
    <m/>
    <n v="11200"/>
    <n v="55000"/>
    <n v="10500"/>
    <m/>
    <m/>
    <m/>
    <m/>
    <m/>
    <m/>
    <m/>
    <m/>
    <m/>
    <m/>
    <n v="535134"/>
    <m/>
    <n v="610134"/>
    <m/>
    <m/>
    <n v="55000"/>
    <n v="610134"/>
    <x v="1"/>
    <m/>
    <m/>
    <m/>
    <m/>
    <n v="2045"/>
    <m/>
    <m/>
    <m/>
    <m/>
    <m/>
    <m/>
    <m/>
    <m/>
    <m/>
    <m/>
    <m/>
    <s v="Chechnya"/>
    <s v="Chechnya:  Response handled by Regional desk, winter clothing for 3,000 people, 55,000 blankets, 10,500 Jerry cans, 11,200 hygiene parcels."/>
  </r>
  <r>
    <m/>
    <n v="15"/>
    <x v="18"/>
    <d v="1999-10-01T00:00:00"/>
    <x v="4"/>
    <n v="12"/>
    <m/>
    <n v="1999"/>
    <n v="15"/>
    <s v="Europe/Asia"/>
    <s v="Timor-Leste"/>
    <m/>
    <s v="Conflict"/>
    <s v="Conflict"/>
    <s v="Conflict"/>
    <m/>
    <x v="0"/>
    <m/>
    <m/>
    <m/>
    <m/>
    <s v=""/>
    <m/>
    <m/>
    <m/>
    <m/>
    <m/>
    <m/>
    <m/>
    <x v="0"/>
    <m/>
    <m/>
    <n v="10000"/>
    <m/>
    <n v="10000"/>
    <n v="1"/>
    <m/>
    <m/>
    <m/>
    <m/>
    <m/>
    <m/>
    <m/>
    <m/>
    <m/>
    <m/>
    <m/>
    <m/>
    <m/>
    <m/>
    <m/>
    <m/>
    <m/>
    <m/>
    <m/>
    <n v="10000"/>
    <m/>
    <m/>
    <m/>
    <n v="10000"/>
    <x v="1"/>
    <m/>
    <m/>
    <m/>
    <m/>
    <n v="2898"/>
    <m/>
    <m/>
    <m/>
    <m/>
    <m/>
    <m/>
    <m/>
    <m/>
    <m/>
    <m/>
    <m/>
    <s v="Referendum"/>
    <s v="Kevin Kelley sent."/>
  </r>
  <r>
    <m/>
    <n v="16"/>
    <x v="19"/>
    <d v="1999-10-01T00:00:00"/>
    <x v="4"/>
    <n v="13"/>
    <m/>
    <n v="1999"/>
    <n v="16"/>
    <s v="Europe/Asia"/>
    <s v="Bangladesh"/>
    <m/>
    <s v="Floods"/>
    <s v="General Floods"/>
    <s v="General Floods"/>
    <m/>
    <x v="0"/>
    <m/>
    <m/>
    <m/>
    <m/>
    <s v=""/>
    <m/>
    <m/>
    <m/>
    <m/>
    <m/>
    <m/>
    <m/>
    <x v="2"/>
    <n v="25000"/>
    <m/>
    <m/>
    <m/>
    <n v="25000"/>
    <n v="0"/>
    <m/>
    <m/>
    <m/>
    <m/>
    <m/>
    <m/>
    <m/>
    <m/>
    <m/>
    <m/>
    <m/>
    <m/>
    <m/>
    <m/>
    <m/>
    <m/>
    <m/>
    <m/>
    <m/>
    <n v="25000"/>
    <m/>
    <m/>
    <n v="2500"/>
    <n v="25000"/>
    <x v="1"/>
    <m/>
    <m/>
    <m/>
    <m/>
    <n v="2898"/>
    <m/>
    <m/>
    <m/>
    <m/>
    <m/>
    <m/>
    <m/>
    <m/>
    <m/>
    <m/>
    <m/>
    <m/>
    <m/>
  </r>
  <r>
    <m/>
    <n v="17"/>
    <x v="20"/>
    <d v="1999-11-01T00:00:00"/>
    <x v="4"/>
    <n v="14"/>
    <m/>
    <n v="1999"/>
    <n v="17"/>
    <s v="Europe/Asia"/>
    <s v="India"/>
    <m/>
    <s v="Storm"/>
    <s v="Tropical Cyclone"/>
    <s v="Cyclone"/>
    <m/>
    <x v="0"/>
    <m/>
    <m/>
    <m/>
    <m/>
    <s v=""/>
    <m/>
    <m/>
    <m/>
    <m/>
    <m/>
    <m/>
    <m/>
    <x v="1"/>
    <n v="50000"/>
    <m/>
    <m/>
    <m/>
    <n v="50000"/>
    <n v="0"/>
    <m/>
    <m/>
    <m/>
    <m/>
    <m/>
    <m/>
    <m/>
    <m/>
    <m/>
    <m/>
    <m/>
    <m/>
    <m/>
    <m/>
    <m/>
    <m/>
    <m/>
    <m/>
    <m/>
    <n v="50000"/>
    <m/>
    <m/>
    <n v="5000"/>
    <n v="50000"/>
    <x v="1"/>
    <m/>
    <m/>
    <m/>
    <m/>
    <n v="2898"/>
    <m/>
    <m/>
    <m/>
    <m/>
    <m/>
    <m/>
    <m/>
    <m/>
    <m/>
    <m/>
    <m/>
    <m/>
    <s v="Federation handled funds"/>
  </r>
  <r>
    <m/>
    <n v="18"/>
    <x v="21"/>
    <d v="1999-11-01T00:00:00"/>
    <x v="4"/>
    <n v="15"/>
    <m/>
    <n v="1999"/>
    <n v="18"/>
    <s v="Europe/Asia"/>
    <s v="Vietnam"/>
    <m/>
    <s v="Floods"/>
    <s v="General Floods"/>
    <s v="General Floods"/>
    <m/>
    <x v="0"/>
    <m/>
    <m/>
    <m/>
    <m/>
    <s v=""/>
    <m/>
    <m/>
    <m/>
    <m/>
    <m/>
    <m/>
    <m/>
    <x v="0"/>
    <m/>
    <m/>
    <n v="50000"/>
    <m/>
    <n v="50000"/>
    <n v="0"/>
    <m/>
    <m/>
    <m/>
    <m/>
    <m/>
    <m/>
    <m/>
    <m/>
    <m/>
    <m/>
    <m/>
    <m/>
    <m/>
    <m/>
    <m/>
    <m/>
    <m/>
    <m/>
    <m/>
    <n v="50000"/>
    <m/>
    <m/>
    <m/>
    <n v="50000"/>
    <x v="1"/>
    <m/>
    <m/>
    <m/>
    <m/>
    <n v="2870"/>
    <m/>
    <m/>
    <m/>
    <m/>
    <m/>
    <m/>
    <m/>
    <m/>
    <m/>
    <m/>
    <m/>
    <m/>
    <s v="Reference Regional Desk information."/>
  </r>
  <r>
    <m/>
    <n v="19"/>
    <x v="9"/>
    <d v="1999-11-01T00:00:00"/>
    <x v="4"/>
    <n v="16"/>
    <m/>
    <n v="1999"/>
    <n v="19"/>
    <s v="Europe/Asia"/>
    <s v="Turkey"/>
    <m/>
    <s v="Earthquake"/>
    <s v="Earthquake"/>
    <s v="Earthquake"/>
    <m/>
    <x v="0"/>
    <m/>
    <m/>
    <m/>
    <m/>
    <s v=""/>
    <m/>
    <m/>
    <m/>
    <m/>
    <m/>
    <m/>
    <m/>
    <x v="1"/>
    <n v="2504221.9900000002"/>
    <m/>
    <n v="1360000"/>
    <m/>
    <n v="3864221.99"/>
    <n v="10"/>
    <m/>
    <m/>
    <m/>
    <m/>
    <m/>
    <m/>
    <m/>
    <m/>
    <m/>
    <m/>
    <m/>
    <m/>
    <m/>
    <m/>
    <m/>
    <m/>
    <m/>
    <n v="816758.16"/>
    <n v="472203.99"/>
    <n v="5153184.1400000006"/>
    <m/>
    <m/>
    <n v="52000"/>
    <n v="5153184.1400000006"/>
    <x v="1"/>
    <m/>
    <m/>
    <m/>
    <m/>
    <n v="2814"/>
    <m/>
    <m/>
    <m/>
    <m/>
    <m/>
    <m/>
    <m/>
    <m/>
    <m/>
    <m/>
    <m/>
    <m/>
    <s v="Total expenditures based off expenses from August-Jan for both earthquakes affecting Turkey."/>
  </r>
  <r>
    <m/>
    <n v="20"/>
    <x v="22"/>
    <d v="1999-11-01T00:00:00"/>
    <x v="4"/>
    <n v="17"/>
    <m/>
    <n v="1999"/>
    <n v="20"/>
    <s v="LAC"/>
    <s v="Dominica"/>
    <m/>
    <s v="Storm"/>
    <s v="Tropical Cyclone"/>
    <s v="Hurricane"/>
    <m/>
    <x v="0"/>
    <m/>
    <m/>
    <m/>
    <m/>
    <s v=""/>
    <m/>
    <m/>
    <m/>
    <m/>
    <m/>
    <m/>
    <m/>
    <x v="0"/>
    <m/>
    <m/>
    <n v="15000"/>
    <m/>
    <n v="15000"/>
    <n v="1"/>
    <m/>
    <m/>
    <m/>
    <m/>
    <m/>
    <m/>
    <m/>
    <m/>
    <m/>
    <m/>
    <m/>
    <m/>
    <m/>
    <m/>
    <m/>
    <m/>
    <m/>
    <m/>
    <m/>
    <n v="15000"/>
    <m/>
    <m/>
    <n v="1500"/>
    <n v="15000"/>
    <x v="1"/>
    <m/>
    <m/>
    <m/>
    <m/>
    <n v="2898"/>
    <m/>
    <m/>
    <m/>
    <m/>
    <m/>
    <m/>
    <m/>
    <m/>
    <m/>
    <m/>
    <m/>
    <s v="Lenny"/>
    <s v="Transferred directly to DRCS for household items, supplementary food to 100 families, tents &amp; hygiene kits. "/>
  </r>
  <r>
    <m/>
    <n v="20"/>
    <x v="23"/>
    <d v="1999-11-01T00:00:00"/>
    <x v="4"/>
    <n v="17"/>
    <m/>
    <n v="1999"/>
    <n v="20"/>
    <s v="LAC"/>
    <s v="St. Kitts &amp; Nevis"/>
    <m/>
    <s v="Storm"/>
    <s v="Tropical Cyclone"/>
    <s v="Hurricane"/>
    <m/>
    <x v="0"/>
    <m/>
    <m/>
    <m/>
    <m/>
    <s v=""/>
    <m/>
    <m/>
    <m/>
    <m/>
    <m/>
    <m/>
    <m/>
    <x v="0"/>
    <m/>
    <m/>
    <n v="15000"/>
    <m/>
    <n v="15000"/>
    <n v="2"/>
    <m/>
    <m/>
    <m/>
    <m/>
    <m/>
    <m/>
    <m/>
    <m/>
    <m/>
    <m/>
    <m/>
    <m/>
    <m/>
    <m/>
    <m/>
    <m/>
    <m/>
    <m/>
    <m/>
    <n v="15000"/>
    <m/>
    <m/>
    <n v="1500"/>
    <n v="15000"/>
    <x v="1"/>
    <m/>
    <m/>
    <m/>
    <m/>
    <n v="2898"/>
    <m/>
    <m/>
    <m/>
    <m/>
    <m/>
    <m/>
    <m/>
    <m/>
    <m/>
    <m/>
    <m/>
    <s v="Lenny"/>
    <s v="Transferred directly to SKNRC for hygiene kits, food packages and bedding "/>
  </r>
  <r>
    <m/>
    <n v="20"/>
    <x v="24"/>
    <d v="1999-11-01T00:00:00"/>
    <x v="4"/>
    <n v="17"/>
    <m/>
    <n v="1999"/>
    <n v="20"/>
    <s v="LAC"/>
    <s v="Antigua"/>
    <m/>
    <s v="Storm"/>
    <s v="Tropical Cyclone"/>
    <s v="Hurricane"/>
    <m/>
    <x v="0"/>
    <m/>
    <m/>
    <m/>
    <m/>
    <s v=""/>
    <m/>
    <m/>
    <m/>
    <m/>
    <m/>
    <m/>
    <m/>
    <x v="0"/>
    <m/>
    <m/>
    <n v="15000"/>
    <m/>
    <n v="15000"/>
    <n v="1"/>
    <m/>
    <m/>
    <m/>
    <m/>
    <m/>
    <m/>
    <m/>
    <m/>
    <m/>
    <m/>
    <m/>
    <m/>
    <m/>
    <m/>
    <m/>
    <m/>
    <m/>
    <m/>
    <m/>
    <n v="15000"/>
    <m/>
    <m/>
    <n v="1500"/>
    <n v="15000"/>
    <x v="1"/>
    <m/>
    <m/>
    <m/>
    <m/>
    <n v="2898"/>
    <m/>
    <m/>
    <m/>
    <m/>
    <m/>
    <m/>
    <m/>
    <m/>
    <m/>
    <m/>
    <m/>
    <s v="Lenny"/>
    <s v="$15,000 for mattresses, first aid supplies, and roofing .     "/>
  </r>
  <r>
    <m/>
    <n v="20"/>
    <x v="25"/>
    <d v="1999-11-01T00:00:00"/>
    <x v="4"/>
    <n v="17"/>
    <m/>
    <n v="1999"/>
    <n v="20"/>
    <s v="LAC"/>
    <s v="Grenada"/>
    <m/>
    <s v="Storm"/>
    <s v="Tropical Cyclone"/>
    <s v="Hurricane"/>
    <m/>
    <x v="0"/>
    <m/>
    <m/>
    <m/>
    <m/>
    <s v=""/>
    <m/>
    <m/>
    <m/>
    <m/>
    <m/>
    <m/>
    <m/>
    <x v="0"/>
    <m/>
    <m/>
    <n v="9000"/>
    <m/>
    <n v="9000"/>
    <n v="1"/>
    <m/>
    <m/>
    <m/>
    <m/>
    <m/>
    <m/>
    <m/>
    <m/>
    <m/>
    <m/>
    <m/>
    <m/>
    <m/>
    <m/>
    <m/>
    <m/>
    <m/>
    <m/>
    <m/>
    <n v="9000"/>
    <m/>
    <m/>
    <n v="900"/>
    <n v="9000"/>
    <x v="1"/>
    <m/>
    <m/>
    <m/>
    <m/>
    <n v="2898"/>
    <m/>
    <m/>
    <m/>
    <m/>
    <m/>
    <m/>
    <m/>
    <m/>
    <m/>
    <m/>
    <m/>
    <s v="Lenny"/>
    <m/>
  </r>
  <r>
    <m/>
    <n v="20"/>
    <x v="26"/>
    <d v="1999-11-01T00:00:00"/>
    <x v="4"/>
    <n v="17"/>
    <m/>
    <n v="1999"/>
    <n v="20"/>
    <s v="LAC"/>
    <s v="St. Maartens"/>
    <m/>
    <s v="Storm"/>
    <s v="Tropical Cyclone"/>
    <s v="Hurricane"/>
    <m/>
    <x v="0"/>
    <m/>
    <m/>
    <m/>
    <m/>
    <s v=""/>
    <m/>
    <m/>
    <m/>
    <m/>
    <m/>
    <m/>
    <m/>
    <x v="0"/>
    <m/>
    <m/>
    <n v="9000"/>
    <m/>
    <n v="9000"/>
    <m/>
    <m/>
    <m/>
    <m/>
    <m/>
    <m/>
    <m/>
    <m/>
    <m/>
    <m/>
    <m/>
    <m/>
    <m/>
    <m/>
    <m/>
    <m/>
    <m/>
    <m/>
    <m/>
    <m/>
    <n v="9000"/>
    <m/>
    <m/>
    <n v="900"/>
    <n v="9000"/>
    <x v="1"/>
    <m/>
    <m/>
    <m/>
    <m/>
    <n v="2898"/>
    <m/>
    <m/>
    <m/>
    <m/>
    <m/>
    <m/>
    <m/>
    <m/>
    <m/>
    <m/>
    <m/>
    <s v="Lenny"/>
    <m/>
  </r>
  <r>
    <m/>
    <n v="21"/>
    <x v="27"/>
    <d v="1999-12-01T00:00:00"/>
    <x v="4"/>
    <n v="18"/>
    <m/>
    <n v="1999"/>
    <n v="21"/>
    <s v="LAC"/>
    <s v="Venezuela"/>
    <m/>
    <s v="Floods"/>
    <s v="General Floods"/>
    <s v="General Floods"/>
    <m/>
    <x v="0"/>
    <m/>
    <m/>
    <m/>
    <m/>
    <s v=""/>
    <m/>
    <m/>
    <m/>
    <m/>
    <m/>
    <m/>
    <m/>
    <x v="0"/>
    <m/>
    <m/>
    <n v="50000"/>
    <m/>
    <n v="50000"/>
    <n v="23"/>
    <m/>
    <m/>
    <n v="55532"/>
    <m/>
    <n v="2200"/>
    <n v="4625"/>
    <n v="2550"/>
    <m/>
    <n v="36"/>
    <m/>
    <n v="6120"/>
    <m/>
    <n v="40000"/>
    <m/>
    <n v="7"/>
    <m/>
    <m/>
    <n v="506000"/>
    <n v="500000"/>
    <n v="1056000"/>
    <m/>
    <m/>
    <n v="120000"/>
    <n v="1056000"/>
    <x v="1"/>
    <m/>
    <m/>
    <m/>
    <m/>
    <n v="2912"/>
    <m/>
    <m/>
    <m/>
    <m/>
    <m/>
    <m/>
    <m/>
    <m/>
    <m/>
    <m/>
    <m/>
    <m/>
    <s v="2,550 collapsible water containers. Purchased and shipped 7 Ford trucks, ($182,000),  13 MT calcium hypochloride ($30,000)"/>
  </r>
  <r>
    <m/>
    <n v="22"/>
    <x v="28"/>
    <d v="2000-02-01T00:00:00"/>
    <x v="4"/>
    <n v="19"/>
    <m/>
    <n v="2000"/>
    <n v="1"/>
    <s v="Africa"/>
    <s v="South Africa"/>
    <m/>
    <s v="Floods"/>
    <s v="General Floods"/>
    <s v="General Floods"/>
    <m/>
    <x v="0"/>
    <m/>
    <m/>
    <m/>
    <m/>
    <s v=""/>
    <m/>
    <m/>
    <m/>
    <m/>
    <m/>
    <m/>
    <m/>
    <x v="2"/>
    <n v="23333.333333333332"/>
    <m/>
    <m/>
    <m/>
    <n v="23333.333333333332"/>
    <n v="0"/>
    <m/>
    <m/>
    <m/>
    <m/>
    <m/>
    <m/>
    <m/>
    <m/>
    <m/>
    <m/>
    <m/>
    <m/>
    <m/>
    <m/>
    <m/>
    <m/>
    <m/>
    <m/>
    <m/>
    <n v="23333.333333333332"/>
    <m/>
    <m/>
    <n v="2300"/>
    <n v="23333.333333333332"/>
    <x v="1"/>
    <m/>
    <m/>
    <m/>
    <m/>
    <n v="2898"/>
    <m/>
    <m/>
    <m/>
    <m/>
    <m/>
    <m/>
    <m/>
    <m/>
    <m/>
    <m/>
    <m/>
    <m/>
    <s v="Federation handled funds ($70,000 total)"/>
  </r>
  <r>
    <m/>
    <n v="22"/>
    <x v="29"/>
    <d v="2000-02-01T00:00:00"/>
    <x v="4"/>
    <n v="19"/>
    <m/>
    <n v="2000"/>
    <n v="1"/>
    <s v="Africa"/>
    <s v="Botswana"/>
    <m/>
    <s v="Floods"/>
    <s v="General Floods"/>
    <s v="General Floods"/>
    <m/>
    <x v="0"/>
    <m/>
    <m/>
    <m/>
    <m/>
    <s v=""/>
    <m/>
    <m/>
    <m/>
    <m/>
    <m/>
    <m/>
    <m/>
    <x v="2"/>
    <n v="23333.333333333332"/>
    <m/>
    <m/>
    <m/>
    <n v="23333.333333333332"/>
    <m/>
    <m/>
    <m/>
    <m/>
    <m/>
    <m/>
    <m/>
    <m/>
    <m/>
    <m/>
    <m/>
    <m/>
    <m/>
    <m/>
    <m/>
    <m/>
    <m/>
    <m/>
    <m/>
    <m/>
    <n v="23333.333333333332"/>
    <m/>
    <m/>
    <n v="2300"/>
    <n v="23333.333333333332"/>
    <x v="1"/>
    <m/>
    <m/>
    <m/>
    <m/>
    <n v="2898"/>
    <m/>
    <m/>
    <m/>
    <m/>
    <m/>
    <m/>
    <m/>
    <m/>
    <m/>
    <m/>
    <m/>
    <m/>
    <s v="Federation handled funds ($70,000 total)"/>
  </r>
  <r>
    <m/>
    <n v="22"/>
    <x v="30"/>
    <d v="2000-02-01T00:00:00"/>
    <x v="4"/>
    <n v="19"/>
    <m/>
    <n v="2000"/>
    <n v="1"/>
    <s v="Africa"/>
    <s v="Zimbabwe"/>
    <m/>
    <s v="Floods"/>
    <s v="General Floods"/>
    <s v="General Floods"/>
    <m/>
    <x v="0"/>
    <m/>
    <m/>
    <m/>
    <m/>
    <s v=""/>
    <m/>
    <m/>
    <m/>
    <m/>
    <m/>
    <m/>
    <m/>
    <x v="2"/>
    <n v="23333.343333333331"/>
    <m/>
    <m/>
    <m/>
    <n v="23333.343333333331"/>
    <m/>
    <m/>
    <m/>
    <m/>
    <m/>
    <m/>
    <m/>
    <m/>
    <m/>
    <m/>
    <m/>
    <m/>
    <m/>
    <m/>
    <m/>
    <m/>
    <m/>
    <m/>
    <m/>
    <m/>
    <n v="23333.343333333331"/>
    <m/>
    <m/>
    <n v="2300"/>
    <n v="23333.343333333331"/>
    <x v="1"/>
    <m/>
    <m/>
    <m/>
    <m/>
    <n v="2898"/>
    <m/>
    <m/>
    <m/>
    <m/>
    <m/>
    <m/>
    <m/>
    <m/>
    <m/>
    <m/>
    <m/>
    <m/>
    <s v="Federation handled funds ($70,000 total)"/>
  </r>
  <r>
    <m/>
    <n v="23"/>
    <x v="31"/>
    <d v="2000-03-01T00:00:00"/>
    <x v="4"/>
    <n v="21"/>
    <m/>
    <n v="2000"/>
    <n v="3"/>
    <s v="Africa"/>
    <s v="Madagascar"/>
    <m/>
    <s v="Floods"/>
    <s v="General Floods"/>
    <s v="General Floods"/>
    <m/>
    <x v="0"/>
    <m/>
    <m/>
    <m/>
    <m/>
    <s v=""/>
    <m/>
    <m/>
    <m/>
    <m/>
    <m/>
    <m/>
    <m/>
    <x v="2"/>
    <n v="25000"/>
    <m/>
    <m/>
    <m/>
    <n v="25000"/>
    <n v="0"/>
    <m/>
    <m/>
    <m/>
    <m/>
    <m/>
    <m/>
    <m/>
    <m/>
    <m/>
    <m/>
    <m/>
    <m/>
    <m/>
    <m/>
    <m/>
    <m/>
    <m/>
    <m/>
    <m/>
    <n v="25000"/>
    <m/>
    <m/>
    <n v="2500"/>
    <n v="25000"/>
    <x v="1"/>
    <m/>
    <m/>
    <m/>
    <m/>
    <n v="2898"/>
    <m/>
    <m/>
    <m/>
    <m/>
    <m/>
    <m/>
    <m/>
    <m/>
    <m/>
    <m/>
    <m/>
    <m/>
    <s v="Federation handled funds"/>
  </r>
  <r>
    <m/>
    <n v="24"/>
    <x v="5"/>
    <d v="2000-04-01T00:00:00"/>
    <x v="4"/>
    <n v="22"/>
    <m/>
    <n v="2000"/>
    <n v="4"/>
    <s v="Africa"/>
    <s v="Ethiopia"/>
    <m/>
    <s v="Drought"/>
    <s v="Drought"/>
    <s v="Drought"/>
    <m/>
    <x v="0"/>
    <m/>
    <m/>
    <m/>
    <m/>
    <s v=""/>
    <m/>
    <m/>
    <m/>
    <m/>
    <m/>
    <m/>
    <m/>
    <x v="1"/>
    <n v="100000"/>
    <m/>
    <m/>
    <m/>
    <n v="100000"/>
    <n v="0"/>
    <m/>
    <m/>
    <m/>
    <m/>
    <m/>
    <m/>
    <m/>
    <m/>
    <m/>
    <m/>
    <m/>
    <m/>
    <m/>
    <m/>
    <m/>
    <m/>
    <m/>
    <m/>
    <m/>
    <n v="100000"/>
    <m/>
    <m/>
    <n v="2376.7346201502733"/>
    <n v="100000"/>
    <x v="1"/>
    <m/>
    <m/>
    <m/>
    <m/>
    <n v="2898"/>
    <m/>
    <m/>
    <m/>
    <m/>
    <m/>
    <m/>
    <m/>
    <m/>
    <m/>
    <m/>
    <m/>
    <m/>
    <m/>
  </r>
  <r>
    <m/>
    <n v="25"/>
    <x v="32"/>
    <d v="2000-06-01T00:00:00"/>
    <x v="4"/>
    <n v="23"/>
    <m/>
    <n v="2000"/>
    <n v="5"/>
    <s v="Europe/Asia"/>
    <s v="Indonesia"/>
    <m/>
    <s v="Earthquake"/>
    <s v="Earthquake"/>
    <s v="Earthquake"/>
    <m/>
    <x v="0"/>
    <m/>
    <m/>
    <m/>
    <m/>
    <s v=""/>
    <m/>
    <m/>
    <m/>
    <m/>
    <m/>
    <m/>
    <m/>
    <x v="1"/>
    <n v="50000"/>
    <m/>
    <m/>
    <m/>
    <n v="50000"/>
    <n v="2"/>
    <m/>
    <m/>
    <m/>
    <m/>
    <m/>
    <m/>
    <m/>
    <m/>
    <m/>
    <m/>
    <m/>
    <m/>
    <m/>
    <m/>
    <m/>
    <m/>
    <m/>
    <m/>
    <m/>
    <n v="50000"/>
    <m/>
    <m/>
    <n v="3300"/>
    <n v="50000"/>
    <x v="1"/>
    <m/>
    <m/>
    <m/>
    <m/>
    <n v="2898"/>
    <m/>
    <m/>
    <m/>
    <m/>
    <m/>
    <m/>
    <m/>
    <m/>
    <m/>
    <m/>
    <m/>
    <m/>
    <s v="625 family kits"/>
  </r>
  <r>
    <m/>
    <n v="26"/>
    <x v="33"/>
    <d v="2000-08-01T00:00:00"/>
    <x v="5"/>
    <n v="1"/>
    <m/>
    <n v="2000"/>
    <n v="6"/>
    <s v="Europe/Asia"/>
    <s v="India"/>
    <m/>
    <s v="Floods"/>
    <s v="General Floods"/>
    <s v="General Floods"/>
    <m/>
    <x v="0"/>
    <m/>
    <m/>
    <m/>
    <m/>
    <s v=""/>
    <m/>
    <m/>
    <m/>
    <m/>
    <m/>
    <m/>
    <m/>
    <x v="0"/>
    <m/>
    <m/>
    <m/>
    <m/>
    <n v="0"/>
    <n v="9"/>
    <m/>
    <m/>
    <n v="5000"/>
    <m/>
    <m/>
    <m/>
    <m/>
    <m/>
    <m/>
    <m/>
    <m/>
    <m/>
    <n v="5000"/>
    <m/>
    <n v="5"/>
    <m/>
    <m/>
    <n v="199200"/>
    <n v="190065"/>
    <n v="389265"/>
    <m/>
    <m/>
    <n v="25000"/>
    <n v="389265"/>
    <x v="1"/>
    <m/>
    <m/>
    <m/>
    <m/>
    <n v="4901"/>
    <m/>
    <m/>
    <m/>
    <m/>
    <m/>
    <m/>
    <m/>
    <m/>
    <m/>
    <m/>
    <m/>
    <m/>
    <s v="5,000 relief/food parcels and 5 trucks"/>
  </r>
  <r>
    <m/>
    <n v="27"/>
    <x v="19"/>
    <d v="2000-08-01T00:00:00"/>
    <x v="5"/>
    <n v="2"/>
    <m/>
    <n v="2000"/>
    <n v="7"/>
    <s v="Europe/Asia"/>
    <s v="Bangladesh"/>
    <m/>
    <s v="Floods"/>
    <s v="General Floods"/>
    <s v="General Floods"/>
    <m/>
    <x v="0"/>
    <m/>
    <m/>
    <m/>
    <m/>
    <s v=""/>
    <m/>
    <m/>
    <m/>
    <m/>
    <m/>
    <m/>
    <m/>
    <x v="0"/>
    <m/>
    <m/>
    <n v="25000"/>
    <m/>
    <n v="25000"/>
    <n v="0"/>
    <m/>
    <m/>
    <m/>
    <m/>
    <m/>
    <m/>
    <m/>
    <m/>
    <m/>
    <m/>
    <m/>
    <m/>
    <m/>
    <m/>
    <m/>
    <m/>
    <m/>
    <m/>
    <m/>
    <n v="25000"/>
    <m/>
    <m/>
    <n v="2500"/>
    <n v="25000"/>
    <x v="1"/>
    <m/>
    <m/>
    <m/>
    <m/>
    <n v="2898"/>
    <m/>
    <m/>
    <m/>
    <m/>
    <m/>
    <m/>
    <m/>
    <m/>
    <m/>
    <m/>
    <m/>
    <m/>
    <s v="via Japanese Red Cross for relief supplies"/>
  </r>
  <r>
    <m/>
    <n v="28"/>
    <x v="11"/>
    <d v="2000-09-01T00:00:00"/>
    <x v="5"/>
    <n v="3"/>
    <m/>
    <n v="2000"/>
    <n v="8"/>
    <s v="Europe/Asia"/>
    <s v="Cambodia"/>
    <m/>
    <s v="Floods"/>
    <s v="Storm Surge"/>
    <s v="Storm Surge"/>
    <m/>
    <x v="0"/>
    <m/>
    <m/>
    <m/>
    <m/>
    <s v=""/>
    <m/>
    <m/>
    <m/>
    <m/>
    <m/>
    <m/>
    <m/>
    <x v="0"/>
    <m/>
    <m/>
    <n v="352704"/>
    <m/>
    <n v="352704"/>
    <n v="0"/>
    <m/>
    <m/>
    <m/>
    <m/>
    <m/>
    <m/>
    <m/>
    <m/>
    <m/>
    <m/>
    <m/>
    <m/>
    <m/>
    <m/>
    <m/>
    <m/>
    <m/>
    <m/>
    <m/>
    <n v="352704"/>
    <m/>
    <m/>
    <n v="32645"/>
    <n v="352704"/>
    <x v="1"/>
    <m/>
    <m/>
    <m/>
    <m/>
    <s v="OFDA"/>
    <m/>
    <m/>
    <m/>
    <m/>
    <m/>
    <m/>
    <m/>
    <m/>
    <m/>
    <m/>
    <m/>
    <s v="TS Wukong"/>
    <s v="Three grants from OFDA (two @ $25,000 each and 1 @ $302,704) for emergency household kits"/>
  </r>
  <r>
    <m/>
    <n v="29"/>
    <x v="21"/>
    <d v="2000-09-01T00:00:00"/>
    <x v="5"/>
    <n v="4"/>
    <m/>
    <n v="2000"/>
    <n v="9"/>
    <s v="Europe/Asia"/>
    <s v="Vietnam"/>
    <m/>
    <s v="Floods"/>
    <s v="Storm Surge"/>
    <s v="Storm Surge"/>
    <m/>
    <x v="0"/>
    <m/>
    <m/>
    <m/>
    <m/>
    <s v=""/>
    <m/>
    <m/>
    <m/>
    <m/>
    <m/>
    <m/>
    <m/>
    <x v="0"/>
    <m/>
    <m/>
    <m/>
    <m/>
    <n v="0"/>
    <n v="0"/>
    <m/>
    <m/>
    <n v="1000"/>
    <m/>
    <m/>
    <m/>
    <m/>
    <m/>
    <m/>
    <m/>
    <m/>
    <m/>
    <m/>
    <m/>
    <m/>
    <m/>
    <m/>
    <n v="20000"/>
    <m/>
    <n v="20000"/>
    <m/>
    <m/>
    <n v="3500"/>
    <n v="20000"/>
    <x v="1"/>
    <m/>
    <m/>
    <m/>
    <m/>
    <n v="2898"/>
    <m/>
    <m/>
    <m/>
    <m/>
    <m/>
    <m/>
    <m/>
    <m/>
    <m/>
    <m/>
    <m/>
    <s v="TS Wukong"/>
    <s v="1,000 Relief kits. (blankets, mosquito nets and cooking sets)"/>
  </r>
  <r>
    <m/>
    <n v="30"/>
    <x v="34"/>
    <d v="2000-10-01T00:00:00"/>
    <x v="5"/>
    <n v="5"/>
    <m/>
    <n v="2000"/>
    <n v="10"/>
    <s v="LAC"/>
    <s v="Belize"/>
    <m/>
    <s v="Storm"/>
    <s v="Tropical Cyclone"/>
    <s v="Hurricane"/>
    <m/>
    <x v="0"/>
    <m/>
    <m/>
    <m/>
    <m/>
    <s v=""/>
    <m/>
    <m/>
    <m/>
    <m/>
    <m/>
    <m/>
    <m/>
    <x v="0"/>
    <m/>
    <m/>
    <n v="28500"/>
    <m/>
    <n v="28500"/>
    <n v="5"/>
    <m/>
    <m/>
    <m/>
    <m/>
    <m/>
    <m/>
    <m/>
    <m/>
    <m/>
    <m/>
    <m/>
    <m/>
    <n v="2600"/>
    <m/>
    <m/>
    <m/>
    <m/>
    <n v="90000"/>
    <m/>
    <n v="118500"/>
    <m/>
    <m/>
    <n v="13000"/>
    <n v="118500"/>
    <x v="1"/>
    <m/>
    <m/>
    <m/>
    <m/>
    <n v="4903"/>
    <m/>
    <m/>
    <m/>
    <m/>
    <m/>
    <m/>
    <m/>
    <m/>
    <m/>
    <m/>
    <m/>
    <s v="Keith"/>
    <s v="2,600 LDS food parcels + $30,000 for local procurement"/>
  </r>
  <r>
    <m/>
    <n v="32"/>
    <x v="35"/>
    <d v="2000-10-01T00:00:00"/>
    <x v="5"/>
    <n v="6"/>
    <m/>
    <n v="2000"/>
    <n v="11"/>
    <s v="Europe/Asia"/>
    <s v="Israel"/>
    <m/>
    <s v="Conflict"/>
    <s v="Conflict"/>
    <s v="Conflict"/>
    <m/>
    <x v="0"/>
    <m/>
    <m/>
    <m/>
    <m/>
    <s v=""/>
    <m/>
    <m/>
    <m/>
    <m/>
    <m/>
    <m/>
    <m/>
    <x v="0"/>
    <m/>
    <m/>
    <n v="40000"/>
    <m/>
    <n v="40000"/>
    <m/>
    <m/>
    <m/>
    <m/>
    <m/>
    <m/>
    <m/>
    <m/>
    <m/>
    <m/>
    <m/>
    <m/>
    <m/>
    <m/>
    <m/>
    <m/>
    <m/>
    <m/>
    <n v="0"/>
    <m/>
    <n v="40000"/>
    <m/>
    <m/>
    <m/>
    <n v="40000"/>
    <x v="1"/>
    <m/>
    <m/>
    <m/>
    <m/>
    <n v="2898"/>
    <m/>
    <m/>
    <m/>
    <m/>
    <m/>
    <m/>
    <m/>
    <m/>
    <m/>
    <m/>
    <m/>
    <m/>
    <s v="CASH"/>
  </r>
  <r>
    <m/>
    <n v="32"/>
    <x v="36"/>
    <d v="2000-10-01T00:00:00"/>
    <x v="5"/>
    <n v="6"/>
    <m/>
    <n v="2000"/>
    <n v="11"/>
    <s v="Europe/Asia"/>
    <s v="Jordan"/>
    <m/>
    <s v="Conflict"/>
    <s v="Conflict"/>
    <s v="Conflict"/>
    <m/>
    <x v="0"/>
    <m/>
    <m/>
    <m/>
    <m/>
    <s v=""/>
    <m/>
    <m/>
    <m/>
    <m/>
    <m/>
    <m/>
    <m/>
    <x v="0"/>
    <m/>
    <m/>
    <m/>
    <m/>
    <n v="0"/>
    <m/>
    <m/>
    <m/>
    <m/>
    <m/>
    <m/>
    <m/>
    <m/>
    <m/>
    <m/>
    <m/>
    <m/>
    <m/>
    <m/>
    <m/>
    <n v="1"/>
    <m/>
    <m/>
    <n v="172000"/>
    <m/>
    <n v="172000"/>
    <m/>
    <m/>
    <m/>
    <n v="172000"/>
    <x v="1"/>
    <m/>
    <m/>
    <m/>
    <m/>
    <n v="2898"/>
    <m/>
    <m/>
    <m/>
    <m/>
    <m/>
    <m/>
    <m/>
    <m/>
    <m/>
    <m/>
    <m/>
    <m/>
    <s v="1 ambulance, 1 generator, various med supp/equip"/>
  </r>
  <r>
    <m/>
    <n v="32"/>
    <x v="37"/>
    <d v="2000-10-01T00:00:00"/>
    <x v="5"/>
    <n v="6"/>
    <m/>
    <n v="2000"/>
    <n v="11"/>
    <s v="Europe/Asia"/>
    <s v="Palestine"/>
    <m/>
    <s v="Conflict"/>
    <s v="Conflict"/>
    <s v="Conflict"/>
    <m/>
    <x v="0"/>
    <m/>
    <m/>
    <m/>
    <m/>
    <s v=""/>
    <m/>
    <m/>
    <m/>
    <m/>
    <m/>
    <m/>
    <m/>
    <x v="0"/>
    <m/>
    <m/>
    <m/>
    <m/>
    <n v="0"/>
    <n v="0"/>
    <m/>
    <m/>
    <m/>
    <m/>
    <m/>
    <m/>
    <m/>
    <m/>
    <m/>
    <m/>
    <m/>
    <m/>
    <m/>
    <m/>
    <n v="2"/>
    <m/>
    <m/>
    <n v="90000"/>
    <m/>
    <n v="90000"/>
    <m/>
    <m/>
    <n v="10000"/>
    <n v="90000"/>
    <x v="1"/>
    <m/>
    <m/>
    <m/>
    <m/>
    <n v="2898"/>
    <m/>
    <m/>
    <m/>
    <m/>
    <m/>
    <m/>
    <m/>
    <m/>
    <m/>
    <m/>
    <m/>
    <m/>
    <s v="2 ambulances, 1 New Emergency Health Kit"/>
  </r>
  <r>
    <m/>
    <n v="33"/>
    <x v="38"/>
    <d v="2000-11-01T00:00:00"/>
    <x v="5"/>
    <n v="7"/>
    <m/>
    <n v="2000"/>
    <n v="12"/>
    <s v="Europe/Asia"/>
    <s v="Taiwan"/>
    <m/>
    <s v="Transport"/>
    <s v="Air"/>
    <s v="Air"/>
    <m/>
    <x v="0"/>
    <m/>
    <m/>
    <m/>
    <m/>
    <s v=""/>
    <m/>
    <m/>
    <m/>
    <m/>
    <m/>
    <m/>
    <m/>
    <x v="0"/>
    <m/>
    <m/>
    <m/>
    <m/>
    <n v="0"/>
    <n v="1"/>
    <m/>
    <m/>
    <m/>
    <m/>
    <m/>
    <m/>
    <m/>
    <m/>
    <m/>
    <m/>
    <m/>
    <m/>
    <m/>
    <m/>
    <m/>
    <m/>
    <m/>
    <m/>
    <n v="7500"/>
    <n v="7500"/>
    <m/>
    <m/>
    <n v="300"/>
    <n v="7500"/>
    <x v="1"/>
    <m/>
    <m/>
    <m/>
    <m/>
    <n v="2898"/>
    <m/>
    <m/>
    <m/>
    <m/>
    <m/>
    <m/>
    <m/>
    <m/>
    <m/>
    <m/>
    <m/>
    <s v="Singapore Airlines 006"/>
    <s v="liaison on AIR Team"/>
  </r>
  <r>
    <m/>
    <n v="34"/>
    <x v="39"/>
    <d v="2000-11-01T00:00:00"/>
    <x v="5"/>
    <n v="8"/>
    <m/>
    <n v="2000"/>
    <n v="13"/>
    <s v="Europe/Asia"/>
    <s v="Austria"/>
    <m/>
    <s v="Miscellaneous"/>
    <s v="Fire"/>
    <s v="Fire"/>
    <m/>
    <x v="0"/>
    <m/>
    <m/>
    <m/>
    <m/>
    <s v=""/>
    <m/>
    <m/>
    <m/>
    <m/>
    <m/>
    <m/>
    <m/>
    <x v="0"/>
    <m/>
    <m/>
    <m/>
    <m/>
    <n v="0"/>
    <n v="0"/>
    <m/>
    <m/>
    <m/>
    <m/>
    <m/>
    <m/>
    <m/>
    <m/>
    <m/>
    <m/>
    <m/>
    <m/>
    <m/>
    <m/>
    <m/>
    <m/>
    <m/>
    <m/>
    <n v="2577.8000000000002"/>
    <n v="2577.8000000000002"/>
    <m/>
    <m/>
    <n v="3"/>
    <n v="2577.8000000000002"/>
    <x v="1"/>
    <m/>
    <m/>
    <m/>
    <m/>
    <n v="2898"/>
    <m/>
    <m/>
    <m/>
    <m/>
    <m/>
    <m/>
    <m/>
    <m/>
    <m/>
    <m/>
    <m/>
    <s v="Cable Car Fire"/>
    <s v="plane tickets for family members via AFES"/>
  </r>
  <r>
    <m/>
    <n v="35"/>
    <x v="40"/>
    <d v="2000-11-01T00:00:00"/>
    <x v="5"/>
    <n v="9"/>
    <m/>
    <n v="2000"/>
    <n v="14"/>
    <s v="Europe/Asia"/>
    <s v="Azerbaijan"/>
    <m/>
    <s v="Earthquake"/>
    <s v="Earthquake"/>
    <s v="Earthquake"/>
    <m/>
    <x v="0"/>
    <m/>
    <m/>
    <m/>
    <m/>
    <s v=""/>
    <m/>
    <m/>
    <m/>
    <m/>
    <m/>
    <m/>
    <m/>
    <x v="0"/>
    <m/>
    <m/>
    <m/>
    <m/>
    <n v="0"/>
    <n v="1"/>
    <m/>
    <m/>
    <m/>
    <m/>
    <m/>
    <m/>
    <m/>
    <m/>
    <m/>
    <m/>
    <m/>
    <m/>
    <m/>
    <m/>
    <m/>
    <m/>
    <m/>
    <n v="25000"/>
    <n v="5500"/>
    <n v="30500"/>
    <m/>
    <m/>
    <n v="3050"/>
    <n v="30500"/>
    <x v="1"/>
    <m/>
    <m/>
    <m/>
    <m/>
    <n v="2898"/>
    <m/>
    <m/>
    <m/>
    <m/>
    <m/>
    <m/>
    <m/>
    <m/>
    <m/>
    <m/>
    <m/>
    <m/>
    <s v="10 generators, tents &amp; cooking sets. Delegate from Armenia deployed"/>
  </r>
  <r>
    <m/>
    <n v="36"/>
    <x v="41"/>
    <d v="2000-12-01T00:00:00"/>
    <x v="5"/>
    <n v="10"/>
    <m/>
    <n v="2000"/>
    <n v="15"/>
    <s v="Europe/Asia"/>
    <s v="Sri Lanka"/>
    <m/>
    <s v="Storm"/>
    <s v="Tropical Cyclone"/>
    <s v="Cyclone"/>
    <m/>
    <x v="0"/>
    <m/>
    <m/>
    <m/>
    <m/>
    <s v=""/>
    <m/>
    <m/>
    <m/>
    <m/>
    <m/>
    <m/>
    <m/>
    <x v="0"/>
    <m/>
    <m/>
    <m/>
    <m/>
    <n v="0"/>
    <n v="0"/>
    <m/>
    <m/>
    <m/>
    <m/>
    <m/>
    <m/>
    <m/>
    <m/>
    <m/>
    <m/>
    <m/>
    <m/>
    <m/>
    <m/>
    <m/>
    <m/>
    <m/>
    <n v="20000"/>
    <m/>
    <n v="20000"/>
    <m/>
    <m/>
    <n v="3000"/>
    <n v="20000"/>
    <x v="1"/>
    <m/>
    <m/>
    <m/>
    <m/>
    <n v="2898"/>
    <m/>
    <m/>
    <m/>
    <m/>
    <m/>
    <m/>
    <m/>
    <m/>
    <m/>
    <m/>
    <m/>
    <s v="Cyclone 04B"/>
    <s v="Bedsheets and kitchen sets"/>
  </r>
  <r>
    <m/>
    <n v="37"/>
    <x v="42"/>
    <d v="2001-01-01T00:00:00"/>
    <x v="5"/>
    <n v="11"/>
    <m/>
    <n v="2001"/>
    <n v="1"/>
    <s v="Africa"/>
    <s v="South Africa"/>
    <m/>
    <s v="Epidemic"/>
    <s v="Bacterial"/>
    <s v="Bacterial"/>
    <m/>
    <x v="0"/>
    <m/>
    <m/>
    <m/>
    <m/>
    <s v=""/>
    <m/>
    <m/>
    <m/>
    <m/>
    <m/>
    <m/>
    <m/>
    <x v="2"/>
    <n v="25000"/>
    <m/>
    <m/>
    <m/>
    <n v="25000"/>
    <n v="0"/>
    <m/>
    <m/>
    <m/>
    <m/>
    <m/>
    <m/>
    <m/>
    <m/>
    <m/>
    <m/>
    <m/>
    <m/>
    <m/>
    <m/>
    <m/>
    <m/>
    <m/>
    <m/>
    <m/>
    <n v="25000"/>
    <m/>
    <m/>
    <n v="5000"/>
    <n v="25000"/>
    <x v="1"/>
    <m/>
    <m/>
    <m/>
    <m/>
    <n v="2898"/>
    <m/>
    <m/>
    <m/>
    <m/>
    <m/>
    <m/>
    <m/>
    <m/>
    <m/>
    <m/>
    <m/>
    <s v="Cholera Outbreak"/>
    <s v="Federation Appeal 32/00"/>
  </r>
  <r>
    <m/>
    <n v="38"/>
    <x v="43"/>
    <d v="2001-01-01T00:00:00"/>
    <x v="5"/>
    <n v="12"/>
    <m/>
    <n v="2001"/>
    <n v="2"/>
    <s v="LAC"/>
    <s v="El Salvador"/>
    <m/>
    <s v="Earthquake"/>
    <s v="Earthquake"/>
    <s v="Earthquake"/>
    <m/>
    <x v="0"/>
    <m/>
    <m/>
    <m/>
    <m/>
    <s v=""/>
    <m/>
    <m/>
    <m/>
    <m/>
    <m/>
    <m/>
    <m/>
    <x v="0"/>
    <m/>
    <m/>
    <n v="77500"/>
    <m/>
    <n v="77500"/>
    <n v="12"/>
    <m/>
    <m/>
    <m/>
    <m/>
    <m/>
    <m/>
    <m/>
    <m/>
    <m/>
    <m/>
    <m/>
    <m/>
    <m/>
    <m/>
    <m/>
    <m/>
    <m/>
    <n v="150000"/>
    <m/>
    <n v="227500"/>
    <m/>
    <m/>
    <m/>
    <n v="227500"/>
    <x v="1"/>
    <m/>
    <m/>
    <m/>
    <m/>
    <n v="2953"/>
    <m/>
    <m/>
    <m/>
    <m/>
    <m/>
    <m/>
    <m/>
    <m/>
    <m/>
    <m/>
    <m/>
    <m/>
    <s v="Cash sent to ARC Delegation in region. Supplies from Regional Warehouses.   Total expenditures as of February 2001, post 2.01 expenditures were rolled into the second El Salvador earthquake."/>
  </r>
  <r>
    <m/>
    <n v="39"/>
    <x v="44"/>
    <d v="2001-01-01T00:00:00"/>
    <x v="5"/>
    <n v="13"/>
    <m/>
    <n v="2001"/>
    <n v="3"/>
    <s v="Europe/Asia"/>
    <s v="China"/>
    <m/>
    <s v="Storm"/>
    <s v="Winter Storm"/>
    <s v="Snowstorm"/>
    <m/>
    <x v="0"/>
    <m/>
    <m/>
    <m/>
    <m/>
    <s v=""/>
    <m/>
    <m/>
    <m/>
    <m/>
    <m/>
    <m/>
    <m/>
    <x v="0"/>
    <m/>
    <m/>
    <n v="50000"/>
    <m/>
    <n v="50000"/>
    <n v="0"/>
    <m/>
    <m/>
    <m/>
    <m/>
    <m/>
    <m/>
    <m/>
    <m/>
    <m/>
    <m/>
    <m/>
    <m/>
    <m/>
    <m/>
    <m/>
    <m/>
    <m/>
    <m/>
    <m/>
    <n v="50000"/>
    <m/>
    <m/>
    <n v="5000"/>
    <n v="50000"/>
    <x v="1"/>
    <m/>
    <m/>
    <m/>
    <m/>
    <n v="2060"/>
    <m/>
    <m/>
    <m/>
    <m/>
    <m/>
    <m/>
    <m/>
    <m/>
    <m/>
    <m/>
    <m/>
    <s v="Inner Mongolia"/>
    <s v="fund to purchase food (wheat), winter clothes and cotton quilts"/>
  </r>
  <r>
    <m/>
    <n v="40"/>
    <x v="45"/>
    <d v="2001-01-01T00:00:00"/>
    <x v="5"/>
    <n v="14"/>
    <m/>
    <n v="2001"/>
    <n v="4"/>
    <s v="Europe/Asia"/>
    <s v="India"/>
    <m/>
    <s v="Earthquake"/>
    <s v="Earthquake"/>
    <s v="Earthquake"/>
    <n v="15850000"/>
    <x v="0"/>
    <m/>
    <m/>
    <m/>
    <m/>
    <s v=""/>
    <m/>
    <m/>
    <m/>
    <m/>
    <m/>
    <m/>
    <m/>
    <x v="1"/>
    <n v="100000"/>
    <m/>
    <n v="25000"/>
    <m/>
    <n v="125000"/>
    <n v="19"/>
    <m/>
    <m/>
    <m/>
    <m/>
    <m/>
    <m/>
    <m/>
    <m/>
    <m/>
    <m/>
    <m/>
    <m/>
    <m/>
    <m/>
    <m/>
    <m/>
    <m/>
    <n v="1371479"/>
    <n v="366481.13"/>
    <n v="1862960.13"/>
    <m/>
    <m/>
    <n v="324495"/>
    <n v="14000000"/>
    <x v="1"/>
    <m/>
    <m/>
    <m/>
    <m/>
    <n v="2954"/>
    <m/>
    <m/>
    <m/>
    <m/>
    <m/>
    <m/>
    <m/>
    <m/>
    <m/>
    <m/>
    <m/>
    <m/>
    <s v="ARC also served an additional 190,185 beneficiaries by  distributing inputs from other NS.  Total expenditures as of May 2001."/>
  </r>
  <r>
    <m/>
    <n v="41"/>
    <x v="43"/>
    <d v="2001-02-01T00:00:00"/>
    <x v="5"/>
    <n v="15"/>
    <m/>
    <n v="2001"/>
    <n v="5"/>
    <s v="LAC"/>
    <s v="El Salvador"/>
    <m/>
    <s v="Earthquake"/>
    <s v="Earthquake"/>
    <s v="Earthquake"/>
    <m/>
    <x v="0"/>
    <m/>
    <m/>
    <m/>
    <m/>
    <s v=""/>
    <m/>
    <m/>
    <m/>
    <m/>
    <m/>
    <m/>
    <m/>
    <x v="0"/>
    <m/>
    <m/>
    <n v="70000"/>
    <m/>
    <n v="70000"/>
    <n v="8"/>
    <m/>
    <m/>
    <m/>
    <m/>
    <m/>
    <m/>
    <m/>
    <m/>
    <m/>
    <m/>
    <m/>
    <m/>
    <m/>
    <m/>
    <m/>
    <m/>
    <m/>
    <n v="620000"/>
    <m/>
    <n v="690000"/>
    <m/>
    <m/>
    <n v="41628.709446663277"/>
    <n v="690000"/>
    <x v="1"/>
    <m/>
    <m/>
    <m/>
    <m/>
    <n v="2953"/>
    <m/>
    <m/>
    <m/>
    <m/>
    <m/>
    <m/>
    <m/>
    <m/>
    <m/>
    <m/>
    <m/>
    <m/>
    <s v="To Purchase Warm cloths, footwear, blankets sheets and left over for food. Total expenditures for both earthquakes in El Salvador through May 2001."/>
  </r>
  <r>
    <m/>
    <n v="42"/>
    <x v="46"/>
    <d v="2001-02-01T00:00:00"/>
    <x v="5"/>
    <n v="16"/>
    <m/>
    <n v="2001"/>
    <n v="6"/>
    <s v="Africa"/>
    <s v="Mozambique"/>
    <m/>
    <s v="Floods"/>
    <s v="General Floods"/>
    <s v="General Floods"/>
    <m/>
    <x v="0"/>
    <m/>
    <m/>
    <m/>
    <m/>
    <s v=""/>
    <m/>
    <m/>
    <m/>
    <m/>
    <m/>
    <m/>
    <m/>
    <x v="0"/>
    <m/>
    <m/>
    <m/>
    <m/>
    <n v="0"/>
    <n v="1"/>
    <m/>
    <m/>
    <m/>
    <m/>
    <m/>
    <m/>
    <m/>
    <m/>
    <m/>
    <m/>
    <m/>
    <m/>
    <m/>
    <m/>
    <m/>
    <m/>
    <m/>
    <m/>
    <n v="250000"/>
    <n v="250000"/>
    <m/>
    <m/>
    <n v="75000"/>
    <n v="250000"/>
    <x v="1"/>
    <m/>
    <m/>
    <m/>
    <m/>
    <n v="2675"/>
    <m/>
    <m/>
    <m/>
    <m/>
    <m/>
    <m/>
    <m/>
    <m/>
    <m/>
    <m/>
    <m/>
    <m/>
    <s v="Fed Appeal 10/2001;  Includes regional supply purchase; one delegate.  Total expenditure also includes Malawi expense."/>
  </r>
  <r>
    <m/>
    <n v="43"/>
    <x v="47"/>
    <d v="2001-02-01T00:00:00"/>
    <x v="5"/>
    <n v="17"/>
    <m/>
    <n v="2001"/>
    <n v="7"/>
    <s v="Africa"/>
    <s v="Malawi"/>
    <m/>
    <s v="Floods"/>
    <s v="General Floods"/>
    <s v="General Floods"/>
    <m/>
    <x v="0"/>
    <m/>
    <m/>
    <m/>
    <m/>
    <s v=""/>
    <m/>
    <m/>
    <m/>
    <m/>
    <m/>
    <m/>
    <m/>
    <x v="0"/>
    <m/>
    <m/>
    <n v="25000"/>
    <m/>
    <n v="25000"/>
    <n v="2"/>
    <m/>
    <m/>
    <m/>
    <m/>
    <m/>
    <m/>
    <m/>
    <m/>
    <m/>
    <m/>
    <m/>
    <m/>
    <m/>
    <m/>
    <m/>
    <m/>
    <m/>
    <n v="149000"/>
    <m/>
    <n v="174000"/>
    <m/>
    <m/>
    <n v="22452"/>
    <n v="174000"/>
    <x v="1"/>
    <m/>
    <m/>
    <m/>
    <m/>
    <n v="2675"/>
    <m/>
    <m/>
    <m/>
    <m/>
    <m/>
    <m/>
    <m/>
    <m/>
    <m/>
    <m/>
    <m/>
    <m/>
    <s v="Fed Appeal 9/2001;  49,000 from CCC seeds, tools and water supply.  See Mozambique Total Expenditure (they are combined.)"/>
  </r>
  <r>
    <m/>
    <n v="44"/>
    <x v="48"/>
    <d v="2001-03-01T00:00:00"/>
    <x v="5"/>
    <n v="18"/>
    <m/>
    <n v="2001"/>
    <n v="8"/>
    <s v="LAC"/>
    <s v="Bolivia"/>
    <m/>
    <s v="Floods"/>
    <s v="General Floods"/>
    <s v="General Floods"/>
    <m/>
    <x v="0"/>
    <m/>
    <m/>
    <m/>
    <m/>
    <s v=""/>
    <m/>
    <m/>
    <m/>
    <m/>
    <m/>
    <m/>
    <m/>
    <x v="0"/>
    <m/>
    <m/>
    <n v="15000"/>
    <m/>
    <n v="15000"/>
    <n v="0"/>
    <m/>
    <m/>
    <m/>
    <m/>
    <m/>
    <m/>
    <m/>
    <m/>
    <m/>
    <m/>
    <m/>
    <m/>
    <m/>
    <m/>
    <m/>
    <m/>
    <m/>
    <m/>
    <m/>
    <n v="15000"/>
    <m/>
    <m/>
    <n v="1500"/>
    <n v="15000"/>
    <x v="1"/>
    <m/>
    <m/>
    <m/>
    <m/>
    <n v="2898"/>
    <m/>
    <m/>
    <m/>
    <m/>
    <m/>
    <m/>
    <m/>
    <m/>
    <m/>
    <m/>
    <m/>
    <m/>
    <s v="Fed Appeal 5/2001"/>
  </r>
  <r>
    <m/>
    <n v="45"/>
    <x v="49"/>
    <d v="2001-03-01T00:00:00"/>
    <x v="5"/>
    <n v="19"/>
    <m/>
    <n v="2001"/>
    <n v="9"/>
    <s v="LAC"/>
    <s v="Peru"/>
    <m/>
    <s v="Floods"/>
    <s v="General Floods"/>
    <s v="General Floods"/>
    <m/>
    <x v="0"/>
    <m/>
    <m/>
    <m/>
    <m/>
    <s v=""/>
    <m/>
    <m/>
    <m/>
    <m/>
    <m/>
    <m/>
    <m/>
    <x v="0"/>
    <m/>
    <m/>
    <n v="15000"/>
    <m/>
    <n v="15000"/>
    <n v="0"/>
    <m/>
    <m/>
    <n v="6111"/>
    <m/>
    <m/>
    <n v="5100"/>
    <m/>
    <m/>
    <n v="761"/>
    <m/>
    <m/>
    <m/>
    <m/>
    <n v="250"/>
    <m/>
    <m/>
    <m/>
    <n v="0"/>
    <n v="0"/>
    <n v="15000"/>
    <m/>
    <m/>
    <n v="24805"/>
    <n v="15000"/>
    <x v="1"/>
    <m/>
    <m/>
    <m/>
    <m/>
    <n v="2898"/>
    <m/>
    <m/>
    <m/>
    <m/>
    <m/>
    <m/>
    <m/>
    <m/>
    <m/>
    <m/>
    <m/>
    <m/>
    <m/>
  </r>
  <r>
    <m/>
    <n v="46"/>
    <x v="50"/>
    <d v="2001-04-01T00:00:00"/>
    <x v="5"/>
    <n v="20"/>
    <m/>
    <n v="2001"/>
    <n v="10"/>
    <s v="North America"/>
    <s v="Canada"/>
    <m/>
    <s v="Transport"/>
    <s v="Road"/>
    <s v="Road"/>
    <m/>
    <x v="0"/>
    <m/>
    <m/>
    <m/>
    <m/>
    <s v=""/>
    <m/>
    <m/>
    <m/>
    <m/>
    <m/>
    <m/>
    <m/>
    <x v="0"/>
    <m/>
    <m/>
    <m/>
    <m/>
    <n v="0"/>
    <n v="2"/>
    <m/>
    <m/>
    <m/>
    <m/>
    <m/>
    <m/>
    <m/>
    <m/>
    <m/>
    <m/>
    <m/>
    <m/>
    <m/>
    <m/>
    <m/>
    <m/>
    <m/>
    <m/>
    <n v="1000"/>
    <n v="1000"/>
    <m/>
    <m/>
    <m/>
    <n v="1000"/>
    <x v="1"/>
    <m/>
    <m/>
    <m/>
    <m/>
    <n v="2898"/>
    <m/>
    <m/>
    <m/>
    <m/>
    <m/>
    <m/>
    <m/>
    <m/>
    <m/>
    <m/>
    <m/>
    <s v="Bus Crash"/>
    <s v="American children survivors"/>
  </r>
  <r>
    <m/>
    <n v="47"/>
    <x v="51"/>
    <d v="2001-05-01T00:00:00"/>
    <x v="5"/>
    <n v="21"/>
    <m/>
    <n v="2001"/>
    <n v="11"/>
    <s v="Europe/Asia"/>
    <s v="Russian Fed."/>
    <m/>
    <s v="Floods"/>
    <s v="General Floods"/>
    <s v="General Floods"/>
    <m/>
    <x v="0"/>
    <m/>
    <m/>
    <m/>
    <m/>
    <s v=""/>
    <m/>
    <m/>
    <m/>
    <m/>
    <m/>
    <m/>
    <m/>
    <x v="0"/>
    <m/>
    <m/>
    <n v="25000"/>
    <m/>
    <n v="25000"/>
    <n v="0"/>
    <m/>
    <m/>
    <m/>
    <m/>
    <m/>
    <m/>
    <m/>
    <m/>
    <m/>
    <m/>
    <m/>
    <m/>
    <m/>
    <m/>
    <m/>
    <m/>
    <m/>
    <m/>
    <m/>
    <n v="25000"/>
    <m/>
    <m/>
    <n v="3000"/>
    <n v="25000"/>
    <x v="1"/>
    <m/>
    <m/>
    <m/>
    <m/>
    <n v="2898"/>
    <m/>
    <m/>
    <m/>
    <m/>
    <m/>
    <m/>
    <m/>
    <m/>
    <m/>
    <m/>
    <m/>
    <m/>
    <s v="Siberia: Procurement of warm cloths, footwear, blankets sheets &amp; food. "/>
  </r>
  <r>
    <m/>
    <n v="48"/>
    <x v="52"/>
    <d v="2001-06-01T00:00:00"/>
    <x v="5"/>
    <n v="22"/>
    <m/>
    <n v="2001"/>
    <n v="12"/>
    <s v="Europe/Asia"/>
    <s v="Macedonia"/>
    <m/>
    <s v="Conflict"/>
    <s v="Conflict"/>
    <s v="Conflict"/>
    <m/>
    <x v="0"/>
    <m/>
    <m/>
    <m/>
    <m/>
    <s v=""/>
    <m/>
    <m/>
    <m/>
    <m/>
    <m/>
    <m/>
    <m/>
    <x v="0"/>
    <m/>
    <m/>
    <m/>
    <m/>
    <n v="0"/>
    <n v="0"/>
    <m/>
    <m/>
    <n v="10000"/>
    <m/>
    <m/>
    <m/>
    <m/>
    <m/>
    <m/>
    <m/>
    <m/>
    <m/>
    <m/>
    <m/>
    <m/>
    <m/>
    <m/>
    <n v="20700"/>
    <m/>
    <n v="20700"/>
    <m/>
    <m/>
    <n v="40000"/>
    <n v="20700"/>
    <x v="1"/>
    <m/>
    <m/>
    <m/>
    <m/>
    <n v="2898"/>
    <m/>
    <m/>
    <m/>
    <m/>
    <m/>
    <m/>
    <m/>
    <m/>
    <m/>
    <m/>
    <m/>
    <m/>
    <s v="10,000 family  packets (Currently only 2,300) a family is 4 persons"/>
  </r>
  <r>
    <m/>
    <n v="49"/>
    <x v="53"/>
    <d v="2001-06-01T00:00:00"/>
    <x v="5"/>
    <n v="23"/>
    <m/>
    <n v="2001"/>
    <n v="13"/>
    <s v="Europe/Asia"/>
    <s v="Bosnia"/>
    <m/>
    <s v="Floods"/>
    <s v="General Floods"/>
    <s v="General Floods"/>
    <m/>
    <x v="0"/>
    <m/>
    <m/>
    <m/>
    <m/>
    <s v=""/>
    <m/>
    <m/>
    <m/>
    <m/>
    <m/>
    <m/>
    <m/>
    <x v="0"/>
    <m/>
    <m/>
    <m/>
    <m/>
    <n v="0"/>
    <n v="0"/>
    <m/>
    <m/>
    <n v="6000"/>
    <m/>
    <m/>
    <n v="6000"/>
    <m/>
    <m/>
    <m/>
    <m/>
    <m/>
    <m/>
    <m/>
    <m/>
    <m/>
    <m/>
    <m/>
    <n v="18000"/>
    <m/>
    <n v="18000"/>
    <m/>
    <m/>
    <n v="6000"/>
    <n v="18000"/>
    <x v="1"/>
    <m/>
    <m/>
    <m/>
    <m/>
    <n v="2898"/>
    <m/>
    <m/>
    <m/>
    <m/>
    <m/>
    <m/>
    <m/>
    <m/>
    <m/>
    <m/>
    <m/>
    <m/>
    <s v="Bulgaria stocks"/>
  </r>
  <r>
    <m/>
    <n v="50"/>
    <x v="54"/>
    <d v="2001-06-01T00:00:00"/>
    <x v="5"/>
    <n v="24"/>
    <m/>
    <n v="2001"/>
    <n v="14"/>
    <s v="LAC"/>
    <s v="Peru"/>
    <m/>
    <s v="Earthquake"/>
    <s v="Earthquake"/>
    <s v="Earthquake"/>
    <m/>
    <x v="0"/>
    <m/>
    <m/>
    <m/>
    <m/>
    <s v=""/>
    <m/>
    <m/>
    <m/>
    <m/>
    <m/>
    <m/>
    <m/>
    <x v="0"/>
    <m/>
    <m/>
    <n v="24420"/>
    <m/>
    <n v="24420"/>
    <n v="3"/>
    <m/>
    <m/>
    <n v="6107"/>
    <m/>
    <m/>
    <n v="5100"/>
    <m/>
    <m/>
    <n v="757"/>
    <m/>
    <m/>
    <m/>
    <m/>
    <n v="250"/>
    <m/>
    <m/>
    <m/>
    <n v="361260"/>
    <n v="313450"/>
    <n v="699130"/>
    <m/>
    <m/>
    <n v="15000"/>
    <n v="699130"/>
    <x v="1"/>
    <m/>
    <m/>
    <m/>
    <m/>
    <n v="2676"/>
    <m/>
    <m/>
    <m/>
    <m/>
    <m/>
    <m/>
    <m/>
    <m/>
    <m/>
    <m/>
    <m/>
    <m/>
    <s v="plastic sheeting ($81,250), blankets ($12,240), tents ($78,637). Total $271,627 (incl. transport).    tents ($147,706): Total $150,706 (incl. transport).  Replenishment of supplies $50,000"/>
  </r>
  <r>
    <m/>
    <n v="51"/>
    <x v="33"/>
    <d v="2001-07-01T00:00:00"/>
    <x v="6"/>
    <n v="1"/>
    <m/>
    <n v="2001"/>
    <n v="15"/>
    <s v="Europe/Asia"/>
    <s v="India"/>
    <m/>
    <s v="Floods"/>
    <s v="General Floods"/>
    <s v="General Floods"/>
    <n v="6000000"/>
    <x v="0"/>
    <m/>
    <m/>
    <m/>
    <m/>
    <s v=""/>
    <m/>
    <m/>
    <m/>
    <m/>
    <m/>
    <m/>
    <m/>
    <x v="0"/>
    <m/>
    <m/>
    <m/>
    <m/>
    <n v="0"/>
    <n v="0"/>
    <m/>
    <m/>
    <m/>
    <m/>
    <m/>
    <m/>
    <m/>
    <m/>
    <m/>
    <m/>
    <m/>
    <m/>
    <m/>
    <m/>
    <m/>
    <m/>
    <m/>
    <n v="100000"/>
    <m/>
    <n v="100000"/>
    <m/>
    <m/>
    <n v="10000"/>
    <n v="100000"/>
    <x v="1"/>
    <m/>
    <m/>
    <m/>
    <m/>
    <n v="2954"/>
    <m/>
    <m/>
    <m/>
    <m/>
    <m/>
    <m/>
    <m/>
    <m/>
    <m/>
    <m/>
    <m/>
    <m/>
    <m/>
  </r>
  <r>
    <m/>
    <n v="52"/>
    <x v="55"/>
    <d v="2001-08-01T00:00:00"/>
    <x v="6"/>
    <n v="2"/>
    <m/>
    <n v="2001"/>
    <n v="16"/>
    <s v="LAC"/>
    <s v="El Salvador"/>
    <m/>
    <s v="Drought"/>
    <s v="Drought"/>
    <s v="Drought"/>
    <m/>
    <x v="0"/>
    <m/>
    <m/>
    <m/>
    <m/>
    <s v=""/>
    <m/>
    <m/>
    <m/>
    <m/>
    <m/>
    <m/>
    <m/>
    <x v="0"/>
    <m/>
    <m/>
    <n v="25000"/>
    <m/>
    <n v="25000"/>
    <n v="5"/>
    <m/>
    <m/>
    <m/>
    <m/>
    <m/>
    <m/>
    <m/>
    <m/>
    <m/>
    <m/>
    <m/>
    <m/>
    <m/>
    <m/>
    <m/>
    <m/>
    <m/>
    <m/>
    <m/>
    <n v="25000"/>
    <m/>
    <m/>
    <n v="5000"/>
    <n v="25000"/>
    <x v="1"/>
    <m/>
    <m/>
    <m/>
    <m/>
    <n v="2837"/>
    <m/>
    <m/>
    <m/>
    <m/>
    <m/>
    <m/>
    <m/>
    <m/>
    <m/>
    <m/>
    <m/>
    <m/>
    <s v="$25,000 allocated to each national society to be implemented thr ARC delegations through $12,500 donation to the field delegation and $12,500 matched by the field.  Total expenditures through December 2001."/>
  </r>
  <r>
    <m/>
    <n v="52"/>
    <x v="56"/>
    <d v="2001-08-01T00:00:00"/>
    <x v="6"/>
    <n v="2"/>
    <m/>
    <n v="2001"/>
    <n v="16"/>
    <s v="LAC"/>
    <s v="Honduras"/>
    <m/>
    <s v="Drought"/>
    <s v="Drought"/>
    <s v="Drought"/>
    <m/>
    <x v="0"/>
    <m/>
    <m/>
    <m/>
    <m/>
    <s v=""/>
    <m/>
    <m/>
    <m/>
    <m/>
    <m/>
    <m/>
    <m/>
    <x v="0"/>
    <m/>
    <m/>
    <m/>
    <m/>
    <n v="0"/>
    <m/>
    <m/>
    <m/>
    <m/>
    <m/>
    <m/>
    <m/>
    <m/>
    <m/>
    <m/>
    <m/>
    <m/>
    <m/>
    <m/>
    <m/>
    <m/>
    <m/>
    <m/>
    <m/>
    <m/>
    <n v="0"/>
    <m/>
    <m/>
    <m/>
    <n v="0"/>
    <x v="1"/>
    <m/>
    <m/>
    <m/>
    <m/>
    <n v="2837"/>
    <m/>
    <m/>
    <m/>
    <m/>
    <m/>
    <m/>
    <m/>
    <m/>
    <m/>
    <m/>
    <m/>
    <m/>
    <m/>
  </r>
  <r>
    <m/>
    <n v="52"/>
    <x v="57"/>
    <d v="2001-08-01T00:00:00"/>
    <x v="6"/>
    <n v="2"/>
    <m/>
    <n v="2001"/>
    <n v="16"/>
    <s v="LAC"/>
    <s v="Nicaragua"/>
    <m/>
    <s v="Drought"/>
    <s v="Drought"/>
    <s v="Drought"/>
    <m/>
    <x v="0"/>
    <m/>
    <m/>
    <m/>
    <m/>
    <s v=""/>
    <m/>
    <m/>
    <m/>
    <m/>
    <m/>
    <m/>
    <m/>
    <x v="0"/>
    <m/>
    <m/>
    <m/>
    <m/>
    <n v="0"/>
    <m/>
    <m/>
    <m/>
    <m/>
    <m/>
    <m/>
    <m/>
    <m/>
    <m/>
    <m/>
    <m/>
    <m/>
    <m/>
    <m/>
    <m/>
    <m/>
    <m/>
    <m/>
    <m/>
    <m/>
    <n v="0"/>
    <m/>
    <m/>
    <m/>
    <n v="0"/>
    <x v="1"/>
    <m/>
    <m/>
    <m/>
    <m/>
    <n v="2837"/>
    <m/>
    <m/>
    <m/>
    <m/>
    <m/>
    <m/>
    <m/>
    <m/>
    <m/>
    <m/>
    <m/>
    <m/>
    <m/>
  </r>
  <r>
    <m/>
    <n v="52"/>
    <x v="58"/>
    <d v="2001-08-01T00:00:00"/>
    <x v="6"/>
    <n v="2"/>
    <m/>
    <n v="2001"/>
    <n v="16"/>
    <s v="LAC"/>
    <s v="Guatemala"/>
    <m/>
    <s v="Drought"/>
    <s v="Drought"/>
    <s v="Drought"/>
    <m/>
    <x v="0"/>
    <m/>
    <m/>
    <m/>
    <m/>
    <s v=""/>
    <m/>
    <m/>
    <m/>
    <m/>
    <m/>
    <m/>
    <m/>
    <x v="0"/>
    <m/>
    <m/>
    <m/>
    <m/>
    <n v="0"/>
    <m/>
    <m/>
    <m/>
    <m/>
    <m/>
    <m/>
    <m/>
    <m/>
    <m/>
    <m/>
    <m/>
    <m/>
    <m/>
    <m/>
    <m/>
    <m/>
    <m/>
    <m/>
    <m/>
    <m/>
    <n v="0"/>
    <m/>
    <m/>
    <m/>
    <n v="0"/>
    <x v="1"/>
    <m/>
    <m/>
    <m/>
    <m/>
    <n v="2837"/>
    <m/>
    <m/>
    <m/>
    <m/>
    <m/>
    <m/>
    <m/>
    <m/>
    <m/>
    <m/>
    <m/>
    <m/>
    <m/>
  </r>
  <r>
    <m/>
    <n v="53"/>
    <x v="59"/>
    <d v="2001-09-01T00:00:00"/>
    <x v="6"/>
    <n v="3"/>
    <m/>
    <n v="2001"/>
    <n v="17"/>
    <s v="LAC"/>
    <s v="Ecuador"/>
    <m/>
    <s v="Volcano"/>
    <s v="Volcanic Eruption"/>
    <s v="Volcanic Eruption"/>
    <m/>
    <x v="0"/>
    <m/>
    <m/>
    <m/>
    <m/>
    <s v=""/>
    <m/>
    <m/>
    <m/>
    <m/>
    <m/>
    <m/>
    <m/>
    <x v="0"/>
    <m/>
    <m/>
    <n v="10000"/>
    <m/>
    <n v="10000"/>
    <m/>
    <m/>
    <m/>
    <m/>
    <m/>
    <m/>
    <m/>
    <m/>
    <m/>
    <m/>
    <m/>
    <m/>
    <m/>
    <m/>
    <m/>
    <m/>
    <m/>
    <m/>
    <m/>
    <m/>
    <n v="10000"/>
    <m/>
    <m/>
    <n v="1000"/>
    <n v="10000"/>
    <x v="1"/>
    <m/>
    <m/>
    <m/>
    <m/>
    <n v="2898"/>
    <m/>
    <m/>
    <m/>
    <m/>
    <m/>
    <m/>
    <m/>
    <m/>
    <m/>
    <m/>
    <m/>
    <m/>
    <s v="$10,000 from IDRU in addition to $10,000 from the Americas Region to the Ecuador Red Cross for the Tungurahua Volcano Ash Fall "/>
  </r>
  <r>
    <m/>
    <n v="54"/>
    <x v="60"/>
    <d v="2001-09-01T00:00:00"/>
    <x v="6"/>
    <n v="4"/>
    <m/>
    <n v="2001"/>
    <n v="18"/>
    <s v="Europe/Asia"/>
    <s v="Afghanistan"/>
    <m/>
    <s v="Conflict"/>
    <s v="Conflict"/>
    <s v="Conflict"/>
    <m/>
    <x v="0"/>
    <m/>
    <m/>
    <m/>
    <m/>
    <s v=""/>
    <m/>
    <m/>
    <m/>
    <m/>
    <m/>
    <m/>
    <m/>
    <x v="0"/>
    <m/>
    <m/>
    <m/>
    <m/>
    <n v="0"/>
    <n v="12"/>
    <m/>
    <m/>
    <m/>
    <m/>
    <m/>
    <m/>
    <m/>
    <m/>
    <m/>
    <m/>
    <m/>
    <m/>
    <m/>
    <m/>
    <m/>
    <m/>
    <m/>
    <n v="2032231"/>
    <n v="200000"/>
    <n v="2232231"/>
    <n v="9767769"/>
    <m/>
    <n v="380000"/>
    <n v="12000000"/>
    <x v="1"/>
    <m/>
    <m/>
    <m/>
    <m/>
    <n v="2677"/>
    <m/>
    <m/>
    <m/>
    <m/>
    <m/>
    <m/>
    <m/>
    <m/>
    <m/>
    <m/>
    <m/>
    <m/>
    <s v="AFAC is a partnership with the White House.  Final report issued in August 2006."/>
  </r>
  <r>
    <m/>
    <n v="54"/>
    <x v="61"/>
    <d v="2001-09-01T00:00:00"/>
    <x v="6"/>
    <n v="4"/>
    <m/>
    <n v="2001"/>
    <n v="18"/>
    <s v="Europe/Asia"/>
    <s v="Pakistan"/>
    <m/>
    <s v="Conflict"/>
    <s v="Conflict"/>
    <s v="Conflict"/>
    <m/>
    <x v="0"/>
    <m/>
    <m/>
    <m/>
    <m/>
    <s v=""/>
    <m/>
    <m/>
    <m/>
    <m/>
    <m/>
    <m/>
    <m/>
    <x v="0"/>
    <m/>
    <m/>
    <m/>
    <m/>
    <n v="0"/>
    <m/>
    <m/>
    <m/>
    <m/>
    <m/>
    <m/>
    <m/>
    <m/>
    <m/>
    <m/>
    <m/>
    <m/>
    <m/>
    <m/>
    <m/>
    <m/>
    <m/>
    <m/>
    <m/>
    <m/>
    <n v="0"/>
    <m/>
    <m/>
    <m/>
    <n v="0"/>
    <x v="1"/>
    <m/>
    <m/>
    <m/>
    <m/>
    <n v="2677"/>
    <m/>
    <m/>
    <m/>
    <m/>
    <m/>
    <m/>
    <m/>
    <m/>
    <m/>
    <m/>
    <m/>
    <m/>
    <m/>
  </r>
  <r>
    <m/>
    <n v="54"/>
    <x v="62"/>
    <d v="2001-09-01T00:00:00"/>
    <x v="6"/>
    <n v="4"/>
    <m/>
    <n v="2001"/>
    <n v="18"/>
    <s v="Europe/Asia"/>
    <s v="Uzbekistan"/>
    <m/>
    <s v="Conflict"/>
    <s v="Conflict"/>
    <s v="Conflict"/>
    <m/>
    <x v="0"/>
    <m/>
    <m/>
    <m/>
    <m/>
    <s v=""/>
    <m/>
    <m/>
    <m/>
    <m/>
    <m/>
    <m/>
    <m/>
    <x v="0"/>
    <m/>
    <m/>
    <m/>
    <m/>
    <n v="0"/>
    <m/>
    <m/>
    <m/>
    <m/>
    <m/>
    <m/>
    <m/>
    <m/>
    <m/>
    <m/>
    <m/>
    <m/>
    <m/>
    <m/>
    <m/>
    <m/>
    <m/>
    <m/>
    <m/>
    <m/>
    <n v="0"/>
    <m/>
    <m/>
    <m/>
    <n v="0"/>
    <x v="1"/>
    <m/>
    <m/>
    <m/>
    <m/>
    <n v="2677"/>
    <m/>
    <m/>
    <m/>
    <m/>
    <m/>
    <m/>
    <m/>
    <m/>
    <m/>
    <m/>
    <m/>
    <m/>
    <m/>
  </r>
  <r>
    <m/>
    <n v="54"/>
    <x v="63"/>
    <d v="2001-09-01T00:00:00"/>
    <x v="6"/>
    <n v="4"/>
    <m/>
    <n v="2001"/>
    <n v="18"/>
    <s v="Europe/Asia"/>
    <s v="Iran"/>
    <m/>
    <s v="Conflict"/>
    <s v="Conflict"/>
    <s v="Conflict"/>
    <m/>
    <x v="0"/>
    <m/>
    <m/>
    <m/>
    <m/>
    <s v=""/>
    <m/>
    <m/>
    <m/>
    <m/>
    <m/>
    <m/>
    <m/>
    <x v="0"/>
    <m/>
    <m/>
    <m/>
    <m/>
    <n v="0"/>
    <m/>
    <m/>
    <m/>
    <m/>
    <m/>
    <m/>
    <m/>
    <m/>
    <m/>
    <m/>
    <m/>
    <m/>
    <m/>
    <m/>
    <m/>
    <m/>
    <m/>
    <m/>
    <m/>
    <m/>
    <n v="0"/>
    <m/>
    <m/>
    <m/>
    <n v="0"/>
    <x v="1"/>
    <m/>
    <m/>
    <m/>
    <m/>
    <n v="2677"/>
    <m/>
    <m/>
    <m/>
    <m/>
    <m/>
    <m/>
    <m/>
    <m/>
    <m/>
    <m/>
    <m/>
    <m/>
    <m/>
  </r>
  <r>
    <m/>
    <n v="54"/>
    <x v="64"/>
    <d v="2001-09-01T00:00:00"/>
    <x v="6"/>
    <n v="4"/>
    <m/>
    <n v="2001"/>
    <n v="18"/>
    <s v="Europe/Asia"/>
    <s v="Turkmenistan"/>
    <m/>
    <s v="Conflict"/>
    <s v="Conflict"/>
    <s v="Conflict"/>
    <m/>
    <x v="0"/>
    <m/>
    <m/>
    <m/>
    <m/>
    <s v=""/>
    <m/>
    <m/>
    <m/>
    <m/>
    <m/>
    <m/>
    <m/>
    <x v="0"/>
    <m/>
    <m/>
    <m/>
    <m/>
    <n v="0"/>
    <m/>
    <m/>
    <m/>
    <m/>
    <m/>
    <m/>
    <m/>
    <m/>
    <m/>
    <m/>
    <m/>
    <m/>
    <m/>
    <m/>
    <m/>
    <m/>
    <m/>
    <m/>
    <m/>
    <m/>
    <n v="0"/>
    <m/>
    <m/>
    <m/>
    <n v="0"/>
    <x v="1"/>
    <m/>
    <m/>
    <m/>
    <m/>
    <n v="2677"/>
    <m/>
    <m/>
    <m/>
    <m/>
    <m/>
    <m/>
    <m/>
    <m/>
    <m/>
    <m/>
    <m/>
    <m/>
    <m/>
  </r>
  <r>
    <m/>
    <n v="55"/>
    <x v="65"/>
    <d v="2001-09-01T00:00:00"/>
    <x v="6"/>
    <n v="5"/>
    <m/>
    <n v="2001"/>
    <n v="19"/>
    <s v="North America"/>
    <s v="US"/>
    <m/>
    <s v="Terrorism"/>
    <s v="Terrorism"/>
    <s v="Terrorism"/>
    <m/>
    <x v="0"/>
    <m/>
    <m/>
    <m/>
    <m/>
    <s v=""/>
    <m/>
    <m/>
    <m/>
    <m/>
    <m/>
    <m/>
    <m/>
    <x v="0"/>
    <m/>
    <m/>
    <n v="3257775.37"/>
    <m/>
    <n v="3257775.37"/>
    <n v="30"/>
    <m/>
    <m/>
    <m/>
    <m/>
    <m/>
    <m/>
    <m/>
    <m/>
    <m/>
    <m/>
    <m/>
    <m/>
    <m/>
    <m/>
    <m/>
    <m/>
    <m/>
    <n v="0"/>
    <n v="257704"/>
    <n v="3515479.37"/>
    <m/>
    <m/>
    <n v="2622"/>
    <n v="3515479.37"/>
    <x v="1"/>
    <m/>
    <m/>
    <m/>
    <m/>
    <n v="4949"/>
    <m/>
    <m/>
    <m/>
    <m/>
    <m/>
    <m/>
    <m/>
    <m/>
    <m/>
    <m/>
    <m/>
    <d v="2008-09-11T00:00:00"/>
    <s v="The $3,084,914.31 distributed was to international families of victims of the terrorist attacks.   Beneficiaries: 6 members per each family assisted."/>
  </r>
  <r>
    <m/>
    <n v="56"/>
    <x v="66"/>
    <d v="2001-09-01T00:00:00"/>
    <x v="6"/>
    <n v="6"/>
    <m/>
    <n v="2001"/>
    <n v="20"/>
    <s v="LAC"/>
    <s v="Mexico"/>
    <m/>
    <s v="Transport"/>
    <s v="Air"/>
    <s v="Air"/>
    <m/>
    <x v="0"/>
    <m/>
    <m/>
    <m/>
    <m/>
    <s v=""/>
    <m/>
    <m/>
    <m/>
    <m/>
    <m/>
    <m/>
    <m/>
    <x v="0"/>
    <m/>
    <m/>
    <m/>
    <m/>
    <n v="0"/>
    <n v="4"/>
    <m/>
    <m/>
    <m/>
    <m/>
    <m/>
    <m/>
    <m/>
    <m/>
    <m/>
    <m/>
    <m/>
    <m/>
    <m/>
    <m/>
    <m/>
    <m/>
    <m/>
    <n v="0"/>
    <n v="15000"/>
    <n v="15000"/>
    <m/>
    <m/>
    <n v="95"/>
    <n v="15000"/>
    <x v="1"/>
    <m/>
    <m/>
    <m/>
    <m/>
    <n v="2679"/>
    <m/>
    <m/>
    <m/>
    <m/>
    <m/>
    <m/>
    <m/>
    <m/>
    <m/>
    <m/>
    <m/>
    <s v="Plane Crash"/>
    <s v="Financial contribution made to memorial; beneficiaries: 5 members per each family assisted."/>
  </r>
  <r>
    <m/>
    <n v="57"/>
    <x v="67"/>
    <d v="2001-10-01T00:00:00"/>
    <x v="6"/>
    <n v="7"/>
    <m/>
    <n v="2001"/>
    <n v="21"/>
    <s v="LAC"/>
    <s v="Mexico"/>
    <m/>
    <s v="Storm"/>
    <s v="Tropical Cyclone"/>
    <s v="Hurricane"/>
    <m/>
    <x v="0"/>
    <m/>
    <m/>
    <m/>
    <m/>
    <s v=""/>
    <m/>
    <m/>
    <m/>
    <m/>
    <m/>
    <m/>
    <m/>
    <x v="0"/>
    <m/>
    <m/>
    <n v="25000"/>
    <m/>
    <n v="25000"/>
    <n v="1"/>
    <m/>
    <m/>
    <m/>
    <m/>
    <m/>
    <m/>
    <m/>
    <m/>
    <m/>
    <m/>
    <m/>
    <m/>
    <m/>
    <m/>
    <m/>
    <m/>
    <m/>
    <m/>
    <m/>
    <n v="25000"/>
    <m/>
    <m/>
    <n v="5000"/>
    <n v="25000"/>
    <x v="1"/>
    <m/>
    <m/>
    <m/>
    <m/>
    <n v="2898"/>
    <m/>
    <m/>
    <m/>
    <m/>
    <m/>
    <m/>
    <m/>
    <m/>
    <m/>
    <m/>
    <m/>
    <s v="Juliette"/>
    <s v="Financial contribution designated for relief supplies.  Beneficiaries: 5 members per each family assisted."/>
  </r>
  <r>
    <m/>
    <n v="58"/>
    <x v="68"/>
    <d v="2001-10-01T00:00:00"/>
    <x v="6"/>
    <n v="8"/>
    <m/>
    <n v="2001"/>
    <n v="22"/>
    <s v="LAC"/>
    <s v="Belize"/>
    <m/>
    <s v="Meteorological"/>
    <s v="Tropical Cyclone"/>
    <s v="Hurricane"/>
    <m/>
    <x v="0"/>
    <m/>
    <m/>
    <m/>
    <m/>
    <s v=""/>
    <m/>
    <m/>
    <m/>
    <m/>
    <m/>
    <m/>
    <m/>
    <x v="0"/>
    <m/>
    <m/>
    <n v="25000"/>
    <m/>
    <n v="25000"/>
    <n v="3"/>
    <m/>
    <m/>
    <m/>
    <m/>
    <m/>
    <m/>
    <m/>
    <m/>
    <m/>
    <m/>
    <m/>
    <m/>
    <m/>
    <m/>
    <m/>
    <m/>
    <m/>
    <n v="69000"/>
    <n v="3982"/>
    <n v="97982"/>
    <m/>
    <m/>
    <n v="5000"/>
    <n v="97982"/>
    <x v="1"/>
    <m/>
    <m/>
    <m/>
    <m/>
    <n v="2678"/>
    <m/>
    <m/>
    <m/>
    <m/>
    <m/>
    <m/>
    <m/>
    <m/>
    <m/>
    <m/>
    <m/>
    <s v="Iris"/>
    <s v="$20,000 for hygiene kits; $19,000 given to Guatemala ARC delegation for hygiene kits and $50,000 in relief supplies to BRC."/>
  </r>
  <r>
    <m/>
    <n v="59"/>
    <x v="69"/>
    <d v="2001-10-01T00:00:00"/>
    <x v="6"/>
    <n v="9"/>
    <m/>
    <n v="2001"/>
    <n v="23"/>
    <s v="LAC"/>
    <s v="Belize"/>
    <m/>
    <s v="Transport"/>
    <s v="Water"/>
    <s v="Water"/>
    <m/>
    <x v="0"/>
    <m/>
    <m/>
    <m/>
    <m/>
    <s v=""/>
    <m/>
    <m/>
    <m/>
    <m/>
    <m/>
    <m/>
    <m/>
    <x v="0"/>
    <m/>
    <m/>
    <m/>
    <m/>
    <n v="0"/>
    <n v="2"/>
    <m/>
    <m/>
    <m/>
    <m/>
    <m/>
    <m/>
    <m/>
    <m/>
    <m/>
    <m/>
    <m/>
    <m/>
    <m/>
    <m/>
    <m/>
    <m/>
    <m/>
    <n v="0"/>
    <n v="4400"/>
    <n v="4400"/>
    <m/>
    <m/>
    <n v="135"/>
    <n v="4400"/>
    <x v="1"/>
    <m/>
    <m/>
    <m/>
    <m/>
    <n v="2898"/>
    <m/>
    <m/>
    <m/>
    <m/>
    <m/>
    <m/>
    <m/>
    <m/>
    <m/>
    <m/>
    <m/>
    <s v="Boat Crash"/>
    <s v="Beneficiaries calculated at 5 family members per each 27 families assisted."/>
  </r>
  <r>
    <m/>
    <n v="60"/>
    <x v="70"/>
    <d v="2001-10-01T00:00:00"/>
    <x v="6"/>
    <n v="10"/>
    <m/>
    <n v="2001"/>
    <n v="24"/>
    <s v="LAC"/>
    <s v="Honduras"/>
    <m/>
    <s v="Storm"/>
    <s v="Tropical Cyclone"/>
    <s v="Tropical Storm"/>
    <m/>
    <x v="0"/>
    <m/>
    <m/>
    <m/>
    <m/>
    <s v=""/>
    <m/>
    <m/>
    <m/>
    <m/>
    <m/>
    <m/>
    <m/>
    <x v="0"/>
    <m/>
    <m/>
    <m/>
    <m/>
    <n v="0"/>
    <m/>
    <m/>
    <m/>
    <m/>
    <m/>
    <m/>
    <m/>
    <m/>
    <m/>
    <m/>
    <m/>
    <m/>
    <m/>
    <m/>
    <m/>
    <m/>
    <m/>
    <m/>
    <m/>
    <m/>
    <n v="0"/>
    <m/>
    <m/>
    <m/>
    <n v="0"/>
    <x v="1"/>
    <m/>
    <m/>
    <m/>
    <m/>
    <n v="2898"/>
    <m/>
    <m/>
    <m/>
    <m/>
    <m/>
    <m/>
    <m/>
    <m/>
    <m/>
    <m/>
    <m/>
    <s v="Michelle"/>
    <m/>
  </r>
  <r>
    <m/>
    <n v="60"/>
    <x v="71"/>
    <d v="2001-11-01T00:00:00"/>
    <x v="6"/>
    <n v="10"/>
    <m/>
    <n v="2001"/>
    <n v="24"/>
    <s v="LAC"/>
    <s v="Nicaragua"/>
    <m/>
    <s v="Storm"/>
    <s v="Tropical Cyclone"/>
    <s v="Tropical Storm"/>
    <m/>
    <x v="0"/>
    <m/>
    <m/>
    <m/>
    <m/>
    <s v=""/>
    <m/>
    <m/>
    <m/>
    <m/>
    <m/>
    <m/>
    <m/>
    <x v="0"/>
    <m/>
    <m/>
    <m/>
    <m/>
    <n v="0"/>
    <m/>
    <m/>
    <m/>
    <m/>
    <m/>
    <m/>
    <m/>
    <m/>
    <m/>
    <m/>
    <m/>
    <m/>
    <m/>
    <m/>
    <m/>
    <m/>
    <m/>
    <m/>
    <m/>
    <n v="60000"/>
    <n v="60000"/>
    <m/>
    <m/>
    <n v="5000"/>
    <n v="60000"/>
    <x v="1"/>
    <m/>
    <m/>
    <m/>
    <m/>
    <n v="2898"/>
    <m/>
    <m/>
    <m/>
    <m/>
    <m/>
    <m/>
    <m/>
    <m/>
    <m/>
    <m/>
    <m/>
    <s v="Michelle"/>
    <s v="$10,000 from Nicaragua delegation for procurement of relief supplies.  $50,000 from OFDA for Honduras. (The 1,000 families assisted were in Honduras through the Emergency Food Rations) "/>
  </r>
  <r>
    <m/>
    <n v="60"/>
    <x v="72"/>
    <d v="2001-11-01T00:00:00"/>
    <x v="6"/>
    <n v="10"/>
    <m/>
    <n v="2001"/>
    <n v="24"/>
    <s v="LAC"/>
    <s v="Cuba"/>
    <m/>
    <s v="Storm"/>
    <s v="Tropical Cyclone"/>
    <s v="Tropical Storm"/>
    <m/>
    <x v="0"/>
    <m/>
    <m/>
    <m/>
    <m/>
    <s v=""/>
    <m/>
    <m/>
    <m/>
    <m/>
    <m/>
    <m/>
    <m/>
    <x v="0"/>
    <m/>
    <m/>
    <m/>
    <m/>
    <n v="0"/>
    <m/>
    <m/>
    <m/>
    <m/>
    <m/>
    <m/>
    <m/>
    <m/>
    <m/>
    <m/>
    <m/>
    <m/>
    <m/>
    <m/>
    <m/>
    <m/>
    <m/>
    <m/>
    <m/>
    <m/>
    <n v="0"/>
    <m/>
    <m/>
    <m/>
    <n v="0"/>
    <x v="1"/>
    <m/>
    <m/>
    <m/>
    <m/>
    <n v="2898"/>
    <m/>
    <m/>
    <m/>
    <m/>
    <m/>
    <m/>
    <m/>
    <m/>
    <m/>
    <m/>
    <m/>
    <s v="Michelle"/>
    <m/>
  </r>
  <r>
    <m/>
    <n v="60"/>
    <x v="73"/>
    <d v="2001-11-01T00:00:00"/>
    <x v="6"/>
    <n v="10"/>
    <m/>
    <n v="2001"/>
    <n v="24"/>
    <s v="LAC"/>
    <s v="Jamaica"/>
    <m/>
    <s v="Storm"/>
    <s v="Tropical Cyclone"/>
    <s v="Tropical Storm"/>
    <m/>
    <x v="0"/>
    <m/>
    <m/>
    <m/>
    <m/>
    <s v=""/>
    <m/>
    <m/>
    <m/>
    <m/>
    <m/>
    <m/>
    <m/>
    <x v="0"/>
    <m/>
    <m/>
    <n v="5000"/>
    <m/>
    <n v="5000"/>
    <m/>
    <m/>
    <m/>
    <m/>
    <m/>
    <m/>
    <m/>
    <m/>
    <m/>
    <m/>
    <m/>
    <m/>
    <m/>
    <m/>
    <m/>
    <m/>
    <m/>
    <m/>
    <m/>
    <m/>
    <n v="5000"/>
    <m/>
    <m/>
    <m/>
    <n v="5000"/>
    <x v="1"/>
    <m/>
    <m/>
    <m/>
    <m/>
    <n v="2898"/>
    <m/>
    <m/>
    <m/>
    <m/>
    <m/>
    <m/>
    <m/>
    <m/>
    <m/>
    <m/>
    <m/>
    <s v="Michelle"/>
    <m/>
  </r>
  <r>
    <m/>
    <n v="61"/>
    <x v="13"/>
    <d v="2001-11-01T00:00:00"/>
    <x v="6"/>
    <n v="11"/>
    <m/>
    <n v="2001"/>
    <n v="25"/>
    <s v="LAC"/>
    <s v="Bahamas"/>
    <m/>
    <s v="Storm"/>
    <s v="Tropical Cyclone"/>
    <s v="Tropical Storm"/>
    <m/>
    <x v="0"/>
    <m/>
    <m/>
    <m/>
    <m/>
    <s v=""/>
    <m/>
    <m/>
    <m/>
    <m/>
    <m/>
    <m/>
    <m/>
    <x v="0"/>
    <m/>
    <m/>
    <n v="5000"/>
    <m/>
    <n v="5000"/>
    <n v="0"/>
    <m/>
    <m/>
    <m/>
    <m/>
    <m/>
    <m/>
    <m/>
    <m/>
    <m/>
    <m/>
    <m/>
    <m/>
    <m/>
    <m/>
    <m/>
    <m/>
    <m/>
    <m/>
    <m/>
    <n v="5000"/>
    <m/>
    <m/>
    <m/>
    <n v="5000"/>
    <x v="1"/>
    <m/>
    <m/>
    <m/>
    <m/>
    <n v="2898"/>
    <m/>
    <m/>
    <m/>
    <m/>
    <m/>
    <m/>
    <m/>
    <m/>
    <m/>
    <m/>
    <m/>
    <s v="Michelle"/>
    <m/>
  </r>
  <r>
    <m/>
    <n v="62"/>
    <x v="74"/>
    <d v="2001-11-01T00:00:00"/>
    <x v="6"/>
    <n v="12"/>
    <m/>
    <n v="2001"/>
    <n v="26"/>
    <s v="North America"/>
    <s v="US"/>
    <m/>
    <s v="Transport"/>
    <s v="Air"/>
    <s v="Air"/>
    <m/>
    <x v="0"/>
    <m/>
    <m/>
    <m/>
    <m/>
    <s v=""/>
    <m/>
    <m/>
    <m/>
    <m/>
    <m/>
    <m/>
    <m/>
    <x v="0"/>
    <m/>
    <m/>
    <m/>
    <m/>
    <n v="0"/>
    <n v="5"/>
    <m/>
    <m/>
    <m/>
    <m/>
    <m/>
    <m/>
    <m/>
    <m/>
    <m/>
    <m/>
    <m/>
    <m/>
    <m/>
    <m/>
    <m/>
    <m/>
    <m/>
    <n v="0"/>
    <n v="500"/>
    <n v="500"/>
    <m/>
    <m/>
    <m/>
    <n v="500"/>
    <x v="1"/>
    <m/>
    <m/>
    <m/>
    <m/>
    <n v="2680"/>
    <m/>
    <m/>
    <m/>
    <m/>
    <m/>
    <m/>
    <m/>
    <m/>
    <m/>
    <m/>
    <m/>
    <s v="AA #587"/>
    <s v="Crash of AA 587 to D.R.  Beneficiaries calculated at 5 family members per each 260 families assisted."/>
  </r>
  <r>
    <m/>
    <n v="63"/>
    <x v="75"/>
    <d v="2002-01-01T00:00:00"/>
    <x v="6"/>
    <n v="13"/>
    <m/>
    <n v="2002"/>
    <n v="1"/>
    <s v="Europe/Asia"/>
    <s v="Cambodia"/>
    <m/>
    <s v="Miscellaneous"/>
    <s v="Fire"/>
    <s v="Urban Fire"/>
    <m/>
    <x v="0"/>
    <m/>
    <m/>
    <m/>
    <m/>
    <s v=""/>
    <m/>
    <m/>
    <m/>
    <m/>
    <m/>
    <m/>
    <m/>
    <x v="0"/>
    <m/>
    <m/>
    <m/>
    <m/>
    <n v="0"/>
    <m/>
    <m/>
    <m/>
    <m/>
    <m/>
    <m/>
    <m/>
    <m/>
    <m/>
    <m/>
    <m/>
    <m/>
    <m/>
    <m/>
    <m/>
    <m/>
    <m/>
    <m/>
    <n v="10000"/>
    <m/>
    <n v="10000"/>
    <m/>
    <m/>
    <n v="2079"/>
    <n v="10000"/>
    <x v="1"/>
    <m/>
    <m/>
    <m/>
    <m/>
    <n v="2898"/>
    <m/>
    <m/>
    <m/>
    <m/>
    <m/>
    <m/>
    <m/>
    <m/>
    <m/>
    <m/>
    <m/>
    <s v="Phnom Penh"/>
    <m/>
  </r>
  <r>
    <m/>
    <n v="64"/>
    <x v="76"/>
    <d v="2002-01-01T00:00:00"/>
    <x v="6"/>
    <n v="14"/>
    <m/>
    <n v="2002"/>
    <n v="2"/>
    <s v="Europe/Asia"/>
    <s v="Albania"/>
    <m/>
    <s v="Storm"/>
    <s v="Winter Emergency"/>
    <m/>
    <m/>
    <x v="0"/>
    <m/>
    <m/>
    <m/>
    <m/>
    <s v=""/>
    <m/>
    <m/>
    <m/>
    <m/>
    <m/>
    <m/>
    <m/>
    <x v="0"/>
    <m/>
    <m/>
    <m/>
    <m/>
    <n v="0"/>
    <n v="1"/>
    <m/>
    <m/>
    <m/>
    <m/>
    <m/>
    <m/>
    <m/>
    <m/>
    <m/>
    <m/>
    <m/>
    <m/>
    <m/>
    <m/>
    <m/>
    <m/>
    <m/>
    <n v="71832"/>
    <m/>
    <n v="71832"/>
    <m/>
    <m/>
    <n v="20000"/>
    <n v="71832"/>
    <x v="1"/>
    <m/>
    <m/>
    <m/>
    <m/>
    <n v="2898"/>
    <m/>
    <m/>
    <m/>
    <m/>
    <m/>
    <m/>
    <m/>
    <m/>
    <m/>
    <m/>
    <m/>
    <m/>
    <s v="Beneficiaries calculated at 5 family members per the 4,000 families assisted."/>
  </r>
  <r>
    <m/>
    <n v="65"/>
    <x v="77"/>
    <d v="2002-01-01T00:00:00"/>
    <x v="6"/>
    <n v="15"/>
    <m/>
    <n v="2002"/>
    <n v="3"/>
    <s v="Africa"/>
    <s v="DR Congo"/>
    <m/>
    <s v="Volcano"/>
    <s v="Volcanic Eruption"/>
    <s v="Volcanic Eruption"/>
    <m/>
    <x v="0"/>
    <m/>
    <m/>
    <m/>
    <m/>
    <s v=""/>
    <m/>
    <m/>
    <m/>
    <m/>
    <m/>
    <m/>
    <m/>
    <x v="2"/>
    <n v="25000"/>
    <m/>
    <m/>
    <m/>
    <n v="25000"/>
    <m/>
    <m/>
    <m/>
    <m/>
    <m/>
    <m/>
    <m/>
    <m/>
    <m/>
    <m/>
    <m/>
    <m/>
    <m/>
    <m/>
    <m/>
    <m/>
    <m/>
    <m/>
    <n v="20000"/>
    <m/>
    <n v="45000"/>
    <m/>
    <m/>
    <n v="30000"/>
    <n v="45000"/>
    <x v="1"/>
    <m/>
    <m/>
    <m/>
    <m/>
    <n v="2681"/>
    <m/>
    <m/>
    <m/>
    <m/>
    <m/>
    <m/>
    <m/>
    <m/>
    <m/>
    <m/>
    <m/>
    <s v="North Kivu"/>
    <s v="3 NEHK (approx. value $20,000 incl. transport) = 30,000 people for 3 months."/>
  </r>
  <r>
    <m/>
    <n v="66"/>
    <x v="78"/>
    <d v="2002-01-01T00:00:00"/>
    <x v="6"/>
    <n v="17"/>
    <m/>
    <n v="2002"/>
    <n v="5"/>
    <s v="Africa"/>
    <s v="Nigeria"/>
    <m/>
    <s v="Industrial"/>
    <s v="Explosion"/>
    <s v="Explosion"/>
    <m/>
    <x v="0"/>
    <m/>
    <m/>
    <m/>
    <m/>
    <s v=""/>
    <m/>
    <m/>
    <m/>
    <m/>
    <m/>
    <m/>
    <m/>
    <x v="2"/>
    <n v="21612.23"/>
    <m/>
    <m/>
    <m/>
    <n v="21612.23"/>
    <m/>
    <m/>
    <m/>
    <m/>
    <m/>
    <m/>
    <m/>
    <m/>
    <m/>
    <m/>
    <m/>
    <m/>
    <m/>
    <m/>
    <m/>
    <m/>
    <m/>
    <m/>
    <m/>
    <m/>
    <n v="21612.23"/>
    <m/>
    <m/>
    <n v="677.77942515832501"/>
    <n v="21612.23"/>
    <x v="1"/>
    <m/>
    <m/>
    <m/>
    <m/>
    <n v="2682"/>
    <m/>
    <m/>
    <m/>
    <m/>
    <m/>
    <m/>
    <m/>
    <m/>
    <m/>
    <m/>
    <m/>
    <s v="Munitions Explosion"/>
    <s v="$20,000 Citicorp donation; $1,612.23 PMN sent to Federation 22 August 03"/>
  </r>
  <r>
    <m/>
    <n v="67"/>
    <x v="9"/>
    <d v="2002-02-01T00:00:00"/>
    <x v="6"/>
    <n v="16"/>
    <m/>
    <n v="2002"/>
    <n v="4"/>
    <s v="Europe/Asia"/>
    <s v="Turkey"/>
    <m/>
    <s v="Earthquake"/>
    <s v="Earthquake"/>
    <s v="Earthquake"/>
    <m/>
    <x v="0"/>
    <m/>
    <m/>
    <m/>
    <m/>
    <s v=""/>
    <m/>
    <m/>
    <m/>
    <m/>
    <m/>
    <m/>
    <m/>
    <x v="0"/>
    <m/>
    <m/>
    <m/>
    <m/>
    <n v="0"/>
    <n v="1"/>
    <m/>
    <m/>
    <m/>
    <m/>
    <m/>
    <m/>
    <m/>
    <m/>
    <m/>
    <m/>
    <m/>
    <m/>
    <m/>
    <m/>
    <m/>
    <m/>
    <m/>
    <n v="350424.24"/>
    <m/>
    <n v="350424.24"/>
    <m/>
    <m/>
    <n v="49315"/>
    <n v="350424.24"/>
    <x v="1"/>
    <m/>
    <m/>
    <m/>
    <m/>
    <n v="2814"/>
    <m/>
    <m/>
    <m/>
    <m/>
    <m/>
    <m/>
    <m/>
    <m/>
    <m/>
    <m/>
    <m/>
    <m/>
    <m/>
  </r>
  <r>
    <m/>
    <n v="68"/>
    <x v="48"/>
    <d v="2002-03-01T00:00:00"/>
    <x v="6"/>
    <n v="18"/>
    <m/>
    <n v="2002"/>
    <n v="6"/>
    <s v="LAC"/>
    <s v="Bolivia"/>
    <m/>
    <s v="Floods"/>
    <s v="General Floods"/>
    <s v="General Floods"/>
    <m/>
    <x v="0"/>
    <m/>
    <m/>
    <m/>
    <m/>
    <s v=""/>
    <m/>
    <m/>
    <m/>
    <m/>
    <m/>
    <m/>
    <m/>
    <x v="0"/>
    <m/>
    <m/>
    <n v="11700"/>
    <m/>
    <n v="11700"/>
    <m/>
    <m/>
    <m/>
    <m/>
    <m/>
    <m/>
    <m/>
    <m/>
    <m/>
    <m/>
    <m/>
    <m/>
    <m/>
    <m/>
    <m/>
    <m/>
    <m/>
    <m/>
    <m/>
    <m/>
    <n v="11700"/>
    <m/>
    <m/>
    <n v="300"/>
    <n v="11700"/>
    <x v="1"/>
    <m/>
    <m/>
    <m/>
    <m/>
    <n v="2898"/>
    <m/>
    <m/>
    <m/>
    <m/>
    <m/>
    <m/>
    <m/>
    <m/>
    <m/>
    <m/>
    <m/>
    <m/>
    <m/>
  </r>
  <r>
    <m/>
    <n v="69"/>
    <x v="79"/>
    <d v="2002-03-01T00:00:00"/>
    <x v="6"/>
    <n v="19"/>
    <m/>
    <n v="2002"/>
    <n v="7"/>
    <s v="Europe/Asia"/>
    <s v="Afghanistan"/>
    <m/>
    <s v="Earthquake"/>
    <s v="Earthquake"/>
    <s v="Earthquake"/>
    <m/>
    <x v="0"/>
    <m/>
    <m/>
    <m/>
    <m/>
    <s v=""/>
    <m/>
    <m/>
    <m/>
    <m/>
    <m/>
    <m/>
    <m/>
    <x v="0"/>
    <m/>
    <n v="104805"/>
    <m/>
    <m/>
    <n v="104805"/>
    <n v="2"/>
    <m/>
    <m/>
    <m/>
    <m/>
    <m/>
    <m/>
    <m/>
    <m/>
    <m/>
    <m/>
    <m/>
    <m/>
    <m/>
    <m/>
    <m/>
    <m/>
    <m/>
    <m/>
    <m/>
    <n v="104805"/>
    <m/>
    <m/>
    <n v="19678.7"/>
    <n v="104805"/>
    <x v="1"/>
    <m/>
    <m/>
    <m/>
    <m/>
    <n v="2876"/>
    <m/>
    <m/>
    <m/>
    <m/>
    <m/>
    <m/>
    <m/>
    <m/>
    <m/>
    <m/>
    <m/>
    <m/>
    <s v="NEHK for Mazar e Sharif "/>
  </r>
  <r>
    <m/>
    <n v="70"/>
    <x v="36"/>
    <d v="2002-04-01T00:00:00"/>
    <x v="6"/>
    <n v="20"/>
    <m/>
    <n v="2002"/>
    <n v="8"/>
    <s v="Europe/Asia"/>
    <s v="Jordan"/>
    <m/>
    <s v="Conflict"/>
    <s v="Conflict"/>
    <s v="Conflict"/>
    <m/>
    <x v="0"/>
    <m/>
    <m/>
    <m/>
    <m/>
    <s v=""/>
    <m/>
    <m/>
    <m/>
    <m/>
    <m/>
    <m/>
    <m/>
    <x v="2"/>
    <n v="25000"/>
    <m/>
    <n v="200000"/>
    <m/>
    <n v="225000"/>
    <n v="1"/>
    <m/>
    <m/>
    <m/>
    <m/>
    <m/>
    <m/>
    <m/>
    <m/>
    <m/>
    <m/>
    <m/>
    <m/>
    <m/>
    <m/>
    <m/>
    <m/>
    <m/>
    <m/>
    <m/>
    <n v="225000"/>
    <m/>
    <m/>
    <m/>
    <n v="225000"/>
    <x v="1"/>
    <m/>
    <m/>
    <m/>
    <m/>
    <n v="2898"/>
    <m/>
    <m/>
    <m/>
    <m/>
    <m/>
    <m/>
    <m/>
    <m/>
    <m/>
    <m/>
    <m/>
    <m/>
    <s v="Second Installment for ICU sent in Nov 2002"/>
  </r>
  <r>
    <m/>
    <n v="71"/>
    <x v="80"/>
    <d v="2002-05-01T00:00:00"/>
    <x v="6"/>
    <n v="21"/>
    <m/>
    <n v="2002"/>
    <n v="9"/>
    <s v="LAC"/>
    <s v="Panama"/>
    <m/>
    <s v="Floods"/>
    <s v="General Floods"/>
    <s v="General Floods"/>
    <m/>
    <x v="0"/>
    <m/>
    <m/>
    <m/>
    <m/>
    <s v=""/>
    <m/>
    <m/>
    <m/>
    <m/>
    <m/>
    <m/>
    <m/>
    <x v="0"/>
    <m/>
    <m/>
    <n v="2000"/>
    <m/>
    <n v="2000"/>
    <m/>
    <m/>
    <m/>
    <m/>
    <m/>
    <m/>
    <m/>
    <m/>
    <m/>
    <m/>
    <m/>
    <m/>
    <m/>
    <m/>
    <m/>
    <m/>
    <m/>
    <m/>
    <m/>
    <m/>
    <n v="2000"/>
    <m/>
    <m/>
    <m/>
    <n v="2000"/>
    <x v="1"/>
    <m/>
    <m/>
    <m/>
    <m/>
    <n v="2898"/>
    <m/>
    <m/>
    <m/>
    <m/>
    <m/>
    <m/>
    <m/>
    <m/>
    <m/>
    <m/>
    <m/>
    <m/>
    <m/>
  </r>
  <r>
    <m/>
    <n v="71"/>
    <x v="7"/>
    <d v="2002-05-01T00:00:00"/>
    <x v="6"/>
    <n v="21"/>
    <m/>
    <n v="2002"/>
    <n v="9"/>
    <s v="LAC"/>
    <s v="Costa Rica"/>
    <m/>
    <s v="Floods"/>
    <s v="General Floods"/>
    <s v="General Floods"/>
    <m/>
    <x v="0"/>
    <m/>
    <m/>
    <m/>
    <m/>
    <s v=""/>
    <m/>
    <m/>
    <m/>
    <m/>
    <m/>
    <m/>
    <m/>
    <x v="0"/>
    <m/>
    <m/>
    <n v="2000"/>
    <m/>
    <n v="2000"/>
    <m/>
    <m/>
    <m/>
    <m/>
    <m/>
    <m/>
    <m/>
    <m/>
    <m/>
    <m/>
    <m/>
    <m/>
    <m/>
    <m/>
    <m/>
    <m/>
    <m/>
    <m/>
    <m/>
    <m/>
    <n v="2000"/>
    <m/>
    <m/>
    <n v="0"/>
    <n v="2000"/>
    <x v="1"/>
    <m/>
    <m/>
    <m/>
    <m/>
    <n v="2898"/>
    <m/>
    <m/>
    <m/>
    <m/>
    <m/>
    <m/>
    <m/>
    <m/>
    <m/>
    <m/>
    <m/>
    <m/>
    <m/>
  </r>
  <r>
    <m/>
    <n v="72"/>
    <x v="81"/>
    <d v="2002-05-01T00:00:00"/>
    <x v="6"/>
    <n v="22"/>
    <m/>
    <n v="2002"/>
    <n v="10"/>
    <s v="Africa"/>
    <s v="Kenya"/>
    <m/>
    <s v="Floods"/>
    <s v="General Floods"/>
    <s v="General Floods"/>
    <m/>
    <x v="0"/>
    <m/>
    <m/>
    <m/>
    <m/>
    <s v=""/>
    <m/>
    <m/>
    <m/>
    <m/>
    <m/>
    <m/>
    <m/>
    <x v="2"/>
    <n v="10000"/>
    <m/>
    <m/>
    <m/>
    <n v="10000"/>
    <m/>
    <m/>
    <m/>
    <m/>
    <m/>
    <m/>
    <m/>
    <m/>
    <m/>
    <m/>
    <m/>
    <m/>
    <m/>
    <m/>
    <m/>
    <m/>
    <m/>
    <m/>
    <m/>
    <m/>
    <n v="10000"/>
    <m/>
    <m/>
    <n v="1160.6960462049883"/>
    <n v="10000"/>
    <x v="1"/>
    <m/>
    <m/>
    <m/>
    <m/>
    <n v="2898"/>
    <m/>
    <m/>
    <m/>
    <m/>
    <m/>
    <m/>
    <m/>
    <m/>
    <m/>
    <m/>
    <m/>
    <m/>
    <m/>
  </r>
  <r>
    <m/>
    <n v="73"/>
    <x v="82"/>
    <d v="2002-05-01T00:00:00"/>
    <x v="6"/>
    <n v="23"/>
    <m/>
    <n v="2002"/>
    <n v="11"/>
    <s v="Africa"/>
    <s v="Malawi"/>
    <m/>
    <s v="Food Insecurity"/>
    <s v="Food Insecurity"/>
    <s v="Food Insecurity"/>
    <m/>
    <x v="0"/>
    <m/>
    <m/>
    <m/>
    <m/>
    <s v=""/>
    <m/>
    <m/>
    <m/>
    <m/>
    <m/>
    <m/>
    <m/>
    <x v="0"/>
    <m/>
    <m/>
    <m/>
    <m/>
    <n v="0"/>
    <n v="3"/>
    <m/>
    <m/>
    <m/>
    <m/>
    <m/>
    <m/>
    <m/>
    <m/>
    <m/>
    <m/>
    <m/>
    <m/>
    <m/>
    <m/>
    <m/>
    <m/>
    <m/>
    <m/>
    <n v="100000"/>
    <n v="100000"/>
    <m/>
    <m/>
    <n v="96000"/>
    <n v="100000"/>
    <x v="1"/>
    <m/>
    <m/>
    <m/>
    <m/>
    <n v="2683"/>
    <m/>
    <m/>
    <m/>
    <m/>
    <m/>
    <m/>
    <m/>
    <m/>
    <m/>
    <m/>
    <m/>
    <m/>
    <m/>
  </r>
  <r>
    <m/>
    <n v="74"/>
    <x v="83"/>
    <d v="2002-06-01T00:00:00"/>
    <x v="6"/>
    <n v="24"/>
    <m/>
    <n v="2002"/>
    <n v="12"/>
    <s v="LAC"/>
    <s v="Nicaragua"/>
    <m/>
    <s v="Floods"/>
    <s v="General Floods"/>
    <s v="General Floods"/>
    <m/>
    <x v="0"/>
    <m/>
    <m/>
    <m/>
    <m/>
    <s v=""/>
    <m/>
    <m/>
    <m/>
    <m/>
    <m/>
    <m/>
    <m/>
    <x v="0"/>
    <m/>
    <m/>
    <m/>
    <m/>
    <n v="0"/>
    <n v="1"/>
    <m/>
    <m/>
    <m/>
    <m/>
    <m/>
    <m/>
    <m/>
    <m/>
    <m/>
    <m/>
    <m/>
    <m/>
    <m/>
    <m/>
    <m/>
    <m/>
    <m/>
    <m/>
    <m/>
    <n v="0"/>
    <m/>
    <m/>
    <n v="0"/>
    <n v="0"/>
    <x v="1"/>
    <m/>
    <m/>
    <m/>
    <m/>
    <n v="2821"/>
    <m/>
    <m/>
    <m/>
    <m/>
    <m/>
    <m/>
    <m/>
    <m/>
    <m/>
    <m/>
    <m/>
    <m/>
    <s v="supervised dist. of $50,000 of supplies given to NRC by USAID"/>
  </r>
  <r>
    <m/>
    <n v="75"/>
    <x v="84"/>
    <d v="2002-06-01T00:00:00"/>
    <x v="6"/>
    <n v="25"/>
    <m/>
    <n v="2002"/>
    <n v="13"/>
    <s v="Europe/Asia"/>
    <s v="Syria"/>
    <m/>
    <s v="Miscellaneous"/>
    <s v="Collapse"/>
    <s v="Collapse"/>
    <m/>
    <x v="0"/>
    <m/>
    <m/>
    <m/>
    <m/>
    <s v=""/>
    <m/>
    <m/>
    <m/>
    <m/>
    <m/>
    <m/>
    <m/>
    <x v="2"/>
    <n v="10000"/>
    <m/>
    <m/>
    <m/>
    <n v="10000"/>
    <m/>
    <m/>
    <m/>
    <m/>
    <m/>
    <m/>
    <m/>
    <m/>
    <m/>
    <m/>
    <m/>
    <m/>
    <m/>
    <m/>
    <m/>
    <m/>
    <m/>
    <m/>
    <m/>
    <m/>
    <n v="10000"/>
    <m/>
    <m/>
    <n v="216.21621621621622"/>
    <n v="10000"/>
    <x v="1"/>
    <m/>
    <m/>
    <m/>
    <m/>
    <n v="2898"/>
    <m/>
    <m/>
    <m/>
    <m/>
    <m/>
    <m/>
    <m/>
    <m/>
    <m/>
    <m/>
    <m/>
    <s v="Dam Burst"/>
    <s v="Federation appeal15/2002 - Zeyzoun Dam Collapse"/>
  </r>
  <r>
    <m/>
    <n v="76"/>
    <x v="8"/>
    <d v="2002-06-01T00:00:00"/>
    <x v="6"/>
    <n v="26"/>
    <m/>
    <n v="2002"/>
    <n v="14"/>
    <s v="Europe/Asia"/>
    <s v="China"/>
    <m/>
    <s v="Floods"/>
    <s v="General Floods"/>
    <s v="General Floods"/>
    <m/>
    <x v="0"/>
    <m/>
    <m/>
    <m/>
    <m/>
    <s v=""/>
    <m/>
    <m/>
    <m/>
    <m/>
    <m/>
    <m/>
    <m/>
    <x v="0"/>
    <m/>
    <m/>
    <n v="75000"/>
    <m/>
    <n v="75000"/>
    <m/>
    <m/>
    <m/>
    <m/>
    <m/>
    <m/>
    <m/>
    <m/>
    <m/>
    <m/>
    <m/>
    <m/>
    <m/>
    <m/>
    <m/>
    <m/>
    <m/>
    <m/>
    <m/>
    <m/>
    <n v="75000"/>
    <m/>
    <m/>
    <n v="2243.493867783428"/>
    <n v="75000"/>
    <x v="1"/>
    <m/>
    <m/>
    <m/>
    <m/>
    <n v="2060"/>
    <m/>
    <m/>
    <m/>
    <m/>
    <m/>
    <m/>
    <m/>
    <m/>
    <m/>
    <m/>
    <m/>
    <m/>
    <s v="Federation appeal 16/2002; $75,000 from Region"/>
  </r>
  <r>
    <m/>
    <n v="76"/>
    <x v="8"/>
    <d v="2002-06-01T00:00:00"/>
    <x v="6"/>
    <n v="26"/>
    <m/>
    <n v="2002"/>
    <n v="14"/>
    <s v="Europe/Asia"/>
    <s v="China"/>
    <m/>
    <s v="Floods"/>
    <s v="General Floods"/>
    <s v="General Floods"/>
    <m/>
    <x v="0"/>
    <m/>
    <m/>
    <m/>
    <m/>
    <s v=""/>
    <m/>
    <m/>
    <m/>
    <m/>
    <m/>
    <m/>
    <m/>
    <x v="0"/>
    <m/>
    <m/>
    <n v="25000"/>
    <m/>
    <n v="25000"/>
    <m/>
    <m/>
    <m/>
    <m/>
    <m/>
    <m/>
    <m/>
    <m/>
    <m/>
    <m/>
    <m/>
    <m/>
    <m/>
    <m/>
    <m/>
    <m/>
    <m/>
    <m/>
    <m/>
    <m/>
    <n v="25000"/>
    <m/>
    <m/>
    <m/>
    <n v="25000"/>
    <x v="1"/>
    <m/>
    <m/>
    <m/>
    <m/>
    <n v="2898"/>
    <m/>
    <m/>
    <m/>
    <m/>
    <m/>
    <m/>
    <m/>
    <m/>
    <m/>
    <m/>
    <m/>
    <m/>
    <m/>
  </r>
  <r>
    <m/>
    <n v="76"/>
    <x v="8"/>
    <d v="2002-06-01T00:00:00"/>
    <x v="6"/>
    <n v="26"/>
    <m/>
    <n v="2002"/>
    <n v="14"/>
    <s v="Europe/Asia"/>
    <s v="China"/>
    <m/>
    <s v="Floods"/>
    <s v="General Floods"/>
    <s v="General Floods"/>
    <m/>
    <x v="0"/>
    <m/>
    <m/>
    <m/>
    <m/>
    <s v=""/>
    <m/>
    <m/>
    <m/>
    <m/>
    <m/>
    <m/>
    <m/>
    <x v="0"/>
    <m/>
    <m/>
    <n v="100000"/>
    <m/>
    <n v="100000"/>
    <m/>
    <m/>
    <m/>
    <m/>
    <m/>
    <m/>
    <m/>
    <m/>
    <m/>
    <m/>
    <m/>
    <m/>
    <m/>
    <m/>
    <m/>
    <m/>
    <m/>
    <m/>
    <m/>
    <m/>
    <n v="100000"/>
    <m/>
    <m/>
    <m/>
    <n v="100000"/>
    <x v="2"/>
    <m/>
    <m/>
    <m/>
    <m/>
    <n v="2099"/>
    <m/>
    <m/>
    <m/>
    <m/>
    <m/>
    <m/>
    <m/>
    <m/>
    <m/>
    <m/>
    <m/>
    <m/>
    <s v="$100,000 from Phillip Morris (AP 2099) in October 2002"/>
  </r>
  <r>
    <m/>
    <n v="77"/>
    <x v="51"/>
    <d v="2002-07-01T00:00:00"/>
    <x v="7"/>
    <n v="1"/>
    <m/>
    <n v="2002"/>
    <n v="15"/>
    <s v="Europe/Asia"/>
    <s v="Russian Fed."/>
    <m/>
    <s v="Floods"/>
    <s v="General Floods"/>
    <s v="General Floods"/>
    <m/>
    <x v="0"/>
    <m/>
    <m/>
    <m/>
    <m/>
    <s v=""/>
    <m/>
    <m/>
    <m/>
    <m/>
    <m/>
    <m/>
    <m/>
    <x v="0"/>
    <m/>
    <m/>
    <n v="50000"/>
    <m/>
    <n v="50000"/>
    <n v="1"/>
    <m/>
    <m/>
    <m/>
    <m/>
    <m/>
    <m/>
    <m/>
    <m/>
    <m/>
    <m/>
    <m/>
    <m/>
    <m/>
    <m/>
    <m/>
    <m/>
    <m/>
    <m/>
    <m/>
    <n v="50000"/>
    <m/>
    <m/>
    <n v="5000"/>
    <n v="50000"/>
    <x v="1"/>
    <m/>
    <m/>
    <m/>
    <m/>
    <n v="2664"/>
    <m/>
    <m/>
    <m/>
    <m/>
    <m/>
    <m/>
    <m/>
    <m/>
    <m/>
    <m/>
    <m/>
    <m/>
    <s v="Dagestan:  IRT Ramsey Rayyis; Federation Appeal 20/2002; grant from US Embassy in Moscow"/>
  </r>
  <r>
    <m/>
    <n v="78"/>
    <x v="85"/>
    <d v="2002-07-01T00:00:00"/>
    <x v="7"/>
    <n v="2"/>
    <m/>
    <n v="2002"/>
    <n v="16"/>
    <s v="Europe/Asia"/>
    <s v="FS Micronesia"/>
    <m/>
    <s v="Storm"/>
    <s v="Tropical Cyclone"/>
    <s v="Typhoon"/>
    <m/>
    <x v="0"/>
    <m/>
    <m/>
    <m/>
    <m/>
    <s v=""/>
    <m/>
    <m/>
    <m/>
    <m/>
    <m/>
    <m/>
    <m/>
    <x v="0"/>
    <m/>
    <m/>
    <m/>
    <m/>
    <n v="0"/>
    <m/>
    <m/>
    <m/>
    <m/>
    <m/>
    <m/>
    <m/>
    <m/>
    <m/>
    <m/>
    <m/>
    <m/>
    <m/>
    <m/>
    <m/>
    <m/>
    <m/>
    <m/>
    <n v="10000"/>
    <m/>
    <n v="10000"/>
    <m/>
    <m/>
    <n v="1000"/>
    <n v="10000"/>
    <x v="1"/>
    <m/>
    <m/>
    <m/>
    <m/>
    <n v="2898"/>
    <m/>
    <m/>
    <m/>
    <m/>
    <m/>
    <m/>
    <m/>
    <m/>
    <m/>
    <m/>
    <m/>
    <s v="Chata'an"/>
    <s v="Replenished Supplies sent from ARC/Saipan"/>
  </r>
  <r>
    <m/>
    <n v="79"/>
    <x v="86"/>
    <d v="2002-07-01T00:00:00"/>
    <x v="7"/>
    <n v="3"/>
    <m/>
    <n v="2002"/>
    <n v="17"/>
    <s v="LAC"/>
    <s v="Peru"/>
    <m/>
    <s v="Storm"/>
    <s v="Winter Storm"/>
    <s v="Snowstorm"/>
    <m/>
    <x v="0"/>
    <m/>
    <m/>
    <m/>
    <m/>
    <s v=""/>
    <m/>
    <m/>
    <m/>
    <m/>
    <m/>
    <m/>
    <m/>
    <x v="2"/>
    <n v="5000"/>
    <m/>
    <m/>
    <m/>
    <n v="5000"/>
    <m/>
    <m/>
    <m/>
    <m/>
    <m/>
    <m/>
    <m/>
    <m/>
    <m/>
    <m/>
    <m/>
    <m/>
    <m/>
    <m/>
    <m/>
    <m/>
    <m/>
    <m/>
    <m/>
    <m/>
    <n v="5000"/>
    <m/>
    <m/>
    <m/>
    <n v="5000"/>
    <x v="1"/>
    <m/>
    <m/>
    <m/>
    <m/>
    <n v="2898"/>
    <m/>
    <m/>
    <m/>
    <m/>
    <m/>
    <m/>
    <m/>
    <m/>
    <m/>
    <m/>
    <m/>
    <m/>
    <s v="DREF Replenishment"/>
  </r>
  <r>
    <m/>
    <n v="80"/>
    <x v="87"/>
    <d v="2002-07-01T00:00:00"/>
    <x v="7"/>
    <n v="4"/>
    <m/>
    <n v="2002"/>
    <n v="18"/>
    <s v="LAC"/>
    <s v="Bolivia"/>
    <m/>
    <s v="Storm"/>
    <s v="Winter Storm"/>
    <s v="Snowstorm"/>
    <m/>
    <x v="0"/>
    <m/>
    <m/>
    <m/>
    <m/>
    <s v=""/>
    <m/>
    <m/>
    <m/>
    <m/>
    <m/>
    <m/>
    <m/>
    <x v="2"/>
    <n v="5000"/>
    <m/>
    <m/>
    <m/>
    <n v="5000"/>
    <m/>
    <m/>
    <m/>
    <m/>
    <m/>
    <m/>
    <m/>
    <m/>
    <m/>
    <m/>
    <m/>
    <m/>
    <m/>
    <m/>
    <m/>
    <m/>
    <m/>
    <m/>
    <m/>
    <m/>
    <n v="5000"/>
    <m/>
    <m/>
    <m/>
    <n v="5000"/>
    <x v="1"/>
    <m/>
    <m/>
    <m/>
    <m/>
    <n v="2898"/>
    <m/>
    <m/>
    <m/>
    <m/>
    <m/>
    <m/>
    <m/>
    <m/>
    <m/>
    <m/>
    <m/>
    <m/>
    <s v="DREF Replenishment"/>
  </r>
  <r>
    <m/>
    <n v="81"/>
    <x v="27"/>
    <d v="2002-07-01T00:00:00"/>
    <x v="7"/>
    <n v="5"/>
    <m/>
    <n v="2002"/>
    <n v="19"/>
    <s v="LAC"/>
    <s v="Venezuela"/>
    <m/>
    <s v="Floods"/>
    <s v="General Floods"/>
    <s v="General Floods"/>
    <m/>
    <x v="0"/>
    <m/>
    <m/>
    <m/>
    <m/>
    <s v=""/>
    <m/>
    <m/>
    <m/>
    <m/>
    <m/>
    <m/>
    <m/>
    <x v="0"/>
    <m/>
    <m/>
    <n v="50000"/>
    <m/>
    <n v="50000"/>
    <n v="1"/>
    <m/>
    <m/>
    <m/>
    <m/>
    <m/>
    <m/>
    <m/>
    <m/>
    <m/>
    <m/>
    <m/>
    <m/>
    <m/>
    <m/>
    <m/>
    <m/>
    <m/>
    <m/>
    <m/>
    <n v="50000"/>
    <m/>
    <m/>
    <n v="3840"/>
    <n v="50000"/>
    <x v="1"/>
    <m/>
    <m/>
    <m/>
    <m/>
    <n v="2912"/>
    <m/>
    <m/>
    <m/>
    <m/>
    <m/>
    <m/>
    <m/>
    <m/>
    <m/>
    <m/>
    <m/>
    <m/>
    <s v="Funds provided by US Embassy; program implemented by Delegates/IRT members based in Caracas"/>
  </r>
  <r>
    <m/>
    <n v="82"/>
    <x v="33"/>
    <d v="2002-08-01T00:00:00"/>
    <x v="7"/>
    <n v="6"/>
    <m/>
    <n v="2002"/>
    <n v="20"/>
    <s v="Europe/Asia"/>
    <s v="India"/>
    <m/>
    <s v="Floods"/>
    <s v="General Floods"/>
    <s v="General Floods"/>
    <m/>
    <x v="0"/>
    <m/>
    <m/>
    <m/>
    <m/>
    <s v=""/>
    <m/>
    <m/>
    <m/>
    <m/>
    <m/>
    <m/>
    <m/>
    <x v="1"/>
    <n v="66918.959999999992"/>
    <m/>
    <m/>
    <m/>
    <n v="66918.959999999992"/>
    <n v="7"/>
    <m/>
    <m/>
    <n v="2900"/>
    <m/>
    <m/>
    <m/>
    <m/>
    <m/>
    <m/>
    <m/>
    <m/>
    <m/>
    <m/>
    <m/>
    <m/>
    <m/>
    <m/>
    <n v="122911.16"/>
    <n v="42422.75"/>
    <n v="232252.87"/>
    <m/>
    <m/>
    <n v="36500"/>
    <n v="232252.87"/>
    <x v="1"/>
    <m/>
    <m/>
    <m/>
    <m/>
    <n v="2954"/>
    <m/>
    <m/>
    <m/>
    <m/>
    <m/>
    <m/>
    <m/>
    <m/>
    <m/>
    <m/>
    <m/>
    <m/>
    <s v="2,900 Family Kits @ $35.88 each; 2 WHO NEHK; 2 WHO Cholera Kits; Flood Mitigation in Assam and Bihar thru Appeal."/>
  </r>
  <r>
    <m/>
    <n v="83"/>
    <x v="88"/>
    <d v="2002-08-01T00:00:00"/>
    <x v="7"/>
    <n v="7"/>
    <m/>
    <n v="2002"/>
    <n v="21"/>
    <s v="Europe/Asia"/>
    <s v="Romania"/>
    <m/>
    <s v="Floods"/>
    <s v="General Floods"/>
    <s v="General Floods"/>
    <m/>
    <x v="0"/>
    <m/>
    <m/>
    <m/>
    <m/>
    <s v=""/>
    <m/>
    <m/>
    <m/>
    <m/>
    <m/>
    <m/>
    <m/>
    <x v="0"/>
    <m/>
    <m/>
    <m/>
    <m/>
    <n v="0"/>
    <n v="3"/>
    <m/>
    <m/>
    <n v="14500"/>
    <m/>
    <m/>
    <m/>
    <m/>
    <m/>
    <m/>
    <m/>
    <m/>
    <m/>
    <n v="14500"/>
    <m/>
    <m/>
    <m/>
    <m/>
    <n v="102950"/>
    <n v="12189.84"/>
    <n v="115139.84"/>
    <m/>
    <m/>
    <n v="58000"/>
    <n v="115139.84"/>
    <x v="1"/>
    <m/>
    <m/>
    <m/>
    <m/>
    <n v="2685"/>
    <m/>
    <m/>
    <m/>
    <m/>
    <m/>
    <m/>
    <m/>
    <m/>
    <m/>
    <m/>
    <m/>
    <m/>
    <s v="ex Sofia"/>
  </r>
  <r>
    <m/>
    <n v="83"/>
    <x v="89"/>
    <d v="2002-08-01T00:00:00"/>
    <x v="7"/>
    <n v="7"/>
    <m/>
    <n v="2002"/>
    <n v="21"/>
    <s v="Europe/Asia"/>
    <s v="Germany"/>
    <m/>
    <s v="Floods"/>
    <s v="General Floods"/>
    <s v="General Floods"/>
    <m/>
    <x v="0"/>
    <m/>
    <m/>
    <m/>
    <m/>
    <s v=""/>
    <m/>
    <m/>
    <m/>
    <m/>
    <m/>
    <m/>
    <m/>
    <x v="0"/>
    <m/>
    <m/>
    <n v="75000"/>
    <m/>
    <n v="75000"/>
    <m/>
    <m/>
    <m/>
    <m/>
    <m/>
    <m/>
    <m/>
    <m/>
    <m/>
    <m/>
    <m/>
    <m/>
    <m/>
    <m/>
    <m/>
    <m/>
    <m/>
    <m/>
    <m/>
    <m/>
    <n v="75000"/>
    <m/>
    <m/>
    <n v="7500"/>
    <n v="75000"/>
    <x v="2"/>
    <m/>
    <m/>
    <m/>
    <m/>
    <n v="2099"/>
    <m/>
    <m/>
    <m/>
    <m/>
    <m/>
    <m/>
    <m/>
    <m/>
    <m/>
    <m/>
    <m/>
    <m/>
    <s v="Pass throughs from  Alcoa, AmEx, Citigroup, Levi Strauss"/>
  </r>
  <r>
    <m/>
    <n v="83"/>
    <x v="90"/>
    <d v="2002-08-01T00:00:00"/>
    <x v="7"/>
    <n v="7"/>
    <m/>
    <n v="2002"/>
    <n v="21"/>
    <s v="Europe/Asia"/>
    <s v="Czech Republic"/>
    <m/>
    <s v="Floods"/>
    <s v="General Floods"/>
    <s v="General Floods"/>
    <m/>
    <x v="0"/>
    <m/>
    <m/>
    <m/>
    <m/>
    <s v=""/>
    <m/>
    <m/>
    <m/>
    <m/>
    <m/>
    <m/>
    <m/>
    <x v="0"/>
    <m/>
    <m/>
    <n v="90000"/>
    <m/>
    <n v="90000"/>
    <m/>
    <m/>
    <m/>
    <m/>
    <m/>
    <m/>
    <m/>
    <m/>
    <m/>
    <m/>
    <m/>
    <m/>
    <m/>
    <m/>
    <m/>
    <m/>
    <m/>
    <m/>
    <m/>
    <m/>
    <n v="90000"/>
    <m/>
    <m/>
    <n v="9000"/>
    <n v="90000"/>
    <x v="2"/>
    <m/>
    <m/>
    <m/>
    <m/>
    <n v="2099"/>
    <m/>
    <m/>
    <m/>
    <m/>
    <m/>
    <m/>
    <m/>
    <m/>
    <m/>
    <m/>
    <m/>
    <m/>
    <s v="Pass throughs from  AmEx (2099), Levi Strauss (2099) and JP Morgan (2608)"/>
  </r>
  <r>
    <m/>
    <n v="83"/>
    <x v="91"/>
    <d v="2002-08-01T00:00:00"/>
    <x v="7"/>
    <n v="7"/>
    <m/>
    <n v="2002"/>
    <n v="21"/>
    <s v="Europe/Asia"/>
    <s v="Slovakia"/>
    <m/>
    <s v="Floods"/>
    <s v="General Floods"/>
    <s v="General Floods"/>
    <m/>
    <x v="0"/>
    <m/>
    <m/>
    <m/>
    <m/>
    <s v=""/>
    <m/>
    <m/>
    <m/>
    <m/>
    <m/>
    <m/>
    <m/>
    <x v="0"/>
    <m/>
    <m/>
    <n v="10000"/>
    <m/>
    <n v="10000"/>
    <m/>
    <m/>
    <m/>
    <m/>
    <m/>
    <m/>
    <m/>
    <m/>
    <m/>
    <m/>
    <m/>
    <m/>
    <m/>
    <m/>
    <m/>
    <m/>
    <m/>
    <m/>
    <m/>
    <m/>
    <n v="10000"/>
    <m/>
    <m/>
    <n v="1000"/>
    <n v="10000"/>
    <x v="1"/>
    <m/>
    <m/>
    <m/>
    <m/>
    <n v="2608"/>
    <m/>
    <m/>
    <m/>
    <m/>
    <m/>
    <m/>
    <m/>
    <m/>
    <m/>
    <m/>
    <m/>
    <m/>
    <s v="Pass through from JP Morgan / Chase"/>
  </r>
  <r>
    <m/>
    <n v="83"/>
    <x v="92"/>
    <d v="2002-08-01T00:00:00"/>
    <x v="7"/>
    <n v="7"/>
    <m/>
    <n v="2002"/>
    <n v="21"/>
    <s v="Europe/Asia"/>
    <s v="Hungary"/>
    <m/>
    <s v="Floods"/>
    <s v="General Floods"/>
    <s v="General Floods"/>
    <m/>
    <x v="0"/>
    <m/>
    <m/>
    <m/>
    <m/>
    <s v=""/>
    <m/>
    <m/>
    <m/>
    <m/>
    <m/>
    <m/>
    <m/>
    <x v="0"/>
    <m/>
    <m/>
    <n v="35000"/>
    <m/>
    <n v="35000"/>
    <m/>
    <m/>
    <m/>
    <m/>
    <m/>
    <m/>
    <m/>
    <m/>
    <m/>
    <m/>
    <m/>
    <m/>
    <m/>
    <m/>
    <m/>
    <m/>
    <m/>
    <m/>
    <m/>
    <m/>
    <n v="35000"/>
    <m/>
    <m/>
    <n v="3500"/>
    <n v="35000"/>
    <x v="2"/>
    <m/>
    <m/>
    <m/>
    <m/>
    <n v="2099"/>
    <m/>
    <m/>
    <m/>
    <m/>
    <m/>
    <m/>
    <m/>
    <m/>
    <m/>
    <m/>
    <m/>
    <m/>
    <s v="Pass through from  Citigroup (2099) &amp; JP Morgan (2608)"/>
  </r>
  <r>
    <m/>
    <n v="83"/>
    <x v="93"/>
    <d v="2002-08-01T00:00:00"/>
    <x v="7"/>
    <n v="7"/>
    <m/>
    <n v="2002"/>
    <n v="21"/>
    <s v="Europe/Asia"/>
    <s v="Austria"/>
    <m/>
    <s v="Floods"/>
    <s v="General Floods"/>
    <s v="General Floods"/>
    <m/>
    <x v="0"/>
    <m/>
    <m/>
    <m/>
    <m/>
    <s v=""/>
    <m/>
    <m/>
    <m/>
    <m/>
    <m/>
    <m/>
    <m/>
    <x v="0"/>
    <m/>
    <m/>
    <n v="25000"/>
    <m/>
    <n v="25000"/>
    <m/>
    <m/>
    <m/>
    <m/>
    <m/>
    <m/>
    <m/>
    <m/>
    <m/>
    <m/>
    <m/>
    <m/>
    <m/>
    <m/>
    <m/>
    <m/>
    <m/>
    <m/>
    <m/>
    <m/>
    <n v="25000"/>
    <m/>
    <m/>
    <n v="2500"/>
    <n v="25000"/>
    <x v="1"/>
    <m/>
    <m/>
    <m/>
    <m/>
    <n v="2608"/>
    <m/>
    <m/>
    <m/>
    <m/>
    <m/>
    <m/>
    <m/>
    <m/>
    <m/>
    <m/>
    <m/>
    <m/>
    <s v="AMEX re-directed funds from their ADGP"/>
  </r>
  <r>
    <m/>
    <n v="84"/>
    <x v="67"/>
    <d v="2002-09-01T00:00:00"/>
    <x v="7"/>
    <n v="8"/>
    <m/>
    <n v="2002"/>
    <n v="22"/>
    <s v="LAC"/>
    <s v="Mexico"/>
    <m/>
    <s v="Storm"/>
    <s v="Tropical Cyclone"/>
    <s v="Hurricane"/>
    <m/>
    <x v="0"/>
    <m/>
    <m/>
    <m/>
    <m/>
    <s v=""/>
    <m/>
    <m/>
    <m/>
    <m/>
    <m/>
    <m/>
    <m/>
    <x v="0"/>
    <m/>
    <m/>
    <m/>
    <m/>
    <n v="0"/>
    <n v="2"/>
    <m/>
    <m/>
    <m/>
    <m/>
    <m/>
    <m/>
    <m/>
    <m/>
    <m/>
    <m/>
    <m/>
    <m/>
    <m/>
    <m/>
    <m/>
    <m/>
    <m/>
    <m/>
    <n v="60000"/>
    <n v="60000"/>
    <m/>
    <m/>
    <n v="20000"/>
    <n v="60000"/>
    <x v="1"/>
    <m/>
    <m/>
    <m/>
    <m/>
    <n v="2687"/>
    <m/>
    <m/>
    <m/>
    <m/>
    <m/>
    <m/>
    <m/>
    <m/>
    <m/>
    <m/>
    <m/>
    <s v="Isidore"/>
    <s v="$50,000 from OFDA; 4,000 hygiene parcels"/>
  </r>
  <r>
    <m/>
    <n v="85"/>
    <x v="94"/>
    <d v="2002-10-01T00:00:00"/>
    <x v="7"/>
    <n v="9"/>
    <m/>
    <n v="2002"/>
    <n v="23"/>
    <s v="LAC"/>
    <s v="Paraguay"/>
    <m/>
    <s v="Drought"/>
    <s v="Drought"/>
    <s v="Drought"/>
    <m/>
    <x v="0"/>
    <m/>
    <m/>
    <m/>
    <m/>
    <s v=""/>
    <m/>
    <m/>
    <m/>
    <m/>
    <m/>
    <m/>
    <m/>
    <x v="0"/>
    <m/>
    <m/>
    <m/>
    <m/>
    <n v="0"/>
    <n v="2"/>
    <m/>
    <m/>
    <m/>
    <m/>
    <m/>
    <m/>
    <m/>
    <m/>
    <m/>
    <m/>
    <m/>
    <m/>
    <m/>
    <m/>
    <m/>
    <m/>
    <m/>
    <m/>
    <m/>
    <n v="0"/>
    <m/>
    <m/>
    <n v="8165"/>
    <n v="0"/>
    <x v="1"/>
    <m/>
    <m/>
    <m/>
    <m/>
    <n v="2898"/>
    <m/>
    <m/>
    <m/>
    <m/>
    <m/>
    <m/>
    <m/>
    <m/>
    <m/>
    <m/>
    <m/>
    <m/>
    <s v="$50,000 from OFDA money given directly to the Paraguay RC for relief food distributions"/>
  </r>
  <r>
    <m/>
    <n v="86"/>
    <x v="67"/>
    <d v="2002-10-01T00:00:00"/>
    <x v="7"/>
    <n v="10"/>
    <m/>
    <n v="2002"/>
    <n v="24"/>
    <s v="LAC"/>
    <s v="Mexico"/>
    <m/>
    <s v="Storm"/>
    <s v="Tropical Cyclone"/>
    <s v="Hurricane"/>
    <m/>
    <x v="0"/>
    <m/>
    <m/>
    <m/>
    <m/>
    <s v=""/>
    <m/>
    <m/>
    <m/>
    <m/>
    <m/>
    <m/>
    <m/>
    <x v="0"/>
    <m/>
    <m/>
    <m/>
    <m/>
    <n v="0"/>
    <n v="1"/>
    <m/>
    <m/>
    <m/>
    <m/>
    <m/>
    <m/>
    <m/>
    <m/>
    <m/>
    <m/>
    <m/>
    <m/>
    <m/>
    <m/>
    <m/>
    <m/>
    <m/>
    <m/>
    <m/>
    <n v="0"/>
    <m/>
    <m/>
    <m/>
    <n v="0"/>
    <x v="1"/>
    <m/>
    <m/>
    <m/>
    <m/>
    <n v="2688"/>
    <m/>
    <m/>
    <m/>
    <m/>
    <m/>
    <m/>
    <m/>
    <m/>
    <m/>
    <m/>
    <m/>
    <s v="Kenna"/>
    <m/>
  </r>
  <r>
    <m/>
    <n v="87"/>
    <x v="95"/>
    <d v="2002-10-01T00:00:00"/>
    <x v="7"/>
    <n v="11"/>
    <m/>
    <n v="2002"/>
    <n v="25"/>
    <s v="Europe/Asia"/>
    <s v="South Korea"/>
    <m/>
    <s v="Storm"/>
    <s v="Tropical Cyclone"/>
    <s v="Typhoon"/>
    <m/>
    <x v="0"/>
    <m/>
    <m/>
    <m/>
    <m/>
    <s v=""/>
    <m/>
    <m/>
    <m/>
    <m/>
    <m/>
    <m/>
    <m/>
    <x v="0"/>
    <m/>
    <m/>
    <n v="120000"/>
    <m/>
    <n v="120000"/>
    <m/>
    <m/>
    <m/>
    <m/>
    <m/>
    <m/>
    <m/>
    <m/>
    <m/>
    <m/>
    <m/>
    <m/>
    <m/>
    <m/>
    <m/>
    <m/>
    <m/>
    <m/>
    <m/>
    <n v="10000"/>
    <n v="130000"/>
    <m/>
    <m/>
    <n v="5775"/>
    <n v="130000"/>
    <x v="1"/>
    <m/>
    <m/>
    <m/>
    <m/>
    <n v="2686"/>
    <m/>
    <m/>
    <m/>
    <m/>
    <m/>
    <m/>
    <m/>
    <m/>
    <m/>
    <m/>
    <m/>
    <s v="Rusa"/>
    <s v="$10,000 from Alcoa for winter clothing in donor-specified province; $110,000 from CISCO &amp; Lucent for DPP training."/>
  </r>
  <r>
    <m/>
    <n v="88"/>
    <x v="96"/>
    <d v="2002-10-01T00:00:00"/>
    <x v="7"/>
    <n v="12"/>
    <m/>
    <n v="2002"/>
    <n v="26"/>
    <s v="Europe/Asia"/>
    <s v="Italy"/>
    <m/>
    <s v="Earthquake"/>
    <s v="Earthquake"/>
    <s v="Earthquake"/>
    <m/>
    <x v="0"/>
    <m/>
    <m/>
    <m/>
    <m/>
    <s v=""/>
    <m/>
    <m/>
    <m/>
    <m/>
    <m/>
    <m/>
    <m/>
    <x v="0"/>
    <m/>
    <m/>
    <n v="10000"/>
    <m/>
    <n v="10000"/>
    <m/>
    <m/>
    <m/>
    <m/>
    <m/>
    <m/>
    <m/>
    <m/>
    <m/>
    <m/>
    <m/>
    <m/>
    <m/>
    <m/>
    <m/>
    <m/>
    <m/>
    <m/>
    <m/>
    <m/>
    <n v="10000"/>
    <m/>
    <m/>
    <m/>
    <n v="10000"/>
    <x v="1"/>
    <m/>
    <m/>
    <m/>
    <m/>
    <n v="2608"/>
    <m/>
    <m/>
    <m/>
    <m/>
    <m/>
    <m/>
    <m/>
    <m/>
    <m/>
    <m/>
    <m/>
    <m/>
    <s v="Verizon Pass through"/>
  </r>
  <r>
    <m/>
    <n v="89"/>
    <x v="97"/>
    <d v="2002-10-01T00:00:00"/>
    <x v="7"/>
    <n v="13"/>
    <m/>
    <n v="2002"/>
    <n v="27"/>
    <s v="Europe/Asia"/>
    <s v="Indonesia"/>
    <m/>
    <s v="Terrorism"/>
    <s v="Terrorism"/>
    <s v="Terrorism"/>
    <m/>
    <x v="0"/>
    <m/>
    <m/>
    <m/>
    <m/>
    <s v=""/>
    <m/>
    <m/>
    <m/>
    <m/>
    <m/>
    <m/>
    <m/>
    <x v="0"/>
    <m/>
    <m/>
    <n v="46670"/>
    <m/>
    <n v="46670"/>
    <m/>
    <m/>
    <m/>
    <m/>
    <m/>
    <m/>
    <m/>
    <m/>
    <m/>
    <m/>
    <m/>
    <m/>
    <m/>
    <m/>
    <m/>
    <m/>
    <m/>
    <m/>
    <m/>
    <m/>
    <n v="46670"/>
    <m/>
    <m/>
    <m/>
    <n v="46670"/>
    <x v="1"/>
    <m/>
    <m/>
    <m/>
    <m/>
    <n v="2613"/>
    <m/>
    <m/>
    <m/>
    <m/>
    <m/>
    <m/>
    <m/>
    <m/>
    <m/>
    <m/>
    <m/>
    <s v="Bali"/>
    <s v="Exxon/Mobil provided  $30,000 for Indonesia (to be programmed by AusCross); Citigroup provided $10,000 (2099), G.E provided $5,000 (2898) and Assoc. of Chartered Accountants provided $1,670"/>
  </r>
  <r>
    <m/>
    <n v="89"/>
    <x v="98"/>
    <d v="2002-10-01T00:00:00"/>
    <x v="7"/>
    <n v="13"/>
    <m/>
    <n v="2002"/>
    <n v="27"/>
    <s v="Europe/Asia"/>
    <s v="Australia"/>
    <m/>
    <s v="Terrorism"/>
    <s v="Terrorism"/>
    <s v="Terrorism"/>
    <m/>
    <x v="0"/>
    <m/>
    <m/>
    <m/>
    <m/>
    <s v=""/>
    <m/>
    <m/>
    <m/>
    <m/>
    <m/>
    <m/>
    <m/>
    <x v="0"/>
    <m/>
    <m/>
    <n v="237898.78"/>
    <m/>
    <n v="237898.78"/>
    <n v="1"/>
    <m/>
    <m/>
    <m/>
    <m/>
    <m/>
    <m/>
    <m/>
    <m/>
    <m/>
    <m/>
    <m/>
    <m/>
    <m/>
    <m/>
    <m/>
    <m/>
    <m/>
    <m/>
    <m/>
    <n v="237898.78"/>
    <m/>
    <m/>
    <m/>
    <n v="237898.78"/>
    <x v="1"/>
    <m/>
    <m/>
    <m/>
    <m/>
    <n v="2613"/>
    <m/>
    <m/>
    <m/>
    <m/>
    <m/>
    <m/>
    <m/>
    <m/>
    <m/>
    <m/>
    <m/>
    <s v="Bali"/>
    <s v="includes $151,228.89 from AP 2613 (estab. Oct 2002). Exxon/Mobil provided  $70,000; Anne Bike sent to Australia."/>
  </r>
  <r>
    <m/>
    <n v="90"/>
    <x v="99"/>
    <d v="2002-10-01T00:00:00"/>
    <x v="7"/>
    <n v="14"/>
    <m/>
    <n v="2002"/>
    <n v="28"/>
    <s v="Europe/Asia"/>
    <s v="Vietnam"/>
    <m/>
    <s v="Miscellaneous"/>
    <s v="Fire"/>
    <s v="Urban Fire"/>
    <m/>
    <x v="0"/>
    <m/>
    <m/>
    <m/>
    <m/>
    <s v=""/>
    <m/>
    <m/>
    <m/>
    <m/>
    <m/>
    <m/>
    <m/>
    <x v="0"/>
    <m/>
    <m/>
    <n v="100000"/>
    <m/>
    <n v="100000"/>
    <m/>
    <m/>
    <m/>
    <m/>
    <m/>
    <m/>
    <m/>
    <m/>
    <m/>
    <m/>
    <m/>
    <m/>
    <m/>
    <m/>
    <m/>
    <m/>
    <m/>
    <m/>
    <m/>
    <m/>
    <n v="100000"/>
    <m/>
    <m/>
    <n v="1000"/>
    <n v="100000"/>
    <x v="1"/>
    <m/>
    <m/>
    <m/>
    <m/>
    <n v="2608"/>
    <m/>
    <m/>
    <m/>
    <m/>
    <m/>
    <m/>
    <m/>
    <m/>
    <m/>
    <m/>
    <m/>
    <s v="International Trade Center - HCM City"/>
    <s v="SDP developed for Starr Foundation contribution for $100,000"/>
  </r>
  <r>
    <m/>
    <n v="91"/>
    <x v="72"/>
    <d v="2002-10-01T00:00:00"/>
    <x v="7"/>
    <n v="15"/>
    <m/>
    <n v="2002"/>
    <n v="29"/>
    <s v="LAC"/>
    <s v="Cuba"/>
    <m/>
    <s v="Storm"/>
    <s v="Tropical Cyclone"/>
    <s v="Hurricane"/>
    <m/>
    <x v="0"/>
    <m/>
    <m/>
    <m/>
    <m/>
    <s v=""/>
    <m/>
    <m/>
    <m/>
    <m/>
    <m/>
    <m/>
    <m/>
    <x v="2"/>
    <n v="10000"/>
    <m/>
    <m/>
    <m/>
    <n v="10000"/>
    <m/>
    <m/>
    <m/>
    <m/>
    <m/>
    <m/>
    <m/>
    <m/>
    <m/>
    <m/>
    <m/>
    <m/>
    <m/>
    <m/>
    <m/>
    <m/>
    <m/>
    <m/>
    <m/>
    <m/>
    <n v="10000"/>
    <m/>
    <m/>
    <n v="1000"/>
    <n v="10000"/>
    <x v="1"/>
    <m/>
    <m/>
    <m/>
    <m/>
    <n v="2898"/>
    <m/>
    <m/>
    <m/>
    <m/>
    <m/>
    <m/>
    <m/>
    <m/>
    <m/>
    <m/>
    <m/>
    <s v="Isidore / Lili"/>
    <s v="Toward the Federation Appeal"/>
  </r>
  <r>
    <m/>
    <n v="92"/>
    <x v="100"/>
    <d v="2002-10-01T00:00:00"/>
    <x v="7"/>
    <n v="16"/>
    <m/>
    <n v="2002"/>
    <n v="30"/>
    <s v="Africa"/>
    <s v="Lesotho"/>
    <m/>
    <s v="Food Insecurity"/>
    <s v="Food Insecurity"/>
    <s v="Food Insecurity"/>
    <m/>
    <x v="0"/>
    <m/>
    <m/>
    <m/>
    <m/>
    <s v=""/>
    <m/>
    <m/>
    <m/>
    <m/>
    <m/>
    <m/>
    <m/>
    <x v="2"/>
    <n v="25000"/>
    <m/>
    <m/>
    <m/>
    <n v="25000"/>
    <m/>
    <m/>
    <m/>
    <m/>
    <m/>
    <m/>
    <m/>
    <m/>
    <m/>
    <m/>
    <m/>
    <m/>
    <m/>
    <m/>
    <m/>
    <m/>
    <m/>
    <m/>
    <m/>
    <m/>
    <n v="25000"/>
    <m/>
    <m/>
    <n v="2500"/>
    <n v="25000"/>
    <x v="1"/>
    <m/>
    <m/>
    <m/>
    <m/>
    <n v="2898"/>
    <m/>
    <m/>
    <m/>
    <m/>
    <m/>
    <m/>
    <m/>
    <m/>
    <m/>
    <m/>
    <m/>
    <m/>
    <s v="Toward the Federation Appeal for Southern Africa"/>
  </r>
  <r>
    <m/>
    <n v="93"/>
    <x v="7"/>
    <d v="2002-12-01T00:00:00"/>
    <x v="7"/>
    <n v="17"/>
    <m/>
    <n v="2002"/>
    <n v="31"/>
    <s v="LAC"/>
    <s v="Costa Rica"/>
    <m/>
    <s v="Floods"/>
    <s v="General Floods"/>
    <s v="General Floods"/>
    <m/>
    <x v="0"/>
    <m/>
    <m/>
    <m/>
    <m/>
    <s v=""/>
    <m/>
    <m/>
    <m/>
    <m/>
    <m/>
    <m/>
    <m/>
    <x v="0"/>
    <m/>
    <m/>
    <n v="1000"/>
    <m/>
    <n v="1000"/>
    <m/>
    <m/>
    <m/>
    <m/>
    <m/>
    <m/>
    <m/>
    <m/>
    <m/>
    <m/>
    <m/>
    <m/>
    <m/>
    <m/>
    <m/>
    <m/>
    <m/>
    <m/>
    <m/>
    <m/>
    <n v="1000"/>
    <m/>
    <m/>
    <m/>
    <n v="1000"/>
    <x v="1"/>
    <m/>
    <m/>
    <m/>
    <m/>
    <n v="2898"/>
    <m/>
    <m/>
    <m/>
    <m/>
    <m/>
    <m/>
    <m/>
    <m/>
    <m/>
    <m/>
    <m/>
    <m/>
    <s v="Cash donation to National Society"/>
  </r>
  <r>
    <m/>
    <n v="94"/>
    <x v="80"/>
    <d v="2002-12-01T00:00:00"/>
    <x v="7"/>
    <n v="18"/>
    <m/>
    <n v="2002"/>
    <n v="32"/>
    <s v="LAC"/>
    <s v="Panama"/>
    <m/>
    <s v="Floods"/>
    <s v="General Floods"/>
    <s v="General Floods"/>
    <m/>
    <x v="0"/>
    <m/>
    <m/>
    <m/>
    <m/>
    <s v=""/>
    <m/>
    <m/>
    <m/>
    <m/>
    <m/>
    <m/>
    <m/>
    <x v="0"/>
    <m/>
    <m/>
    <n v="1345"/>
    <m/>
    <n v="1345"/>
    <m/>
    <m/>
    <m/>
    <n v="675"/>
    <m/>
    <m/>
    <m/>
    <m/>
    <m/>
    <m/>
    <m/>
    <m/>
    <m/>
    <m/>
    <m/>
    <m/>
    <m/>
    <m/>
    <m/>
    <m/>
    <n v="1345"/>
    <m/>
    <m/>
    <n v="675"/>
    <n v="1345"/>
    <x v="1"/>
    <m/>
    <m/>
    <m/>
    <m/>
    <n v="2898"/>
    <m/>
    <m/>
    <m/>
    <m/>
    <m/>
    <m/>
    <m/>
    <m/>
    <m/>
    <m/>
    <m/>
    <m/>
    <s v="675 jerry cans from pre-positioned stocks"/>
  </r>
  <r>
    <m/>
    <n v="95"/>
    <x v="101"/>
    <d v="2002-12-01T00:00:00"/>
    <x v="7"/>
    <n v="19"/>
    <m/>
    <n v="2002"/>
    <n v="33"/>
    <s v="Africa"/>
    <s v="Kenya"/>
    <m/>
    <s v="Epidemic"/>
    <s v="Parasitic"/>
    <s v="Parasitic"/>
    <m/>
    <x v="0"/>
    <m/>
    <m/>
    <m/>
    <m/>
    <s v=""/>
    <m/>
    <m/>
    <m/>
    <m/>
    <m/>
    <m/>
    <m/>
    <x v="0"/>
    <m/>
    <m/>
    <n v="5000"/>
    <m/>
    <n v="5000"/>
    <m/>
    <m/>
    <m/>
    <m/>
    <m/>
    <m/>
    <m/>
    <m/>
    <m/>
    <m/>
    <m/>
    <m/>
    <m/>
    <m/>
    <m/>
    <m/>
    <m/>
    <m/>
    <m/>
    <m/>
    <n v="5000"/>
    <m/>
    <m/>
    <n v="500"/>
    <n v="5000"/>
    <x v="1"/>
    <m/>
    <m/>
    <m/>
    <m/>
    <n v="2898"/>
    <m/>
    <m/>
    <m/>
    <m/>
    <m/>
    <m/>
    <m/>
    <m/>
    <m/>
    <m/>
    <m/>
    <s v="Malaria"/>
    <s v="Africa Region also donated $5,000 to KRC for a total of $10,000"/>
  </r>
  <r>
    <m/>
    <n v="96"/>
    <x v="102"/>
    <d v="2003-01-01T00:00:00"/>
    <x v="7"/>
    <n v="20"/>
    <m/>
    <n v="2003"/>
    <n v="1"/>
    <s v="Europe/Asia"/>
    <s v="Solomon Islands"/>
    <m/>
    <s v="Storm"/>
    <s v="Tropical Cyclone"/>
    <s v="Cyclone"/>
    <m/>
    <x v="0"/>
    <m/>
    <m/>
    <m/>
    <m/>
    <s v=""/>
    <m/>
    <m/>
    <m/>
    <m/>
    <m/>
    <m/>
    <m/>
    <x v="2"/>
    <n v="7242.1372799999999"/>
    <m/>
    <m/>
    <m/>
    <n v="7242.1372799999999"/>
    <m/>
    <m/>
    <m/>
    <m/>
    <m/>
    <m/>
    <m/>
    <m/>
    <m/>
    <m/>
    <m/>
    <m/>
    <m/>
    <m/>
    <m/>
    <m/>
    <m/>
    <m/>
    <m/>
    <m/>
    <n v="7242.1372799999999"/>
    <m/>
    <m/>
    <m/>
    <n v="7242.1372799999999"/>
    <x v="1"/>
    <m/>
    <m/>
    <m/>
    <m/>
    <n v="2881"/>
    <m/>
    <m/>
    <m/>
    <m/>
    <m/>
    <m/>
    <m/>
    <m/>
    <m/>
    <m/>
    <m/>
    <s v="Zoe"/>
    <s v="FJD 14,369.32 for re-stocking Solomon Islands RC"/>
  </r>
  <r>
    <m/>
    <n v="97"/>
    <x v="0"/>
    <d v="2003-01-01T00:00:00"/>
    <x v="7"/>
    <n v="21"/>
    <m/>
    <n v="2003"/>
    <n v="2"/>
    <s v="LAC"/>
    <s v="Mexico"/>
    <m/>
    <s v="Earthquake"/>
    <s v="Earthquake"/>
    <s v="Earthquake"/>
    <m/>
    <x v="0"/>
    <m/>
    <m/>
    <m/>
    <m/>
    <s v=""/>
    <m/>
    <m/>
    <m/>
    <m/>
    <m/>
    <m/>
    <m/>
    <x v="0"/>
    <m/>
    <m/>
    <n v="350000"/>
    <m/>
    <n v="350000"/>
    <n v="3"/>
    <m/>
    <m/>
    <m/>
    <m/>
    <m/>
    <m/>
    <m/>
    <m/>
    <m/>
    <m/>
    <m/>
    <m/>
    <m/>
    <m/>
    <m/>
    <m/>
    <m/>
    <m/>
    <m/>
    <n v="350000"/>
    <m/>
    <m/>
    <n v="2000"/>
    <n v="350000"/>
    <x v="1"/>
    <m/>
    <m/>
    <m/>
    <m/>
    <n v="2690"/>
    <m/>
    <m/>
    <m/>
    <m/>
    <m/>
    <m/>
    <m/>
    <m/>
    <m/>
    <m/>
    <m/>
    <m/>
    <s v="$100,000 donation from Wells Fargo was programmed by ARC in partnership with Mexican Red Cross (MRC). Steve McAndrew responded and 2 IRT members (Jerry Lisenby and M-C Brien) were subsequently deployed to manage the operation. Toyota donated $250,000 to the relief effort as a strict pass-through to the Mexican Red Cross."/>
  </r>
  <r>
    <m/>
    <n v="97"/>
    <x v="0"/>
    <d v="2003-01-01T00:00:00"/>
    <x v="7"/>
    <n v="21"/>
    <m/>
    <n v="2003"/>
    <n v="2"/>
    <s v="LAC"/>
    <s v="Mexico"/>
    <m/>
    <s v="Earthquake"/>
    <s v="Earthquake"/>
    <s v="Earthquake"/>
    <m/>
    <x v="0"/>
    <m/>
    <m/>
    <m/>
    <m/>
    <s v=""/>
    <m/>
    <m/>
    <m/>
    <m/>
    <m/>
    <m/>
    <m/>
    <x v="0"/>
    <m/>
    <m/>
    <n v="100000"/>
    <m/>
    <n v="100000"/>
    <m/>
    <m/>
    <m/>
    <m/>
    <m/>
    <m/>
    <m/>
    <m/>
    <m/>
    <m/>
    <m/>
    <m/>
    <m/>
    <m/>
    <m/>
    <m/>
    <m/>
    <m/>
    <m/>
    <m/>
    <n v="100000"/>
    <m/>
    <m/>
    <m/>
    <n v="100000"/>
    <x v="1"/>
    <m/>
    <m/>
    <m/>
    <m/>
    <n v="2642"/>
    <m/>
    <m/>
    <m/>
    <m/>
    <m/>
    <m/>
    <m/>
    <m/>
    <m/>
    <m/>
    <m/>
    <m/>
    <s v="$100,000 from OFDA was programmed by ARC in partnership with Mexican Red Cross (MRC)."/>
  </r>
  <r>
    <m/>
    <n v="98"/>
    <x v="103"/>
    <d v="2003-02-01T00:00:00"/>
    <x v="7"/>
    <n v="22"/>
    <m/>
    <n v="2003"/>
    <n v="3"/>
    <s v="Europe/Asia"/>
    <s v="South Korea"/>
    <m/>
    <s v="Transport"/>
    <s v="Rail"/>
    <s v="Fire"/>
    <m/>
    <x v="0"/>
    <m/>
    <m/>
    <m/>
    <m/>
    <s v=""/>
    <m/>
    <m/>
    <m/>
    <m/>
    <m/>
    <m/>
    <m/>
    <x v="0"/>
    <m/>
    <m/>
    <n v="10000"/>
    <m/>
    <n v="10000"/>
    <m/>
    <m/>
    <m/>
    <m/>
    <m/>
    <m/>
    <m/>
    <m/>
    <m/>
    <m/>
    <m/>
    <m/>
    <m/>
    <m/>
    <m/>
    <m/>
    <m/>
    <m/>
    <m/>
    <m/>
    <n v="10000"/>
    <m/>
    <m/>
    <n v="1000"/>
    <n v="10000"/>
    <x v="1"/>
    <m/>
    <m/>
    <m/>
    <m/>
    <n v="2608"/>
    <m/>
    <m/>
    <m/>
    <m/>
    <m/>
    <m/>
    <m/>
    <m/>
    <m/>
    <m/>
    <m/>
    <s v="Taegu Subway fire"/>
    <s v="Alcoa passthrough"/>
  </r>
  <r>
    <m/>
    <n v="99"/>
    <x v="104"/>
    <d v="2003-02-01T00:00:00"/>
    <x v="7"/>
    <n v="23"/>
    <m/>
    <n v="2003"/>
    <n v="4"/>
    <s v="Europe/Asia"/>
    <s v="China"/>
    <m/>
    <s v="Earthquake"/>
    <s v="Earthquake"/>
    <s v="Earthquake"/>
    <m/>
    <x v="0"/>
    <m/>
    <m/>
    <m/>
    <m/>
    <s v=""/>
    <m/>
    <m/>
    <m/>
    <m/>
    <m/>
    <m/>
    <m/>
    <x v="0"/>
    <m/>
    <m/>
    <n v="50000"/>
    <m/>
    <n v="50000"/>
    <m/>
    <m/>
    <m/>
    <m/>
    <m/>
    <m/>
    <m/>
    <m/>
    <m/>
    <m/>
    <m/>
    <m/>
    <m/>
    <m/>
    <m/>
    <m/>
    <m/>
    <m/>
    <m/>
    <m/>
    <n v="50000"/>
    <m/>
    <m/>
    <n v="1350"/>
    <n v="50000"/>
    <x v="1"/>
    <m/>
    <m/>
    <m/>
    <m/>
    <s v="0000"/>
    <m/>
    <m/>
    <m/>
    <m/>
    <m/>
    <m/>
    <m/>
    <m/>
    <m/>
    <m/>
    <m/>
    <m/>
    <s v="Altria passthrough"/>
  </r>
  <r>
    <m/>
    <n v="100"/>
    <x v="105"/>
    <d v="2003-03-01T00:00:00"/>
    <x v="7"/>
    <n v="24"/>
    <m/>
    <n v="2003"/>
    <n v="5"/>
    <s v="Europe/Asia"/>
    <s v="Iraq"/>
    <m/>
    <s v="Conflict"/>
    <s v="Conflict"/>
    <s v="Conflict"/>
    <m/>
    <x v="0"/>
    <m/>
    <m/>
    <m/>
    <m/>
    <s v=""/>
    <m/>
    <m/>
    <m/>
    <m/>
    <m/>
    <m/>
    <m/>
    <x v="1"/>
    <n v="100000"/>
    <n v="100000"/>
    <m/>
    <m/>
    <n v="200000"/>
    <m/>
    <m/>
    <m/>
    <n v="64200"/>
    <m/>
    <m/>
    <n v="34200"/>
    <n v="30000"/>
    <m/>
    <m/>
    <m/>
    <m/>
    <m/>
    <m/>
    <m/>
    <m/>
    <m/>
    <m/>
    <n v="221694"/>
    <m/>
    <n v="421694"/>
    <m/>
    <m/>
    <n v="54200"/>
    <n v="421694"/>
    <x v="1"/>
    <m/>
    <m/>
    <m/>
    <m/>
    <n v="2689"/>
    <m/>
    <m/>
    <m/>
    <m/>
    <m/>
    <m/>
    <m/>
    <m/>
    <m/>
    <m/>
    <m/>
    <s v="Iraq"/>
    <m/>
  </r>
  <r>
    <m/>
    <n v="100"/>
    <x v="106"/>
    <d v="2003-03-01T00:00:00"/>
    <x v="7"/>
    <n v="24"/>
    <m/>
    <n v="2003"/>
    <n v="5"/>
    <s v="Europe/Asia"/>
    <s v="Syria"/>
    <m/>
    <s v="Conflict"/>
    <s v="Conflict"/>
    <s v="Conflict"/>
    <m/>
    <x v="0"/>
    <m/>
    <m/>
    <m/>
    <m/>
    <s v=""/>
    <m/>
    <m/>
    <m/>
    <m/>
    <m/>
    <m/>
    <m/>
    <x v="0"/>
    <m/>
    <m/>
    <n v="15000"/>
    <m/>
    <n v="15000"/>
    <m/>
    <m/>
    <m/>
    <m/>
    <m/>
    <m/>
    <m/>
    <m/>
    <m/>
    <m/>
    <m/>
    <m/>
    <m/>
    <m/>
    <m/>
    <m/>
    <m/>
    <m/>
    <m/>
    <m/>
    <n v="15000"/>
    <m/>
    <m/>
    <n v="1000"/>
    <n v="15000"/>
    <x v="1"/>
    <m/>
    <m/>
    <m/>
    <m/>
    <n v="2689"/>
    <m/>
    <m/>
    <m/>
    <m/>
    <m/>
    <m/>
    <m/>
    <m/>
    <m/>
    <m/>
    <m/>
    <s v="Iraq"/>
    <s v="PMN for SARC"/>
  </r>
  <r>
    <m/>
    <n v="100"/>
    <x v="36"/>
    <d v="2003-03-01T00:00:00"/>
    <x v="7"/>
    <n v="24"/>
    <m/>
    <n v="2003"/>
    <n v="5"/>
    <s v="Europe/Asia"/>
    <s v="Jordan"/>
    <m/>
    <s v="Conflict"/>
    <s v="Conflict"/>
    <s v="Conflict"/>
    <m/>
    <x v="0"/>
    <m/>
    <m/>
    <m/>
    <m/>
    <s v=""/>
    <m/>
    <m/>
    <m/>
    <m/>
    <m/>
    <m/>
    <m/>
    <x v="0"/>
    <m/>
    <m/>
    <n v="15000"/>
    <m/>
    <n v="15000"/>
    <n v="2"/>
    <m/>
    <m/>
    <m/>
    <m/>
    <m/>
    <m/>
    <m/>
    <m/>
    <m/>
    <m/>
    <m/>
    <m/>
    <m/>
    <m/>
    <m/>
    <m/>
    <m/>
    <m/>
    <n v="17812"/>
    <n v="32812"/>
    <m/>
    <m/>
    <n v="1000"/>
    <n v="32812"/>
    <x v="1"/>
    <m/>
    <m/>
    <m/>
    <m/>
    <n v="2689"/>
    <m/>
    <m/>
    <m/>
    <m/>
    <m/>
    <m/>
    <m/>
    <m/>
    <m/>
    <m/>
    <m/>
    <s v="Iraq"/>
    <s v="PMN for JRCS; Jensen &amp; Dmitryuk in Amman"/>
  </r>
  <r>
    <m/>
    <n v="100"/>
    <x v="107"/>
    <d v="2003-03-01T00:00:00"/>
    <x v="7"/>
    <n v="24"/>
    <m/>
    <n v="2003"/>
    <n v="5"/>
    <s v="Europe/Asia"/>
    <s v="Turkey"/>
    <m/>
    <s v="Conflict"/>
    <s v="Conflict"/>
    <s v="Conflict"/>
    <m/>
    <x v="0"/>
    <m/>
    <m/>
    <m/>
    <m/>
    <s v=""/>
    <m/>
    <m/>
    <m/>
    <m/>
    <m/>
    <m/>
    <m/>
    <x v="0"/>
    <m/>
    <m/>
    <m/>
    <m/>
    <n v="0"/>
    <n v="1"/>
    <m/>
    <m/>
    <m/>
    <m/>
    <m/>
    <m/>
    <m/>
    <m/>
    <m/>
    <m/>
    <m/>
    <m/>
    <m/>
    <m/>
    <m/>
    <m/>
    <m/>
    <m/>
    <n v="17812"/>
    <n v="17812"/>
    <m/>
    <m/>
    <m/>
    <n v="17812"/>
    <x v="1"/>
    <m/>
    <m/>
    <m/>
    <m/>
    <n v="2689"/>
    <m/>
    <m/>
    <m/>
    <m/>
    <m/>
    <m/>
    <m/>
    <m/>
    <m/>
    <m/>
    <m/>
    <s v="Iraq"/>
    <s v="McAndrew in Ankara"/>
  </r>
  <r>
    <m/>
    <n v="101"/>
    <x v="108"/>
    <d v="2003-05-01T00:00:00"/>
    <x v="7"/>
    <n v="25"/>
    <m/>
    <n v="2003"/>
    <n v="6"/>
    <s v="LAC"/>
    <s v="Argentina"/>
    <m/>
    <s v="Floods"/>
    <s v="General Floods"/>
    <s v="General Floods"/>
    <m/>
    <x v="0"/>
    <m/>
    <m/>
    <m/>
    <m/>
    <s v=""/>
    <m/>
    <m/>
    <m/>
    <m/>
    <m/>
    <m/>
    <m/>
    <x v="2"/>
    <n v="15000"/>
    <m/>
    <m/>
    <m/>
    <n v="15000"/>
    <n v="1"/>
    <m/>
    <m/>
    <m/>
    <m/>
    <m/>
    <m/>
    <m/>
    <m/>
    <m/>
    <m/>
    <m/>
    <m/>
    <m/>
    <m/>
    <m/>
    <m/>
    <m/>
    <m/>
    <m/>
    <n v="15000"/>
    <m/>
    <m/>
    <n v="1500"/>
    <n v="15000"/>
    <x v="1"/>
    <m/>
    <m/>
    <m/>
    <m/>
    <n v="2898"/>
    <m/>
    <m/>
    <m/>
    <m/>
    <m/>
    <m/>
    <m/>
    <m/>
    <m/>
    <m/>
    <m/>
    <m/>
    <s v="Rob McKenney from PADRU"/>
  </r>
  <r>
    <m/>
    <n v="102"/>
    <x v="9"/>
    <d v="2003-05-01T00:00:00"/>
    <x v="7"/>
    <n v="26"/>
    <m/>
    <n v="2003"/>
    <n v="7"/>
    <s v="Europe/Asia"/>
    <s v="Turkey"/>
    <m/>
    <s v="Earthquake"/>
    <s v="Earthquake"/>
    <s v="Earthquake"/>
    <m/>
    <x v="0"/>
    <m/>
    <m/>
    <m/>
    <m/>
    <s v=""/>
    <m/>
    <m/>
    <m/>
    <m/>
    <m/>
    <m/>
    <m/>
    <x v="0"/>
    <m/>
    <m/>
    <m/>
    <m/>
    <n v="0"/>
    <n v="2"/>
    <m/>
    <m/>
    <n v="9000"/>
    <m/>
    <m/>
    <m/>
    <m/>
    <m/>
    <m/>
    <m/>
    <m/>
    <m/>
    <n v="9000"/>
    <m/>
    <m/>
    <m/>
    <m/>
    <n v="331380"/>
    <m/>
    <n v="331380"/>
    <m/>
    <m/>
    <n v="45000"/>
    <n v="331380"/>
    <x v="1"/>
    <m/>
    <m/>
    <m/>
    <m/>
    <n v="2898"/>
    <m/>
    <m/>
    <m/>
    <m/>
    <m/>
    <m/>
    <m/>
    <m/>
    <m/>
    <m/>
    <m/>
    <s v="Bingol"/>
    <s v="Food Parcels paid for by Region; IRT Kelly Hurd sent to support TRCS distribution; IRT R. Chapman deployed to support TRCS"/>
  </r>
  <r>
    <m/>
    <n v="103"/>
    <x v="109"/>
    <d v="2003-05-01T00:00:00"/>
    <x v="7"/>
    <n v="27"/>
    <m/>
    <n v="2003"/>
    <n v="8"/>
    <s v="Europe/Asia"/>
    <s v="China"/>
    <m/>
    <s v="Epidemic"/>
    <s v="Viral"/>
    <s v="Viral"/>
    <m/>
    <x v="0"/>
    <m/>
    <m/>
    <m/>
    <m/>
    <s v=""/>
    <m/>
    <m/>
    <m/>
    <m/>
    <m/>
    <m/>
    <m/>
    <x v="0"/>
    <m/>
    <m/>
    <n v="32500"/>
    <m/>
    <n v="32500"/>
    <m/>
    <m/>
    <m/>
    <m/>
    <m/>
    <m/>
    <m/>
    <m/>
    <m/>
    <m/>
    <m/>
    <m/>
    <m/>
    <m/>
    <m/>
    <m/>
    <m/>
    <m/>
    <m/>
    <m/>
    <n v="32500"/>
    <m/>
    <m/>
    <n v="59000"/>
    <n v="32500"/>
    <x v="1"/>
    <m/>
    <m/>
    <m/>
    <m/>
    <n v="2691"/>
    <m/>
    <m/>
    <m/>
    <m/>
    <m/>
    <m/>
    <m/>
    <m/>
    <m/>
    <m/>
    <m/>
    <s v="SARS"/>
    <s v="AMEX: $25,000 + $7,500"/>
  </r>
  <r>
    <m/>
    <n v="103"/>
    <x v="109"/>
    <d v="2003-05-01T00:00:00"/>
    <x v="7"/>
    <n v="27"/>
    <m/>
    <n v="2003"/>
    <n v="8"/>
    <s v="Europe/Asia"/>
    <s v="China"/>
    <m/>
    <s v="Epidemic"/>
    <s v="Viral"/>
    <s v="Viral"/>
    <m/>
    <x v="0"/>
    <m/>
    <m/>
    <m/>
    <m/>
    <s v=""/>
    <m/>
    <m/>
    <m/>
    <m/>
    <m/>
    <m/>
    <m/>
    <x v="0"/>
    <m/>
    <m/>
    <n v="370642"/>
    <m/>
    <n v="370642"/>
    <m/>
    <m/>
    <m/>
    <m/>
    <m/>
    <m/>
    <m/>
    <m/>
    <m/>
    <m/>
    <m/>
    <m/>
    <m/>
    <m/>
    <m/>
    <m/>
    <m/>
    <m/>
    <m/>
    <m/>
    <n v="370642"/>
    <m/>
    <m/>
    <n v="15000"/>
    <n v="370642"/>
    <x v="1"/>
    <m/>
    <m/>
    <m/>
    <m/>
    <s v="0000"/>
    <m/>
    <m/>
    <m/>
    <m/>
    <m/>
    <m/>
    <m/>
    <m/>
    <m/>
    <m/>
    <m/>
    <s v="SARS"/>
    <s v="Pfizer: $200,000; JP Morgan/Chase: $128,000; Microsoft: $42,642"/>
  </r>
  <r>
    <m/>
    <n v="103"/>
    <x v="110"/>
    <d v="2003-05-01T00:00:00"/>
    <x v="7"/>
    <n v="27"/>
    <m/>
    <n v="2003"/>
    <n v="8"/>
    <s v="Europe/Asia"/>
    <s v="Hong Kong"/>
    <m/>
    <s v="Epidemic"/>
    <s v="Viral"/>
    <s v="Viral"/>
    <m/>
    <x v="0"/>
    <m/>
    <m/>
    <m/>
    <m/>
    <s v=""/>
    <m/>
    <m/>
    <m/>
    <m/>
    <m/>
    <m/>
    <m/>
    <x v="0"/>
    <m/>
    <m/>
    <n v="60000"/>
    <m/>
    <n v="60000"/>
    <m/>
    <m/>
    <m/>
    <m/>
    <m/>
    <m/>
    <m/>
    <m/>
    <m/>
    <m/>
    <m/>
    <m/>
    <m/>
    <m/>
    <m/>
    <m/>
    <m/>
    <m/>
    <m/>
    <m/>
    <n v="60000"/>
    <m/>
    <m/>
    <n v="72500"/>
    <n v="60000"/>
    <x v="1"/>
    <m/>
    <m/>
    <m/>
    <m/>
    <n v="2060"/>
    <m/>
    <m/>
    <m/>
    <m/>
    <m/>
    <m/>
    <m/>
    <m/>
    <m/>
    <m/>
    <m/>
    <s v="SARS"/>
    <s v="$25,000 from AMEX and $35,000 from JP Morgan Chase (both) programmed against total invoice of $97,923.15 for 1.2 million alcohol swabs and 435,000 surgical masks"/>
  </r>
  <r>
    <m/>
    <n v="104"/>
    <x v="111"/>
    <d v="2003-05-01T00:00:00"/>
    <x v="7"/>
    <n v="28"/>
    <m/>
    <n v="2003"/>
    <n v="9"/>
    <s v="Europe/Asia"/>
    <s v="Sri Lanka"/>
    <m/>
    <s v="Floods"/>
    <s v="General Floods"/>
    <s v="General Floods"/>
    <m/>
    <x v="0"/>
    <m/>
    <m/>
    <m/>
    <m/>
    <s v=""/>
    <m/>
    <m/>
    <m/>
    <m/>
    <m/>
    <m/>
    <m/>
    <x v="2"/>
    <n v="21400"/>
    <m/>
    <m/>
    <m/>
    <n v="21400"/>
    <m/>
    <m/>
    <m/>
    <m/>
    <m/>
    <m/>
    <m/>
    <m/>
    <m/>
    <m/>
    <m/>
    <m/>
    <m/>
    <m/>
    <m/>
    <m/>
    <m/>
    <m/>
    <m/>
    <m/>
    <n v="21400"/>
    <m/>
    <m/>
    <n v="2862.1931568439049"/>
    <n v="21400"/>
    <x v="1"/>
    <m/>
    <m/>
    <m/>
    <m/>
    <n v="2692"/>
    <m/>
    <m/>
    <m/>
    <m/>
    <m/>
    <m/>
    <m/>
    <m/>
    <m/>
    <m/>
    <m/>
    <m/>
    <s v="Funds provided through Citigroup's ADGP; Federation Appeal for $934,598 / 125,000 beneficiaries / 3 months"/>
  </r>
  <r>
    <m/>
    <n v="105"/>
    <x v="80"/>
    <d v="2003-07-01T00:00:00"/>
    <x v="8"/>
    <n v="1"/>
    <m/>
    <n v="2003"/>
    <n v="10"/>
    <s v="LAC"/>
    <s v="Panama"/>
    <m/>
    <s v="Floods"/>
    <s v="General Floods"/>
    <s v="General Floods"/>
    <m/>
    <x v="0"/>
    <m/>
    <m/>
    <m/>
    <m/>
    <s v=""/>
    <m/>
    <m/>
    <m/>
    <m/>
    <m/>
    <m/>
    <m/>
    <x v="0"/>
    <m/>
    <m/>
    <m/>
    <m/>
    <n v="0"/>
    <n v="1"/>
    <m/>
    <m/>
    <n v="6500"/>
    <m/>
    <n v="500"/>
    <m/>
    <m/>
    <m/>
    <m/>
    <m/>
    <n v="6000"/>
    <m/>
    <m/>
    <m/>
    <m/>
    <m/>
    <m/>
    <n v="16700"/>
    <m/>
    <n v="16700"/>
    <m/>
    <m/>
    <n v="3000"/>
    <n v="16700"/>
    <x v="1"/>
    <m/>
    <m/>
    <m/>
    <m/>
    <n v="2898"/>
    <m/>
    <m/>
    <m/>
    <m/>
    <m/>
    <m/>
    <m/>
    <m/>
    <m/>
    <m/>
    <m/>
    <m/>
    <s v="hygiene kits (value $1,770) and bedsheets (500 packets of 12 at a total value of $15,000) from PADRU as part of a joint ARC/Federation/Panamanian Red Cross operation. Steve McAndrew was deployed from PADRU to oversee the distributions"/>
  </r>
  <r>
    <m/>
    <n v="106"/>
    <x v="112"/>
    <d v="2003-09-01T00:00:00"/>
    <x v="8"/>
    <n v="2"/>
    <m/>
    <n v="2003"/>
    <n v="11"/>
    <s v="North America"/>
    <s v="Canada"/>
    <m/>
    <s v="Wildfire"/>
    <s v="Forest Fire"/>
    <s v="Fire"/>
    <m/>
    <x v="0"/>
    <m/>
    <m/>
    <m/>
    <m/>
    <s v=""/>
    <m/>
    <m/>
    <m/>
    <m/>
    <m/>
    <m/>
    <m/>
    <x v="0"/>
    <m/>
    <m/>
    <n v="10000"/>
    <m/>
    <n v="10000"/>
    <m/>
    <m/>
    <m/>
    <m/>
    <m/>
    <m/>
    <m/>
    <m/>
    <m/>
    <m/>
    <m/>
    <m/>
    <m/>
    <m/>
    <m/>
    <m/>
    <m/>
    <m/>
    <m/>
    <m/>
    <n v="10000"/>
    <m/>
    <m/>
    <n v="250"/>
    <n v="10000"/>
    <x v="2"/>
    <m/>
    <m/>
    <m/>
    <m/>
    <n v="2099"/>
    <m/>
    <m/>
    <m/>
    <m/>
    <m/>
    <m/>
    <m/>
    <m/>
    <m/>
    <m/>
    <m/>
    <m/>
    <s v="$10,000 donation from Citigroup for forest fires in British Columbia (Citigroup $ kept in 2099 per a prior agreement)"/>
  </r>
  <r>
    <m/>
    <n v="107"/>
    <x v="113"/>
    <d v="2003-10-01T00:00:00"/>
    <x v="8"/>
    <n v="3"/>
    <m/>
    <n v="2003"/>
    <n v="12"/>
    <s v="LAC"/>
    <s v="Dominican Republic"/>
    <m/>
    <s v="Earthquake"/>
    <s v="Earthquake"/>
    <s v="Earthquake"/>
    <m/>
    <x v="0"/>
    <m/>
    <m/>
    <m/>
    <m/>
    <s v=""/>
    <m/>
    <m/>
    <m/>
    <m/>
    <m/>
    <m/>
    <m/>
    <x v="0"/>
    <m/>
    <m/>
    <m/>
    <m/>
    <n v="0"/>
    <m/>
    <m/>
    <m/>
    <m/>
    <m/>
    <m/>
    <m/>
    <m/>
    <m/>
    <m/>
    <m/>
    <m/>
    <m/>
    <m/>
    <m/>
    <m/>
    <m/>
    <m/>
    <n v="25000"/>
    <m/>
    <n v="25000"/>
    <m/>
    <m/>
    <n v="100"/>
    <n v="25000"/>
    <x v="1"/>
    <m/>
    <m/>
    <m/>
    <m/>
    <n v="2694"/>
    <m/>
    <m/>
    <m/>
    <m/>
    <m/>
    <m/>
    <m/>
    <m/>
    <m/>
    <m/>
    <m/>
    <s v="Puerto Plata"/>
    <s v="$25,000 from Verizon (AP is shared with November 2003 floods in Cibao / Montecristi)"/>
  </r>
  <r>
    <m/>
    <n v="108"/>
    <x v="114"/>
    <d v="2003-05-01T00:00:00"/>
    <x v="8"/>
    <n v="4"/>
    <m/>
    <n v="2003"/>
    <n v="13"/>
    <s v="Africa"/>
    <s v="Algeria"/>
    <m/>
    <s v="Earthquake"/>
    <s v="Earthquake"/>
    <s v="Earthquake"/>
    <m/>
    <x v="0"/>
    <m/>
    <m/>
    <m/>
    <m/>
    <s v=""/>
    <m/>
    <m/>
    <m/>
    <m/>
    <m/>
    <m/>
    <m/>
    <x v="0"/>
    <m/>
    <m/>
    <m/>
    <m/>
    <n v="0"/>
    <m/>
    <m/>
    <m/>
    <n v="10000"/>
    <m/>
    <n v="10000"/>
    <m/>
    <m/>
    <m/>
    <m/>
    <m/>
    <m/>
    <m/>
    <m/>
    <m/>
    <m/>
    <m/>
    <m/>
    <n v="37200"/>
    <n v="28670"/>
    <n v="65870"/>
    <m/>
    <m/>
    <n v="50000"/>
    <n v="65870"/>
    <x v="1"/>
    <m/>
    <m/>
    <m/>
    <m/>
    <n v="2693"/>
    <m/>
    <m/>
    <m/>
    <m/>
    <m/>
    <m/>
    <m/>
    <m/>
    <m/>
    <m/>
    <m/>
    <s v="RESPONSE IN FY 04"/>
    <s v="hygiene kits ($3.72 each) ex Bulgaria; $8,470 for transport, $1,200 demurrage, $19,000 to remove washing powder in Greece"/>
  </r>
  <r>
    <m/>
    <n v="109"/>
    <x v="115"/>
    <d v="2003-08-01T00:00:00"/>
    <x v="8"/>
    <n v="5"/>
    <m/>
    <n v="2003"/>
    <n v="14"/>
    <s v="Africa"/>
    <s v="Liberia"/>
    <m/>
    <s v="Conflict"/>
    <s v="Conflict"/>
    <s v="Conflict"/>
    <m/>
    <x v="0"/>
    <m/>
    <m/>
    <m/>
    <m/>
    <s v=""/>
    <m/>
    <m/>
    <m/>
    <m/>
    <m/>
    <m/>
    <m/>
    <x v="2"/>
    <n v="35027"/>
    <m/>
    <m/>
    <m/>
    <n v="35027"/>
    <m/>
    <m/>
    <m/>
    <m/>
    <m/>
    <m/>
    <m/>
    <m/>
    <m/>
    <m/>
    <m/>
    <m/>
    <m/>
    <m/>
    <m/>
    <m/>
    <m/>
    <m/>
    <m/>
    <m/>
    <n v="35027"/>
    <m/>
    <m/>
    <n v="2500"/>
    <n v="35027"/>
    <x v="1"/>
    <m/>
    <m/>
    <m/>
    <m/>
    <n v="2631"/>
    <m/>
    <m/>
    <m/>
    <m/>
    <m/>
    <m/>
    <m/>
    <m/>
    <m/>
    <m/>
    <m/>
    <m/>
    <s v="Funds from Region's budget previously sent to Geneva re-allocated  - signed PMN returned to IDRU in October 2003"/>
  </r>
  <r>
    <m/>
    <n v="110"/>
    <x v="6"/>
    <d v="2003-09-01T00:00:00"/>
    <x v="8"/>
    <n v="6"/>
    <m/>
    <n v="2003"/>
    <n v="15"/>
    <s v="LAC"/>
    <s v="Mexico"/>
    <m/>
    <s v="Floods"/>
    <s v="General Floods"/>
    <s v="General Floods"/>
    <m/>
    <x v="0"/>
    <m/>
    <m/>
    <m/>
    <m/>
    <s v=""/>
    <m/>
    <m/>
    <m/>
    <m/>
    <m/>
    <m/>
    <m/>
    <x v="0"/>
    <m/>
    <m/>
    <n v="10500"/>
    <m/>
    <n v="10500"/>
    <n v="2"/>
    <m/>
    <m/>
    <m/>
    <m/>
    <m/>
    <m/>
    <m/>
    <m/>
    <m/>
    <m/>
    <m/>
    <m/>
    <m/>
    <m/>
    <m/>
    <m/>
    <m/>
    <m/>
    <m/>
    <n v="10500"/>
    <m/>
    <m/>
    <n v="3000"/>
    <n v="10500"/>
    <x v="1"/>
    <m/>
    <m/>
    <m/>
    <m/>
    <n v="2688"/>
    <m/>
    <m/>
    <m/>
    <m/>
    <m/>
    <m/>
    <m/>
    <m/>
    <m/>
    <m/>
    <m/>
    <m/>
    <s v="Hurricane Kenna funds ($11,636.16 minus 11.15%); Christine Strater and Nate Cooper deployed 5 October 2003"/>
  </r>
  <r>
    <m/>
    <n v="111"/>
    <x v="95"/>
    <d v="2003-10-01T00:00:00"/>
    <x v="8"/>
    <n v="7"/>
    <m/>
    <n v="2003"/>
    <n v="16"/>
    <s v="Europe/Asia"/>
    <s v="South Korea"/>
    <m/>
    <s v="Storm"/>
    <s v="Tropical Cyclone"/>
    <s v="Typhoon"/>
    <m/>
    <x v="0"/>
    <m/>
    <m/>
    <m/>
    <m/>
    <s v=""/>
    <m/>
    <m/>
    <m/>
    <m/>
    <m/>
    <m/>
    <m/>
    <x v="0"/>
    <m/>
    <m/>
    <n v="10000"/>
    <m/>
    <n v="10000"/>
    <m/>
    <m/>
    <m/>
    <m/>
    <m/>
    <m/>
    <m/>
    <m/>
    <m/>
    <m/>
    <m/>
    <m/>
    <m/>
    <m/>
    <m/>
    <m/>
    <m/>
    <m/>
    <m/>
    <m/>
    <n v="10000"/>
    <m/>
    <m/>
    <m/>
    <n v="10000"/>
    <x v="1"/>
    <m/>
    <m/>
    <m/>
    <m/>
    <n v="2647"/>
    <m/>
    <m/>
    <m/>
    <m/>
    <m/>
    <m/>
    <m/>
    <m/>
    <m/>
    <m/>
    <m/>
    <s v="Maemi"/>
    <s v="Alcoa funds for re-stocking KNRC warehouse"/>
  </r>
  <r>
    <m/>
    <n v="112"/>
    <x v="116"/>
    <d v="2003-11-01T00:00:00"/>
    <x v="8"/>
    <n v="8"/>
    <m/>
    <n v="2003"/>
    <n v="17"/>
    <s v="LAC"/>
    <s v="Dominican Republic"/>
    <m/>
    <s v="Floods"/>
    <s v="General Floods"/>
    <s v="General Floods"/>
    <m/>
    <x v="0"/>
    <m/>
    <m/>
    <m/>
    <m/>
    <s v=""/>
    <m/>
    <m/>
    <m/>
    <m/>
    <m/>
    <m/>
    <m/>
    <x v="0"/>
    <m/>
    <m/>
    <m/>
    <m/>
    <n v="0"/>
    <n v="3"/>
    <s v="Relief ERU"/>
    <m/>
    <m/>
    <m/>
    <m/>
    <m/>
    <m/>
    <m/>
    <m/>
    <m/>
    <m/>
    <m/>
    <m/>
    <m/>
    <m/>
    <m/>
    <m/>
    <n v="50000"/>
    <m/>
    <n v="50000"/>
    <m/>
    <m/>
    <n v="500"/>
    <n v="50000"/>
    <x v="1"/>
    <m/>
    <m/>
    <m/>
    <m/>
    <n v="2618"/>
    <m/>
    <m/>
    <m/>
    <m/>
    <m/>
    <m/>
    <m/>
    <m/>
    <m/>
    <m/>
    <m/>
    <s v="Cibao / Montecristi"/>
    <s v="$50,000 from OFDA; Greenhalgh, McAndrew and Chapman deployed in November 2003 on Relief ERU Pilot"/>
  </r>
  <r>
    <m/>
    <n v="112"/>
    <x v="116"/>
    <d v="2003-11-01T00:00:00"/>
    <x v="8"/>
    <n v="8"/>
    <m/>
    <n v="2003"/>
    <n v="17"/>
    <s v="LAC"/>
    <s v="Dominican Republic"/>
    <m/>
    <s v="Floods"/>
    <s v="General Floods"/>
    <s v="General Floods"/>
    <m/>
    <x v="0"/>
    <m/>
    <m/>
    <m/>
    <m/>
    <s v=""/>
    <m/>
    <m/>
    <m/>
    <m/>
    <m/>
    <m/>
    <m/>
    <x v="0"/>
    <m/>
    <m/>
    <m/>
    <m/>
    <n v="0"/>
    <m/>
    <m/>
    <m/>
    <m/>
    <m/>
    <m/>
    <m/>
    <m/>
    <m/>
    <m/>
    <m/>
    <m/>
    <m/>
    <m/>
    <m/>
    <m/>
    <m/>
    <m/>
    <m/>
    <m/>
    <n v="0"/>
    <m/>
    <m/>
    <m/>
    <n v="0"/>
    <x v="1"/>
    <m/>
    <m/>
    <m/>
    <m/>
    <n v="2694"/>
    <m/>
    <m/>
    <m/>
    <m/>
    <m/>
    <m/>
    <m/>
    <m/>
    <m/>
    <m/>
    <m/>
    <s v="Cibao / Montecristi"/>
    <s v="(AP is shared with October 2003 Earthquake in Puerto Plata)"/>
  </r>
  <r>
    <m/>
    <n v="113"/>
    <x v="117"/>
    <d v="2003-12-01T00:00:00"/>
    <x v="8"/>
    <n v="9"/>
    <m/>
    <n v="2003"/>
    <n v="18"/>
    <s v="Europe/Asia"/>
    <s v="Iran"/>
    <m/>
    <s v="Earthquake"/>
    <s v="Earthquake"/>
    <s v="Earthquake"/>
    <m/>
    <x v="0"/>
    <m/>
    <m/>
    <m/>
    <m/>
    <s v=""/>
    <m/>
    <m/>
    <m/>
    <m/>
    <m/>
    <m/>
    <m/>
    <x v="1"/>
    <n v="200000"/>
    <m/>
    <m/>
    <m/>
    <n v="200000"/>
    <n v="6"/>
    <s v="Relief ERU"/>
    <m/>
    <n v="115560"/>
    <m/>
    <n v="45000"/>
    <n v="27000"/>
    <m/>
    <m/>
    <n v="490"/>
    <m/>
    <m/>
    <m/>
    <m/>
    <m/>
    <m/>
    <m/>
    <m/>
    <n v="825763"/>
    <n v="150038.97999999998"/>
    <n v="1175801.98"/>
    <m/>
    <m/>
    <n v="225000"/>
    <n v="1175801.98"/>
    <x v="1"/>
    <m/>
    <m/>
    <m/>
    <m/>
    <n v="2019"/>
    <m/>
    <m/>
    <m/>
    <m/>
    <m/>
    <m/>
    <m/>
    <m/>
    <m/>
    <m/>
    <m/>
    <s v="Bam"/>
    <s v="Relief ERU deployed: McAndrew (TL), Stephenson, Stops, Parry, Strater &amp; Swadzka.  $200,000 PMN sent to Federation; Commodities provide: 10,000 towels and 20,000 nail clippers"/>
  </r>
  <r>
    <m/>
    <n v="113"/>
    <x v="117"/>
    <d v="2003-12-01T00:00:00"/>
    <x v="8"/>
    <n v="9"/>
    <m/>
    <n v="2003"/>
    <n v="18"/>
    <s v="Europe/Asia"/>
    <s v="Iran"/>
    <m/>
    <s v="Earthquake"/>
    <s v="Earthquake"/>
    <s v="Earthquake"/>
    <m/>
    <x v="0"/>
    <m/>
    <m/>
    <m/>
    <m/>
    <s v=""/>
    <m/>
    <m/>
    <m/>
    <m/>
    <m/>
    <m/>
    <m/>
    <x v="0"/>
    <m/>
    <m/>
    <m/>
    <m/>
    <n v="0"/>
    <m/>
    <m/>
    <m/>
    <n v="11"/>
    <m/>
    <m/>
    <m/>
    <m/>
    <m/>
    <n v="11"/>
    <m/>
    <m/>
    <m/>
    <m/>
    <m/>
    <m/>
    <m/>
    <m/>
    <n v="19975"/>
    <m/>
    <n v="19975"/>
    <m/>
    <m/>
    <n v="440"/>
    <n v="19975"/>
    <x v="1"/>
    <m/>
    <m/>
    <m/>
    <m/>
    <n v="2616"/>
    <m/>
    <m/>
    <m/>
    <m/>
    <m/>
    <m/>
    <m/>
    <m/>
    <m/>
    <m/>
    <m/>
    <s v="Bam"/>
    <s v="Grant from Reuters / AlertNet"/>
  </r>
  <r>
    <m/>
    <n v="113"/>
    <x v="117"/>
    <d v="2003-12-01T00:00:00"/>
    <x v="8"/>
    <n v="9"/>
    <m/>
    <n v="2003"/>
    <n v="18"/>
    <s v="Europe/Asia"/>
    <s v="Iran"/>
    <m/>
    <s v="Earthquake"/>
    <s v="Earthquake"/>
    <s v="Earthquake"/>
    <m/>
    <x v="0"/>
    <m/>
    <m/>
    <m/>
    <m/>
    <s v=""/>
    <m/>
    <m/>
    <m/>
    <m/>
    <m/>
    <m/>
    <m/>
    <x v="0"/>
    <m/>
    <m/>
    <m/>
    <m/>
    <n v="0"/>
    <m/>
    <m/>
    <m/>
    <m/>
    <m/>
    <m/>
    <m/>
    <m/>
    <m/>
    <m/>
    <m/>
    <m/>
    <m/>
    <m/>
    <m/>
    <m/>
    <m/>
    <m/>
    <n v="60000"/>
    <m/>
    <n v="60000"/>
    <m/>
    <m/>
    <m/>
    <n v="60000"/>
    <x v="1"/>
    <m/>
    <m/>
    <m/>
    <m/>
    <n v="2793"/>
    <m/>
    <m/>
    <m/>
    <m/>
    <m/>
    <m/>
    <m/>
    <m/>
    <m/>
    <m/>
    <m/>
    <s v="Bam"/>
    <s v="Grant from Semnani Foundation."/>
  </r>
  <r>
    <m/>
    <n v="114"/>
    <x v="118"/>
    <d v="2003-12-01T00:00:00"/>
    <x v="8"/>
    <n v="10"/>
    <m/>
    <n v="2003"/>
    <n v="19"/>
    <s v="LAC"/>
    <s v="Panama"/>
    <m/>
    <s v="Earthquake"/>
    <s v="Earthquake"/>
    <s v="Earthquake"/>
    <m/>
    <x v="0"/>
    <m/>
    <m/>
    <m/>
    <m/>
    <s v=""/>
    <m/>
    <m/>
    <m/>
    <m/>
    <m/>
    <m/>
    <m/>
    <x v="0"/>
    <m/>
    <m/>
    <m/>
    <m/>
    <n v="0"/>
    <m/>
    <m/>
    <m/>
    <n v="2300"/>
    <m/>
    <m/>
    <n v="1000"/>
    <m/>
    <m/>
    <m/>
    <m/>
    <n v="1100"/>
    <m/>
    <m/>
    <m/>
    <m/>
    <m/>
    <m/>
    <n v="6178"/>
    <m/>
    <n v="6178"/>
    <m/>
    <m/>
    <n v="550"/>
    <n v="6178"/>
    <x v="1"/>
    <m/>
    <m/>
    <m/>
    <m/>
    <n v="2898"/>
    <m/>
    <m/>
    <m/>
    <m/>
    <m/>
    <m/>
    <m/>
    <m/>
    <m/>
    <m/>
    <m/>
    <m/>
    <s v="Supplies to Panama RC"/>
  </r>
  <r>
    <m/>
    <n v="115"/>
    <x v="119"/>
    <d v="2004-04-01T00:00:00"/>
    <x v="8"/>
    <n v="11"/>
    <m/>
    <n v="2004"/>
    <n v="1"/>
    <s v="Europe/Asia"/>
    <s v="DPRK/North Korea"/>
    <m/>
    <s v="Transport"/>
    <s v="Rail"/>
    <s v="Explosion"/>
    <m/>
    <x v="0"/>
    <m/>
    <m/>
    <m/>
    <m/>
    <s v=""/>
    <m/>
    <m/>
    <m/>
    <m/>
    <m/>
    <m/>
    <m/>
    <x v="1"/>
    <n v="110000"/>
    <m/>
    <m/>
    <m/>
    <n v="110000"/>
    <m/>
    <m/>
    <m/>
    <m/>
    <m/>
    <m/>
    <m/>
    <m/>
    <m/>
    <m/>
    <m/>
    <m/>
    <m/>
    <m/>
    <m/>
    <m/>
    <m/>
    <m/>
    <m/>
    <m/>
    <n v="110000"/>
    <m/>
    <m/>
    <n v="3300"/>
    <n v="110000"/>
    <x v="1"/>
    <m/>
    <m/>
    <m/>
    <m/>
    <s v="2861 / 2790"/>
    <m/>
    <m/>
    <m/>
    <m/>
    <m/>
    <m/>
    <m/>
    <m/>
    <m/>
    <m/>
    <m/>
    <s v="Ryongchon"/>
    <s v="CASH: $10,000  from 2861 funds from Asia Region ; $100,000 from OFDA / 2790;"/>
  </r>
  <r>
    <m/>
    <n v="116"/>
    <x v="116"/>
    <d v="2004-05-01T00:00:00"/>
    <x v="8"/>
    <n v="12"/>
    <m/>
    <n v="2004"/>
    <n v="2"/>
    <s v="LAC"/>
    <s v="Dominican Republic"/>
    <m/>
    <s v="Floods"/>
    <s v="General Floods"/>
    <s v="General Floods"/>
    <m/>
    <x v="0"/>
    <m/>
    <m/>
    <m/>
    <m/>
    <s v=""/>
    <m/>
    <m/>
    <m/>
    <m/>
    <m/>
    <m/>
    <m/>
    <x v="0"/>
    <m/>
    <m/>
    <m/>
    <m/>
    <n v="0"/>
    <n v="1"/>
    <m/>
    <m/>
    <n v="10930"/>
    <m/>
    <m/>
    <m/>
    <n v="2350"/>
    <m/>
    <n v="150"/>
    <m/>
    <n v="5000"/>
    <m/>
    <m/>
    <n v="1000"/>
    <m/>
    <m/>
    <m/>
    <n v="205334.81245"/>
    <n v="14800"/>
    <n v="220134.81245"/>
    <m/>
    <m/>
    <n v="2500"/>
    <n v="220134.81245"/>
    <x v="1"/>
    <m/>
    <m/>
    <m/>
    <m/>
    <n v="2694"/>
    <m/>
    <m/>
    <m/>
    <m/>
    <m/>
    <m/>
    <m/>
    <m/>
    <m/>
    <m/>
    <m/>
    <s v="Jimani &amp; Duarte"/>
    <s v="Nate Cooper deployed to DR with PADRU; stocks deployed ($74,526.50) from PADRU includes 2,430 school kits; $89,000 worth of generators"/>
  </r>
  <r>
    <m/>
    <n v="116"/>
    <x v="120"/>
    <d v="2004-05-01T00:00:00"/>
    <x v="8"/>
    <n v="12"/>
    <m/>
    <n v="2004"/>
    <n v="2"/>
    <s v="LAC"/>
    <s v="Haiti"/>
    <m/>
    <s v="Floods"/>
    <s v="General Floods"/>
    <s v="General Floods"/>
    <m/>
    <x v="0"/>
    <m/>
    <m/>
    <m/>
    <m/>
    <s v=""/>
    <m/>
    <m/>
    <m/>
    <m/>
    <m/>
    <m/>
    <m/>
    <x v="2"/>
    <n v="20007"/>
    <m/>
    <m/>
    <m/>
    <n v="20007"/>
    <m/>
    <m/>
    <m/>
    <m/>
    <m/>
    <m/>
    <m/>
    <m/>
    <m/>
    <m/>
    <m/>
    <m/>
    <m/>
    <m/>
    <m/>
    <n v="2"/>
    <m/>
    <m/>
    <n v="16885.856"/>
    <n v="7665"/>
    <n v="44557.856"/>
    <m/>
    <m/>
    <n v="3000"/>
    <n v="44557.856"/>
    <x v="1"/>
    <m/>
    <m/>
    <m/>
    <m/>
    <n v="2614"/>
    <m/>
    <m/>
    <m/>
    <m/>
    <m/>
    <m/>
    <m/>
    <m/>
    <m/>
    <m/>
    <m/>
    <s v="Eastern"/>
    <s v="PMN 0407052 ($18,000 + PSR) dated 7 July 2004; rental of two vehicles to be used in Haiti for 3 months each"/>
  </r>
  <r>
    <m/>
    <n v="116"/>
    <x v="121"/>
    <d v="2004-05-01T00:00:00"/>
    <x v="8"/>
    <n v="13"/>
    <m/>
    <n v="2004"/>
    <n v="3"/>
    <s v="Africa"/>
    <s v="Malawi"/>
    <m/>
    <s v="Epidemic"/>
    <s v="Viral"/>
    <s v="Viral"/>
    <m/>
    <x v="0"/>
    <m/>
    <m/>
    <m/>
    <m/>
    <s v=""/>
    <m/>
    <m/>
    <m/>
    <m/>
    <m/>
    <m/>
    <m/>
    <x v="0"/>
    <m/>
    <m/>
    <m/>
    <m/>
    <n v="0"/>
    <m/>
    <m/>
    <m/>
    <n v="12380"/>
    <m/>
    <m/>
    <m/>
    <m/>
    <m/>
    <m/>
    <m/>
    <n v="12360"/>
    <m/>
    <m/>
    <n v="20"/>
    <m/>
    <m/>
    <m/>
    <n v="61220"/>
    <m/>
    <n v="61220"/>
    <m/>
    <m/>
    <n v="6180"/>
    <n v="61220"/>
    <x v="1"/>
    <m/>
    <m/>
    <m/>
    <m/>
    <n v="2898"/>
    <m/>
    <m/>
    <m/>
    <m/>
    <m/>
    <m/>
    <m/>
    <m/>
    <m/>
    <m/>
    <m/>
    <s v="HIV/AIDS - Home Care"/>
    <s v="ex London"/>
  </r>
  <r>
    <m/>
    <n v="116"/>
    <x v="116"/>
    <d v="2004-07-01T00:00:00"/>
    <x v="8"/>
    <n v="12"/>
    <m/>
    <n v="2004"/>
    <n v="2"/>
    <s v="LAC"/>
    <s v="Dominican Republic"/>
    <m/>
    <s v="Floods"/>
    <s v="General Floods"/>
    <s v="General Floods"/>
    <m/>
    <x v="0"/>
    <m/>
    <m/>
    <m/>
    <m/>
    <s v=""/>
    <m/>
    <m/>
    <m/>
    <m/>
    <m/>
    <m/>
    <m/>
    <x v="0"/>
    <m/>
    <m/>
    <m/>
    <m/>
    <n v="0"/>
    <n v="1"/>
    <m/>
    <m/>
    <m/>
    <m/>
    <m/>
    <m/>
    <m/>
    <m/>
    <m/>
    <m/>
    <m/>
    <m/>
    <m/>
    <m/>
    <m/>
    <m/>
    <m/>
    <n v="110266.26"/>
    <m/>
    <n v="110266.26"/>
    <m/>
    <m/>
    <n v="2500"/>
    <n v="110266.26"/>
    <x v="1"/>
    <m/>
    <m/>
    <m/>
    <m/>
    <n v="2788"/>
    <m/>
    <m/>
    <m/>
    <m/>
    <m/>
    <m/>
    <m/>
    <m/>
    <m/>
    <m/>
    <m/>
    <s v="Jimani &amp; Duarte"/>
    <s v="Ricardo Caivano - Gates Foundation funds ($233,780 - 11.15% = $207,713.53 available - - 60% for DR)"/>
  </r>
  <r>
    <m/>
    <n v="116"/>
    <x v="120"/>
    <d v="2004-07-01T00:00:00"/>
    <x v="8"/>
    <n v="12"/>
    <m/>
    <n v="2004"/>
    <n v="2"/>
    <s v="LAC"/>
    <s v="Haiti"/>
    <m/>
    <s v="Floods"/>
    <s v="General Floods"/>
    <s v="General Floods"/>
    <m/>
    <x v="0"/>
    <m/>
    <m/>
    <m/>
    <m/>
    <s v=""/>
    <m/>
    <m/>
    <m/>
    <m/>
    <m/>
    <m/>
    <m/>
    <x v="0"/>
    <m/>
    <m/>
    <m/>
    <m/>
    <n v="0"/>
    <m/>
    <m/>
    <m/>
    <m/>
    <m/>
    <m/>
    <m/>
    <m/>
    <m/>
    <m/>
    <m/>
    <m/>
    <m/>
    <m/>
    <m/>
    <m/>
    <m/>
    <m/>
    <n v="97442.48"/>
    <m/>
    <n v="97442.48"/>
    <m/>
    <m/>
    <n v="3000"/>
    <n v="97442.48"/>
    <x v="1"/>
    <m/>
    <m/>
    <m/>
    <m/>
    <n v="2788"/>
    <m/>
    <m/>
    <m/>
    <m/>
    <m/>
    <m/>
    <m/>
    <m/>
    <m/>
    <m/>
    <m/>
    <s v="Eastern"/>
    <s v="Ricardo Caivano - Gates Foundation funds ($233,780 - 11.15% = $207,713.53 available - - 40% for Haiti)"/>
  </r>
  <r>
    <m/>
    <n v="117"/>
    <x v="122"/>
    <d v="2004-05-01T00:00:00"/>
    <x v="8"/>
    <n v="14"/>
    <m/>
    <n v="2004"/>
    <n v="4"/>
    <s v="LAC"/>
    <s v="Jamaica"/>
    <m/>
    <s v="Conflict"/>
    <s v="Conflict"/>
    <s v="Conflict"/>
    <m/>
    <x v="0"/>
    <m/>
    <m/>
    <m/>
    <m/>
    <s v=""/>
    <m/>
    <m/>
    <m/>
    <m/>
    <m/>
    <m/>
    <m/>
    <x v="0"/>
    <m/>
    <m/>
    <m/>
    <m/>
    <n v="0"/>
    <n v="0"/>
    <m/>
    <m/>
    <n v="1000"/>
    <m/>
    <n v="500"/>
    <m/>
    <m/>
    <m/>
    <m/>
    <m/>
    <n v="500"/>
    <m/>
    <m/>
    <m/>
    <m/>
    <m/>
    <m/>
    <n v="3000"/>
    <m/>
    <n v="3000"/>
    <m/>
    <m/>
    <n v="500"/>
    <n v="3000"/>
    <x v="1"/>
    <m/>
    <m/>
    <m/>
    <m/>
    <n v="2898"/>
    <m/>
    <m/>
    <m/>
    <m/>
    <m/>
    <m/>
    <m/>
    <m/>
    <m/>
    <m/>
    <m/>
    <s v="Haiti - Refugee"/>
    <s v="PADRU stocks"/>
  </r>
  <r>
    <m/>
    <n v="119"/>
    <x v="123"/>
    <d v="2004-08-01T00:00:00"/>
    <x v="9"/>
    <n v="1"/>
    <m/>
    <n v="2004"/>
    <n v="5"/>
    <s v="LAC"/>
    <s v="Paraguay"/>
    <m/>
    <s v="Miscellaneous"/>
    <s v="Fire"/>
    <s v="Urban Fire"/>
    <m/>
    <x v="0"/>
    <m/>
    <m/>
    <m/>
    <m/>
    <s v=""/>
    <m/>
    <m/>
    <m/>
    <m/>
    <m/>
    <m/>
    <m/>
    <x v="0"/>
    <m/>
    <m/>
    <n v="18675"/>
    <m/>
    <n v="18675"/>
    <m/>
    <m/>
    <m/>
    <m/>
    <m/>
    <m/>
    <m/>
    <m/>
    <m/>
    <m/>
    <m/>
    <m/>
    <m/>
    <m/>
    <m/>
    <m/>
    <m/>
    <m/>
    <m/>
    <m/>
    <n v="18675"/>
    <m/>
    <m/>
    <m/>
    <n v="18675"/>
    <x v="1"/>
    <m/>
    <m/>
    <m/>
    <m/>
    <n v="2816"/>
    <m/>
    <m/>
    <m/>
    <m/>
    <m/>
    <m/>
    <m/>
    <m/>
    <m/>
    <m/>
    <m/>
    <s v="Asuncion Supermarket"/>
    <s v="World Bank Employees; money arrived Oct 2004"/>
  </r>
  <r>
    <m/>
    <n v="120"/>
    <x v="124"/>
    <d v="2004-08-01T00:00:00"/>
    <x v="9"/>
    <n v="2"/>
    <m/>
    <n v="2004"/>
    <n v="6"/>
    <s v="Africa"/>
    <s v="Chad"/>
    <m/>
    <s v="Conflict"/>
    <s v="Conflict"/>
    <s v="Conflict"/>
    <m/>
    <x v="0"/>
    <m/>
    <m/>
    <m/>
    <m/>
    <s v=""/>
    <m/>
    <m/>
    <m/>
    <m/>
    <m/>
    <m/>
    <m/>
    <x v="1"/>
    <n v="100000"/>
    <m/>
    <m/>
    <m/>
    <n v="100000"/>
    <m/>
    <m/>
    <m/>
    <m/>
    <m/>
    <m/>
    <m/>
    <m/>
    <m/>
    <m/>
    <m/>
    <m/>
    <m/>
    <m/>
    <m/>
    <m/>
    <m/>
    <m/>
    <m/>
    <m/>
    <n v="100000"/>
    <m/>
    <m/>
    <m/>
    <n v="100000"/>
    <x v="1"/>
    <m/>
    <m/>
    <m/>
    <m/>
    <n v="9306"/>
    <m/>
    <m/>
    <m/>
    <m/>
    <m/>
    <m/>
    <m/>
    <m/>
    <m/>
    <m/>
    <m/>
    <s v="Darfur / Sudan"/>
    <s v="PMN Contribution to support Fed Appeal - Chad: Sudanese Refugees (from LDS)"/>
  </r>
  <r>
    <m/>
    <n v="120"/>
    <x v="125"/>
    <d v="2004-08-01T00:00:00"/>
    <x v="9"/>
    <n v="2"/>
    <m/>
    <n v="2004"/>
    <n v="6"/>
    <s v="Africa"/>
    <s v="Sudan"/>
    <m/>
    <s v="Conflict"/>
    <s v="Conflict"/>
    <s v="Conflict"/>
    <m/>
    <x v="0"/>
    <m/>
    <m/>
    <m/>
    <m/>
    <s v=""/>
    <m/>
    <m/>
    <m/>
    <m/>
    <m/>
    <m/>
    <m/>
    <x v="0"/>
    <m/>
    <n v="242000"/>
    <m/>
    <m/>
    <n v="242000"/>
    <n v="1"/>
    <m/>
    <m/>
    <m/>
    <m/>
    <m/>
    <m/>
    <m/>
    <m/>
    <m/>
    <m/>
    <m/>
    <m/>
    <m/>
    <m/>
    <m/>
    <m/>
    <m/>
    <m/>
    <n v="5400"/>
    <n v="247400"/>
    <m/>
    <m/>
    <m/>
    <n v="247400"/>
    <x v="1"/>
    <m/>
    <m/>
    <m/>
    <m/>
    <n v="2802"/>
    <m/>
    <m/>
    <m/>
    <m/>
    <m/>
    <m/>
    <m/>
    <m/>
    <m/>
    <m/>
    <m/>
    <s v="Darfur / Sudan"/>
    <s v="1. 2004 - L. Greenhalgh seconded to Fed, expenses $5400 2. 2006 - Pledge to ICRC Sudan Appeal, $242,000"/>
  </r>
  <r>
    <m/>
    <n v="121"/>
    <x v="19"/>
    <d v="2004-08-01T00:00:00"/>
    <x v="9"/>
    <n v="3"/>
    <m/>
    <n v="2004"/>
    <n v="7"/>
    <s v="Europe/Asia"/>
    <s v="Bangladesh"/>
    <m/>
    <s v="Floods"/>
    <s v="General Floods"/>
    <s v="General Floods"/>
    <m/>
    <x v="0"/>
    <m/>
    <m/>
    <m/>
    <m/>
    <s v=""/>
    <m/>
    <m/>
    <m/>
    <m/>
    <m/>
    <m/>
    <m/>
    <x v="2"/>
    <n v="35975"/>
    <m/>
    <m/>
    <m/>
    <n v="35975"/>
    <m/>
    <m/>
    <m/>
    <m/>
    <m/>
    <m/>
    <m/>
    <m/>
    <m/>
    <m/>
    <m/>
    <m/>
    <m/>
    <m/>
    <m/>
    <m/>
    <m/>
    <m/>
    <m/>
    <m/>
    <n v="35975"/>
    <m/>
    <m/>
    <m/>
    <n v="35975"/>
    <x v="1"/>
    <m/>
    <m/>
    <m/>
    <m/>
    <n v="2017"/>
    <m/>
    <m/>
    <m/>
    <m/>
    <m/>
    <m/>
    <m/>
    <m/>
    <m/>
    <m/>
    <m/>
    <s v="Country-wide"/>
    <s v="PMN: $15,975 from Citigroup and $20,000 from AMEX"/>
  </r>
  <r>
    <m/>
    <n v="122"/>
    <x v="126"/>
    <d v="2004-08-01T00:00:00"/>
    <x v="9"/>
    <n v="4"/>
    <m/>
    <n v="2004"/>
    <n v="8"/>
    <s v="Europe/Asia"/>
    <s v="Taiwan"/>
    <m/>
    <s v="Storm"/>
    <s v="Tropical Cyclone"/>
    <s v="Typhoon"/>
    <m/>
    <x v="0"/>
    <m/>
    <m/>
    <m/>
    <m/>
    <s v=""/>
    <m/>
    <m/>
    <m/>
    <m/>
    <m/>
    <m/>
    <m/>
    <x v="0"/>
    <m/>
    <m/>
    <n v="59896.536212325685"/>
    <m/>
    <n v="59896.536212325685"/>
    <m/>
    <m/>
    <m/>
    <m/>
    <m/>
    <m/>
    <m/>
    <m/>
    <m/>
    <m/>
    <m/>
    <m/>
    <m/>
    <m/>
    <m/>
    <m/>
    <m/>
    <m/>
    <m/>
    <m/>
    <n v="59896.536212325685"/>
    <m/>
    <m/>
    <m/>
    <n v="59896.536212325685"/>
    <x v="1"/>
    <m/>
    <m/>
    <m/>
    <m/>
    <n v="2824"/>
    <m/>
    <m/>
    <m/>
    <m/>
    <m/>
    <m/>
    <m/>
    <m/>
    <m/>
    <m/>
    <m/>
    <s v="Mindulle"/>
    <s v="Pass through from Intel ($50,000), Synopsys Community Foundation ($10,000 - 11.15%) and San Gabriel Valley Chapter ($1,000 - 11.15%)"/>
  </r>
  <r>
    <m/>
    <n v="123"/>
    <x v="25"/>
    <d v="2004-09-01T00:00:00"/>
    <x v="9"/>
    <n v="5"/>
    <m/>
    <n v="2004"/>
    <n v="9"/>
    <s v="LAC"/>
    <s v="Grenada"/>
    <m/>
    <s v="Storm"/>
    <s v="Tropical Cyclone"/>
    <s v="Hurricane"/>
    <m/>
    <x v="0"/>
    <m/>
    <m/>
    <m/>
    <m/>
    <s v=""/>
    <m/>
    <m/>
    <m/>
    <m/>
    <m/>
    <m/>
    <m/>
    <x v="1"/>
    <n v="300000"/>
    <m/>
    <m/>
    <m/>
    <n v="300000"/>
    <n v="2"/>
    <m/>
    <m/>
    <n v="486"/>
    <m/>
    <m/>
    <m/>
    <n v="481"/>
    <m/>
    <n v="5"/>
    <m/>
    <m/>
    <m/>
    <m/>
    <m/>
    <m/>
    <m/>
    <m/>
    <n v="2452.19"/>
    <m/>
    <n v="302452.19"/>
    <m/>
    <m/>
    <m/>
    <n v="302452.19"/>
    <x v="1"/>
    <m/>
    <m/>
    <m/>
    <m/>
    <n v="2024"/>
    <m/>
    <m/>
    <m/>
    <m/>
    <m/>
    <m/>
    <m/>
    <m/>
    <m/>
    <m/>
    <m/>
    <s v="Ivan"/>
    <s v="PMN - March 05; N. Cooper deployed to Grenada and Bahamas w/ PADRU; T. Reines deployed to Grenada.  5 Tents @ $299 each; Jerry Cans @ $1.99 each"/>
  </r>
  <r>
    <m/>
    <n v="123"/>
    <x v="73"/>
    <d v="2004-09-01T00:00:00"/>
    <x v="9"/>
    <n v="5"/>
    <m/>
    <n v="2004"/>
    <n v="9"/>
    <s v="LAC"/>
    <s v="Jamaica"/>
    <m/>
    <s v="Storm"/>
    <s v="Tropical Cyclone"/>
    <s v="Hurricane"/>
    <m/>
    <x v="0"/>
    <m/>
    <m/>
    <m/>
    <m/>
    <s v=""/>
    <m/>
    <m/>
    <m/>
    <m/>
    <m/>
    <m/>
    <m/>
    <x v="1"/>
    <n v="100000"/>
    <m/>
    <m/>
    <m/>
    <n v="100000"/>
    <n v="1"/>
    <m/>
    <m/>
    <n v="7314"/>
    <m/>
    <m/>
    <n v="5000"/>
    <n v="802"/>
    <m/>
    <m/>
    <m/>
    <m/>
    <m/>
    <m/>
    <n v="1105"/>
    <m/>
    <m/>
    <m/>
    <n v="31046.879999999997"/>
    <m/>
    <n v="131046.88"/>
    <m/>
    <m/>
    <m/>
    <n v="131046.88"/>
    <x v="1"/>
    <m/>
    <m/>
    <m/>
    <m/>
    <n v="2024"/>
    <m/>
    <m/>
    <m/>
    <m/>
    <m/>
    <m/>
    <m/>
    <m/>
    <m/>
    <m/>
    <m/>
    <s v="Ivan"/>
    <s v="PMN - March 05; M. Parry deployed with FACT; Jerry Cans @ $1.99 each, blankets @ $3.03 each, 407 flashlights @ $1.20 each,  tarpaulins @ $12.50 each"/>
  </r>
  <r>
    <m/>
    <n v="123"/>
    <x v="127"/>
    <d v="2004-09-01T00:00:00"/>
    <x v="9"/>
    <n v="5"/>
    <m/>
    <n v="2004"/>
    <n v="9"/>
    <s v="LAC"/>
    <s v="Cayman Islands"/>
    <m/>
    <s v="Storm"/>
    <s v="Tropical Cyclone"/>
    <s v="Hurricane"/>
    <m/>
    <x v="0"/>
    <m/>
    <m/>
    <m/>
    <m/>
    <s v=""/>
    <m/>
    <m/>
    <m/>
    <m/>
    <m/>
    <m/>
    <m/>
    <x v="1"/>
    <n v="100000"/>
    <m/>
    <m/>
    <m/>
    <n v="100000"/>
    <n v="1"/>
    <m/>
    <m/>
    <n v="2346"/>
    <m/>
    <n v="1000"/>
    <m/>
    <n v="321"/>
    <m/>
    <n v="25"/>
    <m/>
    <m/>
    <m/>
    <m/>
    <m/>
    <m/>
    <m/>
    <m/>
    <n v="12853.79"/>
    <m/>
    <n v="112853.79000000001"/>
    <m/>
    <m/>
    <m/>
    <n v="112853.79000000001"/>
    <x v="1"/>
    <m/>
    <m/>
    <m/>
    <m/>
    <n v="2024"/>
    <m/>
    <m/>
    <m/>
    <m/>
    <m/>
    <m/>
    <m/>
    <m/>
    <m/>
    <m/>
    <m/>
    <s v="Ivan"/>
    <s v="PMN - March 05; tents @ $299 each; Jerrry Cans @$1.99 each; 1,000 flashlights @ $1.20 each; Hygiene Kits @ $3.54 loaned to British Red Cross"/>
  </r>
  <r>
    <m/>
    <n v="123"/>
    <x v="13"/>
    <d v="2004-09-01T00:00:00"/>
    <x v="9"/>
    <n v="5"/>
    <m/>
    <n v="2004"/>
    <n v="9"/>
    <s v="LAC"/>
    <s v="Bahamas "/>
    <m/>
    <s v="Storm"/>
    <s v="Tropical Cyclone"/>
    <s v="Hurricane"/>
    <m/>
    <x v="0"/>
    <m/>
    <m/>
    <m/>
    <m/>
    <s v=""/>
    <m/>
    <m/>
    <m/>
    <m/>
    <m/>
    <m/>
    <m/>
    <x v="1"/>
    <n v="100000"/>
    <m/>
    <m/>
    <m/>
    <n v="100000"/>
    <n v="4"/>
    <m/>
    <m/>
    <m/>
    <m/>
    <m/>
    <m/>
    <m/>
    <m/>
    <m/>
    <m/>
    <m/>
    <m/>
    <m/>
    <m/>
    <m/>
    <m/>
    <m/>
    <m/>
    <m/>
    <n v="100000"/>
    <m/>
    <m/>
    <m/>
    <n v="100000"/>
    <x v="1"/>
    <m/>
    <m/>
    <m/>
    <m/>
    <n v="2024"/>
    <m/>
    <m/>
    <m/>
    <m/>
    <m/>
    <m/>
    <m/>
    <m/>
    <m/>
    <m/>
    <m/>
    <s v="Ivan"/>
    <s v="PMN - Jan 05; C. Garrison, S. Schaefer deployed 1 month; N. Cooper deployed several times"/>
  </r>
  <r>
    <m/>
    <n v="124"/>
    <x v="120"/>
    <d v="2004-09-01T00:00:00"/>
    <x v="9"/>
    <n v="6"/>
    <m/>
    <n v="2004"/>
    <n v="10"/>
    <s v="LAC"/>
    <s v="Haiti"/>
    <m/>
    <s v="Floods"/>
    <s v="Storm Surge"/>
    <s v="Storm Surge"/>
    <m/>
    <x v="0"/>
    <m/>
    <m/>
    <m/>
    <m/>
    <s v=""/>
    <m/>
    <m/>
    <m/>
    <m/>
    <m/>
    <m/>
    <m/>
    <x v="1"/>
    <n v="400000"/>
    <m/>
    <m/>
    <m/>
    <n v="400000"/>
    <n v="1"/>
    <m/>
    <m/>
    <n v="110"/>
    <m/>
    <m/>
    <m/>
    <m/>
    <m/>
    <m/>
    <m/>
    <m/>
    <m/>
    <m/>
    <n v="110"/>
    <m/>
    <m/>
    <m/>
    <n v="1375"/>
    <m/>
    <n v="401375"/>
    <m/>
    <m/>
    <m/>
    <n v="401375"/>
    <x v="1"/>
    <m/>
    <m/>
    <m/>
    <m/>
    <n v="2614"/>
    <m/>
    <m/>
    <m/>
    <m/>
    <m/>
    <m/>
    <m/>
    <m/>
    <m/>
    <m/>
    <m/>
    <s v="TS Jeanne"/>
    <s v="Brigitte Gallis deployed; tarpaulins @ $12.50 each; PMN 400K out of AP 2024 Jan 05"/>
  </r>
  <r>
    <m/>
    <n v="125"/>
    <x v="7"/>
    <d v="2004-11-01T00:00:00"/>
    <x v="9"/>
    <n v="7"/>
    <m/>
    <n v="2004"/>
    <n v="11"/>
    <s v="LAC"/>
    <s v="Costa Rica"/>
    <m/>
    <s v="Floods"/>
    <s v="General Floods"/>
    <s v="General Floods"/>
    <m/>
    <x v="0"/>
    <m/>
    <m/>
    <m/>
    <m/>
    <s v=""/>
    <m/>
    <m/>
    <m/>
    <m/>
    <m/>
    <m/>
    <m/>
    <x v="0"/>
    <m/>
    <m/>
    <m/>
    <m/>
    <n v="0"/>
    <m/>
    <m/>
    <m/>
    <n v="750"/>
    <m/>
    <n v="750"/>
    <m/>
    <m/>
    <m/>
    <m/>
    <m/>
    <m/>
    <m/>
    <m/>
    <m/>
    <m/>
    <m/>
    <m/>
    <n v="2655"/>
    <m/>
    <n v="2655"/>
    <m/>
    <m/>
    <m/>
    <n v="2655"/>
    <x v="1"/>
    <m/>
    <m/>
    <m/>
    <m/>
    <n v="2898"/>
    <m/>
    <m/>
    <m/>
    <m/>
    <m/>
    <m/>
    <m/>
    <m/>
    <m/>
    <m/>
    <m/>
    <m/>
    <s v="from PADRU @ $3.54 each"/>
  </r>
  <r>
    <m/>
    <n v="126"/>
    <x v="80"/>
    <d v="2004-12-01T00:00:00"/>
    <x v="9"/>
    <n v="8"/>
    <m/>
    <n v="2004"/>
    <n v="12"/>
    <s v="LAC"/>
    <s v="Panama"/>
    <s v="Hydrometerological"/>
    <s v="Floods"/>
    <s v="General Floods"/>
    <s v="General Floods"/>
    <m/>
    <x v="0"/>
    <m/>
    <m/>
    <m/>
    <m/>
    <s v=""/>
    <m/>
    <m/>
    <m/>
    <m/>
    <m/>
    <m/>
    <m/>
    <x v="0"/>
    <m/>
    <m/>
    <m/>
    <m/>
    <n v="0"/>
    <m/>
    <m/>
    <m/>
    <m/>
    <m/>
    <m/>
    <m/>
    <m/>
    <m/>
    <m/>
    <m/>
    <m/>
    <m/>
    <m/>
    <m/>
    <m/>
    <m/>
    <m/>
    <m/>
    <m/>
    <n v="0"/>
    <m/>
    <m/>
    <m/>
    <n v="0"/>
    <x v="1"/>
    <m/>
    <m/>
    <m/>
    <m/>
    <n v="2898"/>
    <m/>
    <m/>
    <m/>
    <m/>
    <m/>
    <m/>
    <m/>
    <m/>
    <m/>
    <m/>
    <m/>
    <s v="Darien"/>
    <s v="CANCELLED: 100 cases of laundry soap (5,000 bars = $7,200) and 5,000 bars of bath soap ($1,475)"/>
  </r>
  <r>
    <m/>
    <n v="127"/>
    <x v="128"/>
    <d v="2004-12-01T00:00:00"/>
    <x v="9"/>
    <n v="9"/>
    <m/>
    <n v="2004"/>
    <n v="13"/>
    <s v="Europe/Asia"/>
    <s v="Sri Lanka"/>
    <s v="Hydrometerological"/>
    <s v="Tsunami"/>
    <s v="Tsunami"/>
    <s v="Tsunami"/>
    <m/>
    <x v="0"/>
    <m/>
    <m/>
    <m/>
    <m/>
    <s v=""/>
    <m/>
    <m/>
    <m/>
    <m/>
    <m/>
    <m/>
    <m/>
    <x v="1"/>
    <n v="1837066.6666666667"/>
    <m/>
    <m/>
    <m/>
    <n v="1837066.6666666667"/>
    <n v="17"/>
    <s v="Relief ERU"/>
    <m/>
    <m/>
    <m/>
    <m/>
    <m/>
    <m/>
    <m/>
    <m/>
    <m/>
    <m/>
    <m/>
    <m/>
    <m/>
    <m/>
    <m/>
    <m/>
    <n v="2011842.8599999999"/>
    <n v="100000000"/>
    <n v="103848909.52666667"/>
    <m/>
    <m/>
    <m/>
    <n v="103848909.52666667"/>
    <x v="1"/>
    <m/>
    <m/>
    <m/>
    <m/>
    <n v="2695"/>
    <m/>
    <m/>
    <m/>
    <m/>
    <m/>
    <m/>
    <m/>
    <m/>
    <m/>
    <m/>
    <m/>
    <s v="S &amp; E Provinces"/>
    <s v="Parry, Ragan, Courville, Matthews, Caivano, Blake, Garrison, Szwadzka, Hurd, Chinn, Gaver, Brien, Reines, Thornton, Cummings, deployed with Relief ERU. Stephenson and Cooper deployed with British RC; Hagos deployed for 2 weeks in Feb 2005; L. Wilkinson (DP)   $5 million PMN sent to Federation for Appeal / 100K for emerg phase"/>
  </r>
  <r>
    <m/>
    <n v="127"/>
    <x v="129"/>
    <d v="2004-12-01T00:00:00"/>
    <x v="9"/>
    <n v="9"/>
    <m/>
    <n v="2004"/>
    <n v="13"/>
    <s v="Europe/Asia"/>
    <s v="Indonesia"/>
    <s v="Hydrometerological"/>
    <s v="Tsunami"/>
    <s v="Tsunami"/>
    <s v="Tsunami"/>
    <m/>
    <x v="0"/>
    <m/>
    <m/>
    <m/>
    <m/>
    <s v=""/>
    <m/>
    <m/>
    <m/>
    <m/>
    <m/>
    <m/>
    <m/>
    <x v="1"/>
    <n v="1666666.6666666667"/>
    <m/>
    <m/>
    <m/>
    <n v="1666666.6666666667"/>
    <n v="5"/>
    <s v="Relief ERU"/>
    <m/>
    <m/>
    <m/>
    <m/>
    <m/>
    <m/>
    <m/>
    <m/>
    <m/>
    <m/>
    <m/>
    <m/>
    <m/>
    <m/>
    <m/>
    <m/>
    <n v="2300506.4"/>
    <m/>
    <n v="3967173.0666666664"/>
    <m/>
    <m/>
    <m/>
    <n v="477328823.80666667"/>
    <x v="1"/>
    <m/>
    <m/>
    <m/>
    <m/>
    <n v="2695"/>
    <m/>
    <m/>
    <m/>
    <m/>
    <m/>
    <m/>
    <m/>
    <m/>
    <m/>
    <m/>
    <m/>
    <s v="N. Sumatra"/>
    <s v="O'Donnell, Michaud and Card deployed as w/ Relief ERU in Northern Sumatra; Greenhalgh on FACT.   $5 million PMN sent to Federation for Appeal; Caivano transferred from Sri Lanka to Indo; Karnes deployed as IRT (logs/ops) "/>
  </r>
  <r>
    <m/>
    <n v="127"/>
    <x v="130"/>
    <d v="2004-12-01T00:00:00"/>
    <x v="9"/>
    <n v="9"/>
    <m/>
    <n v="2004"/>
    <n v="13"/>
    <s v="Europe/Asia"/>
    <s v="Maldives"/>
    <s v="Hydrometerological"/>
    <s v="Tsunami"/>
    <s v="Tsunami"/>
    <s v="Tsunami"/>
    <m/>
    <x v="0"/>
    <m/>
    <m/>
    <m/>
    <m/>
    <s v=""/>
    <m/>
    <m/>
    <m/>
    <m/>
    <m/>
    <m/>
    <m/>
    <x v="1"/>
    <n v="1666666.6666666667"/>
    <m/>
    <m/>
    <m/>
    <n v="1666666.6666666667"/>
    <n v="2"/>
    <m/>
    <m/>
    <m/>
    <m/>
    <m/>
    <m/>
    <m/>
    <m/>
    <m/>
    <m/>
    <m/>
    <m/>
    <m/>
    <m/>
    <m/>
    <m/>
    <m/>
    <n v="155600"/>
    <m/>
    <n v="1822266.6666666667"/>
    <m/>
    <m/>
    <m/>
    <n v="1822266.6666666667"/>
    <x v="1"/>
    <m/>
    <m/>
    <m/>
    <m/>
    <n v="2695"/>
    <m/>
    <m/>
    <m/>
    <m/>
    <m/>
    <m/>
    <m/>
    <m/>
    <m/>
    <m/>
    <m/>
    <s v="Country-wide"/>
    <s v="Hagos on FACT; $5 million PMN sent to Federation for Appeal; Gould wat/san IRT"/>
  </r>
  <r>
    <m/>
    <n v="128"/>
    <x v="131"/>
    <d v="2005-01-01T00:00:00"/>
    <x v="9"/>
    <n v="10"/>
    <m/>
    <n v="2005"/>
    <n v="1"/>
    <s v="LAC"/>
    <s v="Guyana"/>
    <s v="Hydrometerological"/>
    <s v="Floods"/>
    <s v="General Floods"/>
    <s v="General Floods"/>
    <m/>
    <x v="0"/>
    <m/>
    <m/>
    <m/>
    <m/>
    <s v=""/>
    <m/>
    <m/>
    <m/>
    <m/>
    <m/>
    <m/>
    <m/>
    <x v="0"/>
    <m/>
    <m/>
    <m/>
    <m/>
    <n v="0"/>
    <n v="2"/>
    <m/>
    <m/>
    <m/>
    <m/>
    <m/>
    <m/>
    <m/>
    <m/>
    <m/>
    <m/>
    <m/>
    <m/>
    <m/>
    <m/>
    <m/>
    <m/>
    <m/>
    <n v="10000"/>
    <n v="3100"/>
    <n v="13100"/>
    <m/>
    <m/>
    <m/>
    <n v="13100"/>
    <x v="1"/>
    <m/>
    <m/>
    <m/>
    <m/>
    <n v="2774"/>
    <m/>
    <m/>
    <m/>
    <m/>
    <m/>
    <m/>
    <m/>
    <m/>
    <m/>
    <m/>
    <m/>
    <s v="Georgetown"/>
    <s v="Jim Gould and Jeffery Weiss deployed and purchased and shipped to the GRC $10,000 worth of individual and family First Aid Kits."/>
  </r>
  <r>
    <m/>
    <n v="129"/>
    <x v="132"/>
    <d v="2005-06-01T00:00:00"/>
    <x v="9"/>
    <n v="11"/>
    <m/>
    <n v="2005"/>
    <n v="2"/>
    <s v="North America"/>
    <s v="Canada"/>
    <s v="Hydrometerological"/>
    <s v="Floods"/>
    <s v="General Floods"/>
    <s v="General Floods"/>
    <m/>
    <x v="0"/>
    <m/>
    <m/>
    <m/>
    <m/>
    <s v=""/>
    <m/>
    <m/>
    <m/>
    <m/>
    <m/>
    <m/>
    <m/>
    <x v="0"/>
    <m/>
    <m/>
    <n v="5000"/>
    <m/>
    <n v="5000"/>
    <m/>
    <m/>
    <m/>
    <m/>
    <m/>
    <m/>
    <m/>
    <m/>
    <m/>
    <m/>
    <m/>
    <m/>
    <m/>
    <m/>
    <m/>
    <m/>
    <m/>
    <m/>
    <m/>
    <m/>
    <n v="5000"/>
    <m/>
    <m/>
    <m/>
    <n v="5000"/>
    <x v="1"/>
    <m/>
    <m/>
    <m/>
    <m/>
    <s v="N/A"/>
    <m/>
    <m/>
    <m/>
    <m/>
    <m/>
    <m/>
    <m/>
    <m/>
    <m/>
    <m/>
    <m/>
    <s v="Alberta Floods"/>
    <s v="Contribution from AmEx for the Alberta Floods (GID direct to CRC)."/>
  </r>
  <r>
    <m/>
    <n v="130"/>
    <x v="133"/>
    <d v="2005-07-01T00:00:00"/>
    <x v="10"/>
    <n v="1"/>
    <m/>
    <n v="2005"/>
    <n v="3"/>
    <s v="LAC"/>
    <s v="Jamaica"/>
    <s v="Hydrometerological"/>
    <s v="Storm"/>
    <s v="Tropical Cyclone"/>
    <s v="Hurricane"/>
    <m/>
    <x v="1"/>
    <s v="IFRC"/>
    <n v="587000"/>
    <m/>
    <s v="05EA14"/>
    <n v="4.2589437819420782E-2"/>
    <m/>
    <m/>
    <m/>
    <m/>
    <n v="35000"/>
    <m/>
    <m/>
    <x v="2"/>
    <n v="25000"/>
    <m/>
    <m/>
    <m/>
    <n v="25000"/>
    <m/>
    <m/>
    <m/>
    <n v="25"/>
    <m/>
    <m/>
    <m/>
    <m/>
    <m/>
    <n v="25"/>
    <m/>
    <m/>
    <m/>
    <m/>
    <m/>
    <m/>
    <m/>
    <m/>
    <n v="7475"/>
    <m/>
    <n v="32475"/>
    <m/>
    <m/>
    <n v="100"/>
    <n v="32475"/>
    <x v="1"/>
    <m/>
    <m/>
    <m/>
    <m/>
    <n v="2024"/>
    <m/>
    <m/>
    <m/>
    <m/>
    <m/>
    <m/>
    <m/>
    <m/>
    <m/>
    <m/>
    <m/>
    <s v="Dennis / Emily"/>
    <s v="Ex PADRU"/>
  </r>
  <r>
    <m/>
    <n v="130"/>
    <x v="134"/>
    <d v="2005-07-01T00:00:00"/>
    <x v="10"/>
    <n v="1"/>
    <m/>
    <n v="2005"/>
    <n v="3"/>
    <s v="LAC"/>
    <s v="Grenada"/>
    <s v="Hydrometerological"/>
    <s v="Storm"/>
    <s v="Tropical Cyclone"/>
    <s v="Hurricane"/>
    <m/>
    <x v="0"/>
    <m/>
    <m/>
    <m/>
    <m/>
    <s v=""/>
    <m/>
    <m/>
    <m/>
    <m/>
    <m/>
    <m/>
    <m/>
    <x v="1"/>
    <n v="75000"/>
    <m/>
    <m/>
    <m/>
    <n v="75000"/>
    <m/>
    <m/>
    <m/>
    <m/>
    <m/>
    <m/>
    <m/>
    <m/>
    <m/>
    <m/>
    <m/>
    <m/>
    <m/>
    <m/>
    <m/>
    <m/>
    <m/>
    <m/>
    <m/>
    <m/>
    <n v="75000"/>
    <m/>
    <m/>
    <m/>
    <n v="75000"/>
    <x v="1"/>
    <m/>
    <m/>
    <m/>
    <m/>
    <n v="2024"/>
    <m/>
    <m/>
    <m/>
    <m/>
    <m/>
    <m/>
    <m/>
    <m/>
    <m/>
    <m/>
    <m/>
    <s v="Dennis / Emily"/>
    <s v="$200,000 PMN sent: $100,000 to be divided between Jamaica and Grenada at Federation's discretion."/>
  </r>
  <r>
    <m/>
    <n v="130"/>
    <x v="135"/>
    <d v="2005-07-01T00:00:00"/>
    <x v="10"/>
    <n v="1"/>
    <m/>
    <n v="2005"/>
    <n v="3"/>
    <s v="LAC"/>
    <s v="Haiti"/>
    <s v="Hydrometerological"/>
    <s v="Storm"/>
    <s v="Tropical Cyclone"/>
    <s v="Hurricane"/>
    <m/>
    <x v="0"/>
    <m/>
    <m/>
    <m/>
    <m/>
    <s v=""/>
    <m/>
    <m/>
    <m/>
    <m/>
    <m/>
    <m/>
    <m/>
    <x v="1"/>
    <n v="100000"/>
    <m/>
    <m/>
    <m/>
    <n v="100000"/>
    <m/>
    <m/>
    <m/>
    <n v="9995"/>
    <m/>
    <m/>
    <m/>
    <m/>
    <m/>
    <m/>
    <m/>
    <m/>
    <m/>
    <m/>
    <m/>
    <m/>
    <m/>
    <m/>
    <n v="8693"/>
    <m/>
    <n v="108693"/>
    <m/>
    <m/>
    <m/>
    <n v="108693"/>
    <x v="1"/>
    <m/>
    <m/>
    <m/>
    <m/>
    <n v="2614"/>
    <m/>
    <m/>
    <m/>
    <m/>
    <m/>
    <m/>
    <m/>
    <m/>
    <m/>
    <m/>
    <m/>
    <s v="Dennis / Emily"/>
    <s v="4,995 pcs laundry soap &amp; 5,000 pcs bath soap sent from PADRU; $200,000 PMN sent with $100,000 for Haiti"/>
  </r>
  <r>
    <m/>
    <n v="131"/>
    <x v="136"/>
    <d v="2005-07-01T00:00:00"/>
    <x v="10"/>
    <n v="2"/>
    <m/>
    <n v="2005"/>
    <n v="4"/>
    <s v="Africa"/>
    <s v="Niger"/>
    <s v="Human Related"/>
    <s v="Food Insecurity"/>
    <s v="Food Insecurity"/>
    <s v="Food Insecurity"/>
    <m/>
    <x v="1"/>
    <s v="IFRC"/>
    <n v="14211607"/>
    <m/>
    <s v="05EA015"/>
    <n v="0"/>
    <m/>
    <m/>
    <m/>
    <m/>
    <n v="222000"/>
    <m/>
    <m/>
    <x v="0"/>
    <m/>
    <m/>
    <m/>
    <m/>
    <n v="0"/>
    <n v="3"/>
    <m/>
    <m/>
    <m/>
    <m/>
    <m/>
    <m/>
    <m/>
    <m/>
    <m/>
    <m/>
    <m/>
    <m/>
    <m/>
    <m/>
    <m/>
    <m/>
    <m/>
    <m/>
    <n v="36200"/>
    <n v="36200"/>
    <m/>
    <m/>
    <m/>
    <n v="36200"/>
    <x v="1"/>
    <m/>
    <m/>
    <m/>
    <m/>
    <n v="2949"/>
    <m/>
    <m/>
    <m/>
    <m/>
    <m/>
    <m/>
    <m/>
    <m/>
    <m/>
    <m/>
    <m/>
    <s v="Sahel"/>
    <s v="Paying for secondments of Langdon Greenhalgh, Brigitte Gaillis and Tim Cummings to IFRC"/>
  </r>
  <r>
    <m/>
    <n v="132"/>
    <x v="137"/>
    <d v="2005-08-01T00:00:00"/>
    <x v="10"/>
    <n v="3"/>
    <m/>
    <n v="2005"/>
    <n v="5"/>
    <s v="North America"/>
    <s v="US"/>
    <s v="Hydrometerological"/>
    <s v="Tropical Storm"/>
    <s v="Tropical Cyclone"/>
    <s v="Hurricane"/>
    <m/>
    <x v="0"/>
    <m/>
    <m/>
    <m/>
    <m/>
    <s v=""/>
    <m/>
    <m/>
    <m/>
    <m/>
    <m/>
    <m/>
    <m/>
    <x v="0"/>
    <m/>
    <m/>
    <m/>
    <m/>
    <n v="0"/>
    <n v="3"/>
    <m/>
    <m/>
    <m/>
    <m/>
    <m/>
    <m/>
    <m/>
    <m/>
    <m/>
    <m/>
    <m/>
    <m/>
    <m/>
    <m/>
    <m/>
    <m/>
    <m/>
    <m/>
    <m/>
    <n v="0"/>
    <m/>
    <m/>
    <m/>
    <n v="0"/>
    <x v="1"/>
    <m/>
    <m/>
    <m/>
    <m/>
    <m/>
    <m/>
    <m/>
    <m/>
    <m/>
    <m/>
    <m/>
    <m/>
    <m/>
    <m/>
    <m/>
    <m/>
    <s v="Katrina"/>
    <s v="Nate Cooper, Mark Smith and Lance Leverenz deployed to Mississippi, Lousiana and Alabama."/>
  </r>
  <r>
    <m/>
    <n v="133"/>
    <x v="138"/>
    <d v="2005-10-01T00:00:00"/>
    <x v="10"/>
    <n v="4"/>
    <m/>
    <n v="2005"/>
    <n v="6"/>
    <s v="Europe/Asia"/>
    <s v="Pakistan"/>
    <s v="Geophysical"/>
    <s v="Earthquake"/>
    <s v="Earthquake"/>
    <s v="Earthquake"/>
    <n v="3500000"/>
    <x v="1"/>
    <s v="IFRC"/>
    <n v="117000000"/>
    <m/>
    <s v="05EA022"/>
    <n v="6.623931623931624E-2"/>
    <m/>
    <m/>
    <m/>
    <m/>
    <n v="575000"/>
    <m/>
    <m/>
    <x v="1"/>
    <n v="6750000"/>
    <n v="1000000"/>
    <m/>
    <m/>
    <n v="7750000"/>
    <n v="4"/>
    <m/>
    <m/>
    <n v="325618"/>
    <m/>
    <n v="18000"/>
    <n v="222900"/>
    <m/>
    <n v="28000"/>
    <n v="5200"/>
    <n v="18000"/>
    <n v="30518"/>
    <m/>
    <m/>
    <n v="3000"/>
    <m/>
    <m/>
    <m/>
    <n v="4808310"/>
    <m/>
    <n v="12558310"/>
    <m/>
    <m/>
    <n v="120000"/>
    <n v="12558310"/>
    <x v="1"/>
    <m/>
    <m/>
    <m/>
    <m/>
    <s v="2897/2771/2769"/>
    <m/>
    <m/>
    <m/>
    <m/>
    <m/>
    <m/>
    <m/>
    <m/>
    <m/>
    <m/>
    <s v="y"/>
    <s v="North West Frontier Province (NWFP) and Pakistan Administered Kashmir (PAK)"/>
    <s v="CASH: Non-designated PMN to the Fed $1,850,000; PMN to the Fed designated for one month cost of helicopter relief operations for $400,000; PMN to the Fed designated for corrugated iron sheeting (~73,000 pc) for $1,500,000. SUPPLIES:  Shawls at $50,000. (Cost includes all inspection costs/ transporation costs as well as commodity cost); PEOPLE: Seconded John Manley to FACT team and Jim Stephenson to Fed relief/logistics team.(Cost includes all inspection costs/ transporation costs as well as commodity cost). ICRC - $1M 2006 - Winter Prep - PMN for 1.5 million (500k to household repair kits, 300k to CGI);   (Cost includes all inspection costs/ transporation costs as well as commodity cost); seconded C. Chaperon and N. Cooper to Fed for monitoring."/>
  </r>
  <r>
    <m/>
    <n v="134"/>
    <x v="139"/>
    <d v="2005-10-01T00:00:00"/>
    <x v="10"/>
    <n v="5"/>
    <m/>
    <n v="2005"/>
    <n v="7"/>
    <s v="LAC"/>
    <s v="Guatemala"/>
    <s v="Hydrometerological"/>
    <s v="Tropical Storm"/>
    <s v="Tropical Cyclone"/>
    <s v="Hurricane"/>
    <m/>
    <x v="0"/>
    <m/>
    <m/>
    <m/>
    <m/>
    <s v=""/>
    <m/>
    <m/>
    <m/>
    <m/>
    <m/>
    <m/>
    <m/>
    <x v="2"/>
    <n v="47581"/>
    <m/>
    <m/>
    <m/>
    <n v="47581"/>
    <m/>
    <m/>
    <m/>
    <m/>
    <m/>
    <m/>
    <m/>
    <m/>
    <m/>
    <m/>
    <m/>
    <m/>
    <m/>
    <m/>
    <m/>
    <m/>
    <m/>
    <m/>
    <m/>
    <m/>
    <n v="47581"/>
    <m/>
    <m/>
    <m/>
    <n v="47581"/>
    <x v="1"/>
    <m/>
    <m/>
    <m/>
    <m/>
    <n v="2759"/>
    <m/>
    <m/>
    <m/>
    <m/>
    <m/>
    <m/>
    <m/>
    <m/>
    <m/>
    <m/>
    <m/>
    <s v="Stan"/>
    <s v="PMN contribution to support Federation's appeal relief operations."/>
  </r>
  <r>
    <m/>
    <n v="134"/>
    <x v="140"/>
    <d v="2005-10-01T00:00:00"/>
    <x v="10"/>
    <n v="5"/>
    <m/>
    <n v="2005"/>
    <n v="7"/>
    <s v="LAC"/>
    <s v="Mexico"/>
    <s v="Hydrometerological"/>
    <s v="Tropical Storm"/>
    <s v="Tropical Cyclone"/>
    <s v="Hurricane"/>
    <m/>
    <x v="0"/>
    <m/>
    <m/>
    <m/>
    <m/>
    <s v=""/>
    <m/>
    <m/>
    <m/>
    <m/>
    <m/>
    <m/>
    <m/>
    <x v="1"/>
    <n v="257378"/>
    <m/>
    <n v="85000"/>
    <m/>
    <n v="342378"/>
    <m/>
    <m/>
    <m/>
    <m/>
    <m/>
    <m/>
    <m/>
    <m/>
    <m/>
    <m/>
    <m/>
    <m/>
    <m/>
    <m/>
    <m/>
    <m/>
    <m/>
    <m/>
    <m/>
    <m/>
    <n v="342378"/>
    <m/>
    <m/>
    <m/>
    <n v="342378"/>
    <x v="1"/>
    <m/>
    <m/>
    <m/>
    <m/>
    <n v="2020"/>
    <m/>
    <m/>
    <m/>
    <m/>
    <m/>
    <m/>
    <m/>
    <m/>
    <m/>
    <m/>
    <m/>
    <s v="Stan"/>
    <s v="CASH: Initial PMN contribution for $25,000 from IRF 2099 for Federation's Hurricane Stan Appeal.Additional PMN contribution for $83,568 from AP2760 for Federation's Hurricane Stan Appeal relief operations. Additional $124,453 PMN contribution from AP 2020 for Federation's Hurricane Stan Appeal relief operations in Mexico. $49,357 PMN contribution from AP2882  to support Federation's appeal relief operations.Cash to Mex RC: $35,000 from AP2760 for Initial direct contribution to the MRC to support their relief operation. Additional contribution of $50,000 from AP2020 to the MexRC to support their relief operation gift from Exxon Mobil and G&amp;E."/>
  </r>
  <r>
    <s v="TC-2005-000173-SLV"/>
    <n v="135"/>
    <x v="141"/>
    <d v="2005-10-01T00:00:00"/>
    <x v="10"/>
    <n v="6"/>
    <m/>
    <n v="2005"/>
    <n v="8"/>
    <s v="LAC"/>
    <s v="El Salvador"/>
    <s v="Geophysical"/>
    <s v="Volcano"/>
    <s v="Volcanic Eruption"/>
    <s v="Volcanic Eruption"/>
    <m/>
    <x v="0"/>
    <m/>
    <n v="1098045"/>
    <m/>
    <s v="05EA020"/>
    <n v="6.405930540187333E-3"/>
    <m/>
    <m/>
    <m/>
    <m/>
    <n v="21000"/>
    <m/>
    <m/>
    <x v="2"/>
    <n v="7034"/>
    <m/>
    <m/>
    <m/>
    <n v="7034"/>
    <n v="1"/>
    <m/>
    <m/>
    <m/>
    <m/>
    <m/>
    <m/>
    <m/>
    <m/>
    <m/>
    <m/>
    <m/>
    <m/>
    <m/>
    <m/>
    <m/>
    <m/>
    <m/>
    <m/>
    <m/>
    <n v="7034"/>
    <m/>
    <m/>
    <m/>
    <n v="7034"/>
    <x v="1"/>
    <m/>
    <m/>
    <m/>
    <m/>
    <n v="2690"/>
    <m/>
    <m/>
    <m/>
    <m/>
    <m/>
    <m/>
    <m/>
    <m/>
    <m/>
    <m/>
    <m/>
    <s v="Also: Floods"/>
    <s v="Nate Cooper deployed on PADRU team and PMN contribution to support Federation's appeal  relief operation in response of floods and volcanic eruption in El Salvador."/>
  </r>
  <r>
    <s v="TC-2005-000178-BHS"/>
    <n v="136"/>
    <x v="142"/>
    <d v="2005-10-01T00:00:00"/>
    <x v="10"/>
    <n v="7"/>
    <m/>
    <n v="2005"/>
    <n v="9"/>
    <s v="LAC"/>
    <s v="Bahamas"/>
    <s v="Hydrometerological"/>
    <s v="Storm"/>
    <s v="Tropical Cyclone"/>
    <s v="Hurricane"/>
    <m/>
    <x v="0"/>
    <m/>
    <n v="1634707"/>
    <m/>
    <s v="05EA024"/>
    <n v="0"/>
    <m/>
    <m/>
    <m/>
    <m/>
    <m/>
    <m/>
    <m/>
    <x v="0"/>
    <m/>
    <m/>
    <m/>
    <m/>
    <n v="0"/>
    <m/>
    <m/>
    <m/>
    <n v="2371.9999999999995"/>
    <m/>
    <n v="2372"/>
    <m/>
    <m/>
    <m/>
    <m/>
    <m/>
    <m/>
    <m/>
    <m/>
    <m/>
    <m/>
    <m/>
    <m/>
    <n v="20597"/>
    <m/>
    <n v="20597"/>
    <m/>
    <m/>
    <n v="4000"/>
    <n v="20597"/>
    <x v="1"/>
    <m/>
    <m/>
    <m/>
    <m/>
    <n v="2024"/>
    <m/>
    <m/>
    <m/>
    <m/>
    <m/>
    <m/>
    <m/>
    <m/>
    <m/>
    <m/>
    <m/>
    <s v="Wilma"/>
    <s v="$3.54 each + 6,200 (transport) = $14,596.88  plus shipping and handling"/>
  </r>
  <r>
    <s v="TC-2005-000178-MEX"/>
    <n v="136"/>
    <x v="143"/>
    <d v="2005-10-01T00:00:00"/>
    <x v="10"/>
    <n v="7"/>
    <m/>
    <n v="2005"/>
    <n v="9"/>
    <s v="LAC"/>
    <s v="Mexico"/>
    <s v="Hydrometerological"/>
    <s v="Storm"/>
    <s v="Tropical Cyclone"/>
    <s v="Hurricane"/>
    <n v="300000"/>
    <x v="0"/>
    <m/>
    <n v="1918000"/>
    <m/>
    <s v="05EA024"/>
    <n v="0.23663660062565173"/>
    <m/>
    <m/>
    <m/>
    <m/>
    <m/>
    <m/>
    <m/>
    <x v="1"/>
    <n v="128869"/>
    <m/>
    <n v="325000"/>
    <m/>
    <n v="453869"/>
    <m/>
    <m/>
    <m/>
    <n v="4500"/>
    <m/>
    <n v="4500"/>
    <m/>
    <m/>
    <m/>
    <m/>
    <m/>
    <m/>
    <m/>
    <m/>
    <m/>
    <m/>
    <m/>
    <m/>
    <n v="43875"/>
    <m/>
    <n v="497744"/>
    <m/>
    <m/>
    <m/>
    <n v="497744"/>
    <x v="1"/>
    <m/>
    <m/>
    <m/>
    <m/>
    <n v="2757"/>
    <m/>
    <m/>
    <m/>
    <m/>
    <m/>
    <m/>
    <m/>
    <m/>
    <m/>
    <m/>
    <m/>
    <s v="Wilma"/>
    <s v="CASH: $250,000 -Initital direct contribution from AP 2757 to the MexRC to support their relief operation in Cozumel, gift from Carnival Cruise Lines. 2) $75,000 additional direct contribution from AP 2020 to the MexRC to support their relief operations, gift from AmEx;.3) $100,000 PMN contribution from AP2758 to support Federation's appeal relief operations, 1. 62000 2. 38000 (10.06); 4) $28,869 PMN contribution from AP2757 to support Federation's appeal relief operations;    SUPPLIES: PADRU stocks valued at $43,875;"/>
  </r>
  <r>
    <m/>
    <n v="137"/>
    <x v="144"/>
    <d v="2005-10-01T00:00:00"/>
    <x v="10"/>
    <n v="8"/>
    <m/>
    <n v="2005"/>
    <n v="10"/>
    <s v="Europe/Asia"/>
    <s v="Vietnam"/>
    <s v="Hydrometerological"/>
    <s v="Storm"/>
    <s v="Tropical Cyclone"/>
    <s v="Typhoon"/>
    <m/>
    <x v="1"/>
    <s v="IFRC"/>
    <n v="628813"/>
    <m/>
    <s v="05EA019"/>
    <n v="3.3504396378573595E-2"/>
    <m/>
    <m/>
    <m/>
    <m/>
    <n v="25000"/>
    <m/>
    <m/>
    <x v="2"/>
    <n v="21068"/>
    <m/>
    <m/>
    <m/>
    <n v="21068"/>
    <m/>
    <m/>
    <m/>
    <m/>
    <m/>
    <m/>
    <m/>
    <m/>
    <m/>
    <m/>
    <m/>
    <m/>
    <m/>
    <m/>
    <m/>
    <m/>
    <m/>
    <m/>
    <m/>
    <m/>
    <n v="21068"/>
    <m/>
    <m/>
    <m/>
    <n v="21068"/>
    <x v="1"/>
    <m/>
    <m/>
    <m/>
    <m/>
    <n v="2870"/>
    <m/>
    <m/>
    <m/>
    <m/>
    <m/>
    <m/>
    <m/>
    <m/>
    <m/>
    <m/>
    <m/>
    <s v="Central Vietnam"/>
    <s v="PMN to the Federtion to support Vietnam: Typhoon Damrey Emergency Appeal. The funds were from Boejing and the PMN was handled by the region."/>
  </r>
  <r>
    <m/>
    <n v="138"/>
    <x v="145"/>
    <d v="2005-11-01T00:00:00"/>
    <x v="10"/>
    <n v="9"/>
    <m/>
    <n v="2005"/>
    <n v="11"/>
    <s v="LAC"/>
    <s v="Colombia"/>
    <s v="Geophysical"/>
    <s v="Volcano"/>
    <s v="Volcanic Eruption"/>
    <s v="Volcanic Eruption"/>
    <m/>
    <x v="0"/>
    <m/>
    <m/>
    <m/>
    <m/>
    <s v=""/>
    <m/>
    <m/>
    <m/>
    <m/>
    <m/>
    <m/>
    <m/>
    <x v="0"/>
    <m/>
    <m/>
    <m/>
    <m/>
    <n v="0"/>
    <m/>
    <m/>
    <m/>
    <n v="45"/>
    <m/>
    <m/>
    <m/>
    <m/>
    <m/>
    <n v="45"/>
    <m/>
    <m/>
    <m/>
    <m/>
    <m/>
    <m/>
    <m/>
    <m/>
    <n v="17402"/>
    <m/>
    <n v="17402"/>
    <m/>
    <m/>
    <m/>
    <n v="17402"/>
    <x v="1"/>
    <m/>
    <m/>
    <m/>
    <m/>
    <n v="2898"/>
    <m/>
    <m/>
    <m/>
    <m/>
    <m/>
    <m/>
    <m/>
    <m/>
    <m/>
    <m/>
    <m/>
    <s v="Galeras Volcano"/>
    <s v="tents to the CRC - cost of shipping charged to 2099."/>
  </r>
  <r>
    <m/>
    <n v="139"/>
    <x v="146"/>
    <d v="2006-01-01T00:00:00"/>
    <x v="10"/>
    <n v="10"/>
    <m/>
    <n v="2006"/>
    <n v="1"/>
    <s v="Africa"/>
    <s v="Lesotho"/>
    <s v="Hydrometerological"/>
    <s v="Drought"/>
    <s v="Drought"/>
    <s v="Drought"/>
    <m/>
    <x v="1"/>
    <s v="IFRC"/>
    <m/>
    <m/>
    <s v="05EA023"/>
    <s v=""/>
    <m/>
    <m/>
    <m/>
    <m/>
    <n v="1500000"/>
    <m/>
    <m/>
    <x v="1"/>
    <n v="100000"/>
    <m/>
    <m/>
    <m/>
    <n v="100000"/>
    <n v="3"/>
    <m/>
    <m/>
    <m/>
    <m/>
    <m/>
    <m/>
    <m/>
    <m/>
    <m/>
    <m/>
    <m/>
    <m/>
    <m/>
    <m/>
    <m/>
    <m/>
    <m/>
    <m/>
    <m/>
    <n v="100000"/>
    <m/>
    <m/>
    <m/>
    <n v="100000"/>
    <x v="2"/>
    <m/>
    <m/>
    <m/>
    <m/>
    <n v="2099"/>
    <m/>
    <m/>
    <m/>
    <m/>
    <m/>
    <m/>
    <m/>
    <m/>
    <m/>
    <m/>
    <m/>
    <s v="Food Crisis"/>
    <s v="PMN contribution to support Federation's appeal relief operations in Lesotho."/>
  </r>
  <r>
    <m/>
    <n v="139"/>
    <x v="147"/>
    <d v="2006-01-01T00:00:00"/>
    <x v="10"/>
    <n v="10"/>
    <m/>
    <n v="2006"/>
    <n v="1"/>
    <s v="Africa"/>
    <s v="Malawi"/>
    <s v="Hydrometerological"/>
    <s v="Drought"/>
    <s v="Drought"/>
    <s v="Drought"/>
    <m/>
    <x v="0"/>
    <m/>
    <m/>
    <m/>
    <s v="05EA023"/>
    <s v=""/>
    <m/>
    <m/>
    <m/>
    <m/>
    <m/>
    <m/>
    <m/>
    <x v="1"/>
    <n v="150000"/>
    <m/>
    <m/>
    <m/>
    <n v="150000"/>
    <m/>
    <m/>
    <m/>
    <m/>
    <m/>
    <m/>
    <m/>
    <m/>
    <m/>
    <m/>
    <m/>
    <m/>
    <m/>
    <m/>
    <m/>
    <m/>
    <m/>
    <m/>
    <m/>
    <m/>
    <n v="150000"/>
    <m/>
    <m/>
    <m/>
    <n v="150000"/>
    <x v="2"/>
    <m/>
    <m/>
    <m/>
    <m/>
    <n v="2099"/>
    <m/>
    <m/>
    <m/>
    <m/>
    <m/>
    <m/>
    <m/>
    <m/>
    <m/>
    <m/>
    <m/>
    <s v="Food Crisis"/>
    <s v="PMN contribution to support Federation's appeal earmarked for Community Base Health Care Program to leverage NLRC funding."/>
  </r>
  <r>
    <m/>
    <n v="139"/>
    <x v="148"/>
    <d v="2006-01-01T00:00:00"/>
    <x v="10"/>
    <n v="10"/>
    <m/>
    <n v="2006"/>
    <n v="1"/>
    <s v="Africa"/>
    <s v="Zimbabwe"/>
    <s v="Hydrometerological"/>
    <s v="Drought"/>
    <s v="Drought"/>
    <s v="Drought"/>
    <m/>
    <x v="0"/>
    <m/>
    <m/>
    <m/>
    <s v="05EA023"/>
    <s v=""/>
    <m/>
    <m/>
    <m/>
    <m/>
    <m/>
    <m/>
    <m/>
    <x v="1"/>
    <n v="250000"/>
    <m/>
    <m/>
    <m/>
    <n v="250000"/>
    <m/>
    <m/>
    <m/>
    <m/>
    <m/>
    <m/>
    <m/>
    <m/>
    <m/>
    <m/>
    <m/>
    <m/>
    <m/>
    <m/>
    <m/>
    <m/>
    <m/>
    <m/>
    <m/>
    <m/>
    <n v="250000"/>
    <m/>
    <m/>
    <m/>
    <n v="250000"/>
    <x v="2"/>
    <m/>
    <m/>
    <m/>
    <m/>
    <n v="2099"/>
    <m/>
    <m/>
    <m/>
    <m/>
    <m/>
    <m/>
    <m/>
    <m/>
    <m/>
    <m/>
    <m/>
    <s v="Food Crisis"/>
    <s v="PMN contribution to support Federation's appeal relief operations in Zimbabwe."/>
  </r>
  <r>
    <m/>
    <n v="139"/>
    <x v="149"/>
    <d v="2006-01-01T00:00:00"/>
    <x v="10"/>
    <n v="10"/>
    <m/>
    <n v="2006"/>
    <n v="1"/>
    <s v="Africa"/>
    <s v="Zambia"/>
    <s v="Hydrometerological"/>
    <s v="Drought"/>
    <s v="Drought"/>
    <s v="Drought"/>
    <m/>
    <x v="0"/>
    <m/>
    <s v="`"/>
    <m/>
    <s v="05EA023"/>
    <s v=""/>
    <m/>
    <m/>
    <m/>
    <m/>
    <m/>
    <m/>
    <m/>
    <x v="1"/>
    <n v="400000"/>
    <m/>
    <m/>
    <m/>
    <n v="400000"/>
    <m/>
    <m/>
    <m/>
    <m/>
    <m/>
    <m/>
    <m/>
    <m/>
    <m/>
    <m/>
    <m/>
    <m/>
    <m/>
    <m/>
    <m/>
    <m/>
    <m/>
    <m/>
    <m/>
    <m/>
    <n v="400000"/>
    <m/>
    <m/>
    <m/>
    <n v="400000"/>
    <x v="2"/>
    <m/>
    <m/>
    <m/>
    <m/>
    <n v="2099"/>
    <m/>
    <m/>
    <m/>
    <m/>
    <m/>
    <m/>
    <m/>
    <m/>
    <m/>
    <m/>
    <m/>
    <s v="Food Crisis"/>
    <s v="$400K &amp; $100K PMN contribution to support Federation's appeal relief operations in Zambia."/>
  </r>
  <r>
    <m/>
    <n v="140"/>
    <x v="150"/>
    <d v="2006-03-01T00:00:00"/>
    <x v="10"/>
    <n v="11"/>
    <m/>
    <n v="2006"/>
    <n v="2"/>
    <s v="Africa"/>
    <s v="Kenya"/>
    <s v="Hydrometerological"/>
    <s v="Drought"/>
    <s v="Drought"/>
    <s v="Drought"/>
    <m/>
    <x v="1"/>
    <s v="IFRC"/>
    <n v="10500000"/>
    <m/>
    <s v="MDRKE001"/>
    <n v="1.4285714285714285E-2"/>
    <m/>
    <m/>
    <m/>
    <m/>
    <n v="329000"/>
    <m/>
    <m/>
    <x v="1"/>
    <n v="150000"/>
    <m/>
    <m/>
    <m/>
    <n v="150000"/>
    <m/>
    <m/>
    <m/>
    <m/>
    <m/>
    <m/>
    <m/>
    <m/>
    <m/>
    <m/>
    <m/>
    <m/>
    <m/>
    <m/>
    <m/>
    <m/>
    <m/>
    <m/>
    <m/>
    <m/>
    <n v="150000"/>
    <m/>
    <m/>
    <m/>
    <n v="150000"/>
    <x v="2"/>
    <m/>
    <m/>
    <m/>
    <m/>
    <n v="2099"/>
    <m/>
    <m/>
    <m/>
    <m/>
    <m/>
    <m/>
    <m/>
    <m/>
    <m/>
    <m/>
    <m/>
    <s v="E. Africa Appeal"/>
    <s v="PMN contribution to support Federation's appeal relief operations."/>
  </r>
  <r>
    <m/>
    <n v="141"/>
    <x v="151"/>
    <d v="2006-03-01T00:00:00"/>
    <x v="10"/>
    <n v="12"/>
    <m/>
    <n v="2006"/>
    <n v="3"/>
    <s v="Europe/Asia"/>
    <s v="Iraq"/>
    <s v="Human Related"/>
    <s v="Conflict"/>
    <s v="Conflict"/>
    <s v="Conflict"/>
    <m/>
    <x v="1"/>
    <s v="IFRC/ ICRC"/>
    <m/>
    <m/>
    <s v="MDRIQ001 / 05EA026 / REX 07/346"/>
    <s v=""/>
    <m/>
    <m/>
    <m/>
    <m/>
    <n v="455000"/>
    <m/>
    <m/>
    <x v="1"/>
    <n v="88443"/>
    <n v="100000"/>
    <m/>
    <m/>
    <n v="188443"/>
    <m/>
    <m/>
    <m/>
    <m/>
    <m/>
    <m/>
    <m/>
    <m/>
    <m/>
    <m/>
    <m/>
    <m/>
    <m/>
    <m/>
    <m/>
    <m/>
    <m/>
    <m/>
    <m/>
    <m/>
    <n v="188443"/>
    <m/>
    <m/>
    <n v="455000"/>
    <n v="188443"/>
    <x v="1"/>
    <m/>
    <m/>
    <m/>
    <m/>
    <n v="2689"/>
    <m/>
    <m/>
    <m/>
    <m/>
    <m/>
    <m/>
    <m/>
    <m/>
    <m/>
    <m/>
    <m/>
    <s v="Humanitarian Emergency"/>
    <s v="19,170 PMN to IFRC Iraq: Floods Appeal No. MDRIQ001 for 25,000 beneficiaries; 69,272.96 PMN to IFRC Iraq: Humanitarian Emergency Appeal No. 05 EA026 for 350,000 beneficiaries; 100,000 Cash Contribution to ICRC's emergency appeal for Iraq activities related to wat/san for 80,000 beneficiaries."/>
  </r>
  <r>
    <s v="-2006-000022-TMP"/>
    <n v="142"/>
    <x v="152"/>
    <d v="2006-02-01T00:00:00"/>
    <x v="10"/>
    <n v="13"/>
    <m/>
    <n v="2006"/>
    <n v="4"/>
    <s v="Europe/Asia"/>
    <s v="Timor-Leste"/>
    <s v="Hydrometerological"/>
    <s v="Floods"/>
    <s v="General Floods"/>
    <s v="General Floods"/>
    <m/>
    <x v="1"/>
    <s v="IFRC"/>
    <n v="485000"/>
    <m/>
    <s v="MDRTP001"/>
    <n v="0.10309278350515463"/>
    <m/>
    <m/>
    <m/>
    <m/>
    <n v="8400"/>
    <m/>
    <m/>
    <x v="1"/>
    <n v="50000"/>
    <m/>
    <m/>
    <m/>
    <n v="50000"/>
    <m/>
    <m/>
    <m/>
    <m/>
    <m/>
    <m/>
    <m/>
    <m/>
    <m/>
    <m/>
    <m/>
    <m/>
    <m/>
    <m/>
    <m/>
    <m/>
    <m/>
    <m/>
    <m/>
    <m/>
    <n v="50000"/>
    <m/>
    <m/>
    <n v="8400"/>
    <n v="50000"/>
    <x v="2"/>
    <m/>
    <m/>
    <m/>
    <m/>
    <n v="2799"/>
    <m/>
    <m/>
    <m/>
    <m/>
    <m/>
    <m/>
    <m/>
    <m/>
    <m/>
    <m/>
    <m/>
    <s v="Oecusse, Ainaro, Viqueque, Bobonaro and Baucau Districts"/>
    <s v="PMN contribution to support the Federation's operation in response to the Timor-Leste: Storms and Floods Emergency Appeal No. MDRTP001."/>
  </r>
  <r>
    <s v="MS-2006-000179-PHL"/>
    <n v="143"/>
    <x v="153"/>
    <d v="2006-02-01T00:00:00"/>
    <x v="10"/>
    <n v="14"/>
    <m/>
    <n v="2006"/>
    <n v="5"/>
    <s v="Europe/Asia"/>
    <s v="Philippines"/>
    <s v="Hydrometerological"/>
    <s v="Mass Movement Wet"/>
    <s v="Landslide"/>
    <s v="Mudslide"/>
    <m/>
    <x v="1"/>
    <s v="IFRC"/>
    <n v="2000000"/>
    <m/>
    <s v="MDRPH001"/>
    <n v="2.75E-2"/>
    <m/>
    <m/>
    <m/>
    <m/>
    <n v="8000"/>
    <m/>
    <m/>
    <x v="1"/>
    <n v="50000"/>
    <m/>
    <n v="5000"/>
    <m/>
    <n v="55000"/>
    <m/>
    <m/>
    <m/>
    <m/>
    <m/>
    <m/>
    <m/>
    <m/>
    <m/>
    <m/>
    <m/>
    <m/>
    <m/>
    <m/>
    <m/>
    <m/>
    <m/>
    <m/>
    <m/>
    <m/>
    <n v="55000"/>
    <m/>
    <m/>
    <n v="8000"/>
    <n v="55000"/>
    <x v="1"/>
    <m/>
    <m/>
    <m/>
    <m/>
    <n v="2032"/>
    <m/>
    <m/>
    <m/>
    <m/>
    <m/>
    <m/>
    <m/>
    <m/>
    <m/>
    <m/>
    <m/>
    <s v="Southern Leyte"/>
    <s v="PMN contribution to support the Federation's operation in the Philippines: Landslides and Floods Emergency Appeal No. MDRPH001 in the amount of 50,000 USD; Amex donation to Philippines National Red Cross for their emergency operations in the amount of 5,000 USD."/>
  </r>
  <r>
    <m/>
    <n v="144"/>
    <x v="154"/>
    <d v="2006-05-01T00:00:00"/>
    <x v="10"/>
    <n v="15"/>
    <m/>
    <n v="2006"/>
    <n v="6"/>
    <s v="Africa"/>
    <s v="Angola"/>
    <s v="Biological"/>
    <s v="Epidemic"/>
    <s v="Bacterial"/>
    <s v="Bacterial"/>
    <m/>
    <x v="0"/>
    <m/>
    <m/>
    <m/>
    <m/>
    <s v=""/>
    <m/>
    <m/>
    <m/>
    <m/>
    <m/>
    <m/>
    <m/>
    <x v="0"/>
    <m/>
    <m/>
    <m/>
    <m/>
    <n v="0"/>
    <n v="1"/>
    <m/>
    <m/>
    <m/>
    <m/>
    <m/>
    <m/>
    <m/>
    <m/>
    <m/>
    <m/>
    <m/>
    <m/>
    <m/>
    <m/>
    <m/>
    <m/>
    <m/>
    <m/>
    <n v="5000"/>
    <n v="5000"/>
    <m/>
    <m/>
    <m/>
    <n v="5000"/>
    <x v="2"/>
    <m/>
    <m/>
    <m/>
    <m/>
    <n v="2799"/>
    <m/>
    <m/>
    <m/>
    <m/>
    <m/>
    <m/>
    <m/>
    <m/>
    <m/>
    <m/>
    <m/>
    <s v="Cholera Outbreak"/>
    <s v="J. Koepsell as FACT Health"/>
  </r>
  <r>
    <m/>
    <n v="145"/>
    <x v="5"/>
    <d v="2006-04-01T00:00:00"/>
    <x v="10"/>
    <n v="16"/>
    <m/>
    <n v="2006"/>
    <n v="7"/>
    <s v="Africa"/>
    <s v="Ethiopia"/>
    <s v="Hydrometerological"/>
    <s v="Drought"/>
    <s v="Drought"/>
    <s v="Drought"/>
    <m/>
    <x v="1"/>
    <s v="IFRC"/>
    <n v="1129750"/>
    <m/>
    <s v="MDRET001"/>
    <n v="8.3612303606992691E-2"/>
    <m/>
    <m/>
    <m/>
    <m/>
    <n v="36341"/>
    <m/>
    <m/>
    <x v="1"/>
    <n v="94461"/>
    <m/>
    <m/>
    <m/>
    <n v="94461"/>
    <m/>
    <m/>
    <m/>
    <m/>
    <m/>
    <m/>
    <m/>
    <m/>
    <m/>
    <m/>
    <m/>
    <m/>
    <m/>
    <m/>
    <m/>
    <m/>
    <m/>
    <m/>
    <m/>
    <m/>
    <n v="94461"/>
    <m/>
    <m/>
    <m/>
    <n v="94461"/>
    <x v="2"/>
    <m/>
    <m/>
    <m/>
    <m/>
    <n v="2099"/>
    <m/>
    <m/>
    <m/>
    <m/>
    <m/>
    <m/>
    <m/>
    <m/>
    <m/>
    <m/>
    <m/>
    <m/>
    <s v="PMN contribution to support Ethiopa: Drought Appeal"/>
  </r>
  <r>
    <m/>
    <n v="146"/>
    <x v="155"/>
    <d v="2006-04-01T00:00:00"/>
    <x v="10"/>
    <n v="17"/>
    <m/>
    <n v="2006"/>
    <n v="8"/>
    <s v="Africa"/>
    <s v="Somalia"/>
    <s v="Hydrometerological"/>
    <s v="Drought"/>
    <s v="Drought"/>
    <s v="Drought"/>
    <m/>
    <x v="1"/>
    <s v="ICRC"/>
    <m/>
    <m/>
    <m/>
    <s v=""/>
    <m/>
    <m/>
    <m/>
    <m/>
    <m/>
    <m/>
    <m/>
    <x v="1"/>
    <m/>
    <n v="250000"/>
    <m/>
    <m/>
    <n v="250000"/>
    <m/>
    <m/>
    <m/>
    <m/>
    <m/>
    <m/>
    <m/>
    <m/>
    <m/>
    <m/>
    <m/>
    <m/>
    <m/>
    <m/>
    <m/>
    <m/>
    <m/>
    <m/>
    <m/>
    <m/>
    <n v="250000"/>
    <m/>
    <m/>
    <m/>
    <n v="250000"/>
    <x v="2"/>
    <m/>
    <m/>
    <m/>
    <m/>
    <n v="2099"/>
    <m/>
    <m/>
    <m/>
    <m/>
    <m/>
    <m/>
    <m/>
    <m/>
    <m/>
    <m/>
    <m/>
    <m/>
    <s v="Pledge Letter to ICRC for Somalia Emergency Appeal"/>
  </r>
  <r>
    <m/>
    <n v="147"/>
    <x v="156"/>
    <d v="2006-04-01T00:00:00"/>
    <x v="10"/>
    <n v="18"/>
    <m/>
    <n v="2006"/>
    <n v="9"/>
    <s v="Europe/Asia"/>
    <s v="Spain"/>
    <s v="Human Related"/>
    <s v="Terrorism"/>
    <s v="Terrorism"/>
    <s v="Terrorism"/>
    <m/>
    <x v="0"/>
    <m/>
    <m/>
    <m/>
    <m/>
    <s v=""/>
    <m/>
    <m/>
    <m/>
    <m/>
    <m/>
    <m/>
    <m/>
    <x v="0"/>
    <m/>
    <m/>
    <n v="20000"/>
    <m/>
    <n v="20000"/>
    <m/>
    <m/>
    <m/>
    <m/>
    <m/>
    <m/>
    <m/>
    <m/>
    <m/>
    <m/>
    <m/>
    <m/>
    <m/>
    <m/>
    <m/>
    <m/>
    <m/>
    <m/>
    <m/>
    <m/>
    <n v="20000"/>
    <m/>
    <m/>
    <m/>
    <n v="20000"/>
    <x v="1"/>
    <m/>
    <m/>
    <m/>
    <m/>
    <n v="2903"/>
    <m/>
    <m/>
    <m/>
    <m/>
    <m/>
    <m/>
    <m/>
    <m/>
    <m/>
    <m/>
    <m/>
    <s v="April 2004 MadridTrain Bombing"/>
    <s v="Suspense acct contribution following April 2004 bombing. Grant to Spain RC for DPP"/>
  </r>
  <r>
    <m/>
    <n v="148"/>
    <x v="157"/>
    <d v="2006-05-01T00:00:00"/>
    <x v="10"/>
    <n v="19"/>
    <m/>
    <n v="2006"/>
    <n v="10"/>
    <s v="LAC"/>
    <s v="Colombia"/>
    <s v="Hydrometerological"/>
    <s v="Floods"/>
    <s v="General Floods"/>
    <m/>
    <m/>
    <x v="0"/>
    <m/>
    <m/>
    <m/>
    <m/>
    <s v=""/>
    <m/>
    <m/>
    <m/>
    <m/>
    <m/>
    <m/>
    <n v="2500"/>
    <x v="0"/>
    <m/>
    <m/>
    <n v="50000"/>
    <m/>
    <n v="50000"/>
    <m/>
    <m/>
    <m/>
    <m/>
    <m/>
    <m/>
    <m/>
    <m/>
    <m/>
    <m/>
    <m/>
    <m/>
    <m/>
    <m/>
    <m/>
    <m/>
    <m/>
    <m/>
    <m/>
    <m/>
    <n v="50000"/>
    <m/>
    <m/>
    <m/>
    <n v="50000"/>
    <x v="2"/>
    <m/>
    <m/>
    <m/>
    <m/>
    <n v="2799"/>
    <m/>
    <m/>
    <m/>
    <m/>
    <m/>
    <m/>
    <m/>
    <m/>
    <m/>
    <m/>
    <m/>
    <m/>
    <s v="OFDA award in support of ARC's proposal &quot;Colombia Floods 2006&quot; to support CRC emergency relief response."/>
  </r>
  <r>
    <s v="EQ-2006-000064-IDN"/>
    <n v="149"/>
    <x v="158"/>
    <d v="2006-05-01T00:00:00"/>
    <x v="10"/>
    <n v="20"/>
    <m/>
    <n v="2006"/>
    <n v="11"/>
    <s v="Europe/Asia"/>
    <s v="Indonesia"/>
    <s v="Geophysical"/>
    <s v="Earthquake"/>
    <s v="Earthquake"/>
    <s v="Earthquake"/>
    <m/>
    <x v="1"/>
    <s v="IFRC"/>
    <n v="31000000"/>
    <m/>
    <s v="MDRID001"/>
    <n v="4.5104838709677422E-2"/>
    <m/>
    <m/>
    <m/>
    <m/>
    <n v="325000"/>
    <m/>
    <m/>
    <x v="1"/>
    <n v="1398250"/>
    <m/>
    <m/>
    <m/>
    <n v="1398250"/>
    <n v="7"/>
    <s v="Relief ERU"/>
    <m/>
    <m/>
    <m/>
    <m/>
    <m/>
    <m/>
    <m/>
    <m/>
    <m/>
    <m/>
    <m/>
    <m/>
    <m/>
    <m/>
    <m/>
    <m/>
    <m/>
    <n v="87500"/>
    <n v="1485750"/>
    <m/>
    <m/>
    <n v="13000"/>
    <n v="1485750"/>
    <x v="1"/>
    <m/>
    <m/>
    <m/>
    <m/>
    <s v="2930 / 2799"/>
    <m/>
    <m/>
    <m/>
    <m/>
    <m/>
    <m/>
    <m/>
    <m/>
    <m/>
    <m/>
    <m/>
    <s v="Yogyakarta"/>
    <s v="CASH: 1. PMN to Fed 119,000 from AP2930  2. PMN to Fed 179,250 from AP2930 earmarked for 80K sleeping mats 3. PMN from AP2930 to Fed 1 million earmarked for tarps (600K), PSP (100K), DM (300K); PMN contribution to support Fed appeal relief operations - joint w/ 119,000 from AP 2930 4. PEOPLE: Relief ERU deployed with N. Cooper, C. Blake, S. Rahman, B. Riester, T. Betz, C. Chaperon. PA B. Gillespie, Health S. Shetty, PSP team"/>
  </r>
  <r>
    <m/>
    <n v="150"/>
    <x v="88"/>
    <d v="2006-07-01T00:00:00"/>
    <x v="11"/>
    <n v="1"/>
    <m/>
    <n v="2006"/>
    <n v="12"/>
    <s v="Europe/Asia"/>
    <s v="Romania"/>
    <s v="Hydrometerological"/>
    <s v="Floods"/>
    <s v="General Floods"/>
    <s v="General Floods"/>
    <m/>
    <x v="1"/>
    <s v="IFRC"/>
    <n v="1900000"/>
    <m/>
    <s v="MDRRO001"/>
    <n v="2.631578947368421E-3"/>
    <m/>
    <m/>
    <m/>
    <m/>
    <n v="13000"/>
    <m/>
    <m/>
    <x v="2"/>
    <n v="5000"/>
    <m/>
    <m/>
    <m/>
    <n v="5000"/>
    <m/>
    <m/>
    <m/>
    <m/>
    <m/>
    <m/>
    <m/>
    <m/>
    <m/>
    <m/>
    <m/>
    <m/>
    <m/>
    <m/>
    <m/>
    <m/>
    <m/>
    <m/>
    <m/>
    <m/>
    <n v="5000"/>
    <m/>
    <m/>
    <m/>
    <n v="5000"/>
    <x v="1"/>
    <m/>
    <m/>
    <m/>
    <m/>
    <n v="2685"/>
    <m/>
    <m/>
    <m/>
    <m/>
    <m/>
    <m/>
    <m/>
    <m/>
    <m/>
    <m/>
    <m/>
    <s v="Country-Wide"/>
    <s v="PMN contribution to support Federation's Emergency Appeal - AmEx contribution - from suspense acct"/>
  </r>
  <r>
    <m/>
    <n v="151"/>
    <x v="159"/>
    <d v="2006-07-01T00:00:00"/>
    <x v="11"/>
    <n v="2"/>
    <m/>
    <n v="2006"/>
    <n v="13"/>
    <s v="Europe/Asia"/>
    <s v="Lebanon"/>
    <s v="Human Related"/>
    <s v="Conflict"/>
    <s v="Conflict"/>
    <s v="Conflict"/>
    <m/>
    <x v="1"/>
    <s v="IFRC/ICRC"/>
    <n v="83131000"/>
    <m/>
    <s v="MDR81001 /REX 06/575"/>
    <n v="2.2730389385427818E-2"/>
    <m/>
    <m/>
    <m/>
    <m/>
    <n v="2000000"/>
    <m/>
    <m/>
    <x v="1"/>
    <n v="475000"/>
    <n v="1058600"/>
    <n v="356000"/>
    <m/>
    <n v="1889600"/>
    <m/>
    <m/>
    <m/>
    <m/>
    <m/>
    <m/>
    <m/>
    <m/>
    <m/>
    <m/>
    <m/>
    <m/>
    <m/>
    <m/>
    <m/>
    <m/>
    <m/>
    <m/>
    <m/>
    <m/>
    <n v="1889600"/>
    <m/>
    <m/>
    <m/>
    <n v="1889600"/>
    <x v="1"/>
    <m/>
    <m/>
    <m/>
    <m/>
    <s v="2099 /2649"/>
    <m/>
    <m/>
    <m/>
    <m/>
    <m/>
    <m/>
    <m/>
    <m/>
    <m/>
    <m/>
    <m/>
    <s v="Humanitarian Crisis"/>
    <s v="CASH: Contributions to ICRC - 1. $500,000 2. $150,000 3. $211,136 to MDA specifically from AP2099; Contributions to ICRC - 1. $150,000 2. 47,500 (Dow Chemical Company from AP2649), Contribution to Fed $475,000 (Coca Cola) from AP2649; $200,000 grant to Palestinian Red Crescent for southern Lebanon; $156,000 grant to Lebanese Red Cross for ambulances"/>
  </r>
  <r>
    <m/>
    <n v="152"/>
    <x v="8"/>
    <d v="2006-08-01T00:00:00"/>
    <x v="11"/>
    <n v="3"/>
    <m/>
    <n v="2006"/>
    <n v="14"/>
    <s v="Europe/Asia"/>
    <s v="China"/>
    <s v="Hydrometerological"/>
    <s v="Floods"/>
    <s v="General Floods"/>
    <s v="General Floods"/>
    <m/>
    <x v="1"/>
    <s v="IFRC"/>
    <n v="4825791"/>
    <m/>
    <s v="MDRCN001"/>
    <n v="1.036099574142353E-2"/>
    <m/>
    <m/>
    <m/>
    <m/>
    <n v="240000"/>
    <m/>
    <m/>
    <x v="1"/>
    <n v="50000"/>
    <m/>
    <m/>
    <m/>
    <n v="50000"/>
    <m/>
    <m/>
    <m/>
    <m/>
    <m/>
    <m/>
    <m/>
    <m/>
    <m/>
    <m/>
    <m/>
    <m/>
    <m/>
    <m/>
    <m/>
    <m/>
    <m/>
    <m/>
    <m/>
    <m/>
    <n v="50000"/>
    <m/>
    <m/>
    <m/>
    <n v="50000"/>
    <x v="2"/>
    <m/>
    <m/>
    <m/>
    <m/>
    <n v="2799"/>
    <m/>
    <m/>
    <m/>
    <m/>
    <m/>
    <m/>
    <m/>
    <m/>
    <m/>
    <m/>
    <m/>
    <m/>
    <s v="PMN contribution earmarked for procurement of rice to support Fed's China: Floods Appeal"/>
  </r>
  <r>
    <s v="VO-2006-"/>
    <n v="153"/>
    <x v="160"/>
    <d v="2006-08-01T00:00:00"/>
    <x v="11"/>
    <n v="4"/>
    <m/>
    <n v="2006"/>
    <n v="15"/>
    <s v="LAC"/>
    <s v="Ecuador"/>
    <s v="Geophysical"/>
    <s v="Volcano"/>
    <s v="Volcanic Eruption"/>
    <s v="Volcanic Eruption"/>
    <m/>
    <x v="1"/>
    <s v="IFRC"/>
    <n v="514753"/>
    <m/>
    <s v="MDREC002"/>
    <n v="9.7133965222155089E-2"/>
    <n v="1"/>
    <m/>
    <m/>
    <m/>
    <n v="5475"/>
    <m/>
    <m/>
    <x v="0"/>
    <m/>
    <m/>
    <n v="50000"/>
    <m/>
    <n v="50000"/>
    <m/>
    <m/>
    <m/>
    <m/>
    <m/>
    <m/>
    <m/>
    <m/>
    <m/>
    <m/>
    <m/>
    <m/>
    <m/>
    <m/>
    <m/>
    <m/>
    <m/>
    <m/>
    <m/>
    <m/>
    <n v="50000"/>
    <m/>
    <m/>
    <m/>
    <n v="50000"/>
    <x v="2"/>
    <m/>
    <m/>
    <m/>
    <m/>
    <n v="2799"/>
    <m/>
    <m/>
    <m/>
    <m/>
    <m/>
    <m/>
    <m/>
    <m/>
    <m/>
    <m/>
    <m/>
    <s v="Tungurahua"/>
    <s v="OFDA award in support of ARC's proposal &quot;Tungurahua Volcano eruption&quot; to support the ERC emergency relief response."/>
  </r>
  <r>
    <s v="FL-2006-000122-ETH"/>
    <n v="154"/>
    <x v="161"/>
    <d v="2006-08-01T00:00:00"/>
    <x v="11"/>
    <n v="5"/>
    <m/>
    <n v="2006"/>
    <n v="16"/>
    <s v="Africa"/>
    <s v="Ethiopia"/>
    <s v="Hydrometerological"/>
    <s v="Floods"/>
    <s v="General Floods"/>
    <s v="General Floods"/>
    <m/>
    <x v="1"/>
    <s v="IFRC"/>
    <n v="4225070"/>
    <m/>
    <s v="MDRET003"/>
    <n v="2.0118009879126264E-2"/>
    <m/>
    <m/>
    <m/>
    <m/>
    <n v="25000"/>
    <m/>
    <m/>
    <x v="1"/>
    <n v="85000"/>
    <m/>
    <m/>
    <m/>
    <n v="85000"/>
    <n v="2"/>
    <m/>
    <m/>
    <m/>
    <m/>
    <m/>
    <m/>
    <m/>
    <m/>
    <m/>
    <m/>
    <m/>
    <m/>
    <m/>
    <m/>
    <m/>
    <m/>
    <m/>
    <m/>
    <m/>
    <n v="85000"/>
    <m/>
    <m/>
    <m/>
    <n v="85000"/>
    <x v="1"/>
    <m/>
    <m/>
    <m/>
    <m/>
    <s v="2099 / 2648"/>
    <m/>
    <m/>
    <m/>
    <m/>
    <m/>
    <m/>
    <m/>
    <m/>
    <m/>
    <m/>
    <m/>
    <s v="Amhara"/>
    <s v="CASH: PMN from 2099 contribution to Fed Appeal earmarked for tarps, blankets, sleeping mats PEOPLE: Deployed J. Manley, Prog Coordinator, 2 mo. AND K.White, Prog Delegate, 2 mo. From AP 2648."/>
  </r>
  <r>
    <s v="FL-2006-000123-SDN"/>
    <n v="155"/>
    <x v="162"/>
    <d v="2006-09-01T00:00:00"/>
    <x v="11"/>
    <n v="6"/>
    <m/>
    <n v="2006"/>
    <n v="17"/>
    <s v="Africa"/>
    <s v="Sudan"/>
    <s v="Hydrometerological"/>
    <s v="Floods"/>
    <s v="General Floods"/>
    <s v="General Floods"/>
    <m/>
    <x v="1"/>
    <s v="IFRC"/>
    <n v="492625"/>
    <m/>
    <s v="MDRSD002"/>
    <n v="2.0299416391778735E-2"/>
    <m/>
    <m/>
    <m/>
    <m/>
    <n v="15000"/>
    <m/>
    <m/>
    <x v="2"/>
    <n v="10000"/>
    <m/>
    <m/>
    <m/>
    <n v="10000"/>
    <m/>
    <m/>
    <m/>
    <n v="10000"/>
    <m/>
    <m/>
    <m/>
    <m/>
    <m/>
    <m/>
    <m/>
    <m/>
    <n v="10000"/>
    <m/>
    <m/>
    <m/>
    <m/>
    <m/>
    <n v="36900"/>
    <m/>
    <n v="46900"/>
    <m/>
    <m/>
    <m/>
    <n v="46900"/>
    <x v="1"/>
    <m/>
    <m/>
    <m/>
    <m/>
    <n v="2802"/>
    <m/>
    <m/>
    <m/>
    <m/>
    <m/>
    <m/>
    <m/>
    <s v="N"/>
    <m/>
    <m/>
    <m/>
    <m/>
    <s v="Nets @ $3.69 each + $10,000 (transport) = $46,900"/>
  </r>
  <r>
    <s v="TC-2006-000175-PHL"/>
    <n v="156"/>
    <x v="163"/>
    <d v="2006-10-01T00:00:00"/>
    <x v="11"/>
    <n v="7"/>
    <m/>
    <n v="2006"/>
    <n v="18"/>
    <s v="Europe/Asia"/>
    <s v="Philippines"/>
    <s v="Hydrometerological"/>
    <s v="Storm"/>
    <s v="Tropical Cyclone"/>
    <s v="Typhoon"/>
    <m/>
    <x v="1"/>
    <s v="IFRC"/>
    <n v="8637057"/>
    <m/>
    <s v="MDRPH002"/>
    <n v="9.1119000372464828E-2"/>
    <m/>
    <m/>
    <m/>
    <m/>
    <n v="1030000"/>
    <m/>
    <m/>
    <x v="1"/>
    <n v="787000"/>
    <m/>
    <m/>
    <m/>
    <n v="787000"/>
    <n v="2"/>
    <m/>
    <m/>
    <m/>
    <m/>
    <m/>
    <m/>
    <m/>
    <m/>
    <m/>
    <m/>
    <m/>
    <m/>
    <m/>
    <m/>
    <m/>
    <m/>
    <m/>
    <m/>
    <n v="6500"/>
    <n v="793500"/>
    <m/>
    <m/>
    <m/>
    <n v="793500"/>
    <x v="1"/>
    <m/>
    <m/>
    <m/>
    <m/>
    <n v="2032"/>
    <m/>
    <m/>
    <m/>
    <m/>
    <m/>
    <m/>
    <m/>
    <s v="N"/>
    <m/>
    <m/>
    <m/>
    <s v="Xangsane / Durian"/>
    <s v="PEOPLE: Deployed B. Gaillis, Ops Coordinator, 5 wks; Deployed C. Blake, FACT Relief, 3 wks. CASH: 2. PMN Fed Philippines: Typhoons $237,000 from AP2032; PMN Fed Philippines: Typhoon Xangsane Appeal $200,000 from AP2099;  3. PMN Fed Philippines: Typhoons $350K earmarked for CGI from AP2032;"/>
  </r>
  <r>
    <s v="TC-2006-000144-VNM; TC-2006-000175-VNM"/>
    <n v="157"/>
    <x v="164"/>
    <d v="2006-10-01T00:00:00"/>
    <x v="11"/>
    <n v="8"/>
    <m/>
    <n v="2006"/>
    <n v="19"/>
    <s v="Europe/Asia"/>
    <s v="Vietnam"/>
    <s v="Hydrometerological"/>
    <s v="Storm"/>
    <s v="Tropical Cyclone"/>
    <s v="Typhoon"/>
    <m/>
    <x v="1"/>
    <s v="IFRC"/>
    <n v="1340000"/>
    <m/>
    <s v="MDRVN001"/>
    <n v="4.7014925373134328E-2"/>
    <m/>
    <m/>
    <m/>
    <m/>
    <n v="60400"/>
    <m/>
    <m/>
    <x v="1"/>
    <n v="63000"/>
    <m/>
    <m/>
    <m/>
    <n v="63000"/>
    <m/>
    <m/>
    <m/>
    <m/>
    <m/>
    <m/>
    <m/>
    <m/>
    <m/>
    <m/>
    <m/>
    <m/>
    <m/>
    <m/>
    <m/>
    <m/>
    <m/>
    <m/>
    <m/>
    <m/>
    <n v="63000"/>
    <m/>
    <m/>
    <m/>
    <n v="63000"/>
    <x v="2"/>
    <m/>
    <m/>
    <m/>
    <m/>
    <n v="2799"/>
    <m/>
    <m/>
    <m/>
    <m/>
    <m/>
    <m/>
    <m/>
    <s v="Y"/>
    <m/>
    <m/>
    <m/>
    <s v="Xangsane"/>
    <s v="PMN Fed Vietnam from AP2799: Typhoon Xangsane Appeal $25,000; PMN Fed Vietnam from AP2870: Typhoon Xangsane $38,000"/>
  </r>
  <r>
    <m/>
    <n v="158"/>
    <x v="165"/>
    <d v="2006-11-01T00:00:00"/>
    <x v="11"/>
    <n v="9"/>
    <m/>
    <n v="2006"/>
    <n v="20"/>
    <s v="Africa"/>
    <s v="Somalia"/>
    <s v="Human Related"/>
    <s v="Conflict"/>
    <s v="Conflict"/>
    <s v="Conflict"/>
    <m/>
    <x v="0"/>
    <m/>
    <m/>
    <m/>
    <m/>
    <s v=""/>
    <m/>
    <m/>
    <m/>
    <m/>
    <m/>
    <m/>
    <m/>
    <x v="0"/>
    <m/>
    <n v="50000"/>
    <m/>
    <m/>
    <n v="50000"/>
    <m/>
    <m/>
    <m/>
    <m/>
    <m/>
    <m/>
    <m/>
    <m/>
    <m/>
    <m/>
    <m/>
    <m/>
    <m/>
    <m/>
    <m/>
    <m/>
    <m/>
    <m/>
    <m/>
    <m/>
    <n v="50000"/>
    <m/>
    <m/>
    <m/>
    <n v="50000"/>
    <x v="2"/>
    <m/>
    <m/>
    <m/>
    <m/>
    <n v="2799"/>
    <m/>
    <m/>
    <m/>
    <m/>
    <m/>
    <m/>
    <m/>
    <s v="Y"/>
    <m/>
    <m/>
    <m/>
    <s v="IDP"/>
    <s v="Contribution to ICRC 2006 Somalia Emergency Appeal - spec IDPs"/>
  </r>
  <r>
    <s v="FL-2006-000159-KEN"/>
    <n v="159"/>
    <x v="81"/>
    <d v="2006-11-01T00:00:00"/>
    <x v="11"/>
    <n v="10"/>
    <m/>
    <n v="2006"/>
    <n v="21"/>
    <s v="Africa"/>
    <s v="Kenya"/>
    <s v="Hydrometerological"/>
    <s v="Floods"/>
    <s v="General Floods"/>
    <s v="General Floods"/>
    <m/>
    <x v="1"/>
    <s v="IFRC"/>
    <n v="21832647"/>
    <m/>
    <s v="MDRKE003"/>
    <n v="3.6642373231244017E-3"/>
    <m/>
    <m/>
    <m/>
    <m/>
    <n v="563000"/>
    <m/>
    <m/>
    <x v="1"/>
    <n v="50000"/>
    <m/>
    <n v="30000"/>
    <m/>
    <n v="80000"/>
    <m/>
    <m/>
    <m/>
    <n v="20000"/>
    <m/>
    <m/>
    <m/>
    <m/>
    <m/>
    <m/>
    <m/>
    <m/>
    <n v="20000"/>
    <m/>
    <m/>
    <m/>
    <m/>
    <m/>
    <n v="120000"/>
    <m/>
    <n v="200000"/>
    <m/>
    <m/>
    <m/>
    <n v="200000"/>
    <x v="1"/>
    <m/>
    <m/>
    <m/>
    <m/>
    <s v="2925 / 2099"/>
    <m/>
    <m/>
    <m/>
    <m/>
    <m/>
    <m/>
    <m/>
    <s v="N"/>
    <m/>
    <m/>
    <m/>
    <m/>
    <s v="CASH: From AP2925: 30K - IDR/IP grant directly to Kenya Red Cross; PMN to Fed - 50k from LDS; SUPPLIES: 20,000 (mosquito nets) @ $4.44 each + PSR, etc + $20,000 (transport) = $120,000 from AP2099"/>
  </r>
  <r>
    <m/>
    <n v="160"/>
    <x v="166"/>
    <d v="2006-11-01T00:00:00"/>
    <x v="11"/>
    <n v="11"/>
    <m/>
    <n v="2006"/>
    <n v="22"/>
    <s v="Africa"/>
    <s v="Somalia"/>
    <s v="Hydrometerological"/>
    <s v="Floods"/>
    <s v="General Floods"/>
    <s v="General Floods"/>
    <m/>
    <x v="1"/>
    <s v="ICRC"/>
    <n v="33508000"/>
    <m/>
    <s v="REX 06/813"/>
    <n v="2.9843619434164977E-3"/>
    <m/>
    <m/>
    <m/>
    <m/>
    <n v="324000"/>
    <m/>
    <m/>
    <x v="0"/>
    <m/>
    <n v="100000"/>
    <m/>
    <m/>
    <n v="100000"/>
    <m/>
    <m/>
    <m/>
    <m/>
    <m/>
    <m/>
    <m/>
    <m/>
    <m/>
    <m/>
    <m/>
    <m/>
    <m/>
    <m/>
    <m/>
    <m/>
    <m/>
    <m/>
    <m/>
    <m/>
    <n v="100000"/>
    <m/>
    <m/>
    <m/>
    <n v="100000"/>
    <x v="2"/>
    <m/>
    <m/>
    <m/>
    <m/>
    <n v="2099"/>
    <m/>
    <m/>
    <m/>
    <m/>
    <m/>
    <m/>
    <m/>
    <s v="N"/>
    <m/>
    <m/>
    <m/>
    <m/>
    <s v="Contribution to ICRC 2006 Somalia Emergency Appeal - spec those affected by floods"/>
  </r>
  <r>
    <s v="FL-2006-000198-MOZ"/>
    <n v="161"/>
    <x v="46"/>
    <d v="2007-02-01T00:00:00"/>
    <x v="11"/>
    <n v="12"/>
    <m/>
    <n v="2007"/>
    <n v="1"/>
    <s v="Africa"/>
    <s v="Mozambique"/>
    <s v="Hydrometerological"/>
    <s v="Floods"/>
    <s v="General Floods"/>
    <s v="General Floods"/>
    <m/>
    <x v="1"/>
    <s v="IFRC"/>
    <n v="5971938"/>
    <m/>
    <s v="MDRMZ002"/>
    <n v="0"/>
    <m/>
    <m/>
    <m/>
    <m/>
    <n v="100000"/>
    <m/>
    <m/>
    <x v="0"/>
    <m/>
    <m/>
    <m/>
    <m/>
    <n v="0"/>
    <n v="2"/>
    <s v="Relief ERU"/>
    <m/>
    <n v="26950"/>
    <m/>
    <m/>
    <n v="7050"/>
    <m/>
    <m/>
    <m/>
    <m/>
    <m/>
    <m/>
    <m/>
    <n v="3900"/>
    <m/>
    <m/>
    <m/>
    <n v="200000"/>
    <n v="45000"/>
    <n v="245000"/>
    <m/>
    <m/>
    <m/>
    <n v="245000"/>
    <x v="1"/>
    <m/>
    <m/>
    <m/>
    <m/>
    <s v="2099 /2936"/>
    <m/>
    <m/>
    <m/>
    <m/>
    <m/>
    <m/>
    <m/>
    <s v="N"/>
    <m/>
    <m/>
    <m/>
    <s v="Caia"/>
    <s v="SUPPLIES: 7050 blankets @ $3.75, 3900 tarps @ $14.20, 16,000 sleeping mats @ $1.70; PEOPLE: Relief ERU deployment - T. Reines, G. Guinta, 1 month, 2nd team rotation from  AP2936"/>
  </r>
  <r>
    <s v="FL-2007-000012-BOL"/>
    <n v="162"/>
    <x v="48"/>
    <d v="2007-02-01T00:00:00"/>
    <x v="11"/>
    <n v="13"/>
    <m/>
    <n v="2007"/>
    <n v="2"/>
    <s v="LAC"/>
    <s v="Bolivia"/>
    <s v="Hydrometerological"/>
    <s v="Floods"/>
    <s v="General Floods"/>
    <s v="General Floods"/>
    <m/>
    <x v="1"/>
    <s v="IFRC"/>
    <n v="484360"/>
    <m/>
    <s v="MDRBO002"/>
    <n v="0.30968700966223472"/>
    <m/>
    <m/>
    <m/>
    <m/>
    <n v="35940"/>
    <m/>
    <m/>
    <x v="1"/>
    <n v="150000"/>
    <m/>
    <m/>
    <m/>
    <n v="150000"/>
    <m/>
    <m/>
    <m/>
    <m/>
    <m/>
    <m/>
    <m/>
    <m/>
    <m/>
    <m/>
    <m/>
    <m/>
    <m/>
    <m/>
    <m/>
    <m/>
    <m/>
    <m/>
    <m/>
    <m/>
    <n v="150000"/>
    <m/>
    <m/>
    <m/>
    <n v="150000"/>
    <x v="1"/>
    <m/>
    <m/>
    <m/>
    <m/>
    <s v="2099 / 2666"/>
    <m/>
    <m/>
    <m/>
    <m/>
    <m/>
    <m/>
    <m/>
    <s v="N"/>
    <m/>
    <m/>
    <m/>
    <m/>
    <s v="$50,000 PMN to Fed - unearmarked from 2099; $100,000  from 2666 - OFDA grant to Fed via PMN. Earmarked for 1500 food parcels, 1500 tool kits and remaining goes to transport costs."/>
  </r>
  <r>
    <m/>
    <n v="163"/>
    <x v="167"/>
    <d v="2007-03-01T00:00:00"/>
    <x v="11"/>
    <n v="14"/>
    <m/>
    <n v="2007"/>
    <n v="3"/>
    <s v="Europe/Asia"/>
    <s v="Sri Lanka"/>
    <s v="Human Related"/>
    <s v="Conflict"/>
    <s v="Conflict"/>
    <s v="Conflict"/>
    <m/>
    <x v="1"/>
    <s v="ICRC"/>
    <n v="32018000"/>
    <m/>
    <s v="REX 07/376"/>
    <n v="6.2464863514273224E-2"/>
    <m/>
    <m/>
    <m/>
    <m/>
    <n v="150000"/>
    <m/>
    <m/>
    <x v="0"/>
    <m/>
    <n v="2000000"/>
    <m/>
    <m/>
    <n v="2000000"/>
    <m/>
    <m/>
    <m/>
    <m/>
    <m/>
    <m/>
    <m/>
    <m/>
    <m/>
    <m/>
    <m/>
    <m/>
    <m/>
    <m/>
    <m/>
    <m/>
    <m/>
    <m/>
    <m/>
    <m/>
    <n v="2000000"/>
    <m/>
    <m/>
    <m/>
    <n v="2000000"/>
    <x v="1"/>
    <m/>
    <m/>
    <m/>
    <m/>
    <s v="2695 /2692"/>
    <m/>
    <m/>
    <m/>
    <m/>
    <m/>
    <m/>
    <m/>
    <s v="N"/>
    <m/>
    <m/>
    <m/>
    <m/>
    <s v="Contribution to ICRC 2007 Sri Lanka Emergency Appeal - to build the capacity of the SLRCS in disaster relief, IHL and overall cooperation. $320K earmarked to support ICRC HQ ops"/>
  </r>
  <r>
    <m/>
    <n v="164"/>
    <x v="168"/>
    <d v="2007-03-01T00:00:00"/>
    <x v="11"/>
    <n v="15"/>
    <m/>
    <n v="2007"/>
    <n v="4"/>
    <s v="Africa"/>
    <s v="Madagascar"/>
    <s v="Hydrometerological"/>
    <s v="Storm"/>
    <s v="Tropical Cyclone"/>
    <s v="Cyclone"/>
    <m/>
    <x v="1"/>
    <s v="IFRC"/>
    <n v="1649430"/>
    <m/>
    <s v="MDRMG002"/>
    <n v="0"/>
    <m/>
    <m/>
    <m/>
    <m/>
    <n v="60000"/>
    <m/>
    <m/>
    <x v="0"/>
    <m/>
    <m/>
    <m/>
    <m/>
    <n v="0"/>
    <n v="5"/>
    <s v="Relief ERU"/>
    <m/>
    <n v="10000"/>
    <m/>
    <m/>
    <m/>
    <m/>
    <m/>
    <m/>
    <m/>
    <m/>
    <n v="1000"/>
    <m/>
    <m/>
    <m/>
    <m/>
    <m/>
    <n v="74000"/>
    <n v="28000"/>
    <n v="102000"/>
    <m/>
    <m/>
    <m/>
    <n v="102000"/>
    <x v="1"/>
    <m/>
    <m/>
    <m/>
    <m/>
    <s v="2936 / 2799"/>
    <m/>
    <m/>
    <m/>
    <m/>
    <m/>
    <m/>
    <m/>
    <s v="N"/>
    <m/>
    <m/>
    <m/>
    <s v="Indlala / Jaya"/>
    <s v="SUPPLIES: 1000 Mosquito Nets - $74,000 from 2799; PEOPLE: Deployed B. Gaillis, FACT, 3 wks; Deployed Relief ERU - C. Chaperon, G. Matthews 4 wks; Deployed 2nd rotation of Relief ERU - J. Manley, S. Hagerich, 4 wks - $18,000 cost from 2936"/>
  </r>
  <r>
    <s v="TS-2007-000042-SLB"/>
    <n v="165"/>
    <x v="169"/>
    <d v="2007-04-01T00:00:00"/>
    <x v="11"/>
    <n v="16"/>
    <m/>
    <n v="2007"/>
    <n v="5"/>
    <s v="Europe/Asia"/>
    <s v="Solomon Islands"/>
    <s v="Geophysical"/>
    <s v="Earthquake"/>
    <s v="Tsunami"/>
    <s v="Tsunami"/>
    <m/>
    <x v="1"/>
    <s v="IFRC"/>
    <n v="1405645"/>
    <m/>
    <s v="MDRSB001"/>
    <n v="3.5570858929530574E-2"/>
    <m/>
    <m/>
    <m/>
    <m/>
    <n v="9000"/>
    <m/>
    <m/>
    <x v="1"/>
    <n v="50000"/>
    <m/>
    <m/>
    <m/>
    <n v="50000"/>
    <m/>
    <m/>
    <m/>
    <m/>
    <m/>
    <m/>
    <m/>
    <m/>
    <m/>
    <m/>
    <m/>
    <m/>
    <m/>
    <m/>
    <m/>
    <m/>
    <m/>
    <m/>
    <m/>
    <m/>
    <n v="50000"/>
    <m/>
    <m/>
    <m/>
    <n v="50000"/>
    <x v="1"/>
    <m/>
    <m/>
    <m/>
    <m/>
    <n v="2881"/>
    <m/>
    <m/>
    <m/>
    <m/>
    <m/>
    <m/>
    <m/>
    <s v="N"/>
    <m/>
    <m/>
    <m/>
    <m/>
    <s v="PMN to Fed - unearmarked"/>
  </r>
  <r>
    <m/>
    <n v="166"/>
    <x v="170"/>
    <d v="2007-05-01T00:00:00"/>
    <x v="11"/>
    <n v="17"/>
    <m/>
    <n v="2007"/>
    <n v="6"/>
    <s v="LAC"/>
    <s v="Colombia"/>
    <s v="Hydrometerological"/>
    <s v="Floods"/>
    <s v="General Floods"/>
    <s v="General Floods"/>
    <m/>
    <x v="0"/>
    <m/>
    <m/>
    <m/>
    <m/>
    <s v=""/>
    <m/>
    <m/>
    <m/>
    <m/>
    <m/>
    <m/>
    <n v="3600"/>
    <x v="0"/>
    <m/>
    <m/>
    <n v="5000"/>
    <m/>
    <n v="5000"/>
    <m/>
    <m/>
    <m/>
    <m/>
    <m/>
    <m/>
    <m/>
    <m/>
    <m/>
    <m/>
    <m/>
    <m/>
    <m/>
    <m/>
    <m/>
    <m/>
    <m/>
    <m/>
    <m/>
    <m/>
    <n v="5000"/>
    <m/>
    <m/>
    <m/>
    <n v="5000"/>
    <x v="2"/>
    <m/>
    <m/>
    <m/>
    <m/>
    <n v="2799"/>
    <m/>
    <m/>
    <m/>
    <m/>
    <m/>
    <m/>
    <m/>
    <s v="Y"/>
    <m/>
    <m/>
    <m/>
    <s v="Tolima"/>
    <s v="Grant to NS for NFIs, health team visits, general admin costs"/>
  </r>
  <r>
    <m/>
    <n v="167"/>
    <x v="171"/>
    <d v="2007-05-01T00:00:00"/>
    <x v="11"/>
    <n v="18"/>
    <m/>
    <n v="2007"/>
    <n v="7"/>
    <s v="LAC"/>
    <s v="Mexico"/>
    <s v="Hydrometerological"/>
    <s v="Storm"/>
    <s v="Local Storm"/>
    <s v="Tornado"/>
    <m/>
    <x v="0"/>
    <s v="NS"/>
    <m/>
    <m/>
    <m/>
    <s v=""/>
    <m/>
    <m/>
    <m/>
    <m/>
    <m/>
    <m/>
    <n v="3000"/>
    <x v="0"/>
    <m/>
    <m/>
    <n v="20000"/>
    <m/>
    <n v="20000"/>
    <m/>
    <m/>
    <m/>
    <m/>
    <m/>
    <m/>
    <m/>
    <m/>
    <m/>
    <m/>
    <m/>
    <m/>
    <m/>
    <m/>
    <m/>
    <m/>
    <m/>
    <m/>
    <m/>
    <m/>
    <n v="20000"/>
    <m/>
    <m/>
    <m/>
    <n v="20000"/>
    <x v="1"/>
    <m/>
    <m/>
    <m/>
    <m/>
    <n v="2690"/>
    <m/>
    <m/>
    <m/>
    <m/>
    <m/>
    <m/>
    <m/>
    <s v="N"/>
    <m/>
    <m/>
    <m/>
    <s v="Coahuila"/>
    <s v="Grant to NS for NFIs - kitchen, hygiene, baby kits; laterns w/ radios"/>
  </r>
  <r>
    <m/>
    <n v="168"/>
    <x v="165"/>
    <d v="2007-06-01T00:00:00"/>
    <x v="11"/>
    <n v="19"/>
    <m/>
    <n v="2007"/>
    <n v="8"/>
    <s v="Africa"/>
    <s v="Somalia"/>
    <s v="Human Related"/>
    <s v="Conflict"/>
    <s v="Conflict"/>
    <s v="Conflict"/>
    <m/>
    <x v="1"/>
    <s v="ICRC"/>
    <n v="38292000"/>
    <m/>
    <s v="REX 07/347"/>
    <n v="2.6115115428810196E-3"/>
    <m/>
    <m/>
    <m/>
    <m/>
    <n v="612000"/>
    <m/>
    <m/>
    <x v="1"/>
    <m/>
    <n v="100000"/>
    <m/>
    <m/>
    <n v="100000"/>
    <m/>
    <m/>
    <m/>
    <m/>
    <m/>
    <m/>
    <m/>
    <m/>
    <m/>
    <m/>
    <m/>
    <m/>
    <m/>
    <m/>
    <m/>
    <m/>
    <m/>
    <m/>
    <m/>
    <m/>
    <n v="100000"/>
    <m/>
    <m/>
    <m/>
    <n v="100000"/>
    <x v="1"/>
    <m/>
    <m/>
    <m/>
    <m/>
    <n v="2817"/>
    <m/>
    <m/>
    <m/>
    <m/>
    <m/>
    <m/>
    <m/>
    <s v="N"/>
    <m/>
    <m/>
    <m/>
    <m/>
    <s v="Contribution to ICRC 2007 Somalia Emergency Appeal: Budget Extension - support for capacity bldg."/>
  </r>
  <r>
    <m/>
    <n v="169"/>
    <x v="125"/>
    <d v="2007-06-01T00:00:00"/>
    <x v="11"/>
    <n v="20"/>
    <m/>
    <n v="2007"/>
    <n v="9"/>
    <s v="Africa"/>
    <s v="Sudan"/>
    <s v="Human Related"/>
    <s v="Conflict"/>
    <s v="Conflict"/>
    <s v="Conflict"/>
    <m/>
    <x v="1"/>
    <s v="ICRC"/>
    <n v="86239000"/>
    <m/>
    <s v="REX 07/207"/>
    <n v="2.3191363536219111E-3"/>
    <m/>
    <m/>
    <m/>
    <m/>
    <n v="125000"/>
    <m/>
    <m/>
    <x v="0"/>
    <m/>
    <n v="200000"/>
    <m/>
    <m/>
    <n v="200000"/>
    <m/>
    <m/>
    <m/>
    <m/>
    <m/>
    <m/>
    <m/>
    <m/>
    <m/>
    <m/>
    <m/>
    <m/>
    <m/>
    <m/>
    <m/>
    <m/>
    <m/>
    <m/>
    <m/>
    <m/>
    <n v="200000"/>
    <m/>
    <m/>
    <m/>
    <n v="200000"/>
    <x v="1"/>
    <m/>
    <m/>
    <m/>
    <m/>
    <n v="2661"/>
    <m/>
    <m/>
    <m/>
    <m/>
    <m/>
    <m/>
    <m/>
    <s v="N"/>
    <m/>
    <m/>
    <m/>
    <m/>
    <s v="Contribution to ICRC 2007 Sudan Emergency Appeal: Budget Extension - support for capacity bldg."/>
  </r>
  <r>
    <s v="FF-2007-000082-PAK; and TC-2007-000084-PAK"/>
    <n v="170"/>
    <x v="172"/>
    <d v="2007-07-01T00:00:00"/>
    <x v="12"/>
    <n v="1"/>
    <m/>
    <n v="2007"/>
    <n v="10"/>
    <s v="Europe/Asia"/>
    <s v="Pakistan"/>
    <s v="Hydrometerological"/>
    <s v="Storm"/>
    <s v="Tropical Cyclone"/>
    <s v="Cyclone"/>
    <n v="1500000"/>
    <x v="1"/>
    <s v="IFRC"/>
    <n v="17000000"/>
    <m/>
    <s v="MDRPK001"/>
    <n v="1.6764705882352942E-2"/>
    <m/>
    <m/>
    <m/>
    <m/>
    <n v="257500"/>
    <m/>
    <m/>
    <x v="1"/>
    <n v="285000"/>
    <m/>
    <m/>
    <m/>
    <n v="285000"/>
    <n v="1"/>
    <m/>
    <m/>
    <m/>
    <m/>
    <m/>
    <m/>
    <m/>
    <m/>
    <m/>
    <m/>
    <m/>
    <m/>
    <m/>
    <m/>
    <m/>
    <m/>
    <m/>
    <m/>
    <n v="10000"/>
    <n v="295000"/>
    <m/>
    <m/>
    <m/>
    <n v="295000"/>
    <x v="1"/>
    <m/>
    <m/>
    <m/>
    <m/>
    <s v="2099/2897"/>
    <m/>
    <m/>
    <m/>
    <m/>
    <m/>
    <m/>
    <m/>
    <s v="N"/>
    <m/>
    <m/>
    <m/>
    <s v="Cyclone Yemyin –July 2007: When this cyclone struck affecting 1.5 million Pakistanis, the American Red Cross supported the Pakistan Red Crescent response operation with $285,000 and also deployed a specialist to serve on a global Red Cross Field Assessment and Coordination Team to assist in initial coordination of the relief operation. "/>
    <s v="CASH: $285,000 in PMNs to Fed - unearmarked; PEOPLE: T. Betz deployed on FACT as Relief/Logs Ap2897"/>
  </r>
  <r>
    <s v="FF-2007-000080-BGD"/>
    <n v="171"/>
    <x v="19"/>
    <d v="2007-07-01T00:00:00"/>
    <x v="12"/>
    <n v="2"/>
    <m/>
    <n v="2007"/>
    <n v="11"/>
    <s v="Europe/Asia"/>
    <s v="Bangladesh"/>
    <s v="Hydrometerological"/>
    <s v="Floods"/>
    <s v="General Floods"/>
    <s v="General Floods"/>
    <n v="2300000"/>
    <x v="1"/>
    <s v="IFRC"/>
    <n v="4850000"/>
    <m/>
    <s v="MDRBD002"/>
    <n v="2.5670103092783506E-2"/>
    <n v="0.95"/>
    <m/>
    <m/>
    <m/>
    <n v="1200000"/>
    <m/>
    <m/>
    <x v="1"/>
    <n v="124500"/>
    <m/>
    <m/>
    <m/>
    <n v="124500"/>
    <m/>
    <m/>
    <m/>
    <m/>
    <m/>
    <m/>
    <m/>
    <m/>
    <m/>
    <m/>
    <m/>
    <m/>
    <m/>
    <m/>
    <m/>
    <m/>
    <m/>
    <m/>
    <m/>
    <m/>
    <n v="124500"/>
    <m/>
    <m/>
    <m/>
    <n v="124500"/>
    <x v="1"/>
    <m/>
    <m/>
    <m/>
    <m/>
    <s v="2017 / 2099"/>
    <m/>
    <m/>
    <m/>
    <m/>
    <m/>
    <m/>
    <m/>
    <s v="N"/>
    <m/>
    <m/>
    <m/>
    <s v="When this cyclone struck affecting 1.5 million Pakistanis, the American Red Cross supported the Pakistan Red Crescent response operation with $285,000 and also deployed a specialist to serve on a global Red Cross Field Assessment and Coordination Team to assist in initial coordination of the relief operation. "/>
    <s v="CASH: $24,500 PMN to Fed - unearmarked from 2017; $100,000 PMN to Fed - unearmarked from 2099;"/>
  </r>
  <r>
    <m/>
    <n v="172"/>
    <x v="105"/>
    <d v="2007-07-01T00:00:00"/>
    <x v="12"/>
    <n v="3"/>
    <m/>
    <n v="2007"/>
    <n v="12"/>
    <s v="Europe/Asia"/>
    <s v="Iraq"/>
    <s v="Human Related"/>
    <s v="Conflict"/>
    <s v="Conflict"/>
    <s v="Conflict"/>
    <n v="2000000"/>
    <x v="1"/>
    <s v="IFRC"/>
    <n v="15000000"/>
    <m/>
    <s v="MDR81002"/>
    <n v="1.6666666666666666E-2"/>
    <m/>
    <m/>
    <m/>
    <m/>
    <n v="250000"/>
    <m/>
    <m/>
    <x v="1"/>
    <n v="250000"/>
    <m/>
    <m/>
    <m/>
    <n v="250000"/>
    <m/>
    <m/>
    <m/>
    <m/>
    <m/>
    <m/>
    <m/>
    <m/>
    <m/>
    <m/>
    <m/>
    <m/>
    <m/>
    <m/>
    <m/>
    <m/>
    <m/>
    <m/>
    <m/>
    <m/>
    <n v="250000"/>
    <m/>
    <m/>
    <m/>
    <n v="250000"/>
    <x v="2"/>
    <m/>
    <m/>
    <m/>
    <m/>
    <n v="2099"/>
    <m/>
    <m/>
    <m/>
    <m/>
    <m/>
    <m/>
    <m/>
    <s v="N"/>
    <m/>
    <m/>
    <m/>
    <s v="Refugees from Iraq in Syria and Jordan"/>
    <s v="PMN to Fed - unearmarked"/>
  </r>
  <r>
    <s v="FL-2007-00093-SDN"/>
    <n v="173"/>
    <x v="162"/>
    <d v="2007-07-01T00:00:00"/>
    <x v="12"/>
    <n v="4"/>
    <m/>
    <n v="2007"/>
    <n v="13"/>
    <s v="Africa"/>
    <s v="Sudan"/>
    <s v="Hydrometerological"/>
    <s v="Floods"/>
    <s v="General Floods"/>
    <s v="General Floods"/>
    <n v="365000"/>
    <x v="1"/>
    <s v="IFRC"/>
    <n v="6800000"/>
    <m/>
    <s v="MDRSD004"/>
    <n v="1.4705882352941176E-2"/>
    <m/>
    <m/>
    <m/>
    <m/>
    <n v="200000"/>
    <m/>
    <m/>
    <x v="1"/>
    <n v="100000"/>
    <m/>
    <m/>
    <m/>
    <n v="100000"/>
    <n v="1"/>
    <m/>
    <m/>
    <n v="10000"/>
    <m/>
    <m/>
    <m/>
    <m/>
    <m/>
    <m/>
    <m/>
    <m/>
    <n v="10000"/>
    <m/>
    <m/>
    <m/>
    <m/>
    <m/>
    <n v="44400"/>
    <n v="9000"/>
    <n v="153400"/>
    <m/>
    <m/>
    <m/>
    <n v="153400"/>
    <x v="1"/>
    <m/>
    <m/>
    <m/>
    <m/>
    <s v="2802 /2099"/>
    <m/>
    <m/>
    <m/>
    <m/>
    <m/>
    <m/>
    <m/>
    <s v="N"/>
    <m/>
    <m/>
    <m/>
    <m/>
    <s v="CASH: $100,000 PMN to Fed earmarked for improved emergency shelters (Appeal obj 1) and tree saplings (obj 4) for 500 families from AP 2099; PEOPLE: N.Cooper deployed on FACT as Relief/Shelter"/>
  </r>
  <r>
    <s v="FL-2007-000111-GBR"/>
    <n v="174"/>
    <x v="173"/>
    <d v="2007-07-01T00:00:00"/>
    <x v="12"/>
    <n v="5"/>
    <m/>
    <n v="2007"/>
    <n v="15"/>
    <s v="Europe/Asia"/>
    <s v="United Kingdom"/>
    <s v="Hydrometerological"/>
    <s v="Floods"/>
    <s v="General Floods"/>
    <s v="General Floods"/>
    <n v="1000000"/>
    <x v="0"/>
    <m/>
    <m/>
    <m/>
    <m/>
    <s v=""/>
    <m/>
    <m/>
    <m/>
    <m/>
    <m/>
    <m/>
    <m/>
    <x v="0"/>
    <m/>
    <m/>
    <n v="20188"/>
    <m/>
    <n v="20188"/>
    <m/>
    <m/>
    <m/>
    <m/>
    <m/>
    <m/>
    <m/>
    <m/>
    <m/>
    <m/>
    <m/>
    <m/>
    <m/>
    <m/>
    <m/>
    <m/>
    <m/>
    <m/>
    <m/>
    <m/>
    <n v="20188"/>
    <m/>
    <m/>
    <m/>
    <n v="20188"/>
    <x v="1"/>
    <m/>
    <m/>
    <m/>
    <m/>
    <n v="2605"/>
    <m/>
    <m/>
    <m/>
    <m/>
    <m/>
    <m/>
    <m/>
    <s v="N"/>
    <m/>
    <m/>
    <m/>
    <m/>
    <s v="Grant letter to British Red Cross; 10,000 GBP donation from Cargill + individual donations"/>
  </r>
  <r>
    <s v="FF-2007-000117-NPL"/>
    <n v="175"/>
    <x v="174"/>
    <d v="2007-08-01T00:00:00"/>
    <x v="12"/>
    <n v="6"/>
    <m/>
    <n v="2007"/>
    <n v="16"/>
    <s v="Europe/Asia"/>
    <s v="Nepal"/>
    <s v="Hydrometerological"/>
    <s v="Floods"/>
    <s v="General Floods"/>
    <s v="General Floods"/>
    <n v="645000"/>
    <x v="1"/>
    <s v="IFRC"/>
    <n v="2340000"/>
    <m/>
    <m/>
    <n v="2.1367521367521368E-2"/>
    <m/>
    <m/>
    <s v="Y"/>
    <m/>
    <n v="150000"/>
    <m/>
    <m/>
    <x v="1"/>
    <n v="50000"/>
    <m/>
    <m/>
    <m/>
    <n v="50000"/>
    <m/>
    <m/>
    <m/>
    <m/>
    <m/>
    <m/>
    <m/>
    <m/>
    <m/>
    <m/>
    <m/>
    <m/>
    <m/>
    <m/>
    <m/>
    <m/>
    <m/>
    <m/>
    <m/>
    <m/>
    <n v="50000"/>
    <m/>
    <m/>
    <m/>
    <n v="50000"/>
    <x v="2"/>
    <m/>
    <m/>
    <m/>
    <m/>
    <n v="2099"/>
    <m/>
    <m/>
    <m/>
    <m/>
    <m/>
    <m/>
    <m/>
    <s v="N"/>
    <m/>
    <m/>
    <m/>
    <m/>
    <s v="PMN to Fed - unearmarked"/>
  </r>
  <r>
    <s v="EQ-2007-000133-PER"/>
    <n v="176"/>
    <x v="54"/>
    <d v="2007-08-01T00:00:00"/>
    <x v="12"/>
    <n v="7"/>
    <m/>
    <n v="2007"/>
    <n v="17"/>
    <s v="LAC"/>
    <s v="Peru"/>
    <s v="Geophysical"/>
    <s v="Earthquake"/>
    <s v="Earthquake"/>
    <s v="Earthquake"/>
    <n v="655000"/>
    <x v="1"/>
    <s v="IFRC"/>
    <n v="9600000"/>
    <m/>
    <s v="MDRPE003"/>
    <n v="3.125E-2"/>
    <n v="0.93"/>
    <m/>
    <m/>
    <m/>
    <n v="37500"/>
    <m/>
    <m/>
    <x v="1"/>
    <n v="300000"/>
    <m/>
    <m/>
    <m/>
    <n v="300000"/>
    <n v="6"/>
    <m/>
    <m/>
    <n v="16500"/>
    <m/>
    <n v="3500"/>
    <m/>
    <m/>
    <m/>
    <m/>
    <n v="2000"/>
    <m/>
    <m/>
    <m/>
    <n v="11000"/>
    <m/>
    <m/>
    <m/>
    <n v="214800"/>
    <n v="5000"/>
    <n v="519800"/>
    <m/>
    <m/>
    <m/>
    <n v="3400000"/>
    <x v="1"/>
    <m/>
    <m/>
    <m/>
    <m/>
    <n v="2816"/>
    <m/>
    <m/>
    <m/>
    <m/>
    <m/>
    <m/>
    <m/>
    <s v="N"/>
    <m/>
    <m/>
    <s v="y"/>
    <m/>
    <s v="CASH: 100K PMN Unearmarked, 200K PMN earmarked for hygiene kits, jerry cans and shelter kits + ops costs; SUPPLIES: hygiene kits @ $13.55; tarps @ $11.30; kitchen sets @ $14.55 + PSR; PEOPLE: C Michaud deployed on Relief ERU (2 days) replaced by L Aceves for 1 month; C Chaperon sent to deliver equipment; Roberto Brito and Richard Urrutia (early recovery assmt); Shelley Cheatham (Admin/Ops), Lee Malany (shelter) and Jessica (PSP early recovery delegate)"/>
  </r>
  <r>
    <s v="TC-2007-000135"/>
    <n v="177"/>
    <x v="175"/>
    <d v="2007-08-01T00:00:00"/>
    <x v="12"/>
    <n v="8"/>
    <m/>
    <n v="2007"/>
    <n v="18"/>
    <s v="LAC"/>
    <s v="Jamaica"/>
    <s v="Hydrometerological"/>
    <s v="Storm"/>
    <s v="Tropical Cyclone"/>
    <s v="Hurricane"/>
    <n v="210000"/>
    <x v="1"/>
    <s v="IFRC"/>
    <n v="2927000"/>
    <m/>
    <s v="MDR49001"/>
    <n v="0"/>
    <m/>
    <m/>
    <m/>
    <m/>
    <n v="108550"/>
    <m/>
    <n v="5000"/>
    <x v="0"/>
    <m/>
    <m/>
    <m/>
    <m/>
    <n v="0"/>
    <m/>
    <m/>
    <m/>
    <n v="2350"/>
    <m/>
    <n v="1000"/>
    <m/>
    <m/>
    <m/>
    <m/>
    <n v="1000"/>
    <m/>
    <m/>
    <m/>
    <n v="350"/>
    <m/>
    <m/>
    <m/>
    <n v="34565"/>
    <m/>
    <n v="34565"/>
    <m/>
    <m/>
    <m/>
    <n v="34565"/>
    <x v="1"/>
    <m/>
    <m/>
    <m/>
    <m/>
    <n v="2837"/>
    <m/>
    <m/>
    <m/>
    <m/>
    <m/>
    <m/>
    <m/>
    <s v="N"/>
    <m/>
    <m/>
    <m/>
    <s v="Dean"/>
    <m/>
  </r>
  <r>
    <s v="TC-2007-000135"/>
    <n v="177"/>
    <x v="175"/>
    <d v="2007-08-01T00:00:00"/>
    <x v="12"/>
    <n v="8"/>
    <m/>
    <n v="2007"/>
    <n v="18"/>
    <s v="LAC"/>
    <s v="Mexico"/>
    <s v="Hydrometerological"/>
    <s v="Storm"/>
    <s v="Tropical Cyclone"/>
    <s v="Hurricane"/>
    <m/>
    <x v="0"/>
    <m/>
    <m/>
    <m/>
    <m/>
    <s v=""/>
    <m/>
    <m/>
    <m/>
    <m/>
    <m/>
    <m/>
    <n v="24000"/>
    <x v="0"/>
    <m/>
    <m/>
    <n v="298680"/>
    <m/>
    <n v="298680"/>
    <n v="1"/>
    <m/>
    <m/>
    <m/>
    <m/>
    <m/>
    <m/>
    <m/>
    <m/>
    <m/>
    <m/>
    <m/>
    <m/>
    <m/>
    <m/>
    <m/>
    <m/>
    <m/>
    <m/>
    <m/>
    <n v="298680"/>
    <m/>
    <m/>
    <m/>
    <n v="298680"/>
    <x v="1"/>
    <m/>
    <m/>
    <m/>
    <m/>
    <s v="2868 / 2099"/>
    <m/>
    <m/>
    <m/>
    <m/>
    <m/>
    <m/>
    <m/>
    <s v="N"/>
    <m/>
    <m/>
    <m/>
    <s v="Dean"/>
    <s v="CASH:  ARC grant ($76k) to MRC for hygiene kits, kitchen sets, and roofing materials for 670 families; ARC/OFDA subgrant to MRC ($222k) for 1,830 families; PEOPLE: Shelley Cheatham (Monitoring)"/>
  </r>
  <r>
    <s v="TC-2007-000135"/>
    <n v="177"/>
    <x v="175"/>
    <d v="2007-08-01T00:00:00"/>
    <x v="12"/>
    <n v="8"/>
    <m/>
    <n v="2007"/>
    <n v="18"/>
    <s v="LAC"/>
    <s v="Haiti"/>
    <s v="Hydrometerological"/>
    <s v="Storm"/>
    <s v="Tropical Cyclone"/>
    <s v="Hurricane"/>
    <m/>
    <x v="0"/>
    <m/>
    <m/>
    <m/>
    <m/>
    <s v=""/>
    <m/>
    <m/>
    <m/>
    <m/>
    <m/>
    <m/>
    <m/>
    <x v="0"/>
    <m/>
    <m/>
    <n v="2500"/>
    <m/>
    <n v="2500"/>
    <n v="1"/>
    <m/>
    <m/>
    <m/>
    <m/>
    <m/>
    <m/>
    <m/>
    <m/>
    <m/>
    <m/>
    <m/>
    <m/>
    <m/>
    <m/>
    <m/>
    <m/>
    <m/>
    <m/>
    <m/>
    <n v="2500"/>
    <m/>
    <m/>
    <m/>
    <n v="2500"/>
    <x v="1"/>
    <m/>
    <m/>
    <m/>
    <m/>
    <n v="2837"/>
    <m/>
    <m/>
    <m/>
    <m/>
    <m/>
    <m/>
    <m/>
    <s v="N"/>
    <m/>
    <m/>
    <m/>
    <s v="Dean"/>
    <s v="CASH: Grant to Haitian Red Cross - restock relief supplies; PEOPLE: Brigitte Gaillis (Contingency Planning)"/>
  </r>
  <r>
    <s v="WF-2007-000148-GRC"/>
    <n v="178"/>
    <x v="176"/>
    <d v="2007-09-01T00:00:00"/>
    <x v="12"/>
    <n v="9"/>
    <m/>
    <n v="2007"/>
    <n v="19"/>
    <s v="Europe/Asia"/>
    <s v="Greece"/>
    <s v="Hydrometerological"/>
    <s v="Wildfire"/>
    <s v="Forest Fire"/>
    <s v="Fire"/>
    <m/>
    <x v="0"/>
    <m/>
    <m/>
    <m/>
    <m/>
    <s v=""/>
    <m/>
    <m/>
    <m/>
    <m/>
    <m/>
    <m/>
    <m/>
    <x v="0"/>
    <m/>
    <m/>
    <n v="40000"/>
    <m/>
    <n v="40000"/>
    <m/>
    <m/>
    <m/>
    <m/>
    <m/>
    <m/>
    <m/>
    <m/>
    <m/>
    <m/>
    <m/>
    <m/>
    <m/>
    <m/>
    <m/>
    <m/>
    <m/>
    <m/>
    <m/>
    <m/>
    <n v="40000"/>
    <m/>
    <m/>
    <m/>
    <n v="40000"/>
    <x v="2"/>
    <m/>
    <m/>
    <m/>
    <m/>
    <n v="2099"/>
    <m/>
    <m/>
    <m/>
    <m/>
    <m/>
    <m/>
    <m/>
    <s v="N"/>
    <m/>
    <m/>
    <m/>
    <m/>
    <s v="UPS 25k, Gen Mills 15k - Grant letter"/>
  </r>
  <r>
    <s v="TC-2007-000157"/>
    <n v="179"/>
    <x v="177"/>
    <d v="2007-09-01T00:00:00"/>
    <x v="12"/>
    <n v="10"/>
    <m/>
    <n v="2007"/>
    <n v="20"/>
    <s v="LAC"/>
    <s v="Nicaragua"/>
    <s v="Hydrometerological"/>
    <s v="Storm"/>
    <s v="Tropical Cyclone"/>
    <s v="Hurricane"/>
    <n v="175000"/>
    <x v="1"/>
    <s v="IFRC"/>
    <n v="1300000"/>
    <m/>
    <s v="MDR43002"/>
    <n v="3.8461538461538464E-2"/>
    <m/>
    <m/>
    <m/>
    <m/>
    <n v="31658"/>
    <m/>
    <m/>
    <x v="1"/>
    <n v="50000"/>
    <m/>
    <m/>
    <m/>
    <n v="50000"/>
    <m/>
    <m/>
    <m/>
    <m/>
    <m/>
    <m/>
    <m/>
    <m/>
    <m/>
    <m/>
    <m/>
    <m/>
    <m/>
    <m/>
    <m/>
    <m/>
    <m/>
    <m/>
    <m/>
    <m/>
    <n v="50000"/>
    <m/>
    <m/>
    <m/>
    <n v="50000"/>
    <x v="2"/>
    <m/>
    <m/>
    <m/>
    <m/>
    <n v="2099"/>
    <m/>
    <m/>
    <m/>
    <m/>
    <m/>
    <m/>
    <m/>
    <s v="N"/>
    <m/>
    <m/>
    <m/>
    <s v="Felix"/>
    <s v="PMN to Fed - earmarked $50,000 for Nicaragua and $22,500 for Honduras (includes $25,000 from Exxon for Honduras); "/>
  </r>
  <r>
    <s v="TC-2007-000157"/>
    <n v="179"/>
    <x v="177"/>
    <d v="2007-09-01T00:00:00"/>
    <x v="12"/>
    <n v="10"/>
    <m/>
    <n v="2007"/>
    <n v="20"/>
    <s v="LAC"/>
    <s v="Honduras"/>
    <s v="Hydrometerological"/>
    <s v="Storm"/>
    <s v="Tropical Cyclone"/>
    <s v="Hurricane"/>
    <m/>
    <x v="0"/>
    <m/>
    <m/>
    <m/>
    <m/>
    <s v=""/>
    <m/>
    <m/>
    <m/>
    <m/>
    <m/>
    <m/>
    <m/>
    <x v="2"/>
    <n v="22500"/>
    <m/>
    <m/>
    <m/>
    <n v="22500"/>
    <m/>
    <m/>
    <m/>
    <m/>
    <m/>
    <m/>
    <m/>
    <m/>
    <m/>
    <m/>
    <m/>
    <m/>
    <m/>
    <m/>
    <m/>
    <m/>
    <m/>
    <m/>
    <m/>
    <m/>
    <n v="22500"/>
    <m/>
    <m/>
    <m/>
    <n v="22500"/>
    <x v="2"/>
    <m/>
    <m/>
    <m/>
    <m/>
    <n v="2099"/>
    <m/>
    <m/>
    <m/>
    <m/>
    <m/>
    <m/>
    <m/>
    <s v="N"/>
    <m/>
    <m/>
    <m/>
    <s v="Felix"/>
    <m/>
  </r>
  <r>
    <s v="TC-2007-000157"/>
    <n v="179"/>
    <x v="177"/>
    <d v="2007-09-01T00:00:00"/>
    <x v="12"/>
    <n v="10"/>
    <m/>
    <n v="2007"/>
    <n v="20"/>
    <s v="LAC"/>
    <s v="Honduras"/>
    <s v="Hydrometerological"/>
    <s v="Storm"/>
    <s v="Tropical Cyclone"/>
    <s v="Hurricane"/>
    <m/>
    <x v="0"/>
    <m/>
    <m/>
    <m/>
    <m/>
    <s v=""/>
    <m/>
    <m/>
    <m/>
    <m/>
    <m/>
    <m/>
    <m/>
    <x v="2"/>
    <n v="47500"/>
    <m/>
    <m/>
    <m/>
    <n v="47500"/>
    <m/>
    <m/>
    <m/>
    <m/>
    <m/>
    <m/>
    <m/>
    <m/>
    <m/>
    <m/>
    <m/>
    <m/>
    <m/>
    <m/>
    <m/>
    <m/>
    <m/>
    <m/>
    <m/>
    <m/>
    <n v="47500"/>
    <m/>
    <m/>
    <m/>
    <n v="47500"/>
    <x v="1"/>
    <m/>
    <m/>
    <m/>
    <m/>
    <n v="2696"/>
    <m/>
    <m/>
    <m/>
    <m/>
    <m/>
    <m/>
    <m/>
    <s v="N"/>
    <m/>
    <m/>
    <m/>
    <s v="Felix"/>
    <s v="CASH: PMN to Fed - unearmarked"/>
  </r>
  <r>
    <s v="EQ-2007-000157-IDN"/>
    <n v="180"/>
    <x v="178"/>
    <d v="2007-09-01T00:00:00"/>
    <x v="12"/>
    <n v="11"/>
    <m/>
    <n v="2007"/>
    <n v="21"/>
    <s v="Europe/Asia"/>
    <s v="Indonesia"/>
    <s v="Geophysical"/>
    <s v="Earthquake"/>
    <s v="Earthquake"/>
    <s v="Earthquake"/>
    <m/>
    <x v="0"/>
    <m/>
    <m/>
    <m/>
    <m/>
    <s v=""/>
    <m/>
    <m/>
    <m/>
    <m/>
    <m/>
    <m/>
    <m/>
    <x v="0"/>
    <m/>
    <m/>
    <n v="3000"/>
    <m/>
    <n v="3000"/>
    <m/>
    <m/>
    <m/>
    <m/>
    <m/>
    <m/>
    <m/>
    <m/>
    <m/>
    <m/>
    <m/>
    <m/>
    <m/>
    <m/>
    <m/>
    <m/>
    <m/>
    <m/>
    <m/>
    <m/>
    <n v="3000"/>
    <m/>
    <m/>
    <m/>
    <n v="3000"/>
    <x v="2"/>
    <m/>
    <m/>
    <m/>
    <m/>
    <n v="2799"/>
    <m/>
    <m/>
    <m/>
    <m/>
    <m/>
    <m/>
    <m/>
    <s v="Y"/>
    <m/>
    <m/>
    <m/>
    <s v="Bengkulu"/>
    <s v="Per diem for PMI response team"/>
  </r>
  <r>
    <s v="FL-2007-000138-UGA"/>
    <n v="181"/>
    <x v="179"/>
    <d v="2007-09-01T00:00:00"/>
    <x v="12"/>
    <n v="12"/>
    <m/>
    <n v="2007"/>
    <n v="22"/>
    <s v="Africa"/>
    <s v="Uganda"/>
    <s v="Hydrometerological"/>
    <s v="Floods"/>
    <s v="General Floods"/>
    <s v="General Floods"/>
    <n v="450000"/>
    <x v="1"/>
    <s v="IFRC"/>
    <n v="9511366"/>
    <m/>
    <s v="MDRUG006"/>
    <n v="0"/>
    <n v="0.64"/>
    <m/>
    <m/>
    <m/>
    <n v="125000"/>
    <m/>
    <m/>
    <x v="0"/>
    <m/>
    <m/>
    <m/>
    <m/>
    <n v="0"/>
    <n v="3"/>
    <s v="IT/Telecoms"/>
    <m/>
    <m/>
    <m/>
    <m/>
    <m/>
    <m/>
    <m/>
    <m/>
    <m/>
    <m/>
    <m/>
    <m/>
    <m/>
    <m/>
    <m/>
    <m/>
    <m/>
    <n v="17400"/>
    <n v="17400"/>
    <m/>
    <m/>
    <m/>
    <n v="17400"/>
    <x v="2"/>
    <m/>
    <m/>
    <m/>
    <m/>
    <n v="2799"/>
    <m/>
    <m/>
    <m/>
    <m/>
    <m/>
    <m/>
    <m/>
    <s v="Y"/>
    <m/>
    <m/>
    <m/>
    <m/>
    <s v="C Chaperon (relief) and B Nandiga (wat/san) deployed on FACT.  M Million deployed on joint Danish-American IT/Telecom ERU."/>
  </r>
  <r>
    <s v="FL-2007-000158-TGO; FL-2007-000132-BFA;FL-2007-000153-GHA"/>
    <n v="182"/>
    <x v="180"/>
    <d v="2007-09-01T00:00:00"/>
    <x v="12"/>
    <n v="13"/>
    <m/>
    <n v="2007"/>
    <n v="23"/>
    <s v="Africa"/>
    <s v="Togo"/>
    <s v="Hydrometerological"/>
    <s v="Floods"/>
    <s v="General Floods"/>
    <s v="General Floods"/>
    <n v="185000"/>
    <x v="1"/>
    <s v="IFRC"/>
    <n v="3200000"/>
    <m/>
    <s v="MDR61002"/>
    <n v="6.2406249999999996E-3"/>
    <n v="0.95"/>
    <m/>
    <m/>
    <m/>
    <n v="94825"/>
    <m/>
    <m/>
    <x v="2"/>
    <n v="19970"/>
    <m/>
    <m/>
    <m/>
    <n v="19970"/>
    <m/>
    <m/>
    <m/>
    <m/>
    <m/>
    <m/>
    <m/>
    <m/>
    <m/>
    <m/>
    <m/>
    <m/>
    <m/>
    <m/>
    <m/>
    <m/>
    <m/>
    <m/>
    <m/>
    <m/>
    <n v="19970"/>
    <m/>
    <m/>
    <m/>
    <n v="19970"/>
    <x v="2"/>
    <m/>
    <m/>
    <m/>
    <m/>
    <n v="2799"/>
    <m/>
    <m/>
    <m/>
    <m/>
    <m/>
    <m/>
    <m/>
    <s v="Y"/>
    <m/>
    <m/>
    <m/>
    <m/>
    <s v="PMN (CHF 10,300) to cover delegate costs for Youssouff Langui on FACT to Togo.  PMN (CHF 13,102) to cover costs for 3 RDRTs for one month."/>
  </r>
  <r>
    <s v="TC-000198-DOM/HTI;"/>
    <n v="183"/>
    <x v="181"/>
    <d v="2007-10-01T00:00:00"/>
    <x v="12"/>
    <n v="14"/>
    <m/>
    <n v="2007"/>
    <n v="24"/>
    <s v="LAC"/>
    <s v="Dominican Republic"/>
    <s v="Hydrometerological"/>
    <s v="Storm"/>
    <s v="Tropical Cyclone"/>
    <s v="Tropical Storm"/>
    <n v="200000"/>
    <x v="1"/>
    <s v="IFRC"/>
    <n v="1544000"/>
    <m/>
    <s v="MDR49002"/>
    <n v="2.266839378238342E-2"/>
    <m/>
    <m/>
    <m/>
    <m/>
    <n v="52995"/>
    <m/>
    <m/>
    <x v="2"/>
    <n v="35000"/>
    <m/>
    <m/>
    <m/>
    <n v="35000"/>
    <m/>
    <m/>
    <m/>
    <n v="4000"/>
    <m/>
    <n v="1000"/>
    <m/>
    <m/>
    <m/>
    <m/>
    <n v="1000"/>
    <m/>
    <m/>
    <m/>
    <n v="2000"/>
    <m/>
    <m/>
    <m/>
    <n v="69055"/>
    <m/>
    <n v="104055"/>
    <m/>
    <m/>
    <m/>
    <n v="104055"/>
    <x v="1"/>
    <m/>
    <m/>
    <m/>
    <m/>
    <n v="2694"/>
    <m/>
    <m/>
    <m/>
    <m/>
    <m/>
    <m/>
    <m/>
    <s v="N"/>
    <m/>
    <m/>
    <m/>
    <s v="Noel"/>
    <s v="PSR"/>
  </r>
  <r>
    <s v="TC-000198-DOM/HTI;"/>
    <n v="183"/>
    <x v="181"/>
    <d v="2007-11-01T00:00:00"/>
    <x v="12"/>
    <n v="14"/>
    <m/>
    <n v="2007"/>
    <n v="24"/>
    <s v="LAC"/>
    <s v="Haiti"/>
    <s v="Hydrometerological"/>
    <s v="Storm"/>
    <s v="Tropical Cyclone"/>
    <s v="Tropical Storm"/>
    <m/>
    <x v="0"/>
    <m/>
    <m/>
    <m/>
    <s v="MDR49002"/>
    <s v=""/>
    <m/>
    <m/>
    <m/>
    <m/>
    <m/>
    <m/>
    <m/>
    <x v="1"/>
    <n v="50000"/>
    <m/>
    <m/>
    <m/>
    <n v="50000"/>
    <m/>
    <m/>
    <m/>
    <n v="2000"/>
    <m/>
    <m/>
    <n v="2000"/>
    <m/>
    <m/>
    <m/>
    <m/>
    <m/>
    <m/>
    <m/>
    <m/>
    <m/>
    <m/>
    <m/>
    <n v="8073"/>
    <m/>
    <n v="58073"/>
    <m/>
    <m/>
    <m/>
    <n v="58073"/>
    <x v="1"/>
    <m/>
    <m/>
    <m/>
    <m/>
    <n v="2024"/>
    <m/>
    <m/>
    <m/>
    <m/>
    <m/>
    <m/>
    <m/>
    <s v="N"/>
    <m/>
    <m/>
    <m/>
    <s v="Noel"/>
    <s v="PSR"/>
  </r>
  <r>
    <s v="TC-000198-DOM/HTI;"/>
    <n v="183"/>
    <x v="181"/>
    <d v="2007-11-01T00:00:00"/>
    <x v="12"/>
    <n v="14"/>
    <m/>
    <n v="2007"/>
    <n v="24"/>
    <s v="LAC"/>
    <s v="Bahamas"/>
    <s v="Hydrometerological"/>
    <s v="Storm"/>
    <s v="Tropical Cyclone"/>
    <s v="Tropical Storm"/>
    <m/>
    <x v="0"/>
    <m/>
    <m/>
    <m/>
    <s v="MDR49002"/>
    <s v=""/>
    <m/>
    <m/>
    <m/>
    <m/>
    <m/>
    <m/>
    <m/>
    <x v="2"/>
    <n v="30000"/>
    <m/>
    <m/>
    <m/>
    <n v="30000"/>
    <n v="2"/>
    <m/>
    <m/>
    <m/>
    <m/>
    <m/>
    <m/>
    <m/>
    <m/>
    <m/>
    <m/>
    <m/>
    <m/>
    <m/>
    <m/>
    <m/>
    <m/>
    <m/>
    <m/>
    <n v="7440"/>
    <n v="37440"/>
    <m/>
    <m/>
    <m/>
    <n v="37440"/>
    <x v="1"/>
    <m/>
    <m/>
    <m/>
    <m/>
    <n v="2024"/>
    <m/>
    <m/>
    <m/>
    <m/>
    <m/>
    <m/>
    <m/>
    <s v="N"/>
    <m/>
    <m/>
    <m/>
    <s v="Noel"/>
    <s v="PEOPLE: O Abou-Samra, J Ferguson (cash/livelihoods); CASH: PMN to Fed ($10k for cash distribution project, $20k operational costs)"/>
  </r>
  <r>
    <s v="FL-2007-000200-MEX"/>
    <n v="184"/>
    <x v="6"/>
    <d v="2007-11-01T00:00:00"/>
    <x v="12"/>
    <n v="15"/>
    <m/>
    <n v="2007"/>
    <n v="25"/>
    <s v="LAC"/>
    <s v="Mexico"/>
    <s v="Hydrometerological"/>
    <s v="Floods"/>
    <s v="General Floods"/>
    <s v="General Floods"/>
    <n v="1000000"/>
    <x v="1"/>
    <s v="IFRC"/>
    <n v="1800000"/>
    <m/>
    <s v="MDRMX002"/>
    <n v="0.28726499999999999"/>
    <n v="1"/>
    <m/>
    <m/>
    <m/>
    <n v="44380"/>
    <m/>
    <n v="10000"/>
    <x v="1"/>
    <n v="167077"/>
    <m/>
    <n v="350000"/>
    <m/>
    <n v="517077"/>
    <n v="1"/>
    <m/>
    <m/>
    <n v="15500"/>
    <m/>
    <n v="3500"/>
    <m/>
    <m/>
    <m/>
    <m/>
    <n v="2000"/>
    <m/>
    <n v="10000"/>
    <m/>
    <m/>
    <m/>
    <m/>
    <m/>
    <n v="143415"/>
    <n v="357"/>
    <n v="660849"/>
    <m/>
    <m/>
    <m/>
    <n v="1900000"/>
    <x v="1"/>
    <m/>
    <m/>
    <m/>
    <m/>
    <s v="2690/OFDA/2799 "/>
    <m/>
    <m/>
    <m/>
    <m/>
    <m/>
    <m/>
    <m/>
    <s v="N"/>
    <m/>
    <m/>
    <m/>
    <s v="Tabasco"/>
    <s v="CASH: Grants to MxRC ($50k from 2799 + $300k from 2690), PMN to Fed $167k (earmarked for 4,000 hygiene kits, 4,000 jerry cans, 4,000 buckets);  OFDA Grant; PEOPLE: W Romeril (info)"/>
  </r>
  <r>
    <s v="TC-2007-00178-VNM"/>
    <n v="185"/>
    <x v="182"/>
    <d v="2007-11-01T00:00:00"/>
    <x v="12"/>
    <n v="16"/>
    <m/>
    <n v="2007"/>
    <n v="26"/>
    <s v="Europe/Asia"/>
    <s v="Vietnam"/>
    <s v="Hydrometerological"/>
    <s v="Storm"/>
    <s v="Tropical Cyclone"/>
    <s v="Typhoon"/>
    <n v="600000"/>
    <x v="1"/>
    <s v="IFRC"/>
    <n v="2700000"/>
    <m/>
    <s v="MDRVN002"/>
    <n v="4.2592592592592592E-2"/>
    <n v="0.77"/>
    <m/>
    <m/>
    <m/>
    <n v="180000"/>
    <m/>
    <m/>
    <x v="1"/>
    <n v="115000"/>
    <m/>
    <m/>
    <m/>
    <n v="115000"/>
    <m/>
    <m/>
    <m/>
    <m/>
    <m/>
    <m/>
    <m/>
    <m/>
    <m/>
    <m/>
    <m/>
    <m/>
    <m/>
    <m/>
    <m/>
    <m/>
    <m/>
    <m/>
    <m/>
    <m/>
    <n v="115000"/>
    <m/>
    <m/>
    <m/>
    <n v="115000"/>
    <x v="1"/>
    <m/>
    <m/>
    <m/>
    <m/>
    <s v="2099/ 2869"/>
    <m/>
    <m/>
    <m/>
    <m/>
    <m/>
    <m/>
    <m/>
    <s v="N"/>
    <m/>
    <s v="ARCT"/>
    <m/>
    <s v="Lekima"/>
    <s v="CASH: PMN  from AP 2099 to Fed unearmarked; PMN from AP 2869 to Fed earmarked purchase/dist household kits;  $100,000 from ARCT for shelter to Federation"/>
  </r>
  <r>
    <s v="FF-2007-000080-BGD"/>
    <n v="186"/>
    <x v="183"/>
    <d v="2007-11-01T00:00:00"/>
    <x v="12"/>
    <n v="17"/>
    <m/>
    <n v="2007"/>
    <n v="27"/>
    <s v="Europe/Asia"/>
    <s v="Bangladesh"/>
    <s v="Hydrometerological"/>
    <s v="Storm"/>
    <s v="Tropical Cyclone"/>
    <s v="Cyclone"/>
    <n v="8500000"/>
    <x v="1"/>
    <s v="IFRC"/>
    <n v="22000000"/>
    <m/>
    <s v="MDRBD002"/>
    <n v="4.926618181818182E-2"/>
    <n v="0.66"/>
    <m/>
    <m/>
    <m/>
    <n v="1215000"/>
    <m/>
    <m/>
    <x v="1"/>
    <n v="1083856"/>
    <m/>
    <m/>
    <m/>
    <n v="1083856"/>
    <n v="3"/>
    <m/>
    <m/>
    <n v="39000"/>
    <m/>
    <n v="4000"/>
    <n v="25000"/>
    <m/>
    <m/>
    <m/>
    <m/>
    <m/>
    <m/>
    <m/>
    <n v="10000"/>
    <m/>
    <m/>
    <m/>
    <n v="260798"/>
    <n v="12000"/>
    <n v="1356654"/>
    <m/>
    <m/>
    <m/>
    <n v="1356654"/>
    <x v="1"/>
    <m/>
    <m/>
    <m/>
    <m/>
    <s v="2017/OFDA"/>
    <m/>
    <m/>
    <m/>
    <m/>
    <m/>
    <m/>
    <m/>
    <s v="N"/>
    <m/>
    <m/>
    <m/>
    <s v="Sidr"/>
    <s v="CASH:  1st PMN ($100k unearmarked from AP 2099), 2nd PMN ($100k earmarked to tsunami affected areas from AP 2546), 3rd PMN ($300k earmarked for shelter and wat/san from OFDA), 4th PMN ($583k earmarked for shelter and wat/san from OFDA); SUPPLIES: + PSR; PEOPLE: Nek Alam (wat/san); S Wiseman (wat/san), L Malany (shelter)"/>
  </r>
  <r>
    <s v="FL-2007-000209-PNG"/>
    <n v="187"/>
    <x v="184"/>
    <d v="2007-11-01T00:00:00"/>
    <x v="12"/>
    <n v="18"/>
    <m/>
    <n v="2007"/>
    <n v="28"/>
    <s v="Europe/Asia"/>
    <s v="Papua New Guinea"/>
    <s v="Hydrometerological"/>
    <s v="Storm"/>
    <s v="Tropical Cyclone"/>
    <s v="Cyclone"/>
    <n v="162000"/>
    <x v="1"/>
    <s v="IFRC"/>
    <n v="672000"/>
    <m/>
    <s v="MDRPG002"/>
    <n v="3.5342261904761904E-2"/>
    <n v="0.76"/>
    <m/>
    <m/>
    <m/>
    <n v="13000"/>
    <m/>
    <m/>
    <x v="2"/>
    <n v="23750"/>
    <m/>
    <m/>
    <m/>
    <n v="23750"/>
    <m/>
    <m/>
    <m/>
    <m/>
    <m/>
    <m/>
    <m/>
    <m/>
    <m/>
    <m/>
    <m/>
    <m/>
    <m/>
    <m/>
    <m/>
    <m/>
    <m/>
    <m/>
    <m/>
    <m/>
    <n v="23750"/>
    <m/>
    <m/>
    <m/>
    <n v="23750"/>
    <x v="1"/>
    <m/>
    <m/>
    <m/>
    <m/>
    <n v="2881"/>
    <m/>
    <m/>
    <m/>
    <m/>
    <m/>
    <m/>
    <m/>
    <s v="N"/>
    <m/>
    <m/>
    <m/>
    <s v="Guba"/>
    <s v="CASH: PMN to Fed unearmarked"/>
  </r>
  <r>
    <m/>
    <n v="188"/>
    <x v="185"/>
    <d v="2008-01-01T00:00:00"/>
    <x v="12"/>
    <n v="19"/>
    <m/>
    <n v="2008"/>
    <n v="1"/>
    <s v="Africa"/>
    <s v="Kenya"/>
    <s v="Human Related"/>
    <s v="Civil Unrest"/>
    <s v="Civil Unrest"/>
    <s v="Civil Unrest"/>
    <n v="500000"/>
    <x v="1"/>
    <s v="ICRC"/>
    <n v="14200000"/>
    <m/>
    <m/>
    <n v="2.1126760563380281E-2"/>
    <m/>
    <m/>
    <m/>
    <m/>
    <n v="500000"/>
    <m/>
    <m/>
    <x v="1"/>
    <m/>
    <n v="250000"/>
    <n v="50000"/>
    <m/>
    <n v="300000"/>
    <m/>
    <m/>
    <m/>
    <m/>
    <m/>
    <m/>
    <m/>
    <m/>
    <m/>
    <m/>
    <m/>
    <m/>
    <m/>
    <m/>
    <m/>
    <m/>
    <m/>
    <m/>
    <m/>
    <m/>
    <n v="300000"/>
    <m/>
    <m/>
    <m/>
    <n v="300000"/>
    <x v="1"/>
    <m/>
    <m/>
    <m/>
    <m/>
    <s v="2002 / 2099"/>
    <m/>
    <m/>
    <m/>
    <m/>
    <m/>
    <m/>
    <m/>
    <s v="N"/>
    <m/>
    <m/>
    <m/>
    <s v="Elections"/>
    <s v="CASH: 50k to KRCS  from 2799 and 50k to ICRC from 2002; CASH from 2099: 200k to ICRC"/>
  </r>
  <r>
    <s v="CW-2008-000013-CHN"/>
    <n v="189"/>
    <x v="186"/>
    <d v="2008-02-01T00:00:00"/>
    <x v="12"/>
    <n v="20"/>
    <m/>
    <n v="2008"/>
    <n v="2"/>
    <s v="Europe/Asia"/>
    <s v="China"/>
    <s v="Hydrometerological"/>
    <s v="Storm"/>
    <s v="Winter Storm"/>
    <s v="Snowstorm"/>
    <n v="7800000"/>
    <x v="0"/>
    <m/>
    <s v="n/a"/>
    <m/>
    <m/>
    <s v=""/>
    <m/>
    <m/>
    <m/>
    <m/>
    <s v="n/a"/>
    <m/>
    <s v="n/a"/>
    <x v="0"/>
    <m/>
    <m/>
    <n v="867000"/>
    <m/>
    <n v="867000"/>
    <m/>
    <m/>
    <m/>
    <m/>
    <m/>
    <m/>
    <m/>
    <m/>
    <m/>
    <m/>
    <m/>
    <m/>
    <m/>
    <m/>
    <m/>
    <m/>
    <m/>
    <m/>
    <m/>
    <m/>
    <n v="867000"/>
    <m/>
    <m/>
    <m/>
    <n v="867000"/>
    <x v="1"/>
    <m/>
    <m/>
    <m/>
    <m/>
    <n v="2060"/>
    <m/>
    <m/>
    <m/>
    <m/>
    <m/>
    <m/>
    <m/>
    <s v="N"/>
    <m/>
    <m/>
    <s v="y"/>
    <m/>
    <s v="CASH: Bilateral to RCSC"/>
  </r>
  <r>
    <m/>
    <n v="190"/>
    <x v="187"/>
    <d v="2008-02-01T00:00:00"/>
    <x v="12"/>
    <n v="21"/>
    <m/>
    <n v="2008"/>
    <n v="3"/>
    <s v="Africa"/>
    <s v="Guyana"/>
    <s v="Human Related"/>
    <s v="Civil Unrest"/>
    <s v="Civil Unrest"/>
    <s v="Civil Unrest"/>
    <m/>
    <x v="0"/>
    <m/>
    <s v="n/a"/>
    <m/>
    <m/>
    <s v=""/>
    <m/>
    <m/>
    <m/>
    <m/>
    <n v="0"/>
    <m/>
    <n v="0"/>
    <x v="0"/>
    <m/>
    <m/>
    <n v="2400"/>
    <m/>
    <n v="2400"/>
    <n v="2"/>
    <m/>
    <m/>
    <m/>
    <m/>
    <m/>
    <m/>
    <m/>
    <m/>
    <m/>
    <m/>
    <m/>
    <m/>
    <m/>
    <m/>
    <m/>
    <m/>
    <m/>
    <m/>
    <n v="10000"/>
    <n v="12400"/>
    <m/>
    <m/>
    <m/>
    <n v="12400"/>
    <x v="2"/>
    <m/>
    <m/>
    <m/>
    <m/>
    <n v="2799"/>
    <m/>
    <m/>
    <m/>
    <m/>
    <m/>
    <m/>
    <m/>
    <s v="Y"/>
    <m/>
    <m/>
    <m/>
    <s v="Violence"/>
    <s v="PEOPLE: G. Dodge, V. Vibhakar to Guyana for PSP ($10k) CASH: cash to NS $2,400 - total both $12,400"/>
  </r>
  <r>
    <m/>
    <n v="191"/>
    <x v="125"/>
    <d v="2008-02-01T00:00:00"/>
    <x v="12"/>
    <n v="22"/>
    <m/>
    <n v="2008"/>
    <n v="4"/>
    <s v="Africa"/>
    <s v="Sudan"/>
    <s v="Human Related"/>
    <s v="Conflict"/>
    <s v="Conflict"/>
    <s v="Conflict"/>
    <n v="2000000"/>
    <x v="1"/>
    <s v="ICRC"/>
    <n v="94000000"/>
    <m/>
    <m/>
    <n v="7.5957446808510637E-3"/>
    <m/>
    <m/>
    <m/>
    <m/>
    <n v="600000"/>
    <m/>
    <m/>
    <x v="1"/>
    <m/>
    <n v="714000"/>
    <m/>
    <m/>
    <n v="714000"/>
    <m/>
    <m/>
    <m/>
    <m/>
    <m/>
    <m/>
    <m/>
    <m/>
    <m/>
    <m/>
    <m/>
    <m/>
    <m/>
    <m/>
    <m/>
    <m/>
    <m/>
    <m/>
    <m/>
    <m/>
    <n v="714000"/>
    <m/>
    <m/>
    <m/>
    <n v="714000"/>
    <x v="1"/>
    <m/>
    <m/>
    <m/>
    <m/>
    <n v="2661"/>
    <m/>
    <m/>
    <m/>
    <m/>
    <m/>
    <m/>
    <m/>
    <s v="N"/>
    <m/>
    <m/>
    <m/>
    <m/>
    <s v="CASH: 714k to ICRC from Coca Cola"/>
  </r>
  <r>
    <s v="FL-2008-000018-ECU"/>
    <n v="192"/>
    <x v="188"/>
    <d v="2008-02-01T00:00:00"/>
    <x v="12"/>
    <n v="23"/>
    <m/>
    <n v="2008"/>
    <n v="5"/>
    <s v="LAC"/>
    <s v="Ecuador"/>
    <s v="Hydrometerological"/>
    <s v="Floods"/>
    <s v="General Floods"/>
    <s v="General Floods"/>
    <n v="315000"/>
    <x v="0"/>
    <s v="?"/>
    <n v="700000"/>
    <m/>
    <m/>
    <n v="0.35"/>
    <m/>
    <m/>
    <m/>
    <m/>
    <n v="15220"/>
    <m/>
    <n v="6445"/>
    <x v="0"/>
    <m/>
    <m/>
    <n v="245000"/>
    <m/>
    <n v="245000"/>
    <m/>
    <m/>
    <m/>
    <m/>
    <m/>
    <m/>
    <m/>
    <m/>
    <m/>
    <m/>
    <m/>
    <m/>
    <m/>
    <m/>
    <m/>
    <m/>
    <m/>
    <m/>
    <m/>
    <m/>
    <n v="245000"/>
    <m/>
    <m/>
    <m/>
    <n v="245000"/>
    <x v="1"/>
    <m/>
    <m/>
    <m/>
    <m/>
    <s v="2597 / 2099"/>
    <m/>
    <m/>
    <m/>
    <m/>
    <m/>
    <m/>
    <m/>
    <s v="N"/>
    <m/>
    <m/>
    <m/>
    <s v="Pacific Coast"/>
    <s v="CASH from 2597: OFDA grant for procurement of NFIs - nets, clean-up kits, kitchen sets;  CASH from 2099: To ERC for purchase of food parcels "/>
  </r>
  <r>
    <m/>
    <n v="193"/>
    <x v="105"/>
    <d v="2008-03-08T00:00:00"/>
    <x v="12"/>
    <n v="24"/>
    <m/>
    <n v="2008"/>
    <n v="6"/>
    <s v="Europe/Asia"/>
    <s v="Iraq"/>
    <s v="Human Related"/>
    <s v="Conflict"/>
    <s v="Conflict"/>
    <s v="Conflict"/>
    <n v="4000000"/>
    <x v="1"/>
    <s v="IFRC"/>
    <n v="18900000"/>
    <m/>
    <m/>
    <n v="1.4232804232804232E-2"/>
    <m/>
    <m/>
    <m/>
    <m/>
    <n v="900000"/>
    <m/>
    <m/>
    <x v="1"/>
    <n v="269000"/>
    <m/>
    <m/>
    <m/>
    <n v="269000"/>
    <m/>
    <m/>
    <m/>
    <m/>
    <m/>
    <m/>
    <m/>
    <m/>
    <m/>
    <m/>
    <m/>
    <m/>
    <m/>
    <m/>
    <m/>
    <m/>
    <m/>
    <m/>
    <m/>
    <m/>
    <n v="269000"/>
    <m/>
    <m/>
    <m/>
    <n v="269000"/>
    <x v="1"/>
    <m/>
    <m/>
    <m/>
    <m/>
    <s v="2099/2689"/>
    <m/>
    <m/>
    <m/>
    <m/>
    <m/>
    <m/>
    <m/>
    <s v="N"/>
    <m/>
    <m/>
    <m/>
    <s v="Country-wide"/>
    <s v="CASH from 2099: $250k Earmarked for OD and M&amp;E; CASH from 2689: $19k Earmarked for OD and M&amp;E;"/>
  </r>
  <r>
    <s v="TC-2008-000023-MDG"/>
    <n v="194"/>
    <x v="189"/>
    <d v="2008-03-08T00:00:00"/>
    <x v="12"/>
    <n v="25"/>
    <m/>
    <n v="2008"/>
    <n v="7"/>
    <s v="Africa"/>
    <s v="Madagascar"/>
    <s v="Hydrometerological"/>
    <s v="Storm"/>
    <s v="Tropical Cyclone"/>
    <s v="Cyclone"/>
    <n v="322000"/>
    <x v="1"/>
    <s v="IFRC"/>
    <n v="1000000"/>
    <m/>
    <s v="MDRMG003"/>
    <n v="0"/>
    <m/>
    <m/>
    <m/>
    <m/>
    <n v="50000"/>
    <m/>
    <m/>
    <x v="0"/>
    <m/>
    <m/>
    <m/>
    <m/>
    <n v="0"/>
    <m/>
    <m/>
    <m/>
    <n v="10000"/>
    <m/>
    <m/>
    <m/>
    <m/>
    <m/>
    <m/>
    <m/>
    <m/>
    <n v="10000"/>
    <m/>
    <m/>
    <m/>
    <m/>
    <m/>
    <n v="50000"/>
    <m/>
    <n v="50000"/>
    <m/>
    <m/>
    <m/>
    <n v="50000"/>
    <x v="2"/>
    <m/>
    <m/>
    <m/>
    <m/>
    <n v="2799"/>
    <m/>
    <m/>
    <m/>
    <m/>
    <m/>
    <m/>
    <m/>
    <s v="Y"/>
    <m/>
    <m/>
    <m/>
    <s v="Ivan"/>
    <m/>
  </r>
  <r>
    <s v="TC-2008-000033-MOZ"/>
    <n v="195"/>
    <x v="190"/>
    <d v="2008-03-08T00:00:00"/>
    <x v="12"/>
    <n v="26"/>
    <m/>
    <n v="2008"/>
    <n v="8"/>
    <s v="Africa"/>
    <s v="Mozambique"/>
    <s v="Hydrometerological"/>
    <s v="Floods"/>
    <s v="General Floods"/>
    <s v="General Floods"/>
    <n v="400000"/>
    <x v="1"/>
    <m/>
    <n v="8400000"/>
    <m/>
    <m/>
    <n v="3.5714285714285712E-2"/>
    <m/>
    <m/>
    <m/>
    <m/>
    <n v="97550"/>
    <m/>
    <n v="15000"/>
    <x v="1"/>
    <n v="300000"/>
    <m/>
    <m/>
    <m/>
    <n v="300000"/>
    <m/>
    <m/>
    <m/>
    <m/>
    <m/>
    <m/>
    <m/>
    <m/>
    <m/>
    <m/>
    <m/>
    <m/>
    <m/>
    <m/>
    <m/>
    <m/>
    <m/>
    <m/>
    <m/>
    <m/>
    <n v="300000"/>
    <m/>
    <m/>
    <m/>
    <n v="300000"/>
    <x v="1"/>
    <m/>
    <m/>
    <m/>
    <m/>
    <s v="2099/($200k)/2869 ($100k)"/>
    <m/>
    <m/>
    <m/>
    <m/>
    <m/>
    <m/>
    <m/>
    <s v="N"/>
    <m/>
    <s v="ARCT"/>
    <m/>
    <s v="Southern Africa"/>
    <s v="CASH: 285k earmarked shelter/relief activities, 15k earmarked for RDRT costs x3; 2099 = $200k/ 2869 = $100k. Note ARCT funds used - $100,000 to Federation for shelter, see ARCT 2008 report."/>
  </r>
  <r>
    <s v="TC-2008-000033-MOZ"/>
    <n v="196"/>
    <x v="190"/>
    <d v="2008-03-08T00:00:00"/>
    <x v="12"/>
    <n v="27"/>
    <m/>
    <n v="2008"/>
    <n v="9"/>
    <s v="Africa"/>
    <s v="Tanzania"/>
    <s v="Hydrometerological"/>
    <s v="Floods"/>
    <s v="General Floods"/>
    <s v="General Floods"/>
    <n v="2700"/>
    <x v="0"/>
    <m/>
    <s v="n/a"/>
    <m/>
    <m/>
    <s v=""/>
    <m/>
    <m/>
    <m/>
    <m/>
    <n v="2700"/>
    <m/>
    <m/>
    <x v="0"/>
    <m/>
    <m/>
    <n v="48500"/>
    <m/>
    <n v="48500"/>
    <m/>
    <m/>
    <m/>
    <m/>
    <m/>
    <m/>
    <m/>
    <m/>
    <m/>
    <m/>
    <m/>
    <m/>
    <m/>
    <m/>
    <m/>
    <m/>
    <m/>
    <m/>
    <m/>
    <m/>
    <n v="48500"/>
    <m/>
    <m/>
    <m/>
    <n v="48500"/>
    <x v="1"/>
    <m/>
    <m/>
    <m/>
    <m/>
    <n v="2002"/>
    <m/>
    <m/>
    <m/>
    <m/>
    <m/>
    <m/>
    <m/>
    <s v="N"/>
    <m/>
    <m/>
    <m/>
    <s v="Flood/Mine"/>
    <s v="CASH: Grant letter to TRCS, relief/shelter"/>
  </r>
  <r>
    <s v="TC-2008-000057-MMR"/>
    <n v="197"/>
    <x v="191"/>
    <d v="2008-05-08T00:00:00"/>
    <x v="12"/>
    <n v="28"/>
    <m/>
    <n v="2008"/>
    <n v="10"/>
    <s v="Europe/Asia"/>
    <s v="Myanmar"/>
    <s v="Hydrometerological"/>
    <s v="Storm"/>
    <s v="Tropical Cyclone"/>
    <s v="Cyclone"/>
    <n v="2400000"/>
    <x v="1"/>
    <s v="IFRC"/>
    <n v="72537164"/>
    <m/>
    <s v="MDRMM002"/>
    <n v="3.446509157705697E-3"/>
    <n v="0.9"/>
    <m/>
    <m/>
    <m/>
    <n v="500000"/>
    <m/>
    <m/>
    <x v="1"/>
    <n v="250000"/>
    <m/>
    <m/>
    <m/>
    <n v="250000"/>
    <n v="1"/>
    <m/>
    <n v="1"/>
    <n v="205000"/>
    <m/>
    <m/>
    <n v="25000"/>
    <m/>
    <m/>
    <m/>
    <n v="5000"/>
    <m/>
    <n v="20000"/>
    <m/>
    <n v="9995"/>
    <m/>
    <m/>
    <m/>
    <n v="900000"/>
    <m/>
    <n v="1150000"/>
    <m/>
    <m/>
    <m/>
    <n v="3400000"/>
    <x v="1"/>
    <m/>
    <m/>
    <m/>
    <m/>
    <s v="2594 / 2875"/>
    <m/>
    <m/>
    <m/>
    <m/>
    <m/>
    <m/>
    <m/>
    <s v="N"/>
    <m/>
    <m/>
    <s v="y"/>
    <s v="Nargis"/>
    <s v="SUPPLIES from 2594: OFDA  jerry cans, plus roughly 60k transport and associated costs; SUPPLIES from 2875: $1,150,000 plus transport"/>
  </r>
  <r>
    <s v="EQ-2008-000062-CHN"/>
    <n v="198"/>
    <x v="192"/>
    <d v="2008-05-08T00:00:00"/>
    <x v="12"/>
    <n v="29"/>
    <m/>
    <n v="2008"/>
    <n v="11"/>
    <s v="Europe/Asia"/>
    <s v="China"/>
    <s v="Geophysical"/>
    <s v="Earthquake"/>
    <s v="Earthquake"/>
    <s v="Earthquake"/>
    <n v="10000000"/>
    <x v="1"/>
    <s v="IFRC"/>
    <n v="92700000"/>
    <m/>
    <s v="MDRCN003"/>
    <n v="0.49625887565167204"/>
    <n v="0.65"/>
    <m/>
    <m/>
    <m/>
    <n v="500000"/>
    <m/>
    <m/>
    <x v="1"/>
    <n v="46003197.772909999"/>
    <m/>
    <m/>
    <m/>
    <n v="46003197.772909999"/>
    <n v="3"/>
    <m/>
    <m/>
    <m/>
    <m/>
    <m/>
    <m/>
    <m/>
    <m/>
    <m/>
    <m/>
    <m/>
    <m/>
    <m/>
    <m/>
    <m/>
    <m/>
    <m/>
    <m/>
    <m/>
    <n v="46003197.772909999"/>
    <m/>
    <m/>
    <m/>
    <n v="55000000"/>
    <x v="1"/>
    <m/>
    <m/>
    <m/>
    <m/>
    <n v="2060"/>
    <m/>
    <m/>
    <m/>
    <m/>
    <m/>
    <m/>
    <m/>
    <s v="N"/>
    <m/>
    <m/>
    <s v="y"/>
    <s v="Sichuan"/>
    <s v="CASH: Unearmarked PMN; PEOPLE: R. Rayyis 1 wk info gathering, T. Betz 3 wk relief/logs/monitoring del; S. Thornton 6 mo relief del"/>
  </r>
  <r>
    <s v="DR-2008-000043-ETH"/>
    <n v="199"/>
    <x v="193"/>
    <d v="2008-06-08T00:00:00"/>
    <x v="12"/>
    <n v="32"/>
    <m/>
    <n v="2008"/>
    <n v="14"/>
    <s v="Africa"/>
    <s v="Ethiopia"/>
    <s v="Human Related"/>
    <s v="Food Insecurity"/>
    <s v="Food Insecurity"/>
    <s v="Food Insecurity"/>
    <n v="4500000"/>
    <x v="1"/>
    <s v="IFRC"/>
    <n v="7920006"/>
    <m/>
    <s v="MDRET005"/>
    <n v="1.2626253060919398E-2"/>
    <m/>
    <m/>
    <m/>
    <m/>
    <n v="76075"/>
    <m/>
    <m/>
    <x v="1"/>
    <n v="100000"/>
    <m/>
    <m/>
    <m/>
    <n v="100000"/>
    <m/>
    <m/>
    <m/>
    <m/>
    <m/>
    <m/>
    <m/>
    <m/>
    <m/>
    <m/>
    <m/>
    <m/>
    <m/>
    <m/>
    <m/>
    <m/>
    <m/>
    <m/>
    <m/>
    <m/>
    <n v="100000"/>
    <m/>
    <m/>
    <m/>
    <n v="100000"/>
    <x v="1"/>
    <m/>
    <m/>
    <m/>
    <m/>
    <n v="2949"/>
    <m/>
    <m/>
    <m/>
    <m/>
    <m/>
    <m/>
    <m/>
    <s v="N"/>
    <m/>
    <m/>
    <m/>
    <m/>
    <s v="CASH: PMN earmarked for procurement, transport, distribution of food"/>
  </r>
  <r>
    <m/>
    <n v="200"/>
    <x v="194"/>
    <d v="2008-06-08T00:00:00"/>
    <x v="12"/>
    <n v="30"/>
    <m/>
    <n v="2008"/>
    <n v="12"/>
    <s v="Africa"/>
    <s v="South Africa"/>
    <s v="Human Related"/>
    <s v="Civil Unrest"/>
    <s v="Civil Unrest"/>
    <s v="Civil Unrest"/>
    <n v="50000"/>
    <x v="0"/>
    <m/>
    <s v="n/a"/>
    <m/>
    <m/>
    <s v=""/>
    <m/>
    <m/>
    <m/>
    <m/>
    <n v="30000"/>
    <m/>
    <n v="0"/>
    <x v="0"/>
    <m/>
    <m/>
    <m/>
    <m/>
    <n v="0"/>
    <n v="1"/>
    <m/>
    <m/>
    <m/>
    <m/>
    <m/>
    <m/>
    <m/>
    <m/>
    <m/>
    <m/>
    <m/>
    <m/>
    <m/>
    <m/>
    <m/>
    <m/>
    <m/>
    <m/>
    <n v="10000"/>
    <n v="10000"/>
    <m/>
    <m/>
    <m/>
    <n v="10000"/>
    <x v="2"/>
    <m/>
    <m/>
    <m/>
    <m/>
    <n v="2799"/>
    <m/>
    <m/>
    <m/>
    <m/>
    <m/>
    <m/>
    <m/>
    <s v="Y"/>
    <m/>
    <m/>
    <m/>
    <s v="Urban Violence"/>
    <s v="PEOPLE: C. Bell bilateral - dev systems/tracking"/>
  </r>
  <r>
    <s v="FL-2008-000069-CHL"/>
    <n v="201"/>
    <x v="195"/>
    <d v="2008-06-08T00:00:00"/>
    <x v="12"/>
    <n v="31"/>
    <m/>
    <n v="2008"/>
    <n v="13"/>
    <s v="LAC"/>
    <s v="Chile"/>
    <s v="Hydrometerological"/>
    <s v="Floods"/>
    <s v="General Floods"/>
    <s v="General Floods"/>
    <n v="50000"/>
    <x v="0"/>
    <m/>
    <s v="n/a"/>
    <m/>
    <m/>
    <s v=""/>
    <m/>
    <m/>
    <m/>
    <m/>
    <n v="4000"/>
    <m/>
    <n v="1250"/>
    <x v="2"/>
    <n v="2000"/>
    <m/>
    <m/>
    <m/>
    <n v="2000"/>
    <n v="1"/>
    <m/>
    <m/>
    <m/>
    <m/>
    <m/>
    <m/>
    <m/>
    <m/>
    <m/>
    <m/>
    <m/>
    <m/>
    <m/>
    <m/>
    <m/>
    <m/>
    <m/>
    <m/>
    <m/>
    <n v="2000"/>
    <m/>
    <m/>
    <m/>
    <n v="2000"/>
    <x v="2"/>
    <m/>
    <m/>
    <m/>
    <m/>
    <n v="2799"/>
    <m/>
    <m/>
    <m/>
    <m/>
    <m/>
    <m/>
    <m/>
    <s v="Y"/>
    <m/>
    <m/>
    <m/>
    <m/>
    <s v="PEOPLE: S. DiPretoro, w/RIT, cash voucher/market assessment"/>
  </r>
  <r>
    <s v="TC-2008-000093-PHL"/>
    <n v="202"/>
    <x v="196"/>
    <d v="2008-06-08T00:00:00"/>
    <x v="12"/>
    <n v="33"/>
    <m/>
    <n v="2008"/>
    <n v="15"/>
    <s v="Europe/Asia"/>
    <s v="Philippines"/>
    <s v="Hydrometerological"/>
    <s v="Storm"/>
    <s v="Tropical Cyclone"/>
    <s v="Typhoon"/>
    <n v="4800000"/>
    <x v="1"/>
    <s v="IFRC"/>
    <n v="8000000"/>
    <m/>
    <s v="MDRPH004"/>
    <n v="2.3125E-2"/>
    <n v="1"/>
    <m/>
    <m/>
    <m/>
    <n v="30000"/>
    <m/>
    <m/>
    <x v="1"/>
    <n v="185000"/>
    <m/>
    <m/>
    <m/>
    <n v="185000"/>
    <n v="1"/>
    <m/>
    <m/>
    <m/>
    <m/>
    <m/>
    <m/>
    <m/>
    <m/>
    <m/>
    <m/>
    <m/>
    <m/>
    <m/>
    <m/>
    <m/>
    <m/>
    <m/>
    <m/>
    <m/>
    <n v="185000"/>
    <m/>
    <m/>
    <m/>
    <n v="185000"/>
    <x v="1"/>
    <m/>
    <m/>
    <m/>
    <m/>
    <s v="2032/2799/2869"/>
    <m/>
    <m/>
    <m/>
    <m/>
    <m/>
    <m/>
    <m/>
    <s v="N"/>
    <m/>
    <s v="ARCT"/>
    <m/>
    <s v="Fengshen"/>
    <s v="CASH: 1st PMN (135K)earmarked for typhoon-resistant shelter construction, and DP programs, 2nd (50k) earmarked for shelters after IFRC reported severe underfunding; 1st PMN: AP 2869 - $80,938.17, AP 2799 - $45,211.83. AP 2032 - $8,850.00 / 2nd PMN: AP 2799 - $50,000 PEOPLE: G. Bicego, wat/san assessment team, Fed will pay all expenses. Note: ARCT Funds $100,000 used for shelter to Federation as noted in ARCT report for 2008."/>
  </r>
  <r>
    <m/>
    <n v="203"/>
    <x v="197"/>
    <d v="2008-07-08T00:00:00"/>
    <x v="13"/>
    <n v="1"/>
    <m/>
    <n v="2008"/>
    <n v="16"/>
    <s v="Europe/Asia"/>
    <s v="Yemen"/>
    <s v="Human Related"/>
    <s v="Conflict"/>
    <s v="Conflict"/>
    <s v="Conflict"/>
    <n v="77000"/>
    <x v="1"/>
    <s v="ICRC"/>
    <n v="13707000"/>
    <m/>
    <m/>
    <n v="3.6477712117895965E-3"/>
    <m/>
    <m/>
    <m/>
    <m/>
    <n v="80500"/>
    <m/>
    <m/>
    <x v="1"/>
    <m/>
    <n v="50000"/>
    <m/>
    <m/>
    <n v="50000"/>
    <m/>
    <m/>
    <m/>
    <s v="-"/>
    <m/>
    <m/>
    <m/>
    <m/>
    <m/>
    <m/>
    <m/>
    <m/>
    <m/>
    <m/>
    <m/>
    <m/>
    <m/>
    <m/>
    <m/>
    <m/>
    <n v="50000"/>
    <m/>
    <m/>
    <m/>
    <n v="50000"/>
    <x v="2"/>
    <m/>
    <m/>
    <m/>
    <m/>
    <n v="2799"/>
    <m/>
    <m/>
    <m/>
    <m/>
    <m/>
    <m/>
    <m/>
    <s v="Y"/>
    <m/>
    <m/>
    <m/>
    <s v="Believing Youth"/>
    <s v="CASH: $50,000 Pledge Letter to ICRC"/>
  </r>
  <r>
    <s v="FL-2008-000095-SUR"/>
    <n v="204"/>
    <x v="198"/>
    <d v="2008-07-01T00:00:00"/>
    <x v="13"/>
    <n v="2"/>
    <m/>
    <n v="2008"/>
    <n v="17"/>
    <s v="LAC"/>
    <s v="Suriname"/>
    <s v="Hydrometerological"/>
    <s v="Floods"/>
    <s v="General Floods"/>
    <s v="General Floods"/>
    <n v="49090"/>
    <x v="1"/>
    <s v="IFRC"/>
    <n v="861000"/>
    <m/>
    <s v="MDRSR002"/>
    <n v="0"/>
    <m/>
    <m/>
    <m/>
    <m/>
    <n v="3000"/>
    <m/>
    <m/>
    <x v="0"/>
    <m/>
    <m/>
    <m/>
    <m/>
    <s v="-"/>
    <n v="2"/>
    <s v="IT/Telecoms"/>
    <n v="2"/>
    <s v="-"/>
    <m/>
    <m/>
    <m/>
    <m/>
    <m/>
    <m/>
    <m/>
    <m/>
    <m/>
    <m/>
    <m/>
    <m/>
    <m/>
    <m/>
    <s v="-"/>
    <s v="-"/>
    <m/>
    <m/>
    <m/>
    <m/>
    <m/>
    <x v="2"/>
    <m/>
    <m/>
    <m/>
    <m/>
    <n v="2799"/>
    <m/>
    <m/>
    <m/>
    <m/>
    <m/>
    <m/>
    <m/>
    <s v="Y"/>
    <m/>
    <m/>
    <m/>
    <m/>
    <s v="PEOPLE: M. Million, R. Palmer IT capacity bldg"/>
  </r>
  <r>
    <s v="FL-2008-000122-UKR/MDA"/>
    <n v="205"/>
    <x v="199"/>
    <d v="2008-08-01T00:00:00"/>
    <x v="13"/>
    <n v="3"/>
    <m/>
    <n v="2008"/>
    <n v="18"/>
    <s v="Europe/Asia"/>
    <s v="Ukraine"/>
    <s v="Hydrometerological"/>
    <s v="Floods"/>
    <s v="General Floods"/>
    <s v="General Floods"/>
    <n v="30000"/>
    <x v="1"/>
    <s v="IFRC"/>
    <n v="1193000"/>
    <m/>
    <s v="MDR67003"/>
    <n v="3.7091366303436714E-2"/>
    <n v="0.54"/>
    <m/>
    <m/>
    <m/>
    <n v="60000"/>
    <m/>
    <m/>
    <x v="1"/>
    <n v="44250"/>
    <m/>
    <m/>
    <m/>
    <n v="44250"/>
    <m/>
    <m/>
    <m/>
    <s v="-"/>
    <m/>
    <m/>
    <m/>
    <m/>
    <m/>
    <m/>
    <m/>
    <m/>
    <m/>
    <m/>
    <m/>
    <m/>
    <m/>
    <m/>
    <m/>
    <m/>
    <n v="44250"/>
    <m/>
    <m/>
    <m/>
    <n v="44250"/>
    <x v="1"/>
    <m/>
    <m/>
    <m/>
    <m/>
    <n v="2048"/>
    <m/>
    <m/>
    <m/>
    <m/>
    <m/>
    <m/>
    <m/>
    <s v="N"/>
    <m/>
    <m/>
    <m/>
    <m/>
    <s v="CASH: $44,280 PMN unearmarked, Boeing donation"/>
  </r>
  <r>
    <m/>
    <n v="206"/>
    <x v="200"/>
    <d v="2008-08-01T00:00:00"/>
    <x v="13"/>
    <n v="4"/>
    <m/>
    <n v="2008"/>
    <n v="19"/>
    <s v="Europe/Asia"/>
    <s v="Georgia"/>
    <s v="Human Related"/>
    <s v="Conflict"/>
    <s v="Conflict"/>
    <s v="Conflict"/>
    <n v="72000"/>
    <x v="1"/>
    <s v="ICRC"/>
    <n v="7395000"/>
    <m/>
    <s v="REX08/555"/>
    <n v="1.3522650439486139E-2"/>
    <m/>
    <m/>
    <m/>
    <m/>
    <n v="50000"/>
    <m/>
    <m/>
    <x v="1"/>
    <m/>
    <n v="100000"/>
    <m/>
    <m/>
    <n v="100000"/>
    <m/>
    <m/>
    <m/>
    <s v="-"/>
    <m/>
    <m/>
    <m/>
    <m/>
    <m/>
    <m/>
    <m/>
    <m/>
    <m/>
    <m/>
    <m/>
    <m/>
    <m/>
    <m/>
    <m/>
    <m/>
    <n v="100000"/>
    <m/>
    <m/>
    <m/>
    <n v="100000"/>
    <x v="2"/>
    <m/>
    <m/>
    <m/>
    <m/>
    <n v="2799"/>
    <m/>
    <m/>
    <m/>
    <m/>
    <m/>
    <m/>
    <m/>
    <s v="Y"/>
    <m/>
    <m/>
    <m/>
    <s v="S. Ossetia"/>
    <s v="CASH: $100,000 Pledge Letter to ICRC"/>
  </r>
  <r>
    <s v="FL-2008-000104-NPL"/>
    <n v="207"/>
    <x v="174"/>
    <d v="2008-09-08T00:00:00"/>
    <x v="13"/>
    <n v="5"/>
    <m/>
    <n v="2008"/>
    <n v="20"/>
    <s v="Europe/Asia"/>
    <s v="Nepal"/>
    <s v="Hydrometerological"/>
    <s v="Floods"/>
    <s v="General Floods"/>
    <s v="General Floods"/>
    <n v="70000"/>
    <x v="1"/>
    <s v="IFRC"/>
    <n v="2647699"/>
    <m/>
    <s v="MDRNP002"/>
    <n v="1.8884321820569483E-2"/>
    <n v="0.72"/>
    <m/>
    <m/>
    <m/>
    <n v="150000"/>
    <m/>
    <m/>
    <x v="1"/>
    <n v="50000"/>
    <m/>
    <m/>
    <m/>
    <n v="50000"/>
    <m/>
    <m/>
    <m/>
    <s v="-"/>
    <m/>
    <m/>
    <m/>
    <m/>
    <m/>
    <m/>
    <m/>
    <m/>
    <m/>
    <m/>
    <m/>
    <m/>
    <m/>
    <m/>
    <m/>
    <m/>
    <n v="50000"/>
    <m/>
    <m/>
    <m/>
    <n v="50000"/>
    <x v="2"/>
    <m/>
    <m/>
    <m/>
    <m/>
    <n v="2799"/>
    <m/>
    <m/>
    <m/>
    <m/>
    <m/>
    <m/>
    <m/>
    <s v="Y"/>
    <m/>
    <m/>
    <m/>
    <s v="Koshi River Embankment Breach"/>
    <s v="CASH: PMN $50,000 unearmarked to Fed"/>
  </r>
  <r>
    <s v="TC-2008-000147-HTI"/>
    <n v="208"/>
    <x v="201"/>
    <d v="2008-09-08T00:00:00"/>
    <x v="13"/>
    <n v="6"/>
    <m/>
    <n v="2008"/>
    <n v="21"/>
    <s v="LAC"/>
    <s v="Haiti"/>
    <s v="Hydrometerological"/>
    <s v="Storm"/>
    <s v="Tropical Cyclone"/>
    <s v="Hurricane"/>
    <n v="800000"/>
    <x v="1"/>
    <s v="IFRC"/>
    <n v="7600000"/>
    <m/>
    <s v="MDRHT005"/>
    <n v="3.7326578947368419E-2"/>
    <n v="1.04"/>
    <m/>
    <m/>
    <m/>
    <n v="50000"/>
    <m/>
    <m/>
    <x v="1"/>
    <n v="283682"/>
    <m/>
    <m/>
    <m/>
    <n v="283682"/>
    <n v="5"/>
    <s v="Relief ERU"/>
    <n v="5"/>
    <n v="19100"/>
    <m/>
    <n v="4000"/>
    <m/>
    <m/>
    <n v="4800"/>
    <m/>
    <n v="3000"/>
    <m/>
    <n v="6000"/>
    <m/>
    <n v="1300"/>
    <m/>
    <m/>
    <m/>
    <n v="340000"/>
    <m/>
    <n v="1532876"/>
    <m/>
    <m/>
    <m/>
    <n v="1532876"/>
    <x v="1"/>
    <m/>
    <m/>
    <m/>
    <m/>
    <s v="2869/2885/ 2591"/>
    <m/>
    <m/>
    <m/>
    <m/>
    <m/>
    <m/>
    <m/>
    <s v="N"/>
    <m/>
    <s v="OFDA grant for $500,000; ARCT funds used - $100,000"/>
    <s v="y"/>
    <s v="Gustav, Hanna, Ike"/>
    <s v="CASH: $100K PMN from AP 2885 earmarked for shelter kits from ARCT; PEOPLE: B. Gaillis (FACT TL), Relief ERU - C. Chaperon (TL), M. Marek, 2nd round - M. Marek (TL), J. Manley, G. Matthews, value at 50k to Fed;  OFDA grant for $500,000. SUPPLIES plus transport/PSR"/>
  </r>
  <r>
    <s v="TC-2008-000143"/>
    <n v="209"/>
    <x v="202"/>
    <d v="2008-09-08T00:00:00"/>
    <x v="13"/>
    <n v="7"/>
    <m/>
    <n v="2008"/>
    <n v="22"/>
    <s v="LAC"/>
    <s v="Bahamas"/>
    <s v="Hydrometerological"/>
    <s v="Storm"/>
    <s v="Tropical Cyclone"/>
    <s v="Hurricane"/>
    <n v="9750"/>
    <x v="1"/>
    <s v="IFRC"/>
    <n v="1638300"/>
    <m/>
    <s v="MDR49003"/>
    <n v="7.3883904046877863E-2"/>
    <n v="0.77"/>
    <m/>
    <m/>
    <m/>
    <n v="20000"/>
    <m/>
    <m/>
    <x v="1"/>
    <n v="121044"/>
    <m/>
    <m/>
    <m/>
    <n v="121044"/>
    <n v="1"/>
    <m/>
    <n v="1"/>
    <s v="-"/>
    <m/>
    <m/>
    <m/>
    <m/>
    <m/>
    <m/>
    <m/>
    <m/>
    <m/>
    <m/>
    <m/>
    <m/>
    <m/>
    <m/>
    <m/>
    <m/>
    <n v="121044"/>
    <m/>
    <m/>
    <m/>
    <n v="121044"/>
    <x v="2"/>
    <m/>
    <m/>
    <m/>
    <m/>
    <n v="2799"/>
    <m/>
    <m/>
    <m/>
    <m/>
    <m/>
    <m/>
    <m/>
    <s v="Y"/>
    <m/>
    <m/>
    <s v="y"/>
    <s v="Bahamas, Jamaica"/>
    <s v="CASH: PMN $100,000 earmarked for Bahamas and Jamaica; PEOPLE: C. Hammond (RIT)"/>
  </r>
  <r>
    <s v="TC-2008-000143"/>
    <n v="209"/>
    <x v="203"/>
    <d v="2008-09-08T00:00:00"/>
    <x v="13"/>
    <n v="7"/>
    <m/>
    <n v="2008"/>
    <n v="22"/>
    <s v="LAC"/>
    <s v="Jamaica"/>
    <s v="Hydrometerological"/>
    <s v="Storm"/>
    <s v="Tropical Cyclone"/>
    <s v="Hurricane"/>
    <n v="4000"/>
    <x v="0"/>
    <m/>
    <s v="-"/>
    <m/>
    <s v="MDR49003"/>
    <s v=""/>
    <m/>
    <m/>
    <m/>
    <m/>
    <s v="-"/>
    <m/>
    <s v="-"/>
    <x v="0"/>
    <m/>
    <m/>
    <m/>
    <m/>
    <m/>
    <m/>
    <m/>
    <m/>
    <s v="-"/>
    <m/>
    <m/>
    <m/>
    <m/>
    <m/>
    <m/>
    <m/>
    <m/>
    <m/>
    <m/>
    <m/>
    <m/>
    <m/>
    <m/>
    <m/>
    <m/>
    <s v="-"/>
    <m/>
    <m/>
    <m/>
    <s v="-"/>
    <x v="1"/>
    <m/>
    <m/>
    <m/>
    <m/>
    <m/>
    <m/>
    <m/>
    <m/>
    <m/>
    <m/>
    <m/>
    <m/>
    <s v="N"/>
    <m/>
    <m/>
    <s v="y"/>
    <s v="Bahamas, Jamaica"/>
    <s v="CASH: PMN earmarked for Bahamas and Jamaica"/>
  </r>
  <r>
    <s v="TC-2008-000143"/>
    <n v="210"/>
    <x v="204"/>
    <d v="2008-09-08T00:00:00"/>
    <x v="13"/>
    <n v="8"/>
    <m/>
    <n v="2008"/>
    <n v="23"/>
    <s v="LAC"/>
    <s v="Cuba"/>
    <s v="Hydrometerological"/>
    <s v="Storm"/>
    <s v="Tropical Cyclone"/>
    <s v="Hurricane"/>
    <n v="2900000"/>
    <x v="1"/>
    <s v="IFRC"/>
    <n v="8811345"/>
    <m/>
    <s v="MDRCU001"/>
    <n v="0.12823728953979216"/>
    <n v="0.66"/>
    <m/>
    <m/>
    <m/>
    <n v="60000"/>
    <m/>
    <n v="10380"/>
    <x v="1"/>
    <n v="1129943"/>
    <m/>
    <m/>
    <m/>
    <n v="1129943"/>
    <m/>
    <m/>
    <m/>
    <s v="-"/>
    <m/>
    <m/>
    <m/>
    <m/>
    <m/>
    <m/>
    <m/>
    <m/>
    <m/>
    <m/>
    <m/>
    <m/>
    <m/>
    <m/>
    <m/>
    <m/>
    <n v="1129943"/>
    <m/>
    <m/>
    <m/>
    <n v="1129943"/>
    <x v="2"/>
    <m/>
    <m/>
    <m/>
    <m/>
    <n v="2099"/>
    <m/>
    <m/>
    <m/>
    <m/>
    <m/>
    <m/>
    <m/>
    <s v="N"/>
    <m/>
    <m/>
    <s v="y"/>
    <s v="Gustav, Ike"/>
    <s v="CASH: PMN unearmarked - OFAC license received"/>
  </r>
  <r>
    <s v="FL-2008-000198"/>
    <n v="211"/>
    <x v="205"/>
    <d v="2008-10-01T00:00:00"/>
    <x v="13"/>
    <n v="9"/>
    <m/>
    <n v="2008"/>
    <n v="24"/>
    <s v="LAC"/>
    <s v="Nicaragua"/>
    <s v="Hydrometerological"/>
    <s v="Floods"/>
    <s v="Storm Surge"/>
    <s v="Storm Surge"/>
    <s v="-"/>
    <x v="0"/>
    <m/>
    <s v="-"/>
    <m/>
    <m/>
    <s v=""/>
    <m/>
    <m/>
    <m/>
    <m/>
    <s v="-"/>
    <m/>
    <s v="-"/>
    <x v="0"/>
    <m/>
    <m/>
    <m/>
    <m/>
    <m/>
    <m/>
    <m/>
    <m/>
    <s v="-"/>
    <m/>
    <m/>
    <m/>
    <m/>
    <m/>
    <m/>
    <m/>
    <m/>
    <m/>
    <m/>
    <m/>
    <m/>
    <m/>
    <m/>
    <m/>
    <m/>
    <s v="-"/>
    <m/>
    <m/>
    <m/>
    <s v="-"/>
    <x v="1"/>
    <m/>
    <m/>
    <m/>
    <m/>
    <m/>
    <m/>
    <m/>
    <m/>
    <m/>
    <m/>
    <m/>
    <m/>
    <s v="N"/>
    <m/>
    <m/>
    <s v="y"/>
    <m/>
    <m/>
  </r>
  <r>
    <s v="FL-2008-000198"/>
    <n v="211"/>
    <x v="205"/>
    <d v="2008-10-01T00:00:00"/>
    <x v="13"/>
    <n v="9"/>
    <m/>
    <n v="2008"/>
    <n v="24"/>
    <s v="LAC"/>
    <s v="Honduras"/>
    <s v="Hydrometerological"/>
    <s v="Floods"/>
    <s v="Storm Surge"/>
    <s v="Storm Surge"/>
    <s v="-"/>
    <x v="0"/>
    <m/>
    <s v="-"/>
    <m/>
    <m/>
    <s v=""/>
    <m/>
    <m/>
    <m/>
    <m/>
    <s v="-"/>
    <m/>
    <s v="-"/>
    <x v="2"/>
    <n v="25000"/>
    <m/>
    <m/>
    <m/>
    <m/>
    <m/>
    <m/>
    <m/>
    <s v="-"/>
    <m/>
    <m/>
    <m/>
    <m/>
    <m/>
    <m/>
    <m/>
    <m/>
    <m/>
    <m/>
    <m/>
    <m/>
    <m/>
    <m/>
    <m/>
    <m/>
    <s v="-"/>
    <m/>
    <m/>
    <m/>
    <s v="-"/>
    <x v="1"/>
    <m/>
    <m/>
    <m/>
    <m/>
    <n v="2882"/>
    <m/>
    <m/>
    <m/>
    <m/>
    <m/>
    <m/>
    <m/>
    <s v="N"/>
    <m/>
    <m/>
    <s v="y"/>
    <m/>
    <s v="CASH: PMN 25k earmarked to Honduras from 2882"/>
  </r>
  <r>
    <s v="FL-2008-000198"/>
    <n v="211"/>
    <x v="205"/>
    <d v="2008-10-01T00:00:00"/>
    <x v="13"/>
    <n v="9"/>
    <m/>
    <n v="2008"/>
    <n v="24"/>
    <s v="LAC"/>
    <s v="[rollup]"/>
    <s v="Hydrometerological"/>
    <s v="Floods"/>
    <s v="Storm Surge"/>
    <s v="Storm Surge"/>
    <n v="328000"/>
    <x v="1"/>
    <s v="IFRC"/>
    <n v="1388924"/>
    <m/>
    <s v="MDR43004"/>
    <n v="0.17760727008821217"/>
    <n v="0.67"/>
    <m/>
    <m/>
    <m/>
    <n v="32000"/>
    <m/>
    <m/>
    <x v="1"/>
    <n v="246683"/>
    <m/>
    <m/>
    <m/>
    <n v="246683"/>
    <m/>
    <m/>
    <m/>
    <s v="-"/>
    <m/>
    <m/>
    <m/>
    <m/>
    <m/>
    <m/>
    <m/>
    <m/>
    <m/>
    <m/>
    <m/>
    <m/>
    <m/>
    <m/>
    <m/>
    <m/>
    <n v="246683"/>
    <m/>
    <m/>
    <m/>
    <n v="246683"/>
    <x v="1"/>
    <m/>
    <m/>
    <m/>
    <m/>
    <s v="2799 /2882 /2869"/>
    <m/>
    <m/>
    <m/>
    <m/>
    <m/>
    <m/>
    <m/>
    <s v="N"/>
    <m/>
    <s v="ARCT funds used - $100,000"/>
    <s v="y"/>
    <m/>
    <s v="CASH: PMN 100k from 2799 unearmarked; PMN 91k - ( $88,500 from 2869 ARCT and $2,500 from 2799); $25,000 from 2882 earmarked for Honduras"/>
  </r>
  <r>
    <s v="FL-2008-000198"/>
    <n v="211"/>
    <x v="205"/>
    <d v="2008-10-01T00:00:00"/>
    <x v="13"/>
    <n v="9"/>
    <m/>
    <n v="2008"/>
    <n v="24"/>
    <s v="LAC"/>
    <s v="Guatemala"/>
    <s v="Hydrometerological"/>
    <s v="Floods"/>
    <s v="Storm Surge"/>
    <s v="Storm Surge"/>
    <m/>
    <x v="0"/>
    <m/>
    <m/>
    <m/>
    <m/>
    <s v=""/>
    <m/>
    <m/>
    <m/>
    <m/>
    <m/>
    <m/>
    <m/>
    <x v="0"/>
    <m/>
    <m/>
    <m/>
    <m/>
    <m/>
    <m/>
    <m/>
    <m/>
    <s v="-"/>
    <m/>
    <m/>
    <m/>
    <m/>
    <m/>
    <m/>
    <m/>
    <m/>
    <m/>
    <m/>
    <m/>
    <m/>
    <m/>
    <m/>
    <m/>
    <m/>
    <m/>
    <m/>
    <m/>
    <m/>
    <n v="0"/>
    <x v="1"/>
    <m/>
    <m/>
    <m/>
    <m/>
    <m/>
    <m/>
    <m/>
    <m/>
    <m/>
    <m/>
    <m/>
    <m/>
    <s v="N"/>
    <m/>
    <m/>
    <s v="y"/>
    <m/>
    <m/>
  </r>
  <r>
    <s v="EQ-2008-000206-PAK"/>
    <n v="212"/>
    <x v="206"/>
    <d v="2008-11-08T00:00:00"/>
    <x v="13"/>
    <n v="10"/>
    <m/>
    <n v="2008"/>
    <n v="25"/>
    <s v="Europe/Asia"/>
    <s v="Pakistan"/>
    <s v="Geophysical"/>
    <s v="Earthquake"/>
    <s v="Earthquake"/>
    <s v="Earthquake"/>
    <n v="366000"/>
    <x v="1"/>
    <s v="ICRC &amp; IFRC"/>
    <n v="9880000"/>
    <m/>
    <s v="REX08/722 &amp; MDRPK002"/>
    <n v="1.0121457489878543E-2"/>
    <m/>
    <m/>
    <m/>
    <m/>
    <n v="37930"/>
    <m/>
    <m/>
    <x v="0"/>
    <m/>
    <m/>
    <n v="100000"/>
    <m/>
    <n v="100000"/>
    <m/>
    <m/>
    <m/>
    <s v="-"/>
    <m/>
    <m/>
    <m/>
    <m/>
    <m/>
    <m/>
    <m/>
    <m/>
    <m/>
    <m/>
    <m/>
    <m/>
    <m/>
    <m/>
    <m/>
    <m/>
    <n v="100000"/>
    <m/>
    <m/>
    <n v="37930"/>
    <n v="100000"/>
    <x v="2"/>
    <m/>
    <m/>
    <m/>
    <m/>
    <n v="2799"/>
    <m/>
    <m/>
    <m/>
    <m/>
    <m/>
    <m/>
    <m/>
    <s v="Y"/>
    <m/>
    <m/>
    <m/>
    <s v="Pakistan Baluchistan Earthquake – November 2008: After the Baluchistan earthquake in 2008, the American Red Cross provided $100,000 to the Pakistan Red Crescent for the purchase of relief supplies."/>
    <s v="CASH: $100,000 bilateral contribution to purchase relief supplies."/>
  </r>
  <r>
    <s v="FF-2008-000211-VNM"/>
    <n v="213"/>
    <x v="21"/>
    <d v="2008-11-08T00:00:00"/>
    <x v="13"/>
    <n v="11"/>
    <m/>
    <n v="2008"/>
    <n v="26"/>
    <s v="Europe/Asia"/>
    <s v="Vietnam"/>
    <s v="Hydrometerological"/>
    <s v="Floods"/>
    <s v="General Floods"/>
    <s v="General Floods"/>
    <n v="600000"/>
    <x v="1"/>
    <s v="IFRC"/>
    <n v="4000000"/>
    <m/>
    <s v="MDRVN005"/>
    <n v="1.2500000000000001E-2"/>
    <n v="0.47"/>
    <m/>
    <m/>
    <m/>
    <n v="300000"/>
    <m/>
    <m/>
    <x v="1"/>
    <n v="50000"/>
    <m/>
    <m/>
    <m/>
    <n v="50000"/>
    <m/>
    <m/>
    <m/>
    <s v="-"/>
    <m/>
    <m/>
    <m/>
    <m/>
    <m/>
    <m/>
    <m/>
    <m/>
    <m/>
    <m/>
    <m/>
    <m/>
    <m/>
    <m/>
    <m/>
    <m/>
    <n v="50000"/>
    <m/>
    <m/>
    <m/>
    <n v="50000"/>
    <x v="2"/>
    <m/>
    <m/>
    <m/>
    <m/>
    <n v="2799"/>
    <m/>
    <m/>
    <m/>
    <m/>
    <m/>
    <m/>
    <m/>
    <s v="Y"/>
    <m/>
    <m/>
    <m/>
    <s v="North and Central Regions"/>
    <s v="CASH: PMN 50k unearmarked "/>
  </r>
  <r>
    <s v="FL-2008-000232-CRI"/>
    <n v="214"/>
    <x v="207"/>
    <d v="2008-12-09T00:00:00"/>
    <x v="13"/>
    <n v="12"/>
    <m/>
    <n v="2008"/>
    <n v="27"/>
    <s v="LAC"/>
    <s v="Costa Rica"/>
    <s v="Hydrometerological"/>
    <s v="Floods"/>
    <s v="General Floods"/>
    <m/>
    <s v="-"/>
    <x v="0"/>
    <m/>
    <s v="-"/>
    <m/>
    <m/>
    <s v=""/>
    <m/>
    <m/>
    <m/>
    <m/>
    <s v="-"/>
    <m/>
    <s v="-"/>
    <x v="2"/>
    <m/>
    <m/>
    <m/>
    <m/>
    <m/>
    <m/>
    <m/>
    <m/>
    <s v="-"/>
    <m/>
    <m/>
    <m/>
    <m/>
    <m/>
    <m/>
    <m/>
    <m/>
    <m/>
    <m/>
    <m/>
    <m/>
    <m/>
    <m/>
    <m/>
    <m/>
    <s v="-"/>
    <m/>
    <m/>
    <m/>
    <s v="-"/>
    <x v="1"/>
    <m/>
    <m/>
    <m/>
    <m/>
    <m/>
    <m/>
    <m/>
    <m/>
    <m/>
    <m/>
    <m/>
    <m/>
    <s v="N"/>
    <m/>
    <m/>
    <m/>
    <m/>
    <m/>
  </r>
  <r>
    <s v="FL-2008-000158-PAN"/>
    <n v="214"/>
    <x v="207"/>
    <d v="2008-12-08T00:00:00"/>
    <x v="13"/>
    <n v="12"/>
    <m/>
    <n v="2008"/>
    <n v="27"/>
    <s v="LAC"/>
    <s v="Panama"/>
    <s v="Hydrometerological"/>
    <s v="Floods"/>
    <s v="General Floods"/>
    <m/>
    <n v="40158"/>
    <x v="1"/>
    <s v="IFRC"/>
    <n v="571953"/>
    <m/>
    <s v="MDR43005"/>
    <n v="0.17483954101123694"/>
    <n v="0.39"/>
    <m/>
    <m/>
    <m/>
    <n v="15000"/>
    <m/>
    <m/>
    <x v="1"/>
    <n v="100000"/>
    <m/>
    <m/>
    <m/>
    <n v="100000"/>
    <m/>
    <m/>
    <m/>
    <s v="-"/>
    <m/>
    <m/>
    <m/>
    <m/>
    <m/>
    <m/>
    <m/>
    <m/>
    <m/>
    <m/>
    <m/>
    <m/>
    <m/>
    <m/>
    <m/>
    <m/>
    <n v="100000"/>
    <m/>
    <m/>
    <m/>
    <n v="100000"/>
    <x v="2"/>
    <m/>
    <m/>
    <m/>
    <m/>
    <n v="2799"/>
    <m/>
    <m/>
    <m/>
    <m/>
    <m/>
    <m/>
    <m/>
    <s v="Y"/>
    <m/>
    <m/>
    <m/>
    <m/>
    <s v="CASH: PMN $100,000 for Fed Appeal"/>
  </r>
  <r>
    <m/>
    <n v="215"/>
    <x v="208"/>
    <d v="2008-12-11T00:00:00"/>
    <x v="13"/>
    <n v="13"/>
    <m/>
    <n v="2008"/>
    <n v="28"/>
    <s v="Africa"/>
    <s v="Ethiopia"/>
    <s v="Human Related"/>
    <s v="Food Insecurity"/>
    <s v="Food Insecurity"/>
    <m/>
    <s v="-"/>
    <x v="0"/>
    <m/>
    <s v="-"/>
    <m/>
    <m/>
    <s v=""/>
    <m/>
    <m/>
    <m/>
    <m/>
    <s v="-"/>
    <m/>
    <s v="-"/>
    <x v="2"/>
    <m/>
    <m/>
    <m/>
    <m/>
    <m/>
    <m/>
    <m/>
    <m/>
    <s v="-"/>
    <m/>
    <m/>
    <m/>
    <m/>
    <m/>
    <m/>
    <m/>
    <m/>
    <m/>
    <m/>
    <m/>
    <m/>
    <m/>
    <m/>
    <m/>
    <m/>
    <s v="-"/>
    <m/>
    <m/>
    <m/>
    <s v="-"/>
    <x v="1"/>
    <m/>
    <m/>
    <m/>
    <m/>
    <m/>
    <m/>
    <m/>
    <m/>
    <m/>
    <m/>
    <m/>
    <m/>
    <s v="N"/>
    <m/>
    <m/>
    <m/>
    <m/>
    <m/>
  </r>
  <r>
    <m/>
    <n v="215"/>
    <x v="208"/>
    <d v="2008-12-12T00:00:00"/>
    <x v="13"/>
    <n v="13"/>
    <m/>
    <n v="2008"/>
    <n v="28"/>
    <s v="Africa"/>
    <s v="Kenya"/>
    <s v="Human Related"/>
    <s v="Food Insecurity"/>
    <s v="Food Insecurity"/>
    <m/>
    <s v="-"/>
    <x v="0"/>
    <m/>
    <s v="-"/>
    <m/>
    <m/>
    <s v=""/>
    <m/>
    <m/>
    <m/>
    <m/>
    <s v="-"/>
    <m/>
    <s v="-"/>
    <x v="2"/>
    <m/>
    <m/>
    <m/>
    <m/>
    <m/>
    <m/>
    <m/>
    <m/>
    <s v="-"/>
    <m/>
    <m/>
    <m/>
    <m/>
    <m/>
    <m/>
    <m/>
    <m/>
    <m/>
    <m/>
    <m/>
    <m/>
    <m/>
    <m/>
    <m/>
    <m/>
    <s v="-"/>
    <m/>
    <m/>
    <m/>
    <s v="-"/>
    <x v="1"/>
    <m/>
    <m/>
    <m/>
    <m/>
    <m/>
    <m/>
    <m/>
    <m/>
    <m/>
    <m/>
    <m/>
    <m/>
    <s v="N"/>
    <m/>
    <m/>
    <m/>
    <m/>
    <m/>
  </r>
  <r>
    <m/>
    <n v="215"/>
    <x v="208"/>
    <d v="2008-12-13T00:00:00"/>
    <x v="13"/>
    <n v="13"/>
    <m/>
    <n v="2008"/>
    <n v="28"/>
    <s v="Africa"/>
    <s v="Somalia"/>
    <s v="Human Related"/>
    <s v="Food Insecurity"/>
    <s v="Food Insecurity"/>
    <m/>
    <s v="-"/>
    <x v="0"/>
    <m/>
    <s v="-"/>
    <m/>
    <m/>
    <s v=""/>
    <m/>
    <m/>
    <m/>
    <m/>
    <s v="-"/>
    <m/>
    <s v="-"/>
    <x v="2"/>
    <m/>
    <m/>
    <m/>
    <m/>
    <m/>
    <m/>
    <m/>
    <m/>
    <s v="-"/>
    <m/>
    <m/>
    <m/>
    <m/>
    <m/>
    <m/>
    <m/>
    <m/>
    <m/>
    <m/>
    <m/>
    <m/>
    <m/>
    <m/>
    <m/>
    <m/>
    <s v="-"/>
    <m/>
    <m/>
    <m/>
    <s v="-"/>
    <x v="1"/>
    <m/>
    <m/>
    <m/>
    <m/>
    <m/>
    <m/>
    <m/>
    <m/>
    <m/>
    <m/>
    <m/>
    <m/>
    <s v="N"/>
    <m/>
    <m/>
    <m/>
    <m/>
    <m/>
  </r>
  <r>
    <s v="OT-2008-000196-DJI/ERI/ETH/KEN/SOM"/>
    <n v="215"/>
    <x v="208"/>
    <d v="2008-12-10T00:00:00"/>
    <x v="13"/>
    <n v="13"/>
    <m/>
    <n v="2008"/>
    <n v="28"/>
    <s v="Africa"/>
    <s v="Djibouti"/>
    <s v="Human Related"/>
    <s v="Food Insecurity"/>
    <s v="Food Insecurity"/>
    <m/>
    <n v="16800000"/>
    <x v="1"/>
    <s v="IFRC"/>
    <n v="66586679"/>
    <m/>
    <s v="MDR64003"/>
    <n v="7.5090094221398245E-3"/>
    <n v="0.09"/>
    <m/>
    <s v="Y"/>
    <n v="118830"/>
    <n v="2488500"/>
    <m/>
    <m/>
    <x v="2"/>
    <m/>
    <m/>
    <n v="500000"/>
    <m/>
    <m/>
    <n v="1"/>
    <m/>
    <n v="1"/>
    <s v="-"/>
    <m/>
    <m/>
    <m/>
    <m/>
    <m/>
    <m/>
    <m/>
    <m/>
    <m/>
    <m/>
    <m/>
    <m/>
    <m/>
    <m/>
    <m/>
    <m/>
    <n v="0"/>
    <m/>
    <m/>
    <m/>
    <n v="0"/>
    <x v="2"/>
    <m/>
    <m/>
    <m/>
    <m/>
    <n v="2799"/>
    <m/>
    <m/>
    <m/>
    <m/>
    <m/>
    <m/>
    <m/>
    <s v="Y"/>
    <m/>
    <m/>
    <m/>
    <m/>
    <s v="PEOPLE: T. Reines, relief del on Fed assessment team x3 wks (entire Horn of Africa); CASH: Intially $500,000 was approved but issues related to the programming and the appeal kept these funds from being disbursed to IFRC appeal. Eventually appeal was cancelled. Instead, ARC provided the resources to a British Red Cross led effort in Djibouti around livelihoods that was consistent with the appeal and recognized by the Federation as such."/>
  </r>
  <r>
    <m/>
    <n v="216"/>
    <x v="209"/>
    <d v="2008-12-14T00:00:00"/>
    <x v="13"/>
    <n v="14"/>
    <m/>
    <n v="2008"/>
    <n v="29"/>
    <s v="Africa"/>
    <s v="Uganda"/>
    <s v="Human Related"/>
    <s v="Conflict"/>
    <s v="Conflict"/>
    <s v="Conflict"/>
    <n v="280000"/>
    <x v="1"/>
    <s v="IFRC"/>
    <n v="1437632"/>
    <m/>
    <s v="MDR64004"/>
    <n v="3.4779415038062589E-2"/>
    <n v="0.62"/>
    <m/>
    <s v="Y"/>
    <n v="201571"/>
    <n v="60000"/>
    <m/>
    <m/>
    <x v="1"/>
    <n v="50000"/>
    <m/>
    <m/>
    <m/>
    <n v="50000"/>
    <n v="1"/>
    <m/>
    <n v="1"/>
    <s v="-"/>
    <m/>
    <m/>
    <m/>
    <m/>
    <m/>
    <m/>
    <m/>
    <m/>
    <m/>
    <m/>
    <m/>
    <m/>
    <m/>
    <m/>
    <m/>
    <m/>
    <n v="50000"/>
    <m/>
    <m/>
    <m/>
    <n v="50000"/>
    <x v="2"/>
    <m/>
    <m/>
    <m/>
    <m/>
    <n v="2799"/>
    <m/>
    <m/>
    <m/>
    <m/>
    <m/>
    <m/>
    <m/>
    <s v="Y"/>
    <m/>
    <m/>
    <m/>
    <m/>
    <s v="CASH: $50,000 PMN to Appeal earmarked to Uganda. PEOPLE: B. Banks, seconded to NBO as backfill DM coordinator deployed to Uganda on Fed assessment"/>
  </r>
  <r>
    <s v="EP-2008-000218-ZWE"/>
    <n v="217"/>
    <x v="210"/>
    <d v="2008-12-17T00:00:00"/>
    <x v="13"/>
    <n v="15"/>
    <m/>
    <n v="2008"/>
    <n v="30"/>
    <s v="Africa"/>
    <s v="Zimbabwe"/>
    <s v="Biological"/>
    <s v="Epidemic"/>
    <s v="Disease"/>
    <s v="Cholera"/>
    <n v="50000"/>
    <x v="1"/>
    <s v="IFRC"/>
    <n v="9200000"/>
    <m/>
    <s v="MDRZW004"/>
    <n v="1.0869565217391304E-2"/>
    <n v="0.64"/>
    <m/>
    <s v="Y"/>
    <n v="359374"/>
    <n v="1500000"/>
    <m/>
    <m/>
    <x v="1"/>
    <n v="100000"/>
    <m/>
    <m/>
    <m/>
    <n v="100000"/>
    <m/>
    <m/>
    <m/>
    <s v="-"/>
    <m/>
    <m/>
    <m/>
    <m/>
    <m/>
    <m/>
    <m/>
    <m/>
    <m/>
    <m/>
    <m/>
    <m/>
    <m/>
    <m/>
    <m/>
    <m/>
    <n v="100000"/>
    <m/>
    <m/>
    <m/>
    <n v="100000"/>
    <x v="2"/>
    <m/>
    <m/>
    <m/>
    <m/>
    <n v="2799"/>
    <m/>
    <m/>
    <m/>
    <m/>
    <m/>
    <m/>
    <m/>
    <s v="Y"/>
    <m/>
    <m/>
    <m/>
    <m/>
    <s v="CASH: PMN $100k to IFRC from 2799 - 75% operational needs, 25% support costs."/>
  </r>
  <r>
    <m/>
    <n v="218"/>
    <x v="211"/>
    <d v="2008-12-17T00:00:00"/>
    <x v="13"/>
    <n v="16"/>
    <m/>
    <n v="2008"/>
    <n v="31"/>
    <s v="Europe/Asia"/>
    <s v="Israel"/>
    <s v="Human Related"/>
    <s v="Conflict"/>
    <s v="Conflict"/>
    <s v="Conflict"/>
    <s v="-"/>
    <x v="1"/>
    <s v="ICRC/Ntl Socs"/>
    <s v="-"/>
    <m/>
    <m/>
    <s v=""/>
    <m/>
    <m/>
    <m/>
    <m/>
    <s v="-"/>
    <m/>
    <s v="-"/>
    <x v="2"/>
    <m/>
    <s v=" "/>
    <n v="200000"/>
    <m/>
    <m/>
    <m/>
    <m/>
    <m/>
    <s v="-"/>
    <m/>
    <m/>
    <m/>
    <m/>
    <m/>
    <m/>
    <m/>
    <m/>
    <m/>
    <m/>
    <m/>
    <m/>
    <m/>
    <m/>
    <m/>
    <m/>
    <s v="-"/>
    <m/>
    <m/>
    <m/>
    <s v="-"/>
    <x v="2"/>
    <m/>
    <m/>
    <m/>
    <m/>
    <n v="2099"/>
    <m/>
    <m/>
    <m/>
    <m/>
    <m/>
    <m/>
    <m/>
    <s v="N"/>
    <m/>
    <m/>
    <m/>
    <m/>
    <s v="CASH: 5 Jan 09 - $250,000 from 2799 RRF to ICRC;  9 Jan 09 $250,000 from 2799 RRF, to PRCS;  30 Jan 09 $200,000 from 2099 IRF to MDA;  5 Feb 09: $110,625 from 2010 Middle East, to PRCS appeal, and $110,625, 2010 Middle East to ICRC appeal."/>
  </r>
  <r>
    <m/>
    <n v="218"/>
    <x v="212"/>
    <d v="2008-12-17T00:00:00"/>
    <x v="13"/>
    <n v="16"/>
    <m/>
    <n v="2008"/>
    <n v="31"/>
    <s v="Europe/Asia"/>
    <s v="Palestine"/>
    <s v="Human Related"/>
    <s v="Conflict"/>
    <s v="Conflict"/>
    <s v="Conflict"/>
    <n v="90000"/>
    <x v="1"/>
    <s v="ICRC/Ntl Socs"/>
    <m/>
    <m/>
    <m/>
    <s v=""/>
    <m/>
    <m/>
    <s v="Y"/>
    <n v="310244"/>
    <n v="50000"/>
    <m/>
    <m/>
    <x v="2"/>
    <m/>
    <n v="360625"/>
    <n v="560625"/>
    <m/>
    <n v="921250"/>
    <m/>
    <m/>
    <m/>
    <s v="-"/>
    <m/>
    <m/>
    <m/>
    <m/>
    <m/>
    <m/>
    <m/>
    <m/>
    <m/>
    <m/>
    <m/>
    <m/>
    <m/>
    <m/>
    <m/>
    <m/>
    <n v="921250"/>
    <m/>
    <m/>
    <m/>
    <n v="921250"/>
    <x v="1"/>
    <m/>
    <m/>
    <m/>
    <m/>
    <s v="2799/2099/2010"/>
    <m/>
    <m/>
    <m/>
    <m/>
    <m/>
    <m/>
    <m/>
    <s v="N"/>
    <m/>
    <m/>
    <m/>
    <s v="In late December 2008, the Government of Israel began a military offensive in Gaza, with the aim of ending Hamas rocket attacks on Israeli soil.  The most serious outbreak of hostilities in the Gaza Strip in decades, the conflict has resulted in significant civilian casualties and damage to homes, hospitals and infrastructure.   The American Red Cross has pledged a total of US $921,250 in support of Red Cross and Red Crescent response efforts.  This includes a new commitment of $110,625 each to the Palestine Red Crescent Society (PRCS) and the International Committee of the Red Cross (ICRC), as well as US $700,000 in previous contributions to ICRC, PRCS and Magen David Adom (MDA), the Israeli equivalent of the Red Cross."/>
    <s v="CASH: 5 Jan 09 - $250,000 from 2799 RRF to ICRC;  9 Jan 09 $250,000 from 2799 RRF, to PRCS;  30 Jan 09 $200,000 from 2099 IRF to MDA;  5 Feb 09: $110,625 from 2010 Middle East, to PRCS appeal, and $110,625, 2010 Middle East to ICRC appeal."/>
  </r>
  <r>
    <s v="EQ-2009-000009-CRI"/>
    <n v="219"/>
    <x v="213"/>
    <d v="2009-01-08T00:00:00"/>
    <x v="13"/>
    <n v="17"/>
    <s v="Q3"/>
    <n v="2009"/>
    <n v="2"/>
    <s v="LAC"/>
    <s v="Costa Rica"/>
    <s v="Geophysical"/>
    <s v="Earthquake"/>
    <s v="Earthquake"/>
    <s v="Earthquake"/>
    <n v="2943"/>
    <x v="2"/>
    <m/>
    <s v="-"/>
    <m/>
    <m/>
    <s v=""/>
    <m/>
    <m/>
    <s v="Y"/>
    <n v="49273"/>
    <s v="-"/>
    <s v="Y"/>
    <n v="640"/>
    <x v="2"/>
    <m/>
    <m/>
    <n v="62250"/>
    <m/>
    <n v="62250"/>
    <n v="2"/>
    <m/>
    <n v="2"/>
    <m/>
    <m/>
    <m/>
    <m/>
    <m/>
    <m/>
    <m/>
    <m/>
    <m/>
    <m/>
    <m/>
    <m/>
    <m/>
    <m/>
    <m/>
    <m/>
    <n v="11950"/>
    <n v="74200"/>
    <m/>
    <m/>
    <m/>
    <n v="74200"/>
    <x v="1"/>
    <m/>
    <m/>
    <m/>
    <m/>
    <n v="2882"/>
    <m/>
    <m/>
    <m/>
    <m/>
    <m/>
    <m/>
    <m/>
    <s v="N"/>
    <m/>
    <m/>
    <m/>
    <s v="On January 8, a 6.2 earthquake struck  Costa Rica, triggering landslides, blocking roads and isolating communities, affecting more than 100,000 people.  The Costa Rican Red Cross delivered relief supplies, conducted search and rescue activities, provided evacuation, supported temporary shelter and conducted needs assessments.   The American Red Cross contributed $65,000 bilaterally to the CRRC to support a cash voucher program, disaster training and distribution of food packets. In addition, it deployed two delegates to help conduct assessments and develop the cash voucher program."/>
    <s v="CASH: Bilateral to CRRC; PEOPLE: S. DiPretoro, A. Vargas"/>
  </r>
  <r>
    <s v="WF-2009-000035-AUS"/>
    <n v="220"/>
    <x v="214"/>
    <d v="2009-02-07T00:00:00"/>
    <x v="13"/>
    <n v="18"/>
    <s v="Q3"/>
    <n v="2009"/>
    <n v="3"/>
    <s v="Europe/Asia"/>
    <s v="Australia"/>
    <s v="Hydrometerological"/>
    <s v="Wildfire"/>
    <m/>
    <m/>
    <n v="22000"/>
    <x v="2"/>
    <m/>
    <m/>
    <m/>
    <m/>
    <s v=""/>
    <m/>
    <m/>
    <m/>
    <m/>
    <m/>
    <s v="Y"/>
    <m/>
    <x v="2"/>
    <m/>
    <m/>
    <n v="1520000"/>
    <m/>
    <n v="1520000"/>
    <m/>
    <m/>
    <m/>
    <m/>
    <m/>
    <m/>
    <m/>
    <m/>
    <m/>
    <m/>
    <m/>
    <m/>
    <m/>
    <m/>
    <m/>
    <m/>
    <m/>
    <m/>
    <m/>
    <m/>
    <n v="1520000"/>
    <m/>
    <m/>
    <m/>
    <n v="1520000"/>
    <x v="1"/>
    <m/>
    <m/>
    <m/>
    <m/>
    <n v="2881"/>
    <m/>
    <m/>
    <m/>
    <m/>
    <m/>
    <m/>
    <m/>
    <s v="N"/>
    <m/>
    <m/>
    <m/>
    <s v="Wildfires in southeastern Australia destroyed more than 1,033 homes,  left more than 181 people dead and hundreds injured.  The Australian Red Cross has deployed more than 400 volunteers and staff to operate evacuation centers in 20 locations across the state of Victoria.   The American Red Cross coordinated  US corporate donations and ultimately provided  $1.52 million bilaterally to the Australian Red Cross._x000a_"/>
    <s v="CASH: ARC coordinated US corporate donations to joint domestic AusRC &amp; Ntl Govt appeal -  totaled $1,250,000 - sent August 2009"/>
  </r>
  <r>
    <m/>
    <n v="221"/>
    <x v="167"/>
    <d v="2009-03-05T00:00:00"/>
    <x v="13"/>
    <n v="19"/>
    <s v="Q3"/>
    <n v="2009"/>
    <n v="4"/>
    <s v="Europe/Asia"/>
    <s v="Sri Lanka"/>
    <s v="Human Related"/>
    <s v="Conflict"/>
    <m/>
    <m/>
    <n v="250000"/>
    <x v="1"/>
    <s v="ICRC"/>
    <m/>
    <m/>
    <m/>
    <s v=""/>
    <m/>
    <m/>
    <m/>
    <m/>
    <m/>
    <m/>
    <n v="20000"/>
    <x v="2"/>
    <m/>
    <n v="500000"/>
    <m/>
    <m/>
    <n v="500000"/>
    <n v="1"/>
    <m/>
    <n v="1"/>
    <m/>
    <m/>
    <m/>
    <m/>
    <m/>
    <m/>
    <m/>
    <m/>
    <m/>
    <m/>
    <m/>
    <m/>
    <m/>
    <m/>
    <m/>
    <m/>
    <m/>
    <n v="500000"/>
    <m/>
    <m/>
    <m/>
    <n v="500000"/>
    <x v="1"/>
    <m/>
    <m/>
    <m/>
    <m/>
    <s v="TRP"/>
    <m/>
    <m/>
    <m/>
    <m/>
    <m/>
    <m/>
    <m/>
    <s v="N"/>
    <m/>
    <m/>
    <m/>
    <s v="Sri Lanka  experienced years of civil conflict between the government and rebel forces which intensified in recent months.   As Sri Lankan government forces advanced  50,000 ethnic Tamils were trapped in a five square kilometer area experiencing intense conflict on the northern coast.  Approximately 194,000 people fled the active conflict zone and were transferred to temporary camps or hospitals by government forces. The International Committee of the Red Cross worked with Sri Lanka Red Cross to assist those trapped in affected areas and provided relief supplies to displaced people in temporary camps.  At the request of the ICRC, the American Red Cross provided a delegate to assist in distribution of relief items in the temporary camps.  _x000a_"/>
    <s v="CASH: $500,000 to ICRC for baby kits to IDPs in camps. PEOPLE: Gina Guinta ICRC volunteer to work in IDP camps doing relief distribution, 30 days."/>
  </r>
  <r>
    <s v="FL-2009-000052-COL"/>
    <n v="222"/>
    <x v="157"/>
    <d v="2009-03-19T00:00:00"/>
    <x v="13"/>
    <n v="20"/>
    <s v="Q3"/>
    <n v="2009"/>
    <n v="5"/>
    <s v="LAC"/>
    <s v="Colombia"/>
    <s v="Hydrometerological"/>
    <s v="Floods"/>
    <m/>
    <m/>
    <n v="31250"/>
    <x v="1"/>
    <s v="IFRC"/>
    <n v="957924"/>
    <m/>
    <s v="MDRCO006"/>
    <n v="0"/>
    <n v="0.99"/>
    <m/>
    <s v="Y"/>
    <n v="152369"/>
    <n v="25000"/>
    <m/>
    <m/>
    <x v="2"/>
    <m/>
    <m/>
    <m/>
    <m/>
    <m/>
    <m/>
    <m/>
    <m/>
    <n v="8000"/>
    <m/>
    <m/>
    <m/>
    <n v="8000"/>
    <m/>
    <m/>
    <m/>
    <m/>
    <m/>
    <m/>
    <m/>
    <m/>
    <m/>
    <m/>
    <n v="30000"/>
    <m/>
    <n v="30000"/>
    <m/>
    <m/>
    <m/>
    <n v="30000"/>
    <x v="2"/>
    <m/>
    <m/>
    <m/>
    <m/>
    <n v="2799"/>
    <m/>
    <m/>
    <m/>
    <m/>
    <m/>
    <m/>
    <m/>
    <s v="Y"/>
    <m/>
    <m/>
    <m/>
    <s v="Flooding severely affecting 31,250 people in the Andean region of Colombia.  A request from the Colombian Red Cross for relief,shelter, water and sanitation and health support. American Red Cross provided $30,000 in jerry cans from PADRU stocks._x000a_"/>
    <s v="SUPPLIES: 8,000 ARC Jerry Cans from stock at PADRU shipped to IFRC in Colombia."/>
  </r>
  <r>
    <s v="EQ-2009-000072-ITA"/>
    <n v="223"/>
    <x v="96"/>
    <d v="2009-04-07T00:00:00"/>
    <x v="13"/>
    <n v="21"/>
    <s v="Q4"/>
    <n v="2009"/>
    <n v="6"/>
    <s v="Europe/Asia"/>
    <s v="Italy"/>
    <s v="Geophysical"/>
    <s v="Earthquake"/>
    <m/>
    <m/>
    <n v="48000"/>
    <x v="2"/>
    <m/>
    <m/>
    <m/>
    <m/>
    <s v=""/>
    <m/>
    <m/>
    <s v="Y"/>
    <n v="613944"/>
    <m/>
    <s v="Y"/>
    <m/>
    <x v="2"/>
    <m/>
    <m/>
    <n v="981315"/>
    <m/>
    <n v="981315"/>
    <m/>
    <m/>
    <m/>
    <m/>
    <m/>
    <m/>
    <m/>
    <m/>
    <m/>
    <m/>
    <m/>
    <m/>
    <m/>
    <m/>
    <m/>
    <m/>
    <m/>
    <m/>
    <m/>
    <m/>
    <n v="981315"/>
    <m/>
    <m/>
    <m/>
    <n v="981315"/>
    <x v="1"/>
    <m/>
    <m/>
    <m/>
    <m/>
    <s v="2799/2697"/>
    <m/>
    <m/>
    <m/>
    <m/>
    <m/>
    <m/>
    <m/>
    <s v="N"/>
    <m/>
    <m/>
    <m/>
    <s v="A powerful 6.3 magnitude earthquake struck the city of L'Aquila in central Italy on April 6, the worst to hit the region in nearly 30 years, leaving 298 dead and 28,000 homeless.   The Italian Red Cross supported the affected population with food, shelter, and psychological support.  The American Red Cross provided $981,315 to the Italian Red Cross in support of response efforts. "/>
    <s v="CASH: $50,000 to Italian Red Cross from RRF 2799 - later repaid by 2697 when raised; Receiving donor funds to AP 2697 from public and chapters. Additional $522,180 from donor funds sent 5/29/09. Final amount in Aug. 2009"/>
  </r>
  <r>
    <s v="Fl-2009-000062-NAM"/>
    <n v="224"/>
    <x v="215"/>
    <d v="2009-05-15T00:00:00"/>
    <x v="13"/>
    <n v="22"/>
    <s v="Q4"/>
    <n v="2009"/>
    <n v="7"/>
    <s v="Africa"/>
    <s v="Namibia"/>
    <s v="Hydrometerological"/>
    <s v="Floods"/>
    <m/>
    <m/>
    <n v="700000"/>
    <x v="1"/>
    <s v="IFRC"/>
    <n v="1878181"/>
    <m/>
    <s v="MDRNA004"/>
    <n v="2.6621502400460871E-2"/>
    <n v="0.91"/>
    <m/>
    <s v="Y"/>
    <n v="128552"/>
    <n v="20000"/>
    <m/>
    <m/>
    <x v="1"/>
    <n v="50000"/>
    <m/>
    <m/>
    <m/>
    <n v="50000"/>
    <m/>
    <m/>
    <m/>
    <m/>
    <m/>
    <m/>
    <m/>
    <m/>
    <m/>
    <m/>
    <m/>
    <m/>
    <m/>
    <m/>
    <m/>
    <m/>
    <m/>
    <m/>
    <m/>
    <m/>
    <n v="50000"/>
    <m/>
    <m/>
    <m/>
    <n v="50000"/>
    <x v="2"/>
    <m/>
    <m/>
    <m/>
    <m/>
    <n v="2799"/>
    <m/>
    <m/>
    <m/>
    <m/>
    <m/>
    <m/>
    <m/>
    <s v="Y"/>
    <m/>
    <m/>
    <m/>
    <s v="In northern Namibia, heavy rains have led to severe flooding in six regions and the worst flooding in over 40 years, affecting more than 350,000 people. It also caused large scale destruction of homes, schools, health facilities, crops and infrastructure. The Namibian Red Cross provided medicines, shelter, water and sanitation, relief items and camp management. The American Red Cross pledged $50,000 to support response efforts through the appeal. _x000a_"/>
    <s v="CASH: $50k to IFRC from 2799 earmarked for relief supplies"/>
  </r>
  <r>
    <m/>
    <n v="225"/>
    <x v="216"/>
    <d v="2009-05-15T00:00:00"/>
    <x v="13"/>
    <n v="23"/>
    <s v="Q4"/>
    <n v="2009"/>
    <n v="8"/>
    <s v="Africa"/>
    <s v="Sudan"/>
    <s v="Biological"/>
    <s v="Epidemic"/>
    <m/>
    <m/>
    <n v="25000000"/>
    <x v="1"/>
    <s v="IFRC"/>
    <n v="2200000"/>
    <m/>
    <s v="MDR61004; MDR64004; MDR63002"/>
    <n v="9.0909090909090912E-2"/>
    <s v="various"/>
    <m/>
    <s v="Y"/>
    <n v="315628"/>
    <n v="25000000"/>
    <m/>
    <m/>
    <x v="1"/>
    <n v="200000"/>
    <m/>
    <m/>
    <m/>
    <n v="200000"/>
    <m/>
    <m/>
    <m/>
    <m/>
    <m/>
    <m/>
    <m/>
    <m/>
    <m/>
    <m/>
    <m/>
    <m/>
    <m/>
    <m/>
    <m/>
    <m/>
    <m/>
    <m/>
    <m/>
    <m/>
    <n v="200000"/>
    <m/>
    <m/>
    <m/>
    <n v="200000"/>
    <x v="1"/>
    <m/>
    <m/>
    <m/>
    <m/>
    <n v="2869"/>
    <m/>
    <m/>
    <m/>
    <m/>
    <m/>
    <s v="Y"/>
    <m/>
    <s v="N"/>
    <m/>
    <s v="ARCT Funds used - $200,000"/>
    <m/>
    <s v="Polio outbreak were confirmed in 15 countries across Sub-Saharan Africa, undermining progress made to eradicate polio over the last two decades.   The American Red Cross has pledged US $200,000 to the International Federation Emergency Appeal for mass social mobilization activities related to emergency polio vaccination campaigns.  "/>
    <s v="CASH: $200k to IFRC earmarked for Sudan vaccination campaign from ARCT - funds went out as of August 2009."/>
  </r>
  <r>
    <m/>
    <n v="226"/>
    <x v="217"/>
    <d v="2009-05-15T00:00:00"/>
    <x v="13"/>
    <n v="24"/>
    <s v="Q4"/>
    <n v="2009"/>
    <n v="9"/>
    <s v="Europe/Asia"/>
    <s v="Pakistan"/>
    <s v="Human Related"/>
    <s v="Conflict"/>
    <m/>
    <m/>
    <n v="2000000"/>
    <x v="1"/>
    <s v="IFRC"/>
    <n v="7300000"/>
    <m/>
    <s v="MDRPK003"/>
    <n v="3.4246575342465752E-2"/>
    <n v="0.45"/>
    <m/>
    <m/>
    <m/>
    <n v="91000"/>
    <m/>
    <m/>
    <x v="1"/>
    <n v="250000"/>
    <m/>
    <m/>
    <m/>
    <n v="250000"/>
    <m/>
    <m/>
    <m/>
    <n v="5150"/>
    <m/>
    <m/>
    <m/>
    <m/>
    <m/>
    <m/>
    <m/>
    <m/>
    <m/>
    <m/>
    <m/>
    <m/>
    <m/>
    <m/>
    <n v="80000"/>
    <m/>
    <n v="330000"/>
    <m/>
    <m/>
    <m/>
    <n v="330000"/>
    <x v="2"/>
    <m/>
    <m/>
    <m/>
    <m/>
    <n v="2799"/>
    <m/>
    <m/>
    <m/>
    <m/>
    <m/>
    <m/>
    <m/>
    <s v="Y"/>
    <m/>
    <m/>
    <m/>
    <s v="During the Internally Displaced Persons Crisis of 2009, the American Red Cross provided $330,000 in support for relief supplies for those living in temporary camps. "/>
    <s v="SUPPLIES: $80,000 bilateral for beds and mattresses to be transported to PRCS for IDP camps. CASH: $250,000 earmarked for NFIs. on June 26 to support Federation Appeal. "/>
  </r>
  <r>
    <s v="TC-2009-000105-BGD"/>
    <n v="227"/>
    <x v="218"/>
    <d v="2009-06-26T00:00:00"/>
    <x v="13"/>
    <n v="25"/>
    <s v="Q4"/>
    <n v="2009"/>
    <n v="10"/>
    <s v="Europe/Asia"/>
    <s v="Bangladesh"/>
    <s v="Hydrometerological"/>
    <s v="Storm"/>
    <m/>
    <m/>
    <n v="3928238"/>
    <x v="1"/>
    <s v="IFRC"/>
    <n v="2200000"/>
    <m/>
    <s v="MDRBD004"/>
    <n v="0"/>
    <m/>
    <m/>
    <s v="Y"/>
    <n v="230677"/>
    <n v="184000"/>
    <m/>
    <m/>
    <x v="2"/>
    <m/>
    <m/>
    <m/>
    <m/>
    <m/>
    <n v="1"/>
    <m/>
    <n v="1"/>
    <m/>
    <m/>
    <m/>
    <m/>
    <m/>
    <m/>
    <m/>
    <m/>
    <m/>
    <m/>
    <m/>
    <m/>
    <m/>
    <m/>
    <m/>
    <m/>
    <m/>
    <n v="0"/>
    <m/>
    <m/>
    <m/>
    <n v="0"/>
    <x v="1"/>
    <m/>
    <m/>
    <m/>
    <m/>
    <n v="2017"/>
    <m/>
    <m/>
    <m/>
    <m/>
    <m/>
    <m/>
    <m/>
    <s v="N"/>
    <m/>
    <m/>
    <m/>
    <s v="Cyclone Aila hit southwestern Bangladesh, killing 190 people and causing widespread devastation in 14 districts. Some 600,000 people were evacuated prior to the cyclone - significantly minimizing the loss of life.  The Bangladesh Red Crescent responded, activating thousands of volunteers to provide relief supplies and medical care.   The American Red Cross deployed a relief operations support delegate to assist the Bangladesh Red Crescent in response operations.  "/>
    <s v="PEOPLE: Relief Operations Support Delegate: Travis Betz deployed 4 weeks as a Relief Operations Support Delegate to provide support to the Bangladesh Delegation and affected National Society in response to Cyclone Aila. "/>
  </r>
  <r>
    <s v="FL-2009-000095-TJK"/>
    <n v="228"/>
    <x v="219"/>
    <d v="2009-08-12T00:00:00"/>
    <x v="14"/>
    <n v="1"/>
    <s v="Q1"/>
    <n v="2009"/>
    <n v="11"/>
    <s v="Europe/Asia"/>
    <s v="Tajikistan"/>
    <s v="Hydrometerological"/>
    <s v="Floods"/>
    <m/>
    <m/>
    <n v="12000"/>
    <x v="1"/>
    <s v="IFRC"/>
    <n v="806936"/>
    <m/>
    <s v="MDRTJ005"/>
    <n v="1.4251440015069349E-2"/>
    <n v="0.61"/>
    <m/>
    <s v="Y"/>
    <n v="118472"/>
    <n v="4320"/>
    <m/>
    <n v="165"/>
    <x v="2"/>
    <n v="11500"/>
    <m/>
    <m/>
    <m/>
    <n v="11500"/>
    <m/>
    <m/>
    <m/>
    <m/>
    <m/>
    <m/>
    <m/>
    <m/>
    <m/>
    <m/>
    <m/>
    <m/>
    <m/>
    <m/>
    <m/>
    <m/>
    <m/>
    <m/>
    <m/>
    <m/>
    <n v="11500"/>
    <m/>
    <m/>
    <m/>
    <n v="11500"/>
    <x v="2"/>
    <m/>
    <m/>
    <m/>
    <m/>
    <n v="2799"/>
    <m/>
    <m/>
    <m/>
    <m/>
    <m/>
    <m/>
    <m/>
    <s v="Y"/>
    <m/>
    <m/>
    <m/>
    <s v="Heavy rainfall resulted in flooding in various parts of Tajikistan, killing 26 and affecting 12,000 people. The Tajikistan Red Crescent responded with relief items, supported by two Regional Disaster Response Teams (RDRT). The American Red Cross provided $11,500 for construction tool kits. "/>
    <s v="CASH: $11,500 (plus cost recovery) to IFRC Appeal from 2799"/>
  </r>
  <r>
    <s v="DR-2009-00149-SYR"/>
    <n v="229"/>
    <x v="220"/>
    <d v="2009-09-01T00:00:00"/>
    <x v="14"/>
    <n v="2"/>
    <s v="Q1"/>
    <n v="2009"/>
    <n v="12"/>
    <s v="Europe/Asia"/>
    <s v="Syria"/>
    <s v="Hydrometerological"/>
    <s v="Drought"/>
    <m/>
    <m/>
    <n v="1300000"/>
    <x v="1"/>
    <s v="IFRC"/>
    <n v="3557433"/>
    <m/>
    <s v="MDRSY001"/>
    <n v="1.4055078479341706E-2"/>
    <n v="0.49"/>
    <d v="2011-03-27T00:00:00"/>
    <s v="Y"/>
    <n v="303195"/>
    <n v="260000"/>
    <m/>
    <m/>
    <x v="1"/>
    <n v="50000"/>
    <m/>
    <m/>
    <m/>
    <n v="50000"/>
    <m/>
    <m/>
    <m/>
    <m/>
    <m/>
    <m/>
    <m/>
    <m/>
    <m/>
    <m/>
    <m/>
    <m/>
    <m/>
    <m/>
    <m/>
    <m/>
    <m/>
    <m/>
    <m/>
    <m/>
    <n v="50000"/>
    <m/>
    <m/>
    <m/>
    <n v="50000"/>
    <x v="2"/>
    <m/>
    <m/>
    <m/>
    <m/>
    <n v="2869"/>
    <m/>
    <m/>
    <m/>
    <m/>
    <m/>
    <n v="50000"/>
    <m/>
    <s v="N"/>
    <m/>
    <s v="ARCT Funds used"/>
    <m/>
    <s v="Syria experienced a drought since 2006, but conditions have worsened in the last eight months as high temperatures and low rainfall destroyed much of the seasonal crop of grain. Currently 1.3 million people in eastern Syria are affected, and an estimated 800,000 have lost most of their income and are facing extreme hardship. These conditions have triggered a substantial increase in the rate of migration from villages in the affected areas to urban centers during the past year. The Syrian Arab Red Crescent worked to deliver food items, healthcare, hygiene kits, and water and sanitation services to those affected by the drought.   In support of the response, the American Red Cross committed $50,000 to the International Federation appeal.  "/>
    <s v="CASH: $50,000 from ARCT for Overlooked Disasters Fund (plus cost recovery to be covered from RRF 2799)"/>
  </r>
  <r>
    <s v="FL-2009-000172-BFA "/>
    <n v="230"/>
    <x v="221"/>
    <d v="2009-09-10T00:00:00"/>
    <x v="14"/>
    <n v="3"/>
    <s v="Q1"/>
    <n v="2009"/>
    <n v="13"/>
    <s v="Africa"/>
    <s v="Burkina Faso"/>
    <s v="Hydrometerological"/>
    <s v="Floods"/>
    <m/>
    <m/>
    <n v="600000"/>
    <x v="1"/>
    <s v="IFRC"/>
    <n v="2600000"/>
    <m/>
    <s v="MDRBF008 &amp; MDRSN002"/>
    <n v="0"/>
    <n v="0.32"/>
    <m/>
    <s v="Y"/>
    <n v="419190"/>
    <n v="40000"/>
    <m/>
    <m/>
    <x v="2"/>
    <m/>
    <m/>
    <m/>
    <m/>
    <n v="0"/>
    <n v="1"/>
    <m/>
    <n v="1"/>
    <m/>
    <m/>
    <n v="7500"/>
    <n v="37500"/>
    <n v="7500"/>
    <n v="7500"/>
    <n v="500"/>
    <n v="7500"/>
    <m/>
    <m/>
    <m/>
    <m/>
    <m/>
    <m/>
    <m/>
    <m/>
    <m/>
    <n v="0"/>
    <m/>
    <m/>
    <m/>
    <n v="0"/>
    <x v="2"/>
    <m/>
    <m/>
    <m/>
    <m/>
    <n v="2799"/>
    <m/>
    <m/>
    <m/>
    <m/>
    <m/>
    <m/>
    <m/>
    <s v="Y"/>
    <m/>
    <m/>
    <m/>
    <s v="A heavier than normal rainy season in West and Central Africa has caused serious flooding in 16 countries. Beginning in early September the flooding worsened, affecting more than 600,000 people in Benin, Central African Republic, Chad, Cote d'Ivoire, Gambia, Ghana, Guinea, Guinea Bissau, Liberia, Mali, Mauritania, Niger, Nigeria, Senegal, Sierra Leone and Togo. The rains have caused 159 deaths and considerable damage to homes and infrastructure, leaving thousands homeless.  Red Cross national societies in the affected countries are providing food and relief items, emergency healthcare and psychosocial support, water and sanitation services and livelihoods assistance.  The American Red Cross provided equipment and three delegates for a Relief Emergency Response Unit to be deployed to Senegal. This is in addition to a delegate deployed as part of a Field Assessment and Coordination Team to assess needs in Burkina Faso.  "/>
    <s v="PEOPLE: John Manley deployed to Burkina Faso as FACT team member for 1 month. "/>
  </r>
  <r>
    <s v="FL-2009-000164-SEN"/>
    <n v="230"/>
    <x v="222"/>
    <d v="2009-09-10T00:00:00"/>
    <x v="14"/>
    <n v="3"/>
    <s v="Q1"/>
    <n v="2009"/>
    <n v="13"/>
    <s v="Africa"/>
    <s v="Senegal"/>
    <s v="Hydrometerological"/>
    <s v="Floods"/>
    <m/>
    <m/>
    <n v="156000"/>
    <x v="1"/>
    <s v="IFRC"/>
    <n v="2000000"/>
    <m/>
    <s v="MDRBF008 &amp; MDRSN002"/>
    <n v="0"/>
    <n v="0.47"/>
    <m/>
    <s v="Y"/>
    <n v="419190"/>
    <n v="25000"/>
    <m/>
    <m/>
    <x v="2"/>
    <m/>
    <m/>
    <m/>
    <m/>
    <n v="0"/>
    <n v="3"/>
    <s v="Relief ERU"/>
    <n v="3"/>
    <m/>
    <m/>
    <m/>
    <m/>
    <m/>
    <m/>
    <m/>
    <m/>
    <m/>
    <m/>
    <m/>
    <m/>
    <m/>
    <m/>
    <m/>
    <m/>
    <m/>
    <n v="0"/>
    <m/>
    <m/>
    <m/>
    <n v="0"/>
    <x v="2"/>
    <m/>
    <m/>
    <m/>
    <m/>
    <n v="2799"/>
    <m/>
    <m/>
    <m/>
    <m/>
    <m/>
    <m/>
    <m/>
    <s v="Y"/>
    <m/>
    <m/>
    <m/>
    <s v="A heavier than normal rainy season in West and Central Africa has caused serious flooding in 16 countries. Beginning in early September the flooding worsened, affecting more than 600,000 people in Benin, Central African Republic, Chad, Cote d'Ivoire, Gambia, Ghana, Guinea, Guinea Bissau, Liberia, Mali, Mauritania, Niger, Nigeria, Senegal, Sierra Leone and Togo. The rains have caused 159 deaths and considerable damage to homes and infrastructure, leaving thousands homeless.  Red Cross national societies in the affected countries are providing food and relief items, emergency healthcare and psychosocial support, water and sanitation services and livelihoods assistance.  The American Red Cross provided equipment and three delegates for a Relief Emergency Response Unit to be deployed to Senegal. This is in addition to a delegate deployed as part of a Field Assessment and Coordination Team to assess needs in Burkina Faso.  "/>
    <s v="PEOPLE: 3 ERU team members deployed jointly with DanishRC for 1 month: Steve McAndrew – ERU Team leader, Shinko Mondori- ERU team member, Luis Matnog- ERU team member . ERUs are part of Appeal Mob table so we can claim multilateral beneficiaries."/>
  </r>
  <r>
    <s v="TC-2009-000167-MEX"/>
    <n v="231"/>
    <x v="223"/>
    <d v="2009-09-03T00:00:00"/>
    <x v="14"/>
    <n v="4"/>
    <s v="Q1"/>
    <n v="2009"/>
    <n v="14"/>
    <s v="LAC"/>
    <s v="Mexico"/>
    <s v="Hydrometerological"/>
    <s v="Tropical Storm"/>
    <m/>
    <m/>
    <n v="100000"/>
    <x v="2"/>
    <m/>
    <m/>
    <m/>
    <m/>
    <s v=""/>
    <m/>
    <m/>
    <s v="Y"/>
    <n v="319632"/>
    <m/>
    <s v="Y"/>
    <n v="15000"/>
    <x v="2"/>
    <m/>
    <m/>
    <m/>
    <m/>
    <n v="0"/>
    <n v="1"/>
    <m/>
    <n v="1"/>
    <n v="13840"/>
    <s v="mixed"/>
    <n v="1840"/>
    <m/>
    <m/>
    <m/>
    <m/>
    <n v="3000"/>
    <m/>
    <n v="6000"/>
    <m/>
    <m/>
    <m/>
    <n v="3000"/>
    <m/>
    <n v="259500"/>
    <m/>
    <n v="259500"/>
    <m/>
    <m/>
    <m/>
    <n v="259500"/>
    <x v="2"/>
    <m/>
    <m/>
    <m/>
    <m/>
    <s v="2799  + OFDA"/>
    <m/>
    <m/>
    <m/>
    <m/>
    <m/>
    <m/>
    <s v="Y"/>
    <s v="N"/>
    <m/>
    <m/>
    <m/>
    <s v="Hurricane Jimena hit Mexico’s Baja California peninsula as a category two hurricane on September 3, affecting the state of Baja California Sur and Sonora. The hurricane affected 120,000 people, causing damage to homes, businesses, electricity infrastructure, and water and transportation systems.   The Mexican Red Cross performed assessments and mobilized  to provide food and relief items to those affected.  The American Red Cross provided a bilateral contribution of  7,800 relief items, including hygiene kits, kitchen sets and reconstruction kits for distribution to those affected by the storm."/>
    <s v="SUPPLIES: Bilateral to Mexican RC: 1,840 hygiene kits from stock at PADRU, 3,000 kitchen sets from stock at PADRU, 3,000 reconstruction kits to be procured locally. Funding: For 1,840  hygiene kits ($60,000) from 2799; 3,000 kitchen sets ($75,000) from OFDA; 3,000 reconstruction kits ($124,500) from OFDA.  PEOPLE: Jono Anzalone deployed to do M &amp; E for relief distribution."/>
  </r>
  <r>
    <s v="EQ-2009-000173-IDN"/>
    <n v="232"/>
    <x v="224"/>
    <d v="2009-09-02T00:00:00"/>
    <x v="14"/>
    <n v="5"/>
    <s v="Q1"/>
    <n v="2009"/>
    <n v="15"/>
    <s v="Europe/Asia"/>
    <s v="Indonesia"/>
    <s v="Geophysical"/>
    <s v="Earthquake"/>
    <m/>
    <m/>
    <n v="90000"/>
    <x v="2"/>
    <m/>
    <m/>
    <m/>
    <m/>
    <s v=""/>
    <m/>
    <m/>
    <s v="N"/>
    <m/>
    <m/>
    <s v="Y"/>
    <m/>
    <x v="2"/>
    <m/>
    <m/>
    <m/>
    <m/>
    <n v="0"/>
    <n v="1"/>
    <m/>
    <n v="1"/>
    <m/>
    <m/>
    <m/>
    <m/>
    <m/>
    <m/>
    <m/>
    <m/>
    <m/>
    <m/>
    <m/>
    <m/>
    <m/>
    <m/>
    <m/>
    <m/>
    <m/>
    <n v="0"/>
    <m/>
    <m/>
    <m/>
    <n v="0"/>
    <x v="2"/>
    <m/>
    <m/>
    <m/>
    <m/>
    <n v="2799"/>
    <m/>
    <m/>
    <m/>
    <m/>
    <m/>
    <m/>
    <m/>
    <s v="Y"/>
    <m/>
    <m/>
    <m/>
    <s v="In response to an earthquake, the American Red Cross sent Christina Hammond to  to fill the role of IFRC Shelter Cluster Information Manager for Java Earthquake response  for four weeks"/>
    <s v="PEOPLE: Cristina Hammond deployed to fill the role of IFRC Shelter Cluster Information Manager for Java Earthquake response - 4 weeks."/>
  </r>
  <r>
    <s v="TC-2009-000205-PHL"/>
    <n v="233"/>
    <x v="225"/>
    <d v="2009-09-02T00:00:00"/>
    <x v="14"/>
    <n v="6"/>
    <s v="Q1"/>
    <n v="2009"/>
    <n v="16"/>
    <s v="Europe/Asia"/>
    <s v="Philippines"/>
    <s v="Hydrometerological"/>
    <s v="Tropical Storm"/>
    <m/>
    <m/>
    <n v="1000000"/>
    <x v="1"/>
    <s v="IFRC"/>
    <n v="13905878"/>
    <m/>
    <s v="MDRPH005"/>
    <n v="7.5507637849260581E-2"/>
    <n v="0.87"/>
    <d v="2012-03-28T00:00:00"/>
    <s v="Y"/>
    <n v="242000"/>
    <n v="200000"/>
    <m/>
    <n v="50000"/>
    <x v="1"/>
    <n v="550000"/>
    <m/>
    <n v="500000"/>
    <m/>
    <n v="1050000"/>
    <n v="2"/>
    <m/>
    <n v="2"/>
    <n v="22300"/>
    <s v="Y"/>
    <m/>
    <n v="4000"/>
    <n v="10000"/>
    <m/>
    <m/>
    <n v="1500"/>
    <m/>
    <n v="6800"/>
    <m/>
    <m/>
    <m/>
    <m/>
    <m/>
    <n v="118000"/>
    <m/>
    <n v="1168000"/>
    <m/>
    <m/>
    <m/>
    <n v="1168000"/>
    <x v="1"/>
    <m/>
    <m/>
    <m/>
    <m/>
    <n v="2698"/>
    <m/>
    <m/>
    <m/>
    <m/>
    <m/>
    <m/>
    <s v="Y"/>
    <s v="N"/>
    <m/>
    <s v="OFDA grant for $500,000 for NFIs"/>
    <m/>
    <s v="In September 2009, a series of typhoons hit Southeast Asia, causing floods and landslides affecting millions.  Typhoons Ketsana and Parma were particularly damaging to communities in the Philippines and Vietnam, although areas of Cambodia and Laos were also impacted.  The Philippine Red Cross and Vietnam Red Cross provided clean water, food parcels and relief items to affected families. In Vietnam, the American Red Cross implemented a $500,000 OFDA grant to provide emergency cash grants and it provided $100,000 to support future disaster risk reduction activities, for a total of $955,750.  In the Philippines, the American Red Cross implemented $500,000 OFDA grant to for  relief supplies. It also provided $250,000 to support early recovery activities, for a totalof $1,168,000. _x000a_"/>
    <s v="Philippines: SUPPLIES: approx $118,000 in relief supplies from KL warehouse. CASH: $550,000 = $250,000 PMN to Philippines Appeal for early recovery (plus cost recovery) +$300,000 PMN to Philippines appeal for shelter, relief and watsan (plus cost recovery); plus OFDA grant for $500,000 for locally procured NFIs l w/ARC mgmt through Philippines RC (counted as cash to Ntl Soc). PEOPLE: 1) Mariza Rogers deployed as shelter coordinator delegate for one month - started Oct. 5.  2) Cristina Hammond deployed to implement OFDA NFI distribution Oct. 16 for one month"/>
  </r>
  <r>
    <s v="FL-2009-000207-VNM"/>
    <n v="233"/>
    <x v="226"/>
    <d v="2009-09-02T00:00:00"/>
    <x v="14"/>
    <n v="6"/>
    <s v="Q1"/>
    <n v="2009"/>
    <n v="16"/>
    <s v="Europe/Asia"/>
    <s v="Vietnam"/>
    <s v="Hydrometerological"/>
    <s v="Tropical Storm"/>
    <m/>
    <m/>
    <n v="3000000"/>
    <x v="1"/>
    <s v="IFRC"/>
    <n v="3900000"/>
    <m/>
    <s v="MDRVN006"/>
    <n v="0.24358974358974358"/>
    <n v="1.01"/>
    <d v="2011-03-02T00:00:00"/>
    <s v="Y"/>
    <n v="324167"/>
    <n v="270000"/>
    <m/>
    <m/>
    <x v="1"/>
    <n v="450000"/>
    <m/>
    <n v="500000"/>
    <m/>
    <n v="950000"/>
    <n v="1"/>
    <m/>
    <n v="1"/>
    <m/>
    <m/>
    <m/>
    <m/>
    <m/>
    <m/>
    <m/>
    <m/>
    <m/>
    <m/>
    <m/>
    <m/>
    <m/>
    <m/>
    <m/>
    <m/>
    <m/>
    <n v="950000"/>
    <n v="1200000"/>
    <m/>
    <m/>
    <n v="2150000"/>
    <x v="1"/>
    <m/>
    <m/>
    <m/>
    <m/>
    <n v="2698"/>
    <m/>
    <m/>
    <m/>
    <m/>
    <m/>
    <m/>
    <s v="Y"/>
    <s v="N"/>
    <m/>
    <s v="OFDA grant for $500,000 for cash transfer programming"/>
    <m/>
    <s v="In September 2009, a series of typhoons hit Southeast Asia, causing floods and landslides affecting millions.  Typhoons Ketsana and Parma were particularly damaging to communities in the Philippines and Vietnam, although areas of Cambodia and Laos were also impacted.  The Philippine Red Cross and Vietnam Red Cross provided clean water, food parcels and relief items to affected families. In Vietnam, the American Red Cross implemented a $500,000 OFDA grant to provide emergency cash grants and it provided $100,000 to support future disaster risk reduction activities, for a total of $955,750.  In the Philippines, the American Red Cross implemented $500,000 OFDA grant to for  relief supplies. It also provided $250,000 to support early recovery activities, for a totalof $1,168,000. _x000a_"/>
    <s v="Vietnam: CASH: Cash: $450,000 total:  $50,000 PMN Oct. 2 + $300,000 PMN Oct. 5 to Federation Vietnam Appeal - earmarked for shelter, NFIs and Wat/San + $100,000 PMN to Vietnam Appeal for DRR (plus cost recovery). OFDA grant for $500,000 for cash programming; PEOPLE: Michael Zeleke delegate to Vietnam to work on cash programming."/>
  </r>
  <r>
    <s v="TS-2009-000211-IDN"/>
    <n v="234"/>
    <x v="227"/>
    <d v="2009-09-02T00:00:00"/>
    <x v="14"/>
    <n v="7"/>
    <s v="Q1"/>
    <n v="2009"/>
    <n v="17"/>
    <s v="Europe/Asia"/>
    <s v="Indonesia"/>
    <s v="Geophysical"/>
    <s v="Earthquake"/>
    <m/>
    <m/>
    <n v="1000000"/>
    <x v="1"/>
    <s v="IFRC"/>
    <n v="18600000"/>
    <m/>
    <s v="MDRID004"/>
    <n v="2.6881720430107527E-2"/>
    <n v="0.93"/>
    <m/>
    <s v="Y"/>
    <n v="227106"/>
    <n v="100000"/>
    <m/>
    <n v="25000"/>
    <x v="2"/>
    <m/>
    <m/>
    <n v="500000"/>
    <m/>
    <n v="500000"/>
    <n v="1"/>
    <m/>
    <n v="1"/>
    <n v="44181"/>
    <s v="Y"/>
    <m/>
    <n v="20981"/>
    <m/>
    <m/>
    <m/>
    <m/>
    <m/>
    <n v="13200"/>
    <m/>
    <n v="10000"/>
    <m/>
    <m/>
    <m/>
    <n v="400000"/>
    <m/>
    <n v="900000"/>
    <n v="764192.86"/>
    <m/>
    <m/>
    <n v="1664192.8599999999"/>
    <x v="1"/>
    <m/>
    <m/>
    <m/>
    <m/>
    <n v="2930"/>
    <m/>
    <m/>
    <m/>
    <m/>
    <m/>
    <m/>
    <s v="Y"/>
    <s v="N"/>
    <m/>
    <s v="OFDA grant for $500,000 for NFIs"/>
    <m/>
    <s v="Over a 48-hour period, two earthquakes struck the west coast of the island of Sumatra in Indonesia, killing 1,195 people. The Indonesian Red Cross (PMI) provided relief items, medical support, family reunification and temporary shelters, and  emergency water and sanitation services. The American Red Cross provided $400,000 in relief supplies and received a $500,000 OFDA grant to provide additional relief supplies and potable water. It also  deployed a disaster specialist to monitor and evaluate the progress of relief supply distribution. _x000a_"/>
    <s v="CASH: OFDA grant for $500,000 to fund NFIs; SUPPLIES: 44,180 supplies (cost: $400,000) from KL warehouse; PEOPLE: Alex Mahoney onsite 3 weeks to coordinate OFDA NFIs distribution."/>
  </r>
  <r>
    <s v="2009-000209 - ASM; 2009-000210-WSM"/>
    <n v="235"/>
    <x v="228"/>
    <d v="2009-10-01T00:00:00"/>
    <x v="14"/>
    <n v="8"/>
    <s v="Q2"/>
    <n v="2009"/>
    <n v="18"/>
    <s v="Europe/Asia"/>
    <s v="Samoa"/>
    <s v="Hydrometerological"/>
    <s v="Tsunami"/>
    <m/>
    <m/>
    <n v="10000"/>
    <x v="1"/>
    <s v="IFRC"/>
    <n v="2738653"/>
    <m/>
    <s v="MDRWS001"/>
    <n v="3.6514301008561512E-2"/>
    <n v="1.01"/>
    <d v="2011-10-13T00:00:00"/>
    <s v="Y"/>
    <n v="313729"/>
    <n v="5000"/>
    <m/>
    <n v="2500"/>
    <x v="1"/>
    <n v="100000"/>
    <m/>
    <m/>
    <m/>
    <n v="100000"/>
    <m/>
    <m/>
    <m/>
    <m/>
    <m/>
    <m/>
    <m/>
    <m/>
    <m/>
    <m/>
    <m/>
    <m/>
    <m/>
    <m/>
    <m/>
    <m/>
    <m/>
    <m/>
    <m/>
    <m/>
    <n v="100000"/>
    <m/>
    <m/>
    <m/>
    <n v="100000"/>
    <x v="2"/>
    <m/>
    <m/>
    <m/>
    <m/>
    <n v="2799"/>
    <m/>
    <m/>
    <m/>
    <m/>
    <m/>
    <m/>
    <m/>
    <s v="Y"/>
    <m/>
    <m/>
    <m/>
    <s v="On September 29, an earthquake of magnitude 8.0 occurred in the Pacific Ocean off the coast of American Samoa, causing a destructive tsunami wave that struck American Samoa, Samoa and the island of Niuatoputapu in Tonga.  The Samoa Red Cross Society, the Tonga Red Cross Society, and the domestic Disaster Services of the American Red Cross responded directly with food, shelter and relief supplies.  International Services of the American Red Cross provided $100,000 to support the Federation's appeal for  Samoa."/>
    <s v="CASH: $100,000 PMN to Federation Appeal from Rapid Response Fund"/>
  </r>
  <r>
    <s v="FL-2009-000217-IND"/>
    <n v="236"/>
    <x v="33"/>
    <d v="2009-10-27T00:00:00"/>
    <x v="14"/>
    <n v="9"/>
    <s v="Q2"/>
    <n v="2009"/>
    <n v="19"/>
    <s v="Europe/Asia"/>
    <s v="India"/>
    <s v="Hydrometerological"/>
    <s v="Floods"/>
    <m/>
    <m/>
    <n v="4100000"/>
    <x v="1"/>
    <s v="NS"/>
    <n v="3100000"/>
    <m/>
    <s v="MDRIN004"/>
    <n v="0"/>
    <m/>
    <m/>
    <s v="Y"/>
    <n v="51364"/>
    <n v="125000"/>
    <m/>
    <m/>
    <x v="2"/>
    <m/>
    <m/>
    <m/>
    <m/>
    <n v="0"/>
    <m/>
    <m/>
    <m/>
    <n v="7500"/>
    <s v="N"/>
    <m/>
    <m/>
    <m/>
    <m/>
    <m/>
    <n v="7500"/>
    <m/>
    <m/>
    <m/>
    <m/>
    <m/>
    <m/>
    <m/>
    <n v="190000"/>
    <m/>
    <n v="190000"/>
    <m/>
    <m/>
    <m/>
    <n v="190000"/>
    <x v="2"/>
    <m/>
    <m/>
    <m/>
    <m/>
    <s v="2003/2695"/>
    <m/>
    <m/>
    <m/>
    <m/>
    <m/>
    <m/>
    <m/>
    <s v="N"/>
    <m/>
    <m/>
    <m/>
    <s v="The heaviest rains in more than a century have inundated parts of Andhra Pradesh and Karnataka states in southern India. The Krishna River and its tributaries has flooded surrounding villages, killing 384 people, displacing 674,500 and affecting more than 4.1 million.  The Indian Red Cross provided relief supplies,  damage assessments and issued a $3.1 million national appeal for assistance.  The American Red Cross is providing relief supplies valued at $180,000 to the Indian Red Cross to assist in the response operation."/>
    <s v="SUPPLIES: In response to Indian RC national appeal, ARC locally procured approx 2,700 kitchen sets to deliver to Indian RC, using APs 2003 (India R &amp; D) and 2695 (TRP funds for Andra Pradesh DM) - this effectively closes out these APs ($190,000 spent total)"/>
  </r>
  <r>
    <s v="DR-2009-000197-KEN"/>
    <n v="237"/>
    <x v="229"/>
    <d v="2009-11-05T00:00:00"/>
    <x v="14"/>
    <n v="10"/>
    <s v="Q2"/>
    <n v="2009"/>
    <n v="20"/>
    <s v="Africa"/>
    <s v="Kenya"/>
    <s v="Hydrometerological"/>
    <s v="Drought"/>
    <m/>
    <m/>
    <n v="3800000"/>
    <x v="1"/>
    <s v="IFRC"/>
    <n v="2246714"/>
    <m/>
    <s v="MDRKE009"/>
    <n v="4.450944802053132E-2"/>
    <n v="1"/>
    <d v="2011-07-31T00:00:00"/>
    <s v="Y"/>
    <n v="500000"/>
    <n v="1692428"/>
    <m/>
    <n v="21668"/>
    <x v="1"/>
    <n v="100000"/>
    <m/>
    <m/>
    <m/>
    <n v="100000"/>
    <m/>
    <m/>
    <m/>
    <m/>
    <m/>
    <m/>
    <m/>
    <m/>
    <m/>
    <m/>
    <m/>
    <m/>
    <m/>
    <m/>
    <m/>
    <m/>
    <m/>
    <m/>
    <m/>
    <m/>
    <n v="100000"/>
    <m/>
    <m/>
    <m/>
    <n v="100000"/>
    <x v="2"/>
    <m/>
    <m/>
    <m/>
    <m/>
    <n v="2799"/>
    <m/>
    <m/>
    <m/>
    <m/>
    <m/>
    <m/>
    <m/>
    <s v="Y"/>
    <m/>
    <m/>
    <m/>
    <s v="In Kenya, the cumulative effects of three consecutive failed rainy seasons and the 2008 post election violence crippled food production, reducing it by 40%. An estimated 3.8 million pastoralists and marginal farmers required urgent food assistance. The Kenya Red Cross distributed seeds to farming households, trucked water to areas with severe shortages and provided food.  The American Red Cross provided $100,000 in support of the response. "/>
    <s v="CASH: $100,000 PMN to Federation Appeal from Rapid Response Fund earmarked for seeds."/>
  </r>
  <r>
    <s v="FL-2009-000206-HTI"/>
    <n v="238"/>
    <x v="120"/>
    <d v="2009-11-12T00:00:00"/>
    <x v="14"/>
    <n v="11"/>
    <s v="Q2"/>
    <n v="2009"/>
    <n v="21"/>
    <s v="LAC"/>
    <s v="Haiti"/>
    <s v="Hydrometerological"/>
    <s v="Floods"/>
    <m/>
    <m/>
    <n v="2500"/>
    <x v="2"/>
    <m/>
    <m/>
    <m/>
    <m/>
    <s v=""/>
    <m/>
    <m/>
    <s v="Y"/>
    <n v="103918"/>
    <n v="2500"/>
    <s v="Y"/>
    <m/>
    <x v="2"/>
    <m/>
    <m/>
    <m/>
    <m/>
    <n v="0"/>
    <n v="1"/>
    <m/>
    <n v="1"/>
    <m/>
    <m/>
    <m/>
    <m/>
    <m/>
    <m/>
    <m/>
    <m/>
    <m/>
    <m/>
    <m/>
    <m/>
    <m/>
    <m/>
    <m/>
    <m/>
    <m/>
    <n v="0"/>
    <m/>
    <m/>
    <m/>
    <n v="0"/>
    <x v="2"/>
    <m/>
    <m/>
    <m/>
    <m/>
    <n v="2885"/>
    <m/>
    <m/>
    <m/>
    <m/>
    <m/>
    <m/>
    <m/>
    <s v="N"/>
    <m/>
    <m/>
    <m/>
    <s v="Heavy rains triggered flooding in Haiti’s Carrefour department, causing floods and damaging 500 homes.  The Haitian Red Cross conducted assessments of water systems and distributed water to the affected population.   The American Red Cross provided a disaster specialist to assist the Haitian Red Cross in its response operation.  "/>
    <s v="PEOPLE: John Manley deployed to Haiti NRC as a RIT for DREF operation."/>
  </r>
  <r>
    <s v="FL-2009-000238-SLV"/>
    <n v="239"/>
    <x v="230"/>
    <d v="2009-11-16T00:00:00"/>
    <x v="14"/>
    <n v="12"/>
    <s v="Q2"/>
    <n v="2009"/>
    <n v="22"/>
    <s v="LAC"/>
    <s v="El Salvador"/>
    <s v="Hydrometerological"/>
    <s v="Floods"/>
    <m/>
    <m/>
    <n v="75000"/>
    <x v="1"/>
    <s v="IFRC"/>
    <n v="1835942"/>
    <m/>
    <s v="MDRSV002"/>
    <n v="0.13268665349994715"/>
    <n v="0.92"/>
    <d v="2011-11-16T00:00:00"/>
    <s v="Y"/>
    <n v="180614"/>
    <n v="10000"/>
    <m/>
    <m/>
    <x v="1"/>
    <n v="243605"/>
    <m/>
    <m/>
    <m/>
    <n v="243605"/>
    <m/>
    <m/>
    <m/>
    <n v="1000"/>
    <s v="Y"/>
    <n v="500"/>
    <m/>
    <m/>
    <m/>
    <m/>
    <n v="500"/>
    <m/>
    <m/>
    <m/>
    <m/>
    <m/>
    <m/>
    <m/>
    <n v="31240"/>
    <m/>
    <n v="274845"/>
    <m/>
    <m/>
    <m/>
    <n v="274845"/>
    <x v="1"/>
    <m/>
    <m/>
    <m/>
    <m/>
    <n v="2882"/>
    <m/>
    <m/>
    <m/>
    <m/>
    <m/>
    <n v="193000"/>
    <m/>
    <s v="N"/>
    <m/>
    <s v="UPS donated $50,000; ARCT Funds applied for as of 11/18/09"/>
    <s v="ARCT"/>
    <s v="El Salvador experienced significant floods and mudslides due to the combined effects of Tropical Storm Ida resulting in overflowing rivers, destroyed houses, health centers, crops and infrastructure.  The Salvadoran Red Cross mobilized, providing search and rescue services, transport, first aid, basic relief supplies and safe drinking water. The American Red Cross provided $193,000  to support transitional shelters and kitchen sets and hygiene kits valued at $31,000."/>
    <s v="CASH: $193,603 to Federation Appeal earmarked for transitional shelter; SUPPLIES: $24,500 in kitchen sets and hygiene kits. "/>
  </r>
  <r>
    <s v="EQ-2010-000009-HTI"/>
    <n v="240"/>
    <x v="231"/>
    <d v="2010-01-12T00:00:00"/>
    <x v="14"/>
    <n v="13"/>
    <s v="Q3"/>
    <n v="2010"/>
    <n v="1"/>
    <s v="LAC"/>
    <s v="Haiti"/>
    <s v="Geophysical"/>
    <s v="Earthquake"/>
    <m/>
    <m/>
    <n v="2000000"/>
    <x v="1"/>
    <s v="IFRC"/>
    <n v="270204199"/>
    <m/>
    <s v="MDRHT008"/>
    <n v="0.1727391750488674"/>
    <n v="0.94"/>
    <d v="2012-02-01T00:00:00"/>
    <s v="Y"/>
    <n v="491265"/>
    <n v="400000"/>
    <m/>
    <m/>
    <x v="1"/>
    <n v="42297504"/>
    <n v="4377346.43"/>
    <m/>
    <m/>
    <n v="46674850.43"/>
    <n v="82"/>
    <s v=" IT/Telecoms; Relief ERU"/>
    <n v="85"/>
    <n v="5143307"/>
    <s v="Y"/>
    <m/>
    <m/>
    <m/>
    <m/>
    <m/>
    <m/>
    <m/>
    <m/>
    <m/>
    <m/>
    <m/>
    <m/>
    <m/>
    <n v="15266353"/>
    <m/>
    <n v="139611532"/>
    <n v="337000000"/>
    <m/>
    <m/>
    <n v="139611532"/>
    <x v="1"/>
    <s v="F"/>
    <n v="476611532"/>
    <d v="2010-09-01T00:00:00"/>
    <m/>
    <n v="2888"/>
    <m/>
    <m/>
    <m/>
    <m/>
    <m/>
    <m/>
    <m/>
    <s v="N"/>
    <m/>
    <s v="various - notably online and text donations from individuals; telethons. "/>
    <s v="Yes"/>
    <s v="On January 12, a magnitude 7 earthquake struck Haiti near Port-au-Prince, causing massive damage, killing more than 200,000 people and displacing 2 million people from their homes. "/>
    <s v="As of June 30 2010: CASH &amp; SUPPLIES: See detailed donor report, mob table, etc. for specific amounts to Federation, amount spent, etc. Raised: $468 million. PEOPLE: 65+ deployed to Haiti, DR and PADRU: Relief and IT/Telecoms ERU deployed, and various delegates to Fed and ARC delegation in Haiti, to Fed at PADRU, to Fed logistics in Santo Domingo, DR, plus NHQ to backfill. See the Deployments History tab in this spreadsheet or the RAPs for list of all personnel deploying and roles. "/>
  </r>
  <r>
    <s v="FL-2009-000264-TZA"/>
    <n v="241"/>
    <x v="232"/>
    <d v="2010-01-25T00:00:00"/>
    <x v="14"/>
    <n v="14"/>
    <s v="Q3"/>
    <n v="2010"/>
    <n v="2"/>
    <s v="Africa"/>
    <s v="Tanzania"/>
    <m/>
    <s v="Floods"/>
    <m/>
    <m/>
    <n v="50000"/>
    <x v="1"/>
    <s v="IFRC"/>
    <n v="1008954"/>
    <m/>
    <s v="MDRTZ010"/>
    <n v="0.19822509252156192"/>
    <n v="0.9"/>
    <d v="2011-05-10T00:00:00"/>
    <s v="Y"/>
    <n v="313536"/>
    <n v="23000"/>
    <m/>
    <m/>
    <x v="1"/>
    <n v="200000"/>
    <m/>
    <m/>
    <m/>
    <n v="200000"/>
    <m/>
    <m/>
    <m/>
    <m/>
    <m/>
    <m/>
    <m/>
    <m/>
    <m/>
    <m/>
    <m/>
    <m/>
    <m/>
    <m/>
    <m/>
    <m/>
    <m/>
    <m/>
    <m/>
    <m/>
    <n v="200000"/>
    <m/>
    <m/>
    <m/>
    <n v="200000"/>
    <x v="2"/>
    <m/>
    <m/>
    <m/>
    <m/>
    <n v="2869"/>
    <m/>
    <m/>
    <m/>
    <m/>
    <m/>
    <n v="200000"/>
    <m/>
    <s v="N"/>
    <m/>
    <s v="ARCT funds - $200,000"/>
    <s v="ARCT"/>
    <m/>
    <s v="CASH: Anne Ray Charitable Trust funds applied $200,000 towards water and sanitation equipment."/>
  </r>
  <r>
    <s v="EQ-2010-000034-CHL "/>
    <n v="242"/>
    <x v="233"/>
    <d v="2010-02-27T00:00:00"/>
    <x v="14"/>
    <n v="15"/>
    <s v="Q3"/>
    <n v="2010"/>
    <n v="3"/>
    <s v="LAC"/>
    <s v="Chile"/>
    <m/>
    <s v="Earthquake"/>
    <m/>
    <m/>
    <n v="2000000"/>
    <x v="1"/>
    <s v="IFRC"/>
    <n v="17562275"/>
    <m/>
    <s v="MDRCL006"/>
    <n v="5.6940231262749275E-2"/>
    <n v="0.93"/>
    <d v="2011-12-06T00:00:00"/>
    <s v="Y"/>
    <n v="279350"/>
    <n v="100000"/>
    <m/>
    <m/>
    <x v="1"/>
    <n v="500000"/>
    <m/>
    <n v="500000"/>
    <m/>
    <n v="1000000"/>
    <n v="2"/>
    <m/>
    <n v="2"/>
    <n v="6160"/>
    <s v="Y"/>
    <n v="1160"/>
    <m/>
    <n v="5000"/>
    <m/>
    <m/>
    <m/>
    <m/>
    <m/>
    <m/>
    <m/>
    <m/>
    <m/>
    <m/>
    <n v="96000"/>
    <m/>
    <n v="1096000"/>
    <n v="5304000"/>
    <m/>
    <m/>
    <n v="6400000"/>
    <x v="1"/>
    <m/>
    <m/>
    <m/>
    <m/>
    <n v="2896"/>
    <m/>
    <m/>
    <m/>
    <m/>
    <m/>
    <m/>
    <m/>
    <s v="N"/>
    <m/>
    <m/>
    <s v="Yes"/>
    <s v="On February 27, 2010, an 8.8 earthquake occurred in Bío-Bío region in central Chile. An ensuing tsunami affected the island of Juan Fernandez and communities along the coast in Bío-Bío region, inflicting loss of life and major damage to infrastructure. The Chile Red Cross mobilized volunteers and provided emergency relief to more than 22,000 Chileans.  The American Red Cross deployeda team to assess recovery needs in the areas of health, shelter, water and sanitation, and disaster preparedness.  The American Red Cross then formed a long ter program in Chile for  more than $3 million to support recovery efforts."/>
    <s v="CASH: $50,000 made available from IRF as initial response. $450,000 made available in subsequent week. SUPPLIES: 5,000 jerry cans; 1,160 hygiene kits. PEOPLE: Alvaro Garita  - Relief delegate, Gonzalo Aquino - Water and Sanitation  delegate."/>
  </r>
  <r>
    <s v="EQ-2010-000073-CHN"/>
    <n v="243"/>
    <x v="104"/>
    <d v="2010-04-10T00:00:00"/>
    <x v="14"/>
    <n v="16"/>
    <s v="Q4"/>
    <n v="2010"/>
    <n v="4"/>
    <s v="Europe/Asia"/>
    <s v="China"/>
    <m/>
    <s v="Earthquake"/>
    <m/>
    <m/>
    <n v="100000"/>
    <x v="1"/>
    <s v="NS"/>
    <m/>
    <m/>
    <m/>
    <s v=""/>
    <m/>
    <m/>
    <m/>
    <m/>
    <s v="tbd"/>
    <m/>
    <m/>
    <x v="2"/>
    <n v="0"/>
    <m/>
    <n v="500000"/>
    <m/>
    <n v="500000"/>
    <m/>
    <m/>
    <m/>
    <m/>
    <m/>
    <m/>
    <n v="198970"/>
    <m/>
    <m/>
    <m/>
    <m/>
    <m/>
    <m/>
    <m/>
    <m/>
    <m/>
    <m/>
    <m/>
    <m/>
    <m/>
    <n v="500000"/>
    <m/>
    <m/>
    <m/>
    <n v="500000"/>
    <x v="1"/>
    <m/>
    <m/>
    <m/>
    <m/>
    <n v="2571"/>
    <m/>
    <m/>
    <m/>
    <m/>
    <m/>
    <m/>
    <m/>
    <s v="N"/>
    <m/>
    <m/>
    <m/>
    <s v="A 6.9 magnitude earthquake hit northwest China's Qinghai Province on April 14, 2010, the strongest quake to hit the remote mountainous area since 1976. The Red Cross Society of China responded with teams and relief supplies from their regional warehouses.   • Although international assistance was not requested the American Red Cross provided $500,000 in support of the Red Cross response.  _x000a_"/>
    <s v="National Society has issued it own appeal. ARC decided to contribute $500,000 after June 30 2010.  An additional $500,000 will go to future community disaster preparedness."/>
  </r>
  <r>
    <s v="CW-2010-000010-MNG"/>
    <n v="244"/>
    <x v="234"/>
    <d v="2010-05-10T00:00:00"/>
    <x v="14"/>
    <n v="17"/>
    <s v="Q4"/>
    <n v="2010"/>
    <n v="5"/>
    <s v="Europe/Asia"/>
    <s v="Mongolia"/>
    <m/>
    <s v="Winter storm"/>
    <m/>
    <m/>
    <n v="507000"/>
    <x v="1"/>
    <s v="IFRC"/>
    <n v="1434162"/>
    <m/>
    <s v="MDRMN004"/>
    <n v="0.10110433828256501"/>
    <n v="1"/>
    <d v="2011-04-01T00:00:00"/>
    <s v="Y"/>
    <n v="93924"/>
    <n v="13600"/>
    <m/>
    <m/>
    <x v="1"/>
    <n v="145000"/>
    <m/>
    <m/>
    <m/>
    <n v="145000"/>
    <m/>
    <m/>
    <m/>
    <m/>
    <m/>
    <m/>
    <m/>
    <m/>
    <m/>
    <m/>
    <m/>
    <m/>
    <m/>
    <m/>
    <m/>
    <m/>
    <m/>
    <m/>
    <m/>
    <m/>
    <n v="145000"/>
    <m/>
    <m/>
    <m/>
    <n v="145000"/>
    <x v="2"/>
    <m/>
    <m/>
    <m/>
    <m/>
    <n v="2869"/>
    <m/>
    <m/>
    <m/>
    <m/>
    <m/>
    <n v="145000"/>
    <m/>
    <s v="N"/>
    <m/>
    <s v="ARCT"/>
    <s v="ARCT"/>
    <s v="More than ninety percent of Mongolia experienced severe winter conditions compounded by dzud -- continuous heavy snowfall combined with extreme cold and preceded by dry summers, resulting in the insufficient production of grazing pastures. The dzud   devastated the livelihood of herders by causing a serious loss of livestock, their primary source of income and food.  The Mongolian Red Cross provided relief supplies, health services and psychosocial support and herd restocking support.   The American Red Cross  provided nearly $144,690 to support relief supplies, healthcare support and livelihoods rehabilitation.  "/>
    <s v="CASH: $145,000 contribution made to Federation appeal from Anne Ray Charitable Trust (ARCT) funds"/>
  </r>
  <r>
    <m/>
    <n v="245"/>
    <x v="235"/>
    <d v="2010-05-20T00:00:00"/>
    <x v="14"/>
    <n v="18"/>
    <s v="Q4"/>
    <n v="2010"/>
    <n v="6"/>
    <s v="Europe/Asia"/>
    <s v="Nepal"/>
    <m/>
    <s v="Epidemic"/>
    <m/>
    <m/>
    <n v="67000"/>
    <x v="1"/>
    <s v="IFRC"/>
    <n v="664175"/>
    <m/>
    <s v="MDRNP004"/>
    <n v="7.5281364098317455E-2"/>
    <n v="0.59"/>
    <d v="2011-05-24T00:00:00"/>
    <s v="Y"/>
    <n v="179855"/>
    <n v="189000"/>
    <m/>
    <m/>
    <x v="1"/>
    <n v="50000"/>
    <m/>
    <m/>
    <m/>
    <n v="50000"/>
    <m/>
    <m/>
    <m/>
    <m/>
    <m/>
    <m/>
    <m/>
    <m/>
    <m/>
    <m/>
    <m/>
    <m/>
    <m/>
    <m/>
    <m/>
    <m/>
    <m/>
    <m/>
    <m/>
    <m/>
    <n v="50000"/>
    <m/>
    <m/>
    <m/>
    <n v="50000"/>
    <x v="2"/>
    <m/>
    <m/>
    <m/>
    <m/>
    <n v="2799"/>
    <m/>
    <m/>
    <m/>
    <m/>
    <m/>
    <m/>
    <m/>
    <s v="Y"/>
    <m/>
    <m/>
    <m/>
    <s v="Diarrhea is endemic to Nepal due to unsafe hygiene practices, open defecation and lack of access to safe drinking water.  Cases rose in remote districts of western Nepal, with 17 deaths and 300 cases officially reported. The Nepal Red Cross Society mobilized to conduct emergency hygiene promotion campaigns and preposition relief supplies.  In response, the American Red Cross provided $50,000 to help distribute diarrhea prevention kits and support hygiene promotion.  "/>
    <s v="CASH: $50,000 towards Federation appeal."/>
  </r>
  <r>
    <s v="TC-2010-000105-GTM"/>
    <n v="246"/>
    <x v="236"/>
    <d v="2010-06-01T00:00:00"/>
    <x v="14"/>
    <n v="19"/>
    <s v="Q4"/>
    <n v="2010"/>
    <n v="7"/>
    <s v="LAC"/>
    <s v="Guatemala"/>
    <m/>
    <s v="Tropical Storm"/>
    <m/>
    <m/>
    <n v="173518"/>
    <x v="1"/>
    <s v="IFRC"/>
    <n v="1405243"/>
    <m/>
    <s v="MDRGT002"/>
    <n v="7.1162069478374917E-2"/>
    <n v="1.03"/>
    <d v="2012-04-04T00:00:00"/>
    <s v="Y"/>
    <n v="307254"/>
    <n v="7500"/>
    <m/>
    <n v="1250"/>
    <x v="1"/>
    <n v="100000"/>
    <m/>
    <m/>
    <m/>
    <n v="100000"/>
    <m/>
    <m/>
    <m/>
    <n v="9900"/>
    <s v="Y"/>
    <n v="1000"/>
    <n v="7500"/>
    <n v="900"/>
    <m/>
    <m/>
    <n v="500"/>
    <m/>
    <m/>
    <m/>
    <m/>
    <m/>
    <m/>
    <m/>
    <n v="80000"/>
    <m/>
    <n v="180000"/>
    <m/>
    <m/>
    <m/>
    <n v="180000"/>
    <x v="2"/>
    <m/>
    <m/>
    <m/>
    <m/>
    <n v="2799"/>
    <m/>
    <m/>
    <m/>
    <m/>
    <m/>
    <m/>
    <m/>
    <s v="Y"/>
    <m/>
    <m/>
    <m/>
    <s v="Tropical Storm Agatha brought unusually heavy rainfall to Central America. El Salvador, Guatemala and Honduras were impacted, with Guatemala experiencing the highest amount of rainfall since 1949.  More than 150,000 people were evacuated from their homes and landslides occurred. Red Cross national societies in the affected countries  mobilized to meet the basic needs of the affected population.  The American Red Cross provided $100,000 toward the global Red Cross relief operation in Guatemala and $80,000 in relief supplies. _x000a_"/>
    <s v="CASH: $100,000 to Federation appeal. SUPPLIES: $80,000 in relief supplies from PADRU."/>
  </r>
  <r>
    <s v="OT-2010-000113-KGZ"/>
    <n v="247"/>
    <x v="237"/>
    <d v="2010-06-01T00:00:00"/>
    <x v="14"/>
    <n v="20"/>
    <s v="Q4"/>
    <n v="2010"/>
    <n v="8"/>
    <s v="Europe/Asia"/>
    <s v="Kyrgyzstan"/>
    <m/>
    <s v="Conflict"/>
    <m/>
    <m/>
    <n v="375000"/>
    <x v="1"/>
    <s v="ICRC /IFRC"/>
    <n v="1209785"/>
    <n v="8800000"/>
    <s v="MDRUZ002"/>
    <n v="8.2659315498208361E-2"/>
    <n v="0.96"/>
    <d v="2011-03-31T00:00:00"/>
    <s v="Y"/>
    <n v="269348"/>
    <n v="124000"/>
    <m/>
    <m/>
    <x v="1"/>
    <n v="50000"/>
    <n v="50000"/>
    <m/>
    <m/>
    <n v="100000"/>
    <m/>
    <m/>
    <m/>
    <m/>
    <m/>
    <m/>
    <m/>
    <m/>
    <m/>
    <m/>
    <m/>
    <m/>
    <m/>
    <m/>
    <m/>
    <m/>
    <m/>
    <m/>
    <m/>
    <m/>
    <n v="100000"/>
    <m/>
    <m/>
    <m/>
    <n v="100000"/>
    <x v="1"/>
    <s v="C"/>
    <m/>
    <m/>
    <m/>
    <s v="2955/2799"/>
    <m/>
    <m/>
    <m/>
    <m/>
    <m/>
    <m/>
    <m/>
    <s v="Y"/>
    <m/>
    <m/>
    <m/>
    <s v="Since April 2010, political upheaval and ethnic clashes  escalated between Kyrgyz and Uzbeks living in southwest Kyrgyzstan.  Violent clashes, including looting and targeted killing led an estimated 375,000 residents to flee their homes.  The Kyrgyz Red Crescent Society and the Uzbek Red Cross Society provided relief supplies and other support to those affected by the conflict. The American Red Cross committed $200,000 to ICRC and Federation appeals in support of response efforts. "/>
    <s v="CASH: $50,000 to ICRC Kyrgyzstan appeal; $50,000 to IFRC Kyrgyzstan appeal; $100,000 to IFRC Uzbekistan appeal (this amount from GM donation). "/>
  </r>
  <r>
    <s v="OT-2010-000113-KGZ"/>
    <n v="247"/>
    <x v="237"/>
    <d v="2010-06-01T00:00:00"/>
    <x v="14"/>
    <n v="20"/>
    <s v="Q4"/>
    <n v="2010"/>
    <n v="8"/>
    <s v="Europe/Asia"/>
    <s v="Uzbekistan"/>
    <m/>
    <s v="Conflict"/>
    <m/>
    <m/>
    <m/>
    <x v="1"/>
    <s v="IFRC"/>
    <n v="1054292"/>
    <m/>
    <s v="MDRKG007"/>
    <n v="9.4850383005846584E-2"/>
    <n v="0.46"/>
    <d v="2011-08-30T00:00:00"/>
    <m/>
    <m/>
    <n v="5265"/>
    <m/>
    <m/>
    <x v="1"/>
    <n v="100000"/>
    <m/>
    <m/>
    <m/>
    <n v="100000"/>
    <m/>
    <m/>
    <m/>
    <m/>
    <m/>
    <m/>
    <m/>
    <m/>
    <m/>
    <m/>
    <m/>
    <m/>
    <m/>
    <m/>
    <m/>
    <m/>
    <m/>
    <m/>
    <m/>
    <m/>
    <n v="100000"/>
    <m/>
    <m/>
    <m/>
    <n v="100000"/>
    <x v="1"/>
    <s v="C"/>
    <m/>
    <m/>
    <m/>
    <s v="2955/2799"/>
    <m/>
    <m/>
    <m/>
    <m/>
    <m/>
    <m/>
    <m/>
    <s v="Y"/>
    <m/>
    <m/>
    <m/>
    <s v="Since April 2010, political upheaval and ethnic clashes  escalated between Kyrgyz and Uzbeks living in southwest Kyrgyzstan.  Violent clashes, including looting and targeted killing led an estimated 375,000 residents to flee their homes.  The Kyrgyz Red Crescent Society and the Uzbek Red Cross Society provided relief supplies and other support to those affected by the conflict. The American Red Cross committed $200,000 to ICRC and Federation appeals in support of response efforts. "/>
    <s v="see above"/>
  </r>
  <r>
    <s v="FL-2010-00141-PAK"/>
    <n v="248"/>
    <x v="238"/>
    <d v="2010-08-02T00:00:00"/>
    <x v="15"/>
    <n v="1"/>
    <s v="Q1"/>
    <n v="2010"/>
    <n v="9"/>
    <s v="Europe/Asia"/>
    <s v="Pakistan"/>
    <m/>
    <s v="Floods"/>
    <m/>
    <m/>
    <n v="20000000"/>
    <x v="1"/>
    <s v="both"/>
    <n v="133800000"/>
    <s v="need to look up"/>
    <s v="MDRPK006"/>
    <n v="3.0642750373692077E-2"/>
    <n v="0.71"/>
    <d v="2011-08-30T00:00:00"/>
    <s v="Y"/>
    <n v="239406"/>
    <n v="2600000"/>
    <m/>
    <m/>
    <x v="1"/>
    <n v="4100000"/>
    <m/>
    <m/>
    <m/>
    <n v="4850000"/>
    <n v="2"/>
    <m/>
    <n v="2"/>
    <n v="99900"/>
    <s v="Y"/>
    <m/>
    <n v="35000"/>
    <n v="15000"/>
    <n v="3650"/>
    <m/>
    <n v="10000"/>
    <m/>
    <n v="20000"/>
    <m/>
    <n v="10000"/>
    <m/>
    <n v="6250"/>
    <m/>
    <n v="824977"/>
    <m/>
    <n v="5674977"/>
    <n v="2525023"/>
    <m/>
    <m/>
    <n v="8200000"/>
    <x v="1"/>
    <s v="P"/>
    <m/>
    <m/>
    <m/>
    <n v="2799"/>
    <m/>
    <n v="2699"/>
    <m/>
    <m/>
    <m/>
    <m/>
    <m/>
    <s v="Y"/>
    <m/>
    <m/>
    <s v="Yes"/>
    <s v="In response to the devastating floods of 2010, the American Red Cross provided assistance valued at $8.2 million.  This consisted of:  $4.8 million for emergency shelter and other support; $2.5 million for vaccinations for measles and other diseases; 131,00 relief items from our regional warehouse; and deployment of two disaster relief specialists to help the Pakistan Red Crescent coordinate international assistance for the operation. "/>
    <s v="CASH: $100,000 PMN to Federation Appeal from AP2799/RRF - not to be replenished; $3,000,000 ($3M) PMN to Federation Appeal from AP2699 earmarked for relief &amp; emergency shelter;  $300,000 PMN to Federation Appeal from AP 2699 earmarked for relief &amp; emergency shelter; $700,000 PMN to Federation Appeal from AP2699 earmarked for relief; $1,000,000 allocated to contribution to the Measles Initiative, recipient organization TBD._x000a_SUPPLIES: Relief supplies from both KL and Dubai warehouses - emptied both - approx $1M total including transport; PEOPLE: Robin Younger and Christophe Lobry-Boulanger deployed fro Relief coordination cell to PRCS support. Raj Zafar was used from Federation Delegation for surge support for  Federation in Islamabad._x000a_$8.2M raised - remainder put into 'early recovery' column"/>
  </r>
  <r>
    <m/>
    <n v="249"/>
    <x v="6"/>
    <d v="2010-10-01T00:00:00"/>
    <x v="15"/>
    <n v="2"/>
    <s v="Q2"/>
    <n v="2010"/>
    <n v="10"/>
    <s v="LAC"/>
    <s v="Mexico"/>
    <m/>
    <s v="Floods"/>
    <m/>
    <m/>
    <n v="500000"/>
    <x v="2"/>
    <m/>
    <m/>
    <m/>
    <m/>
    <s v=""/>
    <m/>
    <m/>
    <s v="N"/>
    <m/>
    <m/>
    <s v="Y"/>
    <n v="50000"/>
    <x v="2"/>
    <m/>
    <m/>
    <n v="200000"/>
    <m/>
    <n v="200000"/>
    <m/>
    <m/>
    <m/>
    <m/>
    <m/>
    <m/>
    <m/>
    <m/>
    <m/>
    <m/>
    <m/>
    <m/>
    <m/>
    <m/>
    <m/>
    <m/>
    <m/>
    <m/>
    <m/>
    <m/>
    <n v="200000"/>
    <m/>
    <m/>
    <m/>
    <n v="200000"/>
    <x v="2"/>
    <m/>
    <m/>
    <m/>
    <m/>
    <s v="2869/ARCT"/>
    <m/>
    <m/>
    <m/>
    <m/>
    <m/>
    <n v="200000"/>
    <m/>
    <s v="N"/>
    <m/>
    <s v="ARCT funds - $200,000"/>
    <s v="ARCT"/>
    <s v="The 2010 hurricane season significantly impacted Mexico with record high seasonal rains combined with two major storms generated extensive flooding in Mexico’s southern states, affecting an estimated 500,000 people.   The American Red Cross committed a total of $400,000 in bilateral support the Mexican Red Cross response."/>
    <s v="CASH: $200,000 bilateral contribution/grant letter to Mexican Red Cross for relief - paid by ARCT funds."/>
  </r>
  <r>
    <s v="FL-2010-00194-VNM"/>
    <n v="250"/>
    <x v="21"/>
    <d v="2010-10-18T00:00:00"/>
    <x v="15"/>
    <n v="3"/>
    <s v="Q2"/>
    <n v="2010"/>
    <n v="11"/>
    <s v="Europe/Asia"/>
    <s v="Vietnam"/>
    <m/>
    <s v="Floods"/>
    <m/>
    <m/>
    <n v="660000"/>
    <x v="1"/>
    <s v="IFRC"/>
    <n v="1080000"/>
    <m/>
    <s v="MDRVN007"/>
    <n v="2.7777777777777776E-2"/>
    <m/>
    <m/>
    <s v="Y"/>
    <n v="160853"/>
    <n v="120000"/>
    <m/>
    <m/>
    <x v="2"/>
    <n v="30000"/>
    <m/>
    <m/>
    <m/>
    <n v="30000"/>
    <m/>
    <m/>
    <m/>
    <m/>
    <m/>
    <m/>
    <m/>
    <m/>
    <m/>
    <m/>
    <m/>
    <m/>
    <m/>
    <m/>
    <m/>
    <m/>
    <m/>
    <m/>
    <m/>
    <m/>
    <n v="30000"/>
    <m/>
    <m/>
    <m/>
    <n v="30000"/>
    <x v="2"/>
    <m/>
    <m/>
    <m/>
    <m/>
    <n v="2799"/>
    <m/>
    <m/>
    <m/>
    <m/>
    <m/>
    <m/>
    <m/>
    <s v="Y"/>
    <m/>
    <m/>
    <m/>
    <s v="Torrential rains  caused rivers and dams to overflow, inundating five provinces in Central Vietnam.   More than 100 people died and another 660,000 affected in the worst flooding in the country in 20 years.  The Vietnam Red Cross helped evacuate more than 24,000 people, distributed 3,400 household kits of supplies and $22,870 in small cash grants. The American Red Cross committed $30,000 to support relief efforts._x000a_"/>
    <s v="CASH: $30,000 PMN to Federation Appeal from 2799 (RRF) earmarked for relief."/>
  </r>
  <r>
    <s v="EP-2010-000210-HTI"/>
    <n v="251"/>
    <x v="239"/>
    <d v="2010-10-24T00:00:00"/>
    <x v="15"/>
    <n v="4"/>
    <s v="Q2"/>
    <n v="2010"/>
    <n v="12"/>
    <s v="LAC"/>
    <s v="Haiti"/>
    <m/>
    <s v="Epidemic"/>
    <m/>
    <m/>
    <m/>
    <x v="1"/>
    <s v="IFRC"/>
    <n v="12547960"/>
    <m/>
    <s v="MDR49007"/>
    <n v="0.17262829973955926"/>
    <n v="0.81"/>
    <d v="2011-10-06T00:00:00"/>
    <s v="Y"/>
    <n v="80618"/>
    <n v="1500000"/>
    <m/>
    <m/>
    <x v="1"/>
    <n v="2166133"/>
    <m/>
    <m/>
    <m/>
    <n v="2320081"/>
    <m/>
    <m/>
    <m/>
    <m/>
    <m/>
    <m/>
    <m/>
    <m/>
    <m/>
    <m/>
    <m/>
    <m/>
    <m/>
    <m/>
    <m/>
    <m/>
    <m/>
    <m/>
    <n v="694910"/>
    <m/>
    <n v="16068357"/>
    <m/>
    <m/>
    <m/>
    <n v="16068357"/>
    <x v="1"/>
    <s v="P"/>
    <m/>
    <m/>
    <m/>
    <n v="2888"/>
    <m/>
    <m/>
    <m/>
    <m/>
    <m/>
    <m/>
    <m/>
    <s v="N"/>
    <m/>
    <m/>
    <m/>
    <s v="A severe cholera outbreak spread from the Artibonite River area to all departments in Haiti.  The American Red Cross reached almost 116,000 people with information on cholera prevention, transmission and symptoms, as well as demonstrations on how to prepare oral rehydration solution and proper hand washing. Some 235 health promoters are going tent-to-tent with these messages in camps in Port-au-Prince, and an additional 130 volunteers are providing information in schools in the Northeast department. _x000a_Teams are also distributing soap, oral rehydration salts and water purification tablets in camps in Port-au-Prince, and have distributed some 253,000 relief items to over 110,000 people to date. In all the American Red Cross provided 14 million in support for the cholera response from its structure already in place in the Haiti Operation._x000a_"/>
    <s v="Spent figure directly from HAP as of May 2011. ARC committed to spend $14 million on Cholera. See HAP for additional details._x000a_CASH: $566,133 PMN to Federation Appeal: $537,500 earmarked for Haiti AP2888; $28,634 earmarked for Dominican Republic from AP2884; $1.6 million PMN for relief supplies; Funding transportation/flights of supplies for Partners in Health etc. Funding supplies, etc._x000a_SUPPLIES:Hygiene promotion, soap, oral rehydration salts, water tablets and chlorine for water purification, 5,000 Cots for medical facilities, Transport of medical supplies, vehicle for Haitian Red Cross. _x000a_PEOPLE: 6 ARC Haiti staff deployed for Red Cross Emergency Response Teams for Cholera outbreak in northern Haiti. _x000a_See latest response report and RAP for full details of items provided. "/>
  </r>
  <r>
    <s v="EP-2010-000210-HTI"/>
    <n v="251"/>
    <x v="239"/>
    <d v="2010-10-24T00:00:00"/>
    <x v="15"/>
    <n v="4"/>
    <s v="Q2"/>
    <n v="2010"/>
    <n v="12"/>
    <s v="LAC"/>
    <s v="Dominican Republic"/>
    <m/>
    <m/>
    <m/>
    <m/>
    <m/>
    <x v="0"/>
    <m/>
    <m/>
    <m/>
    <m/>
    <s v=""/>
    <m/>
    <m/>
    <m/>
    <m/>
    <m/>
    <m/>
    <m/>
    <x v="2"/>
    <m/>
    <m/>
    <m/>
    <m/>
    <m/>
    <m/>
    <m/>
    <m/>
    <m/>
    <m/>
    <m/>
    <m/>
    <m/>
    <m/>
    <m/>
    <m/>
    <m/>
    <m/>
    <m/>
    <m/>
    <m/>
    <m/>
    <m/>
    <m/>
    <m/>
    <m/>
    <m/>
    <m/>
    <m/>
    <m/>
    <x v="0"/>
    <m/>
    <m/>
    <m/>
    <m/>
    <m/>
    <m/>
    <m/>
    <m/>
    <m/>
    <m/>
    <m/>
    <m/>
    <m/>
    <m/>
    <m/>
    <m/>
    <s v="A severe cholera outbreak spread from the Artibonite River area to all departments in Haiti.  The American Red Cross reached almost 116,000 people with information on cholera prevention, transmission and symptoms, as well as demonstrations on how to prepare oral rehydration solution and proper hand washing. Some 235 health promoters are going tent-to-tent with these messages in camps in Port-au-Prince, and an additional 130 volunteers are providing information in schools in the Northeast department. _x000a_Teams are also distributing soap, oral rehydration salts and water purification tablets in camps in Port-au-Prince, and have distributed some 253,000 relief items to over 110,000 people to date. In all the American Red Cross provided 14 million in support for the cholera response from its structure already in place in the Haiti Operation._x000a_"/>
    <m/>
  </r>
  <r>
    <s v="TC-2010-000205-PHL"/>
    <n v="252"/>
    <x v="240"/>
    <d v="2010-10-26T00:00:00"/>
    <x v="15"/>
    <n v="5"/>
    <s v="Q2"/>
    <n v="2010"/>
    <n v="13"/>
    <s v="Europe/Asia"/>
    <s v="Philippines"/>
    <m/>
    <s v="Tropical Storm"/>
    <m/>
    <m/>
    <n v="2000000"/>
    <x v="1"/>
    <s v="IFRC"/>
    <n v="4310000"/>
    <m/>
    <s v="MDRPH006"/>
    <n v="6.9605568445475635E-3"/>
    <m/>
    <m/>
    <s v="Y"/>
    <n v="214855"/>
    <n v="60000"/>
    <m/>
    <m/>
    <x v="2"/>
    <n v="30000"/>
    <m/>
    <m/>
    <m/>
    <n v="30000"/>
    <m/>
    <m/>
    <m/>
    <m/>
    <m/>
    <m/>
    <m/>
    <m/>
    <m/>
    <m/>
    <m/>
    <m/>
    <m/>
    <m/>
    <m/>
    <m/>
    <m/>
    <m/>
    <m/>
    <m/>
    <n v="30000"/>
    <m/>
    <m/>
    <m/>
    <n v="30000"/>
    <x v="2"/>
    <m/>
    <m/>
    <m/>
    <m/>
    <n v="2032"/>
    <n v="30000"/>
    <m/>
    <m/>
    <m/>
    <m/>
    <m/>
    <m/>
    <s v="N"/>
    <m/>
    <m/>
    <m/>
    <s v="Typhoon Megi battered the Philippines as a Category 5 typhoon with 140 mph winds and heavy rains.  While evacuation efforts saved many lives, the typhoon caused significant damage to homes, livelihoods and infrastructure.  The Philippine Red Cross provided food and relief supplies to those in need and conducted rapid assessments to determine needs.  In response, the American Red Cross committed $30,000 to support relief efforts."/>
    <s v="CASH: $30,000 PMN to Federation Appeal from 2032 earmarked for relief distribution."/>
  </r>
  <r>
    <s v="EQ-2010-000213-IDN &amp; VO-2010-000214-IDN"/>
    <n v="253"/>
    <x v="241"/>
    <d v="2010-11-08T00:00:00"/>
    <x v="15"/>
    <n v="6"/>
    <s v="Q2"/>
    <n v="2010"/>
    <n v="14"/>
    <s v="Europe/Asia"/>
    <s v="Indonesia"/>
    <m/>
    <s v="Tsunami &amp; Volcanic Eruption"/>
    <m/>
    <m/>
    <n v="215000"/>
    <x v="1"/>
    <s v="IFRC"/>
    <n v="5504123"/>
    <m/>
    <s v="MDRID006"/>
    <n v="9.0840993197281381E-3"/>
    <n v="0.61"/>
    <d v="2011-09-30T00:00:00"/>
    <s v="Y"/>
    <m/>
    <n v="25000"/>
    <m/>
    <m/>
    <x v="1"/>
    <n v="50000"/>
    <m/>
    <m/>
    <m/>
    <n v="50000"/>
    <m/>
    <m/>
    <m/>
    <m/>
    <m/>
    <m/>
    <m/>
    <m/>
    <m/>
    <m/>
    <m/>
    <m/>
    <m/>
    <m/>
    <m/>
    <m/>
    <m/>
    <m/>
    <m/>
    <m/>
    <n v="50000"/>
    <m/>
    <m/>
    <m/>
    <n v="50000"/>
    <x v="2"/>
    <m/>
    <m/>
    <m/>
    <m/>
    <n v="2799"/>
    <m/>
    <m/>
    <m/>
    <m/>
    <m/>
    <m/>
    <m/>
    <s v="Y"/>
    <m/>
    <m/>
    <m/>
    <s v="Following a 7.7 magnitude earthquake, a 9-foot tsunami hit the Mentawai Islands off the coast of Sumatra, travelling at least a quarter of a mile inland and destroying the coastline in many locations. On the island of Java, the Mount Merapi volcano erupted, killling 104 people. The Indonesian Red Cross (PMI) performed search and rescue activities, conducted assessments and distributed relief supplies to those in need.  In response, the American Red Cross committed $50,000 to support Red Cross relief efforts."/>
    <s v="CASH: $50,000 PMN to Federation Appeal from 2799 earmarked for relief."/>
  </r>
  <r>
    <s v="TC-2010-000216-BRB/LCA/VCT"/>
    <n v="254"/>
    <x v="242"/>
    <d v="2010-11-03T00:00:00"/>
    <x v="15"/>
    <n v="7"/>
    <s v="Q2"/>
    <n v="2010"/>
    <n v="15"/>
    <s v="LAC"/>
    <s v="Saint Lucia/ Saint Vincent and the Grenadines/ Barbados "/>
    <m/>
    <s v="Tropical Storm"/>
    <m/>
    <m/>
    <n v="9500"/>
    <x v="1"/>
    <s v="IFRC"/>
    <n v="1141503"/>
    <m/>
    <s v="MDR49006"/>
    <n v="0.12702550935039156"/>
    <n v="0.66"/>
    <d v="2011-12-27T00:00:00"/>
    <m/>
    <m/>
    <n v="7500"/>
    <m/>
    <m/>
    <x v="1"/>
    <n v="145000"/>
    <m/>
    <m/>
    <m/>
    <n v="145000"/>
    <n v="6"/>
    <m/>
    <n v="6"/>
    <m/>
    <m/>
    <m/>
    <m/>
    <m/>
    <m/>
    <m/>
    <m/>
    <m/>
    <m/>
    <m/>
    <m/>
    <m/>
    <m/>
    <m/>
    <m/>
    <m/>
    <n v="145000"/>
    <m/>
    <m/>
    <m/>
    <n v="145000"/>
    <x v="2"/>
    <m/>
    <m/>
    <m/>
    <m/>
    <n v="2799"/>
    <m/>
    <m/>
    <m/>
    <m/>
    <m/>
    <m/>
    <m/>
    <s v="Y"/>
    <m/>
    <m/>
    <m/>
    <s v="In November 2010, Hurricane Tomas struck the Caribbean Islands of Barbados, Saint Lucia, and Saint Vincent and the Grenadines, and Haiti, causing landslides and damage to homes and infrastructure. Although damage in Haiti was less severe than expected, at least 21 deaths were reported.   The Red Cross national societies of Saint Lucia, Saint Vincent and the Grenadines and Barbados have deployed search and rescue teams, conducted damage assessments and distributed relief supplies.   The American Red Cross provided relief supplies and cash totalling $141,000."/>
    <s v="CASH: $75,000 PMN to Federation Appeal from 2799 earmarked for relief. $70,000 PMN to Federation appeal earmarked for relief supplies for St. Lucia (see RAP). PEOPLE: Six bilateral staff from ARC Haiti office deployed on Federation Emergency Response Teams."/>
  </r>
  <r>
    <m/>
    <n v="255"/>
    <x v="243"/>
    <d v="2010-11-09T00:00:00"/>
    <x v="15"/>
    <n v="8"/>
    <s v="Q2"/>
    <n v="2010"/>
    <n v="16"/>
    <s v="LAC"/>
    <s v="Belize"/>
    <m/>
    <s v="Tropical Storm"/>
    <m/>
    <m/>
    <m/>
    <x v="2"/>
    <m/>
    <m/>
    <m/>
    <s v="MDRBZ002"/>
    <s v=""/>
    <m/>
    <m/>
    <s v="Y"/>
    <n v="56303"/>
    <m/>
    <m/>
    <n v="4639"/>
    <x v="2"/>
    <m/>
    <m/>
    <n v="80000"/>
    <m/>
    <n v="80000"/>
    <n v="1"/>
    <m/>
    <n v="1"/>
    <m/>
    <m/>
    <m/>
    <m/>
    <m/>
    <m/>
    <m/>
    <m/>
    <m/>
    <m/>
    <m/>
    <m/>
    <m/>
    <m/>
    <m/>
    <m/>
    <m/>
    <n v="80000"/>
    <m/>
    <m/>
    <m/>
    <n v="80000"/>
    <x v="2"/>
    <m/>
    <m/>
    <m/>
    <m/>
    <n v="2799"/>
    <m/>
    <m/>
    <m/>
    <m/>
    <m/>
    <m/>
    <m/>
    <s v="Y"/>
    <m/>
    <m/>
    <m/>
    <s v="Hurricane Richard hit Belize with sustained winds of 90 mph, crossing the cities of Belmopan and Belize City, damaging more than 800 homes and destroying local agriculture.  The Belize Red Cross distributed relief supplies to 3,000 people and developed a plan of action to assist with longer term recovery needs.The American Red Cross committed $80,000 to support Belize Red Cross relief efforts and deployed one cash delegate for shelter recovery."/>
    <s v="CASH: $80,000 bilateral contribution by grant letter to Belize Red Cross earmarked for emergency shelter. _x000a_PEOPLE: Laura Havesi deployed for emergency shelter support and cash voucher program."/>
  </r>
  <r>
    <s v="EQ-2010-000251-CRI"/>
    <n v="256"/>
    <x v="7"/>
    <d v="2010-11-10T00:00:00"/>
    <x v="15"/>
    <n v="9"/>
    <s v="Q2"/>
    <n v="2010"/>
    <n v="17"/>
    <s v="LAC"/>
    <s v="Costa Rica"/>
    <m/>
    <s v="Floods"/>
    <m/>
    <m/>
    <n v="13500"/>
    <x v="2"/>
    <m/>
    <m/>
    <m/>
    <m/>
    <s v=""/>
    <m/>
    <m/>
    <s v="Y"/>
    <n v="123611"/>
    <n v="1000"/>
    <s v="Y"/>
    <m/>
    <x v="2"/>
    <m/>
    <m/>
    <n v="322330"/>
    <m/>
    <n v="322330"/>
    <m/>
    <m/>
    <m/>
    <m/>
    <m/>
    <m/>
    <m/>
    <m/>
    <m/>
    <m/>
    <m/>
    <m/>
    <m/>
    <m/>
    <m/>
    <m/>
    <m/>
    <m/>
    <m/>
    <m/>
    <n v="322330"/>
    <m/>
    <m/>
    <m/>
    <n v="322330"/>
    <x v="1"/>
    <s v="USG"/>
    <m/>
    <m/>
    <m/>
    <s v="2760 OFDA "/>
    <m/>
    <m/>
    <m/>
    <m/>
    <m/>
    <m/>
    <s v="Y"/>
    <s v="N"/>
    <m/>
    <s v="OFDA"/>
    <m/>
    <s v="Torrential rains hit Costa Rica, triggering landslides, floods, the destruction of infrastructure and the movement of thousands of people to shelters along the Pacific coast and in the Central Valley.  The American Red Cross provided $322,330 to the Costa Rican Red Cross for distribution of relief supplies and a cash transfer program for 1,000 families."/>
    <s v="CASH: OFDA grant for $322,330 for distribution of relief supplies; small cash transfer program; disaster risk reduction workshops  "/>
  </r>
  <r>
    <s v="FL-2010-000076-COL"/>
    <n v="257"/>
    <x v="244"/>
    <d v="2010-12-16T00:00:00"/>
    <x v="15"/>
    <n v="10"/>
    <s v="Q2"/>
    <n v="2010"/>
    <n v="18"/>
    <s v="LAC"/>
    <s v="Colombia"/>
    <m/>
    <s v="Floods"/>
    <m/>
    <m/>
    <n v="1500000"/>
    <x v="1"/>
    <s v="IFRC"/>
    <n v="1442696.61"/>
    <m/>
    <s v="MDRCO008"/>
    <n v="0.1386292853353277"/>
    <n v="0.86"/>
    <d v="2012-03-08T00:00:00"/>
    <s v="Y"/>
    <n v="64807"/>
    <n v="71500"/>
    <m/>
    <n v="1500"/>
    <x v="1"/>
    <n v="80000"/>
    <m/>
    <n v="120000"/>
    <m/>
    <n v="200000"/>
    <m/>
    <m/>
    <m/>
    <n v="6000"/>
    <s v="Y"/>
    <m/>
    <m/>
    <m/>
    <m/>
    <m/>
    <m/>
    <m/>
    <n v="6000"/>
    <m/>
    <m/>
    <m/>
    <m/>
    <m/>
    <n v="40000"/>
    <m/>
    <n v="240000"/>
    <m/>
    <m/>
    <m/>
    <n v="240000"/>
    <x v="1"/>
    <s v="C"/>
    <m/>
    <m/>
    <m/>
    <n v="2799"/>
    <m/>
    <n v="2025"/>
    <n v="155000"/>
    <m/>
    <m/>
    <m/>
    <m/>
    <s v="Y"/>
    <m/>
    <s v="Dow - $120,000; Merck - $10,000; Citigroup - $25,000. "/>
    <m/>
    <s v="Colombia suffered an uncommonly long rainy season due to the effects of the La Niña weather phenomenon, with heavy rains for more than eight months. The resulting floods have affected 28 of the 32 departments in the country, triggered landslides and destroyed infrastructure, homes and crops.  The Colombian Red Cross worked in affected areas, delivering food, relief supplies and safe water, as well as providing transitional shelter and logistical support, reaching 575,000 people.  The American Red Cross provided $200,000 plus 6,000 mosquito nets to support integrated mobile health clinics for the Red Cross response operation. _x000a_"/>
    <s v="SUPPLIES: IFRC mob table contribution: 6,000 mosquito nets @ $40,000; CASH: $80,000 cash pledge to Federation appeal - MDRCO008 earmarked for NFIs for relief distribution; Bilateral $120,000 bilateral contribution for health and DRR programming. "/>
  </r>
  <r>
    <s v="FL-2010-000225-PAN"/>
    <n v="258"/>
    <x v="80"/>
    <d v="2010-11-30T00:00:00"/>
    <x v="15"/>
    <n v="11"/>
    <s v="Q2"/>
    <n v="2010"/>
    <n v="19"/>
    <s v="LAC"/>
    <s v="Panama"/>
    <m/>
    <s v="Floods"/>
    <m/>
    <m/>
    <n v="6200"/>
    <x v="1"/>
    <s v="IFRC"/>
    <n v="364732"/>
    <m/>
    <s v="MDRPA007"/>
    <n v="0"/>
    <m/>
    <m/>
    <s v="Y"/>
    <n v="82608"/>
    <n v="10225"/>
    <m/>
    <n v="300"/>
    <x v="2"/>
    <m/>
    <m/>
    <m/>
    <m/>
    <m/>
    <m/>
    <m/>
    <m/>
    <n v="1714"/>
    <s v="Y"/>
    <n v="214"/>
    <n v="1500"/>
    <m/>
    <m/>
    <m/>
    <m/>
    <m/>
    <m/>
    <m/>
    <m/>
    <m/>
    <m/>
    <m/>
    <n v="9812"/>
    <m/>
    <n v="9812"/>
    <m/>
    <m/>
    <m/>
    <n v="9812"/>
    <x v="2"/>
    <m/>
    <m/>
    <m/>
    <m/>
    <n v="2799"/>
    <m/>
    <m/>
    <m/>
    <m/>
    <m/>
    <m/>
    <m/>
    <s v="Y"/>
    <m/>
    <m/>
    <m/>
    <s v="Continuous rains across Panama caused two deaths and affected more than 24,000 people in eight provinces. Overflowing rivers caused severe floods and landslides which affected thousands and cut off many communities. The Red Cross Society of Panama conducted assessments and distributed relief supplies to over 7,300 people.  The American Red Cross contributed relief supplies totalling $50,000 in relief supplies to support the Red Cross Society of Panama response. "/>
    <s v="SUPPPLIES: 1,500 blankets and 214 hygiene kits at $9,812 from PADRU."/>
  </r>
  <r>
    <s v="OT-2011-000025-TUN/LBY/EGY"/>
    <n v="259"/>
    <x v="245"/>
    <d v="2011-02-28T00:00:00"/>
    <x v="15"/>
    <n v="12"/>
    <s v="Q3"/>
    <n v="2011"/>
    <n v="1"/>
    <s v="Europe/Asia"/>
    <s v="Tunisia"/>
    <m/>
    <s v="Civil Unrest"/>
    <m/>
    <m/>
    <m/>
    <x v="1"/>
    <s v="both"/>
    <n v="20396194"/>
    <n v="31916000"/>
    <s v="MDR82001"/>
    <n v="2.4380529033995263E-2"/>
    <n v="0.71"/>
    <d v="2012-03-26T00:00:00"/>
    <s v="Y"/>
    <n v="431000"/>
    <n v="306000"/>
    <m/>
    <m/>
    <x v="1"/>
    <n v="397270"/>
    <n v="100000"/>
    <m/>
    <m/>
    <n v="497270"/>
    <n v="5"/>
    <m/>
    <m/>
    <n v="1500"/>
    <s v="Y"/>
    <m/>
    <m/>
    <m/>
    <m/>
    <m/>
    <m/>
    <m/>
    <m/>
    <m/>
    <n v="1500"/>
    <m/>
    <m/>
    <m/>
    <n v="43000"/>
    <m/>
    <n v="540270"/>
    <m/>
    <m/>
    <m/>
    <n v="540270"/>
    <x v="1"/>
    <s v="P"/>
    <n v="154218"/>
    <m/>
    <m/>
    <s v="2869/ARCT"/>
    <m/>
    <n v="2010"/>
    <m/>
    <n v="2799"/>
    <s v="FACT deployment expenses"/>
    <n v="162270"/>
    <m/>
    <s v="N"/>
    <m/>
    <s v="Online designation on redcross.org.  An overwhelming majority of the $150k funds raised were through the online designation. ARCT/ 2869; AP 2010, Middle East R&amp;D – revenue;  2099, IRF – 100k to ICRC (replenished by 2010); 2799, RRF – FACT deployment expenses + PMN for Syria"/>
    <m/>
    <s v="Soon after violence broke out in Libya in February 2011, hundreds of thousands of people fled to neighboring countries, with the greatest number arriving in Tunisia. Along the border, Red Crescent volunteers greeted the initial droves of migrant workers and provided them with first aid, shelter, food, blankets, clean water, sanitation services, and phone calls to loved ones until they could make arrangements to return to their homelands. To support these efforts, the American Red Cross also led teams of Red Cross and Red Crescent workers from around the world to build and support a tent community in Tunisia for families escaping the violence across the border and provided $300,000 in assistance for the operation."/>
    <s v="CASH: 1) $100,000 to ICRC earmarked for Tunisia from AP2010; PMN for $162,270 earmarked for locally procured supplies by AP2869/ARCT; 2) $135,000 PMN from AP 2799 for $44,000 and AP 2831/ ARCT for $91,000 earmarked for Syria for local procurement of food parcels.  3) $100,000 PMN from AP 2799 for relief for Syria Civil Unrest - 3/7/12._x000a_SUPPLIES:1500 tarps from Dubai warehouse as of March 2011; _x000a_PEOPLE: Deployed for FACT team members: Langdon Greenhalgh, FACT team leader; Marian Spivey-Estrada, FACT Info &amp; Reporting; Colin Chaperon, FACT relief coordinator; Gina Guinta, FACT Info &amp; Reporting - 2nd round; Laura Hevesi FACT relief coordinator."/>
  </r>
  <r>
    <s v="EQ-2011-000024-NZL"/>
    <n v="260"/>
    <x v="246"/>
    <d v="2011-02-23T00:00:00"/>
    <x v="15"/>
    <n v="13"/>
    <s v="Q3"/>
    <n v="2011"/>
    <n v="2"/>
    <s v="Europe/Asia"/>
    <s v="New Zealand"/>
    <m/>
    <s v="Earthquake"/>
    <m/>
    <m/>
    <m/>
    <x v="2"/>
    <m/>
    <m/>
    <m/>
    <m/>
    <s v=""/>
    <m/>
    <m/>
    <m/>
    <m/>
    <n v="47800"/>
    <s v="Y"/>
    <m/>
    <x v="2"/>
    <m/>
    <m/>
    <n v="826450"/>
    <m/>
    <n v="826450"/>
    <m/>
    <m/>
    <m/>
    <m/>
    <m/>
    <m/>
    <m/>
    <m/>
    <m/>
    <m/>
    <m/>
    <m/>
    <m/>
    <m/>
    <m/>
    <m/>
    <m/>
    <m/>
    <m/>
    <m/>
    <n v="826450"/>
    <m/>
    <m/>
    <m/>
    <n v="826450"/>
    <x v="1"/>
    <s v="P"/>
    <n v="898367"/>
    <d v="2011-04-19T00:00:00"/>
    <d v="2011-04-19T00:00:00"/>
    <n v="2881"/>
    <m/>
    <m/>
    <m/>
    <m/>
    <m/>
    <m/>
    <m/>
    <s v="N"/>
    <m/>
    <m/>
    <m/>
    <s v="A 6.3 magnitude earthquake struck near Christchurch, New Zealand on February 22. There was widespread damage, including collapsed buildings in the city center and damage to roads and bridges. The New Zealand Red Cross operated  recovery assistance centers and conducted home visits to those affected. It provided assistance to 47,800 people. The American Red Cross provided $772,000 to the New Zealand Red Cross in support of its response operations.   "/>
    <s v="CASH: Two grant letters to be made - $772,000 on April 12, 2011; second one for $54,450 June 23, 2011"/>
  </r>
  <r>
    <m/>
    <n v="261"/>
    <x v="247"/>
    <d v="2011-03-01T00:00:00"/>
    <x v="15"/>
    <n v="14"/>
    <s v="Q3"/>
    <n v="2011"/>
    <n v="3"/>
    <s v="LAC"/>
    <s v="Paraguay"/>
    <m/>
    <s v="Epidemic"/>
    <m/>
    <m/>
    <m/>
    <x v="2"/>
    <m/>
    <m/>
    <m/>
    <m/>
    <s v=""/>
    <m/>
    <m/>
    <s v="N"/>
    <m/>
    <m/>
    <s v="Y"/>
    <n v="2000"/>
    <x v="2"/>
    <m/>
    <m/>
    <n v="56000"/>
    <m/>
    <n v="56000"/>
    <m/>
    <m/>
    <m/>
    <m/>
    <m/>
    <m/>
    <m/>
    <m/>
    <m/>
    <m/>
    <m/>
    <m/>
    <m/>
    <m/>
    <m/>
    <m/>
    <m/>
    <m/>
    <m/>
    <m/>
    <n v="56000"/>
    <m/>
    <m/>
    <m/>
    <n v="56000"/>
    <x v="1"/>
    <s v="C"/>
    <n v="56000"/>
    <d v="2011-02-28T00:00:00"/>
    <d v="2011-02-28T00:00:00"/>
    <n v="2025"/>
    <m/>
    <m/>
    <m/>
    <m/>
    <m/>
    <m/>
    <m/>
    <s v="N"/>
    <m/>
    <s v="Part of GE $250,000 contribution for Brazil Floods and went to various South American disasters."/>
    <m/>
    <s v="An outbreak of Dengue fever in Paraguay caused more than  400 confirmed cases.  The Paraguayan Red Cross responded, targeting 2,000 people to reduce the vector sites and build awareness among community members on how to reduce exposure to mosquitoes. The American Red Cross provided $56,000 in support to the Paraguayan Red Cross for their response."/>
    <s v="CASH: $50,000 Bilateral contribution via grant letter to Paraguay Red Cross for Dengue outbreak activities."/>
  </r>
  <r>
    <s v="EQ-2011-000028-JPN"/>
    <n v="262"/>
    <x v="248"/>
    <d v="2011-03-11T00:00:00"/>
    <x v="15"/>
    <n v="15"/>
    <s v="Q3"/>
    <n v="2011"/>
    <n v="4"/>
    <s v="Europe/Asia"/>
    <s v="Japan"/>
    <m/>
    <s v="Earthquake/ Tsunami"/>
    <m/>
    <m/>
    <n v="300000"/>
    <x v="2"/>
    <m/>
    <m/>
    <m/>
    <m/>
    <s v=""/>
    <m/>
    <m/>
    <m/>
    <m/>
    <n v="225000"/>
    <s v="Y"/>
    <m/>
    <x v="2"/>
    <m/>
    <m/>
    <n v="276000000"/>
    <n v="1500000"/>
    <n v="279800000"/>
    <n v="3"/>
    <m/>
    <m/>
    <m/>
    <m/>
    <m/>
    <m/>
    <m/>
    <m/>
    <m/>
    <m/>
    <m/>
    <m/>
    <m/>
    <m/>
    <m/>
    <m/>
    <m/>
    <m/>
    <m/>
    <n v="279800000"/>
    <m/>
    <m/>
    <m/>
    <n v="279800000"/>
    <x v="1"/>
    <s v="P"/>
    <n v="307256521"/>
    <d v="2011-12-01T00:00:00"/>
    <s v="ongoing"/>
    <n v="2687"/>
    <m/>
    <n v="2841"/>
    <m/>
    <m/>
    <m/>
    <m/>
    <m/>
    <s v="N"/>
    <m/>
    <m/>
    <s v="Yes"/>
    <s v="On March 11, a record 9.0 magnitude earthquake struck Sendai, Japan, generating a powerful 32-foot tsunami which caused widespread destruction to northern Japanese coastal areas and communities. More than 19,000 died. The Japanese Red Cross responded by providing medical services, relief supplies, pscychosocial support, and social services. In recovery they rebuilt hospitals and clinics. The American Red Cross committed more than $312 million for the Japan response. See One Year Update report for more information."/>
    <s v="CASH: Bilateral contribution via grant letter to Japanese Red Cross  for response activities: 1) $10M March 14, 2) $50M - April 1; 3) $40M - April 11; 4) $30M - April 29; 5) $30M - May 12; 6) $46 M - June 10; 7) $35M - July 11;  8) $15M - Aug. 28_x000a_Additional cash grants to JRCS will occur. _x000a_To other agencies: 1) $500,000 - March 21 -World Food Programme; 2) $1M total -  $3M - April 11 - IOM; Note refund from IOM due to programming - $2M October 2011. _x000a_ARC internal: $300,000 - March 21 - Service to Armed Forces; _x000a_PEOPLE: Nan Buzard on high level Fed Liaison trip; Tom Alcedo to Fed Liaison team; John Manley to Fed Liaison team."/>
  </r>
  <r>
    <s v="FL-2011-000020-BOL"/>
    <n v="263"/>
    <x v="48"/>
    <d v="2011-03-23T00:00:00"/>
    <x v="15"/>
    <n v="16"/>
    <s v="Q3"/>
    <n v="2011"/>
    <n v="5"/>
    <s v="LAC"/>
    <s v="Bolivia"/>
    <m/>
    <s v="Floods"/>
    <m/>
    <m/>
    <n v="70000"/>
    <x v="1"/>
    <s v="IFRC"/>
    <n v="571602"/>
    <m/>
    <s v="MDRBO006"/>
    <n v="0.31840336457885032"/>
    <n v="0.88"/>
    <d v="2012-04-19T00:00:00"/>
    <m/>
    <m/>
    <n v="2500"/>
    <m/>
    <m/>
    <x v="1"/>
    <n v="182000"/>
    <m/>
    <m/>
    <m/>
    <n v="182000"/>
    <m/>
    <m/>
    <m/>
    <m/>
    <m/>
    <m/>
    <m/>
    <m/>
    <m/>
    <m/>
    <m/>
    <m/>
    <m/>
    <m/>
    <m/>
    <m/>
    <m/>
    <m/>
    <m/>
    <m/>
    <n v="182000"/>
    <m/>
    <m/>
    <m/>
    <n v="182000"/>
    <x v="1"/>
    <s v="C"/>
    <n v="200000"/>
    <d v="2011-05-10T00:00:00"/>
    <d v="2011-05-10T00:00:00"/>
    <s v="2869/ARCT"/>
    <n v="100000"/>
    <n v="2025"/>
    <n v="100000"/>
    <m/>
    <m/>
    <n v="91000"/>
    <m/>
    <s v="N"/>
    <m/>
    <s v="ARCT funding - $100,000. GE corporate contribution - $100,000."/>
    <m/>
    <s v="The La Niña effect resulted in heavy rains in Bolivia, causing floods and mudslides affecting 88,000 people in 30% of the country’s municipalities. The American Red Cross provided $182,000 to support Bolivian Red Cross response operations for water and sanitation hygiene, transitional housing and early recovery activities. "/>
    <s v="CASH: 1) PMN for $91,000 from ARCT IERRF funds for appeal. 2) Second PMN for $91,000 from 2025 - South America R &amp; D"/>
  </r>
  <r>
    <s v="OT-2010-000255-CIV"/>
    <n v="264"/>
    <x v="249"/>
    <d v="2011-04-01T00:00:00"/>
    <x v="15"/>
    <n v="17"/>
    <s v="Q4"/>
    <n v="2011"/>
    <n v="6"/>
    <s v="Africa"/>
    <s v="Liberia"/>
    <m/>
    <s v="Population Movement"/>
    <m/>
    <m/>
    <m/>
    <x v="1"/>
    <s v="IFRC"/>
    <n v="4340568"/>
    <m/>
    <s v="MDR61007"/>
    <n v="3.4557689224083116E-2"/>
    <n v="0.89"/>
    <d v="2012-04-19T00:00:00"/>
    <m/>
    <m/>
    <n v="67500"/>
    <m/>
    <m/>
    <x v="1"/>
    <n v="150000"/>
    <m/>
    <m/>
    <m/>
    <n v="150000"/>
    <m/>
    <m/>
    <m/>
    <m/>
    <m/>
    <m/>
    <m/>
    <m/>
    <m/>
    <m/>
    <m/>
    <m/>
    <m/>
    <m/>
    <m/>
    <m/>
    <m/>
    <m/>
    <m/>
    <m/>
    <n v="150000"/>
    <m/>
    <m/>
    <m/>
    <n v="150000"/>
    <x v="2"/>
    <m/>
    <m/>
    <m/>
    <m/>
    <n v="2799"/>
    <m/>
    <m/>
    <m/>
    <m/>
    <m/>
    <m/>
    <m/>
    <s v="Y"/>
    <m/>
    <m/>
    <m/>
    <s v="Political turmoil following presidential elections in Cote d’Ivoire caused armed clashes and prompted significant internal and cross border population movements into neighboring countries. Liberia was particularly impacted with thousands of Ivorians crossing its border, placing burdens on communities.  The ICRC and Liberian Red Cross responded, providing  medical services, water and sanitation and distributing food and relief supplies to refugees and host families.The American Red Cross has provided $150,000 in funding to support the Red Cross response in Liberia. "/>
    <s v="CASH: Contribution to Federation appeal MDR61007 for $150,000 for Liberia earmarked for relief and operations. "/>
  </r>
  <r>
    <s v="FL-2011-000007-NAM"/>
    <n v="265"/>
    <x v="215"/>
    <d v="2011-03-25T00:00:00"/>
    <x v="15"/>
    <n v="18"/>
    <s v="Q4"/>
    <n v="2011"/>
    <n v="7"/>
    <s v="Africa"/>
    <s v="Namibia"/>
    <m/>
    <s v="Floods"/>
    <m/>
    <m/>
    <n v="228500"/>
    <x v="1"/>
    <s v="IFRC"/>
    <n v="2032221"/>
    <m/>
    <s v="MDRNA006"/>
    <n v="2.4603623326400034E-2"/>
    <n v="0.39"/>
    <d v="2012-04-19T00:00:00"/>
    <m/>
    <m/>
    <n v="37457"/>
    <m/>
    <m/>
    <x v="1"/>
    <n v="50000"/>
    <m/>
    <m/>
    <m/>
    <n v="50000"/>
    <m/>
    <m/>
    <m/>
    <m/>
    <m/>
    <m/>
    <m/>
    <m/>
    <m/>
    <m/>
    <m/>
    <m/>
    <m/>
    <m/>
    <m/>
    <m/>
    <m/>
    <m/>
    <m/>
    <m/>
    <n v="50000"/>
    <m/>
    <m/>
    <m/>
    <n v="50000"/>
    <x v="2"/>
    <m/>
    <m/>
    <m/>
    <m/>
    <n v="2799"/>
    <m/>
    <m/>
    <m/>
    <m/>
    <m/>
    <m/>
    <m/>
    <s v="Y"/>
    <m/>
    <m/>
    <m/>
    <s v="Months of rain caused large-scale flooding in northern Namibia, displacing thousands of people and destroying homes, crops, roads and other infrastructure.  The Namibia Red Cross Society conducted assessments and provided relief supplies, food, water and sanitation to the most vulnerable families affected. The American Red Cross provided $50,000 to support Namibia Red Cross Society response operations.   _x000a_"/>
    <s v="CASH: Contribution to Namibia floods Federation appeal MDRNA006 for $50,000 earmarked for emergency shelter and watsan. "/>
  </r>
  <r>
    <s v="DR-2011-000029-KEN"/>
    <n v="266"/>
    <x v="250"/>
    <d v="2011-07-28T00:00:00"/>
    <x v="16"/>
    <n v="1"/>
    <s v="Q1"/>
    <n v="2011"/>
    <n v="8"/>
    <s v="Africa"/>
    <s v="[rollup]"/>
    <m/>
    <s v="Drought"/>
    <m/>
    <m/>
    <n v="13300000"/>
    <x v="1"/>
    <s v="IFRC &amp; ICRC"/>
    <n v="254000000"/>
    <m/>
    <s v="Various - see RAP"/>
    <n v="1.2255905511811023E-2"/>
    <m/>
    <m/>
    <m/>
    <m/>
    <n v="2840000"/>
    <m/>
    <m/>
    <x v="1"/>
    <n v="2000000"/>
    <n v="1113000"/>
    <m/>
    <m/>
    <n v="3113000"/>
    <m/>
    <m/>
    <m/>
    <m/>
    <s v="Y"/>
    <m/>
    <m/>
    <m/>
    <n v="4900"/>
    <m/>
    <m/>
    <m/>
    <n v="20000"/>
    <m/>
    <m/>
    <m/>
    <m/>
    <m/>
    <n v="122000"/>
    <m/>
    <n v="3235000"/>
    <m/>
    <m/>
    <m/>
    <n v="3235000"/>
    <x v="1"/>
    <s v="P"/>
    <n v="4185949"/>
    <d v="2011-12-01T00:00:00"/>
    <s v="ongoing"/>
    <s v="2831/ARCT"/>
    <n v="200000"/>
    <n v="2836"/>
    <n v="2553000"/>
    <n v="2099"/>
    <n v="200000"/>
    <s v="Y"/>
    <m/>
    <s v="N"/>
    <s v="Y"/>
    <s v="ARCT -2831 FY12 fund - $200,000"/>
    <m/>
    <s v="A drought beginningin 2009 in the Horn of Africa resulted in massive crop failure, water scarcity, low food supplies, livestock deaths and the migration of people from Ethiopia, Kenya, Djibouti, Tanzania and most severely, Somalia. More than 13 million people were affected.  Red Cross and Red Crescent societies in these countries responded to the disaster with support from partners in the global Red Cross network.  The American Red Cross committed $3.9 million in support of Red Cross and Red Crescent response activities in the region."/>
    <s v="CASH: 1) $582,000 +$531,000 contribution to ICRC emergency appeal EA2011 for Somalia - sources:  $182,000 from ARCT/2831, $200,000 + $531,000 from 2836, and $200,000 from IRF/2099 per Sr VP; 2). PMN $1,000,000 contribution to Kenya Drought appeal MDRKE016 from 2836; 3) PMN for$600,000 contribution to Ethiopia appeal MDRE010 from 2836; 4) PMN for $100,000 for Tanzania Drought appeal MDRTZ012 from 2836. 5) Pledge letter to ICRC 2012 Somalia Emergency Appeal for $500,000; 6) PMN to IFRC Regional Framework"/>
  </r>
  <r>
    <s v="DR-2011-000029-KEN"/>
    <n v="266"/>
    <x v="250"/>
    <d v="2011-07-28T00:00:00"/>
    <x v="16"/>
    <n v="1"/>
    <s v="Q1"/>
    <n v="2011"/>
    <n v="8"/>
    <s v="Africa"/>
    <s v="Kenya"/>
    <m/>
    <m/>
    <m/>
    <m/>
    <m/>
    <x v="0"/>
    <m/>
    <m/>
    <m/>
    <m/>
    <s v=""/>
    <m/>
    <m/>
    <m/>
    <m/>
    <n v="1000000"/>
    <m/>
    <m/>
    <x v="0"/>
    <n v="1200000"/>
    <m/>
    <m/>
    <m/>
    <m/>
    <m/>
    <m/>
    <m/>
    <m/>
    <m/>
    <m/>
    <m/>
    <m/>
    <m/>
    <m/>
    <m/>
    <m/>
    <m/>
    <m/>
    <m/>
    <m/>
    <m/>
    <m/>
    <m/>
    <m/>
    <m/>
    <m/>
    <m/>
    <m/>
    <m/>
    <x v="0"/>
    <m/>
    <m/>
    <m/>
    <m/>
    <m/>
    <m/>
    <m/>
    <m/>
    <m/>
    <m/>
    <m/>
    <m/>
    <m/>
    <m/>
    <m/>
    <m/>
    <m/>
    <m/>
  </r>
  <r>
    <s v="DR-2011-000029-KEN"/>
    <n v="266"/>
    <x v="250"/>
    <d v="2011-07-28T00:00:00"/>
    <x v="16"/>
    <n v="1"/>
    <s v="Q1"/>
    <n v="2011"/>
    <n v="8"/>
    <s v="Africa"/>
    <s v="Ethiopia"/>
    <m/>
    <m/>
    <m/>
    <m/>
    <m/>
    <x v="0"/>
    <m/>
    <m/>
    <m/>
    <m/>
    <s v=""/>
    <m/>
    <m/>
    <m/>
    <m/>
    <n v="570000"/>
    <m/>
    <m/>
    <x v="0"/>
    <n v="800000"/>
    <m/>
    <m/>
    <m/>
    <m/>
    <m/>
    <m/>
    <m/>
    <m/>
    <m/>
    <m/>
    <m/>
    <m/>
    <m/>
    <m/>
    <m/>
    <m/>
    <m/>
    <m/>
    <m/>
    <m/>
    <m/>
    <m/>
    <m/>
    <m/>
    <m/>
    <m/>
    <m/>
    <m/>
    <m/>
    <x v="0"/>
    <m/>
    <m/>
    <m/>
    <m/>
    <m/>
    <m/>
    <m/>
    <m/>
    <m/>
    <m/>
    <m/>
    <m/>
    <m/>
    <m/>
    <m/>
    <m/>
    <m/>
    <m/>
  </r>
  <r>
    <s v="DR-2011-000029-KEN"/>
    <n v="266"/>
    <x v="250"/>
    <d v="2011-07-28T00:00:00"/>
    <x v="16"/>
    <n v="1"/>
    <s v="Q1"/>
    <n v="2011"/>
    <n v="8"/>
    <s v="Africa"/>
    <s v="Somalia"/>
    <m/>
    <m/>
    <m/>
    <m/>
    <m/>
    <x v="0"/>
    <m/>
    <m/>
    <m/>
    <m/>
    <s v=""/>
    <m/>
    <m/>
    <m/>
    <m/>
    <n v="1250000"/>
    <m/>
    <m/>
    <x v="2"/>
    <m/>
    <m/>
    <m/>
    <m/>
    <m/>
    <m/>
    <m/>
    <m/>
    <m/>
    <m/>
    <m/>
    <m/>
    <m/>
    <m/>
    <m/>
    <m/>
    <m/>
    <m/>
    <m/>
    <m/>
    <m/>
    <m/>
    <m/>
    <m/>
    <m/>
    <m/>
    <m/>
    <m/>
    <m/>
    <m/>
    <x v="0"/>
    <m/>
    <m/>
    <m/>
    <m/>
    <m/>
    <m/>
    <m/>
    <m/>
    <m/>
    <m/>
    <m/>
    <m/>
    <m/>
    <m/>
    <m/>
    <m/>
    <m/>
    <m/>
  </r>
  <r>
    <s v="DR-2011-000029-KEN"/>
    <n v="266"/>
    <x v="250"/>
    <d v="2011-07-28T00:00:00"/>
    <x v="16"/>
    <n v="1"/>
    <s v="Q1"/>
    <n v="2011"/>
    <n v="8"/>
    <s v="Africa"/>
    <s v="Tanzania"/>
    <m/>
    <m/>
    <m/>
    <m/>
    <m/>
    <x v="0"/>
    <m/>
    <m/>
    <m/>
    <m/>
    <s v=""/>
    <m/>
    <m/>
    <m/>
    <m/>
    <n v="20000"/>
    <m/>
    <m/>
    <x v="2"/>
    <m/>
    <m/>
    <m/>
    <m/>
    <m/>
    <m/>
    <m/>
    <m/>
    <m/>
    <m/>
    <m/>
    <m/>
    <m/>
    <m/>
    <m/>
    <m/>
    <m/>
    <m/>
    <m/>
    <m/>
    <m/>
    <m/>
    <m/>
    <m/>
    <m/>
    <m/>
    <m/>
    <m/>
    <m/>
    <m/>
    <x v="0"/>
    <m/>
    <m/>
    <m/>
    <m/>
    <m/>
    <m/>
    <m/>
    <m/>
    <m/>
    <m/>
    <m/>
    <m/>
    <m/>
    <m/>
    <m/>
    <m/>
    <m/>
    <m/>
  </r>
  <r>
    <s v="FL-2011-000096-PRK"/>
    <n v="267"/>
    <x v="251"/>
    <d v="2011-08-24T00:00:00"/>
    <x v="16"/>
    <n v="2"/>
    <s v="Q1"/>
    <n v="2011"/>
    <n v="9"/>
    <s v="Europe/Asia"/>
    <s v="DPRK/North Korea"/>
    <m/>
    <s v="Floods"/>
    <m/>
    <m/>
    <n v="45000"/>
    <x v="1"/>
    <s v="IFRC"/>
    <n v="4400000"/>
    <m/>
    <s v="MDRKP003"/>
    <n v="1.1363636363636364E-2"/>
    <m/>
    <m/>
    <s v="Y"/>
    <n v="575551"/>
    <n v="30000"/>
    <m/>
    <m/>
    <x v="1"/>
    <n v="50000"/>
    <m/>
    <m/>
    <m/>
    <n v="50000"/>
    <m/>
    <m/>
    <m/>
    <m/>
    <m/>
    <m/>
    <m/>
    <m/>
    <m/>
    <m/>
    <m/>
    <m/>
    <m/>
    <m/>
    <m/>
    <m/>
    <m/>
    <m/>
    <m/>
    <m/>
    <n v="50000"/>
    <m/>
    <m/>
    <m/>
    <n v="50000"/>
    <x v="2"/>
    <m/>
    <m/>
    <m/>
    <m/>
    <n v="2799"/>
    <m/>
    <m/>
    <m/>
    <m/>
    <m/>
    <m/>
    <m/>
    <s v="Y"/>
    <m/>
    <m/>
    <m/>
    <s v="In the Democratic People’s Republic of Korea (North Korea), months of heavy rainfall and a typhoon caused flooding.  Homes, infrastructure and crops were destroyed, leaving 27,500 people homeless. The Democratic People’s Republic of Korea Red Cross is distributing relief supplies, performing disaster assessments, helping with evacuations and providing first aid to those in need.  The American Red Cross has committed $50,000 to support Red Cross response activities._x000a_"/>
    <s v="CASH: $50,000 contribution to appeal earmarked for food procurement, from 2799/RRF."/>
  </r>
  <r>
    <s v="FL-2011-000093-BGD"/>
    <n v="268"/>
    <x v="19"/>
    <d v="2011-08-31T00:00:00"/>
    <x v="16"/>
    <n v="3"/>
    <s v="Q1"/>
    <n v="2011"/>
    <n v="10"/>
    <s v="Europe/Asia"/>
    <s v="Bangladesh"/>
    <m/>
    <s v="Floods"/>
    <m/>
    <m/>
    <n v="700000"/>
    <x v="1"/>
    <s v="IFRC"/>
    <n v="1500000"/>
    <m/>
    <s v="MDRBD009"/>
    <n v="3.3333333333333333E-2"/>
    <m/>
    <m/>
    <s v="Y"/>
    <m/>
    <n v="50000"/>
    <m/>
    <m/>
    <x v="1"/>
    <n v="50000"/>
    <m/>
    <m/>
    <m/>
    <n v="50000"/>
    <m/>
    <m/>
    <m/>
    <m/>
    <m/>
    <m/>
    <m/>
    <m/>
    <m/>
    <m/>
    <m/>
    <m/>
    <m/>
    <m/>
    <m/>
    <m/>
    <m/>
    <m/>
    <m/>
    <m/>
    <n v="50000"/>
    <m/>
    <m/>
    <m/>
    <n v="50000"/>
    <x v="2"/>
    <m/>
    <m/>
    <m/>
    <m/>
    <n v="2799"/>
    <m/>
    <m/>
    <m/>
    <m/>
    <m/>
    <m/>
    <m/>
    <s v="Y"/>
    <m/>
    <m/>
    <m/>
    <s v="Two months of continuous torrential rains caused flooding that has affected more than 1.5 million people in 18 districts in Bangladesh. There was significant damage to homes, property, livelihoods, crops and water sources. The Bangladesh Red Crescent assisted authorities in evacuations and provided food, clothing and relief supplies to those in need. The American Red Cross committed $50,000 to support the Bangladesh Red Crescent response._x000a_"/>
    <s v="CASH: $50,000 contribution to appeal earmarked for relilef distribution from 2799/RRF."/>
  </r>
  <r>
    <s v="FL-2011-000130-PAK"/>
    <n v="269"/>
    <x v="252"/>
    <d v="2011-09-12T00:00:00"/>
    <x v="16"/>
    <n v="4"/>
    <s v="Q1"/>
    <n v="2011"/>
    <n v="11"/>
    <s v="Europe/Asia"/>
    <s v="Pakistan"/>
    <m/>
    <s v="Floods"/>
    <m/>
    <m/>
    <n v="5000000"/>
    <x v="1"/>
    <s v="IFRC"/>
    <n v="11900000"/>
    <m/>
    <s v="MDRPK007"/>
    <n v="4.2016806722689074E-3"/>
    <m/>
    <m/>
    <s v="Y"/>
    <m/>
    <n v="105000"/>
    <m/>
    <m/>
    <x v="1"/>
    <n v="50000"/>
    <m/>
    <m/>
    <m/>
    <n v="50000"/>
    <m/>
    <m/>
    <m/>
    <m/>
    <m/>
    <m/>
    <m/>
    <m/>
    <m/>
    <m/>
    <m/>
    <m/>
    <m/>
    <m/>
    <m/>
    <m/>
    <m/>
    <m/>
    <m/>
    <m/>
    <n v="50000"/>
    <m/>
    <m/>
    <m/>
    <n v="50000"/>
    <x v="2"/>
    <m/>
    <m/>
    <m/>
    <m/>
    <n v="2799"/>
    <m/>
    <m/>
    <m/>
    <m/>
    <m/>
    <m/>
    <m/>
    <s v="Y"/>
    <m/>
    <m/>
    <m/>
    <s v="Monsoon rains caused widespread flooding in southern Pakistan, where communities were recovering from the previous year’s floods. More than 5 million people were affected, 1 million homes damaged or destroyed and an estimated 142,000 people were in temporary camps. The Pakistan Red Crescent, with the support of the global Red Cross and Red Crescent network, reached approximately 73,500 people with food and relief supplies with more assistance to an additional 100,000 people.  The American Red Cross committed $50,000 to support the Pakistan Red Crescent response._x000a_"/>
    <s v="CASH: $50,000 contribution to appeal earmarked for relilef distribution from 2799/RRF."/>
  </r>
  <r>
    <s v="TC-2011-000147-PhL"/>
    <n v="270"/>
    <x v="163"/>
    <d v="2011-10-06T00:00:00"/>
    <x v="16"/>
    <n v="5"/>
    <s v="Q2"/>
    <n v="2011"/>
    <n v="12"/>
    <s v="Europe/Asia"/>
    <s v="Philippines"/>
    <m/>
    <s v="Tropical Storm"/>
    <m/>
    <m/>
    <n v="3200000"/>
    <x v="1"/>
    <s v="IFRC"/>
    <n v="3800000"/>
    <m/>
    <s v="MDRPH007"/>
    <n v="1.3157894736842105E-2"/>
    <m/>
    <m/>
    <s v="Y"/>
    <m/>
    <n v="250000"/>
    <m/>
    <m/>
    <x v="1"/>
    <n v="50000"/>
    <m/>
    <m/>
    <m/>
    <n v="50000"/>
    <m/>
    <m/>
    <m/>
    <m/>
    <m/>
    <m/>
    <m/>
    <m/>
    <m/>
    <m/>
    <m/>
    <m/>
    <m/>
    <m/>
    <m/>
    <m/>
    <m/>
    <m/>
    <m/>
    <m/>
    <n v="50000"/>
    <m/>
    <m/>
    <m/>
    <n v="50000"/>
    <x v="2"/>
    <m/>
    <m/>
    <m/>
    <m/>
    <n v="2799"/>
    <m/>
    <m/>
    <m/>
    <m/>
    <m/>
    <m/>
    <m/>
    <s v="Y"/>
    <m/>
    <m/>
    <m/>
    <s v="Beginning in late September two typhoons hit the Philippines within a five-day span, with rains triggering floods and widespread damage across the entire island of Luzon. More than 3.2 million people wereaffected and an estimated 260,000 people were in evacuation centers.  The Philippines Red Cross responded with more than 2,400 volunteers and  staff providing food, shelter and relief items. It also communicated early warning messages to warn people, prepare volunteers and pre-position supplies prior to the storms’ landfall.  The American Red Cross committed $50,000 to support the Philippines Red Cross response. _x000a_"/>
    <s v="CASH: $50,000 contribution to appeal earmarked for relilef distribution from 2799/RRF."/>
  </r>
  <r>
    <s v="TC-2011-000157-GTM"/>
    <n v="271"/>
    <x v="205"/>
    <d v="2011-10-20T00:00:00"/>
    <x v="16"/>
    <n v="6"/>
    <s v="Q2"/>
    <n v="2011"/>
    <n v="13"/>
    <s v="LAC"/>
    <s v="[rollup]"/>
    <m/>
    <s v="Floods"/>
    <m/>
    <m/>
    <n v="638000"/>
    <x v="1"/>
    <s v="IFRC"/>
    <n v="2198600"/>
    <m/>
    <s v="MDRGT003 / MDRSV004"/>
    <n v="2.2259619758027836E-2"/>
    <m/>
    <m/>
    <s v="Y"/>
    <m/>
    <n v="2500"/>
    <s v="Y"/>
    <n v="9000"/>
    <x v="2"/>
    <m/>
    <m/>
    <n v="48940"/>
    <m/>
    <n v="48940"/>
    <n v="3"/>
    <m/>
    <n v="3"/>
    <n v="26000"/>
    <s v="Y"/>
    <n v="2300"/>
    <n v="11500"/>
    <n v="4600"/>
    <m/>
    <m/>
    <m/>
    <m/>
    <n v="4600"/>
    <m/>
    <n v="3000"/>
    <m/>
    <m/>
    <m/>
    <n v="255000"/>
    <m/>
    <n v="303940"/>
    <m/>
    <m/>
    <m/>
    <n v="303940"/>
    <x v="1"/>
    <s v="C"/>
    <m/>
    <m/>
    <d v="2011-11-03T00:00:00"/>
    <s v="2831/ARCT"/>
    <n v="200000"/>
    <n v="2882"/>
    <n v="103940"/>
    <m/>
    <m/>
    <s v="Y"/>
    <m/>
    <s v="N"/>
    <m/>
    <s v="ARCT - 2831 FY12 fund - $200,000_x000a_Expenses werecharged to AP 2882, Central America R &amp; D. Any designated funds and the $200,000 ARCT funds backfilled this AP. If we don’t receive enough funding to cover these expenses then the RRF, AP 2799 will supplement outstanding expenses.  "/>
    <m/>
    <s v="Heavy rains caused flooding and landslides throughout Central America—most severely in Guatemala, El Salvador, Honduras and Nicaragua—resulting in more than 100 deaths and affecting more than 630,000 people. Red Cross societies throughout Central America  responded in Guatemala, El Salvador, Honduras and Nicaragua. They provided food, shelter, first aid and evacuation assistance.  The American Red Cross has committed $260,000 for relief supplies for 2,300 families (11,500 people) and other support for the Red Cross response operations in El Salvador, Honduras, Guatemala and Nicaragua. It also provided three disaster specialists from its regional office in Panama to assist operations._x000a_"/>
    <s v="CASH: $17,190 bilateral grant letter to El Salvador Red Cross for distribution costs; $18,125 bilateral grant letter to Honduras Red Cross for distribution costs; $13,625 bilateral grant letter to Nicaragua Red Cross for distribution costs._x000a_SUPPLIES: Bilateral contributions - see RAPs for detail: Supplies for 500 families  to Nicaraguan Red Cross valued at$61,000; supplies for 800 families for El Salvador Red Cross valued at$73,000; supplies for 500 families to Honduras Red Cross valued at $60,000. Multilateral contribution - supplies from Guatemala appeal mob table  for 500 families to Guatemalan Red Cross valued at $61,000.  Supplies for bilateral El Salvador and Honduras contribution and Guatemala appeal were paid for by ARCT funds._x000a_PEOPLE:  Three Panama delegation-based ARC staff deployed as disaster management liasons: Raymundo Ortega to assist Nicaragua Red Cross; Luis Guzman to assist El Salvador Red Cross; Alvaro Garita to assist Honduras Red Cross."/>
  </r>
  <r>
    <s v="TC-2011-000157-GTM"/>
    <n v="271"/>
    <x v="205"/>
    <d v="2011-10-20T00:00:00"/>
    <x v="16"/>
    <n v="6"/>
    <s v="Q2"/>
    <n v="2011"/>
    <n v="13"/>
    <s v="LAC"/>
    <s v="El Salvador"/>
    <m/>
    <m/>
    <m/>
    <m/>
    <m/>
    <x v="0"/>
    <m/>
    <n v="1300000"/>
    <m/>
    <s v="MDRSV004"/>
    <n v="1.3223076923076922E-2"/>
    <m/>
    <m/>
    <m/>
    <m/>
    <m/>
    <m/>
    <m/>
    <x v="2"/>
    <m/>
    <m/>
    <n v="17190"/>
    <m/>
    <m/>
    <m/>
    <m/>
    <m/>
    <m/>
    <m/>
    <n v="800"/>
    <n v="4000"/>
    <n v="1600"/>
    <m/>
    <m/>
    <m/>
    <m/>
    <n v="1600"/>
    <m/>
    <m/>
    <m/>
    <m/>
    <m/>
    <m/>
    <m/>
    <m/>
    <m/>
    <m/>
    <m/>
    <m/>
    <x v="0"/>
    <m/>
    <m/>
    <m/>
    <m/>
    <m/>
    <m/>
    <m/>
    <m/>
    <m/>
    <m/>
    <m/>
    <m/>
    <m/>
    <m/>
    <m/>
    <m/>
    <m/>
    <m/>
  </r>
  <r>
    <s v="TC-2011-000157-GTM"/>
    <n v="271"/>
    <x v="205"/>
    <d v="2011-10-20T00:00:00"/>
    <x v="16"/>
    <n v="6"/>
    <s v="Q2"/>
    <n v="2011"/>
    <n v="13"/>
    <s v="LAC"/>
    <s v="Honduras"/>
    <m/>
    <m/>
    <m/>
    <m/>
    <m/>
    <x v="0"/>
    <m/>
    <m/>
    <m/>
    <m/>
    <s v=""/>
    <m/>
    <m/>
    <m/>
    <m/>
    <m/>
    <m/>
    <m/>
    <x v="2"/>
    <m/>
    <m/>
    <n v="18125"/>
    <m/>
    <m/>
    <m/>
    <m/>
    <m/>
    <m/>
    <m/>
    <n v="500"/>
    <n v="2500"/>
    <n v="1000"/>
    <m/>
    <m/>
    <m/>
    <m/>
    <n v="1000"/>
    <m/>
    <n v="1000"/>
    <m/>
    <m/>
    <m/>
    <m/>
    <m/>
    <m/>
    <m/>
    <m/>
    <m/>
    <m/>
    <x v="0"/>
    <m/>
    <m/>
    <m/>
    <m/>
    <m/>
    <m/>
    <m/>
    <m/>
    <m/>
    <m/>
    <m/>
    <m/>
    <m/>
    <m/>
    <m/>
    <m/>
    <m/>
    <m/>
  </r>
  <r>
    <s v="TC-2011-000157-GTM"/>
    <n v="271"/>
    <x v="205"/>
    <d v="2011-10-20T00:00:00"/>
    <x v="16"/>
    <n v="6"/>
    <s v="Q2"/>
    <n v="2011"/>
    <n v="13"/>
    <s v="LAC"/>
    <s v="Guatemala"/>
    <m/>
    <m/>
    <m/>
    <m/>
    <m/>
    <x v="0"/>
    <m/>
    <n v="898600"/>
    <m/>
    <s v="MDRGT003"/>
    <n v="0"/>
    <m/>
    <m/>
    <m/>
    <m/>
    <m/>
    <m/>
    <m/>
    <x v="2"/>
    <m/>
    <m/>
    <m/>
    <m/>
    <m/>
    <m/>
    <m/>
    <m/>
    <m/>
    <m/>
    <n v="500"/>
    <n v="2500"/>
    <n v="1000"/>
    <m/>
    <m/>
    <m/>
    <m/>
    <n v="1000"/>
    <m/>
    <n v="1000"/>
    <m/>
    <m/>
    <m/>
    <m/>
    <m/>
    <m/>
    <m/>
    <m/>
    <m/>
    <m/>
    <x v="0"/>
    <m/>
    <m/>
    <m/>
    <m/>
    <m/>
    <m/>
    <m/>
    <m/>
    <m/>
    <m/>
    <m/>
    <m/>
    <m/>
    <m/>
    <m/>
    <m/>
    <m/>
    <m/>
  </r>
  <r>
    <s v="TC-2011-000157-GTM"/>
    <n v="271"/>
    <x v="205"/>
    <d v="2011-10-20T00:00:00"/>
    <x v="16"/>
    <n v="6"/>
    <s v="Q2"/>
    <n v="2011"/>
    <n v="13"/>
    <s v="LAC"/>
    <s v="Nicaragua"/>
    <m/>
    <m/>
    <m/>
    <m/>
    <m/>
    <x v="0"/>
    <m/>
    <m/>
    <m/>
    <m/>
    <s v=""/>
    <m/>
    <m/>
    <m/>
    <m/>
    <m/>
    <m/>
    <m/>
    <x v="2"/>
    <m/>
    <m/>
    <n v="13625"/>
    <m/>
    <m/>
    <m/>
    <m/>
    <m/>
    <m/>
    <m/>
    <n v="500"/>
    <n v="2500"/>
    <n v="1000"/>
    <m/>
    <m/>
    <m/>
    <m/>
    <n v="1000"/>
    <m/>
    <n v="1000"/>
    <m/>
    <m/>
    <m/>
    <m/>
    <m/>
    <m/>
    <m/>
    <m/>
    <m/>
    <m/>
    <x v="0"/>
    <m/>
    <m/>
    <m/>
    <m/>
    <m/>
    <m/>
    <m/>
    <m/>
    <m/>
    <m/>
    <m/>
    <m/>
    <m/>
    <m/>
    <m/>
    <m/>
    <m/>
    <m/>
  </r>
  <r>
    <s v="EQ-2011-000162-TUR"/>
    <n v="272"/>
    <x v="253"/>
    <d v="2011-10-26T00:00:00"/>
    <x v="16"/>
    <n v="7"/>
    <s v="Q2"/>
    <n v="2011"/>
    <n v="14"/>
    <s v="Europe/Asia"/>
    <s v="Turkey"/>
    <m/>
    <s v="Earthquake"/>
    <m/>
    <m/>
    <n v="250000"/>
    <x v="1"/>
    <s v="IFRC"/>
    <n v="11800000"/>
    <m/>
    <s v="MDRTR002"/>
    <n v="7.6016949152542368E-2"/>
    <m/>
    <m/>
    <m/>
    <m/>
    <n v="60000"/>
    <m/>
    <m/>
    <x v="1"/>
    <n v="897000"/>
    <m/>
    <m/>
    <m/>
    <n v="897000"/>
    <m/>
    <m/>
    <m/>
    <m/>
    <m/>
    <m/>
    <m/>
    <m/>
    <m/>
    <m/>
    <m/>
    <m/>
    <m/>
    <m/>
    <m/>
    <m/>
    <m/>
    <m/>
    <m/>
    <m/>
    <n v="897000"/>
    <m/>
    <m/>
    <m/>
    <n v="897000"/>
    <x v="1"/>
    <s v="C"/>
    <n v="915000"/>
    <d v="2011-11-22T00:00:00"/>
    <s v="ongoing"/>
    <n v="2814"/>
    <m/>
    <m/>
    <m/>
    <m/>
    <m/>
    <m/>
    <m/>
    <s v="N"/>
    <m/>
    <s v="2814 - Turkey Relief &amp;  Development. Designated fundraising from corporations only. 2799/RRF funds were used for first $100,000, but later reimbursed by 2814 funds."/>
    <m/>
    <s v="On October 23rd, a magnitude 7.2 earthquake struck Van province in eastern Turkey, killing more than 600 people, toppling buildings and destroying infrastructure. Two additional 5.6 and 4.5 earthquakes shook Van on November 9, killing 40 people. The Turkish Red Crescent response operation provided immediate food and relief supplies longer term sheltering those left homeless by the quake. It has provided emergency shelter for 272,000 people and now is focused on providing transitional homes for 12,000 people in advance of winter. The American Red Cross has committed $897,000 to the International Federation appeal in support of the Turkish Red Crescent response."/>
    <s v="CASH: 1) Oct 26 - $100,000 PMN contribution to Federation appeal earmarked for relief - originally paid by RRF/2799, but later reimbursed by AP 2814. 2) Nov 22 - $709,000 PMN earmarked for shelter.  (Previous Nov 3 PMN contribution to Federation appeal for $500,000 earmarked for relief was nulled as relief objective filled)."/>
  </r>
  <r>
    <m/>
    <n v="273"/>
    <x v="6"/>
    <d v="2011-11-01T00:00:00"/>
    <x v="16"/>
    <n v="8"/>
    <s v="Q2"/>
    <n v="2011"/>
    <n v="15"/>
    <s v="LAC"/>
    <s v="Mexico"/>
    <m/>
    <s v="Floods"/>
    <m/>
    <m/>
    <n v="318846"/>
    <x v="2"/>
    <m/>
    <m/>
    <m/>
    <s v="bilateral request"/>
    <s v=""/>
    <m/>
    <m/>
    <m/>
    <m/>
    <m/>
    <s v="Y"/>
    <n v="45000"/>
    <x v="2"/>
    <m/>
    <m/>
    <n v="270000"/>
    <m/>
    <n v="270000"/>
    <m/>
    <m/>
    <m/>
    <m/>
    <m/>
    <m/>
    <m/>
    <m/>
    <m/>
    <m/>
    <m/>
    <m/>
    <m/>
    <m/>
    <m/>
    <m/>
    <m/>
    <m/>
    <m/>
    <m/>
    <n v="270000"/>
    <m/>
    <m/>
    <m/>
    <n v="270000"/>
    <x v="1"/>
    <s v="C"/>
    <n v="287000"/>
    <d v="2011-11-01T00:00:00"/>
    <d v="2011-11-01T00:00:00"/>
    <n v="2020"/>
    <m/>
    <m/>
    <m/>
    <m/>
    <m/>
    <m/>
    <m/>
    <s v="N"/>
    <m/>
    <m/>
    <m/>
    <s v="Heavy rains caused flooding in more than 900 communities in the southeastern Mexican state of Tabasco, affecting more than 300,000 people. The Mexican Red Cross mobilized more than 1,500 volunteers to assist in evacuations, provide medical assistance and distribute food and relief supplies to those in need.  The American Red Cross committed $270,000 to support the Mexican Red Cross response._x000a_"/>
    <s v="CASH: A bilateral grant to the Mexican Red Cross for prcurement of food parcels and clean up kits for 9,000 families /45,000 people."/>
  </r>
  <r>
    <s v="FL-2011-000137-VNM"/>
    <n v="274"/>
    <x v="21"/>
    <d v="2011-11-10T00:00:00"/>
    <x v="16"/>
    <n v="9"/>
    <s v="Q2"/>
    <n v="2011"/>
    <n v="16"/>
    <s v="Europe/Asia"/>
    <s v="Vietnam"/>
    <m/>
    <s v="Floods"/>
    <m/>
    <m/>
    <n v="590000"/>
    <x v="1"/>
    <s v="IFRC"/>
    <n v="1229430"/>
    <m/>
    <s v="MDRVN009"/>
    <n v="4.0669253231172167E-2"/>
    <m/>
    <m/>
    <m/>
    <m/>
    <n v="42000"/>
    <m/>
    <m/>
    <x v="1"/>
    <n v="50000"/>
    <m/>
    <m/>
    <m/>
    <n v="50000"/>
    <m/>
    <m/>
    <m/>
    <m/>
    <m/>
    <m/>
    <m/>
    <m/>
    <m/>
    <m/>
    <m/>
    <m/>
    <m/>
    <m/>
    <m/>
    <m/>
    <m/>
    <m/>
    <m/>
    <m/>
    <n v="50000"/>
    <m/>
    <m/>
    <m/>
    <n v="50000"/>
    <x v="2"/>
    <m/>
    <m/>
    <m/>
    <m/>
    <n v="2799"/>
    <m/>
    <m/>
    <m/>
    <m/>
    <m/>
    <m/>
    <m/>
    <s v="Y"/>
    <m/>
    <m/>
    <m/>
    <s v="In September 2011, floods swept through seven provinces in Vietnam’s Mekong Delta, causing significant losses to agriculture and homes. These surpassed the regular annual floods in scope and damage, extending well beyond the traditional flood plain and affecting more than 590,000 people.  In response to the disaster, the Vietnam Red Cross has performed needs assessments and provided more than 62,500 people with household relief supplies, safe water and cash grants. They also assisted an additional 42,000 people with support from the global Red Cross and Red Crescent network.  The American Red Cross has committed $50,000 to the International Federation appeal in support of the Vietnam Red Cross response._x000a_"/>
    <s v="CASH: PMN contribution of $50,000 towards appeal, earmarked for relief objective."/>
  </r>
  <r>
    <s v="FL-2011-000135-THA"/>
    <n v="275"/>
    <x v="254"/>
    <d v="2011-11-10T00:00:00"/>
    <x v="16"/>
    <n v="10"/>
    <s v="Q2"/>
    <n v="2011"/>
    <n v="17"/>
    <s v="Europe/Asia"/>
    <s v="Thailand"/>
    <m/>
    <s v="Floods"/>
    <m/>
    <m/>
    <n v="3400000"/>
    <x v="2"/>
    <m/>
    <m/>
    <m/>
    <s v="regional plan"/>
    <s v=""/>
    <m/>
    <m/>
    <m/>
    <m/>
    <s v="n/a"/>
    <m/>
    <m/>
    <x v="1"/>
    <n v="167000"/>
    <m/>
    <m/>
    <m/>
    <n v="167000"/>
    <m/>
    <m/>
    <m/>
    <m/>
    <m/>
    <m/>
    <m/>
    <m/>
    <m/>
    <m/>
    <m/>
    <m/>
    <m/>
    <m/>
    <m/>
    <m/>
    <m/>
    <m/>
    <m/>
    <m/>
    <n v="167000"/>
    <m/>
    <m/>
    <m/>
    <n v="167000"/>
    <x v="1"/>
    <s v="C"/>
    <n v="189000"/>
    <d v="2011-11-22T00:00:00"/>
    <d v="2011-11-17T00:00:00"/>
    <n v="2689"/>
    <m/>
    <m/>
    <m/>
    <m/>
    <m/>
    <m/>
    <m/>
    <s v="N"/>
    <m/>
    <s v="2689 - Southeast Asia Typhoons and Floods. Designated funding for corporate  contributions only.  $189k raised as of 11/22"/>
    <m/>
    <s v="More than 3.4 million people were affected by Thailand’s worst flooding in more than five decades. Many communities across the country were isolated for weeks, relying on local authorities and organizations like the Thai Red Cross for basic assistance. The Thai Red Cross assisted in evacuations and distributing food, water and relief supplies in affected rural and urban areas. In isolated communities, Red Cross relief and medical teams used flat-bottom boats to reach those most affected. In the urban Bangkok area, Red Cross mobile kitchens and water purification teams distributed thousands of meals and clean water daily.   The American Red Cross has committed $167,000 to the International Federation1 in support of the Thai Red Cross response."/>
    <s v="CASH: $167,000 Cash grant to Intl Federation Regional Country Plan (not appeal) due to Thai RC not wanting an appeal."/>
  </r>
  <r>
    <s v="FL-2011-000170-COL"/>
    <n v="276"/>
    <x v="157"/>
    <d v="2011-12-05T00:00:00"/>
    <x v="16"/>
    <n v="10"/>
    <s v="Q2"/>
    <n v="2011"/>
    <n v="17"/>
    <s v="LAC"/>
    <s v="Colombia"/>
    <m/>
    <s v="Floods"/>
    <m/>
    <m/>
    <n v="410420"/>
    <x v="2"/>
    <m/>
    <m/>
    <m/>
    <m/>
    <s v=""/>
    <m/>
    <m/>
    <m/>
    <m/>
    <m/>
    <s v="Y"/>
    <n v="3000"/>
    <x v="2"/>
    <m/>
    <m/>
    <n v="100000"/>
    <m/>
    <n v="100000"/>
    <m/>
    <m/>
    <m/>
    <m/>
    <m/>
    <m/>
    <m/>
    <m/>
    <m/>
    <m/>
    <m/>
    <m/>
    <m/>
    <m/>
    <m/>
    <m/>
    <m/>
    <m/>
    <m/>
    <m/>
    <n v="100000"/>
    <m/>
    <m/>
    <m/>
    <n v="100000"/>
    <x v="2"/>
    <m/>
    <m/>
    <m/>
    <m/>
    <n v="2799"/>
    <m/>
    <m/>
    <m/>
    <m/>
    <m/>
    <m/>
    <m/>
    <s v="Y"/>
    <m/>
    <s v="2799 Rapid Response Fund"/>
    <m/>
    <s v="A heavier than normal rainy season affected more than 410,000 people in 80 percent of Colombia. Those affected are relying on government authorities and the Colombian Red Cross for basic assistance. More than 100 people have died and 62,300 homes have been damaged. Colombian Red Cross volunteers have conducted damage assessments, provided search and rescue service and distributed food and relief supplies. They plan to provide water and sanitation services, temporary shelter, food and relief supplies as well as health and emotional support services through mobile health teams.  The American Red Cross has committed $100,000 to the Colombian Red Cross for their expanded response to reach 18,000 people. _x000a_The American Red Cross has committed $100,000 to the Colombian Red Cross for their expanded response to reach 18,000 people._x000a_"/>
    <s v="CASH: $100,000 grant letter bilaterally to Colombian Red Cross in response to their proposal to fund part of their plan of action."/>
  </r>
  <r>
    <s v="TC-2011-000189-PHL"/>
    <n v="277"/>
    <x v="255"/>
    <d v="2011-12-21T00:00:00"/>
    <x v="16"/>
    <n v="11"/>
    <s v="Q2"/>
    <n v="2011"/>
    <n v="18"/>
    <s v="Europe/Asia"/>
    <s v="Philippines"/>
    <m/>
    <s v="Tropical Storm"/>
    <m/>
    <m/>
    <n v="698882"/>
    <x v="1"/>
    <s v="IFRC"/>
    <n v="6200000"/>
    <m/>
    <s v="MDRPH008"/>
    <n v="4.0000000000000002E-4"/>
    <m/>
    <m/>
    <m/>
    <m/>
    <n v="100000"/>
    <m/>
    <m/>
    <x v="1"/>
    <n v="228000"/>
    <m/>
    <m/>
    <m/>
    <n v="228000"/>
    <m/>
    <m/>
    <m/>
    <m/>
    <m/>
    <m/>
    <m/>
    <m/>
    <m/>
    <m/>
    <m/>
    <m/>
    <m/>
    <m/>
    <m/>
    <m/>
    <m/>
    <m/>
    <m/>
    <m/>
    <n v="228000"/>
    <m/>
    <m/>
    <m/>
    <n v="228000"/>
    <x v="1"/>
    <s v="P"/>
    <m/>
    <m/>
    <m/>
    <n v="2799"/>
    <m/>
    <m/>
    <m/>
    <m/>
    <m/>
    <m/>
    <m/>
    <s v="Y"/>
    <m/>
    <s v="2799 Rapid Response Fund"/>
    <m/>
    <s v="Typhoon Washi hit the southern Philippines on December 17, bringing heavy rains and strong winds which resulted in massive flooding and widespread damage in the Northern Mindanao area.  More than 10,000 homes were damaged or destroyed, displacing 284,600 people.  The Philippine Red Cross deployed search and rescue units to perform evacuations and volunteers to provide hot meals and food supplies to more than 3,000 people in affected areas. Through support from the global Red Cross and Red Crescent network, they provided 25,000 affected people with food, relief supplies, water and sanitation, hygiene, shelter and livelihoods assistance.  The American Red Cross committed $75,000  in support of the Philippine Red Cross response._x000a_"/>
    <s v="CASH: $75,000 cash pledge to the Federation appeal earmarked for relief from AP 2799/RRF. CASH: $153,000 cash pledge to IFRC appeal for relief from AP 2032"/>
  </r>
  <r>
    <m/>
    <n v="278"/>
    <x v="256"/>
    <m/>
    <x v="17"/>
    <m/>
    <m/>
    <m/>
    <m/>
    <m/>
    <m/>
    <m/>
    <m/>
    <m/>
    <m/>
    <m/>
    <x v="0"/>
    <m/>
    <m/>
    <m/>
    <m/>
    <m/>
    <m/>
    <m/>
    <m/>
    <m/>
    <m/>
    <m/>
    <m/>
    <x v="0"/>
    <m/>
    <m/>
    <m/>
    <m/>
    <m/>
    <m/>
    <m/>
    <m/>
    <m/>
    <m/>
    <m/>
    <m/>
    <m/>
    <m/>
    <m/>
    <m/>
    <m/>
    <m/>
    <m/>
    <m/>
    <m/>
    <m/>
    <m/>
    <m/>
    <m/>
    <m/>
    <m/>
    <m/>
    <m/>
    <m/>
    <x v="1"/>
    <m/>
    <n v="0"/>
    <m/>
    <m/>
    <m/>
    <m/>
    <m/>
    <m/>
    <m/>
    <m/>
    <m/>
    <m/>
    <m/>
    <m/>
    <m/>
    <m/>
    <m/>
    <s v="We agreed to accept funds for this but did not receive any. There was no response contribution."/>
  </r>
  <r>
    <s v="OT-2011-000205-NER"/>
    <n v="279"/>
    <x v="136"/>
    <d v="2012-02-08T00:00:00"/>
    <x v="16"/>
    <n v="12"/>
    <s v="Q3"/>
    <n v="2012"/>
    <n v="1"/>
    <s v="Africa"/>
    <s v="[rollup]"/>
    <m/>
    <s v="Food Insecurity"/>
    <m/>
    <m/>
    <n v="11000000"/>
    <x v="1"/>
    <s v="IFRC"/>
    <s v="various"/>
    <m/>
    <s v="various"/>
    <m/>
    <m/>
    <m/>
    <m/>
    <m/>
    <m/>
    <m/>
    <m/>
    <x v="2"/>
    <m/>
    <m/>
    <m/>
    <m/>
    <n v="0"/>
    <n v="1"/>
    <m/>
    <n v="1"/>
    <m/>
    <m/>
    <m/>
    <m/>
    <m/>
    <m/>
    <m/>
    <m/>
    <m/>
    <m/>
    <m/>
    <m/>
    <m/>
    <m/>
    <m/>
    <m/>
    <m/>
    <n v="0"/>
    <m/>
    <m/>
    <m/>
    <n v="0"/>
    <x v="2"/>
    <m/>
    <m/>
    <m/>
    <m/>
    <n v="2002"/>
    <m/>
    <m/>
    <m/>
    <m/>
    <m/>
    <m/>
    <m/>
    <s v="Y"/>
    <m/>
    <m/>
    <m/>
    <s v="More than 11 million people in the Sahel region of West Africa which includes Burkina Faso, Chad, Mali, Mauritania, Niger and some parts of Senegal face severe food shortages due to erratic rainfall and drought which has caused crop failures.  Red Cross and Red Crescent societies in Burkina Faso, Mali, Mauritania, Senegal, Chad and Niger are all responding to the crisis and working with global Red Cross partners on response planning and assessments.  The American Red Cross deployed a logistics specialist to participate in a multi-national Red Cross FACT team which will support planning and assessments for local Red Cross and Red Crescent response operations in affected countries._x000a_"/>
    <s v="PEOPLE: Deployed Rosemary Parnell as logistics delegate to FACT team. Based in Senegal, but she assisted entire operation."/>
  </r>
  <r>
    <s v="OT-2011-000205-NER"/>
    <n v="279"/>
    <x v="136"/>
    <d v="2012-02-08T00:00:00"/>
    <x v="16"/>
    <n v="12"/>
    <s v="Q3"/>
    <n v="2012"/>
    <n v="1"/>
    <s v="Africa"/>
    <s v="Senegal"/>
    <m/>
    <m/>
    <m/>
    <m/>
    <m/>
    <x v="0"/>
    <m/>
    <m/>
    <m/>
    <m/>
    <m/>
    <m/>
    <m/>
    <m/>
    <m/>
    <m/>
    <m/>
    <m/>
    <x v="2"/>
    <m/>
    <m/>
    <m/>
    <m/>
    <m/>
    <m/>
    <m/>
    <m/>
    <m/>
    <m/>
    <m/>
    <m/>
    <m/>
    <m/>
    <m/>
    <m/>
    <m/>
    <m/>
    <m/>
    <m/>
    <m/>
    <m/>
    <m/>
    <m/>
    <m/>
    <m/>
    <m/>
    <m/>
    <m/>
    <m/>
    <x v="0"/>
    <m/>
    <m/>
    <m/>
    <m/>
    <m/>
    <m/>
    <m/>
    <m/>
    <m/>
    <m/>
    <m/>
    <m/>
    <m/>
    <m/>
    <m/>
    <m/>
    <m/>
    <m/>
  </r>
  <r>
    <s v="OT-2011-000205-NER"/>
    <n v="279"/>
    <x v="136"/>
    <d v="2012-02-08T00:00:00"/>
    <x v="16"/>
    <n v="12"/>
    <s v="Q3"/>
    <n v="2012"/>
    <n v="1"/>
    <s v="Africa"/>
    <s v="Burkina Faso"/>
    <m/>
    <m/>
    <m/>
    <m/>
    <m/>
    <x v="0"/>
    <m/>
    <m/>
    <m/>
    <m/>
    <m/>
    <m/>
    <m/>
    <m/>
    <m/>
    <m/>
    <m/>
    <m/>
    <x v="2"/>
    <m/>
    <m/>
    <m/>
    <m/>
    <m/>
    <m/>
    <m/>
    <m/>
    <m/>
    <m/>
    <m/>
    <m/>
    <m/>
    <m/>
    <m/>
    <m/>
    <m/>
    <m/>
    <m/>
    <m/>
    <m/>
    <m/>
    <m/>
    <m/>
    <m/>
    <m/>
    <m/>
    <m/>
    <m/>
    <m/>
    <x v="0"/>
    <m/>
    <m/>
    <m/>
    <m/>
    <m/>
    <m/>
    <m/>
    <m/>
    <m/>
    <m/>
    <m/>
    <m/>
    <m/>
    <m/>
    <m/>
    <m/>
    <m/>
    <m/>
  </r>
  <r>
    <s v="OT-2011-000205-NER"/>
    <n v="279"/>
    <x v="136"/>
    <d v="2012-02-08T00:00:00"/>
    <x v="16"/>
    <n v="12"/>
    <s v="Q3"/>
    <n v="2012"/>
    <n v="1"/>
    <s v="Africa"/>
    <s v="Chad"/>
    <m/>
    <m/>
    <m/>
    <m/>
    <m/>
    <x v="0"/>
    <m/>
    <m/>
    <m/>
    <m/>
    <m/>
    <m/>
    <m/>
    <m/>
    <m/>
    <m/>
    <m/>
    <m/>
    <x v="2"/>
    <m/>
    <m/>
    <m/>
    <m/>
    <m/>
    <m/>
    <m/>
    <m/>
    <m/>
    <m/>
    <m/>
    <m/>
    <m/>
    <m/>
    <m/>
    <m/>
    <m/>
    <m/>
    <m/>
    <m/>
    <m/>
    <m/>
    <m/>
    <m/>
    <m/>
    <m/>
    <m/>
    <m/>
    <m/>
    <m/>
    <x v="0"/>
    <m/>
    <m/>
    <m/>
    <m/>
    <m/>
    <m/>
    <m/>
    <m/>
    <m/>
    <m/>
    <m/>
    <m/>
    <m/>
    <m/>
    <m/>
    <m/>
    <m/>
    <m/>
  </r>
  <r>
    <s v="OT-2011-000205-NER"/>
    <n v="279"/>
    <x v="136"/>
    <d v="2012-02-08T00:00:00"/>
    <x v="16"/>
    <n v="12"/>
    <s v="Q3"/>
    <n v="2012"/>
    <n v="1"/>
    <s v="Africa"/>
    <s v="Niger"/>
    <m/>
    <m/>
    <m/>
    <m/>
    <m/>
    <x v="0"/>
    <m/>
    <m/>
    <m/>
    <m/>
    <m/>
    <m/>
    <m/>
    <m/>
    <m/>
    <m/>
    <m/>
    <m/>
    <x v="2"/>
    <m/>
    <m/>
    <m/>
    <m/>
    <m/>
    <m/>
    <m/>
    <m/>
    <m/>
    <m/>
    <m/>
    <m/>
    <m/>
    <m/>
    <m/>
    <m/>
    <m/>
    <m/>
    <m/>
    <m/>
    <m/>
    <m/>
    <m/>
    <m/>
    <m/>
    <m/>
    <m/>
    <m/>
    <m/>
    <m/>
    <x v="0"/>
    <m/>
    <m/>
    <m/>
    <m/>
    <m/>
    <m/>
    <m/>
    <m/>
    <m/>
    <m/>
    <m/>
    <m/>
    <m/>
    <m/>
    <m/>
    <m/>
    <m/>
    <m/>
  </r>
  <r>
    <s v="OT-2011-000205-NER"/>
    <n v="279"/>
    <x v="136"/>
    <d v="2012-02-08T00:00:00"/>
    <x v="16"/>
    <n v="12"/>
    <s v="Q3"/>
    <n v="2012"/>
    <n v="1"/>
    <s v="Africa"/>
    <s v="Mauritania"/>
    <m/>
    <m/>
    <m/>
    <m/>
    <m/>
    <x v="0"/>
    <m/>
    <m/>
    <m/>
    <m/>
    <m/>
    <m/>
    <m/>
    <m/>
    <m/>
    <m/>
    <m/>
    <m/>
    <x v="2"/>
    <m/>
    <m/>
    <m/>
    <m/>
    <m/>
    <m/>
    <m/>
    <m/>
    <m/>
    <m/>
    <m/>
    <m/>
    <m/>
    <m/>
    <m/>
    <m/>
    <m/>
    <m/>
    <m/>
    <m/>
    <m/>
    <m/>
    <m/>
    <m/>
    <m/>
    <m/>
    <m/>
    <m/>
    <m/>
    <m/>
    <x v="0"/>
    <m/>
    <m/>
    <m/>
    <m/>
    <m/>
    <m/>
    <m/>
    <m/>
    <m/>
    <m/>
    <m/>
    <m/>
    <m/>
    <m/>
    <m/>
    <m/>
    <m/>
    <m/>
  </r>
  <r>
    <s v="OT-2011-000205-NER"/>
    <n v="279"/>
    <x v="136"/>
    <d v="2012-02-08T00:00:00"/>
    <x v="16"/>
    <n v="12"/>
    <s v="Q3"/>
    <n v="2012"/>
    <n v="1"/>
    <s v="Africa"/>
    <s v="Mali"/>
    <m/>
    <m/>
    <m/>
    <m/>
    <m/>
    <x v="0"/>
    <m/>
    <m/>
    <m/>
    <m/>
    <m/>
    <m/>
    <m/>
    <m/>
    <m/>
    <m/>
    <m/>
    <m/>
    <x v="2"/>
    <m/>
    <m/>
    <m/>
    <m/>
    <m/>
    <m/>
    <m/>
    <m/>
    <m/>
    <m/>
    <m/>
    <m/>
    <m/>
    <m/>
    <m/>
    <m/>
    <m/>
    <m/>
    <m/>
    <m/>
    <m/>
    <m/>
    <m/>
    <m/>
    <m/>
    <m/>
    <m/>
    <m/>
    <m/>
    <m/>
    <x v="0"/>
    <m/>
    <m/>
    <m/>
    <m/>
    <m/>
    <m/>
    <m/>
    <m/>
    <m/>
    <m/>
    <m/>
    <m/>
    <m/>
    <m/>
    <m/>
    <m/>
    <m/>
    <m/>
  </r>
  <r>
    <s v="DR-2012-000011-PRY"/>
    <n v="280"/>
    <x v="94"/>
    <d v="2012-03-05T00:00:00"/>
    <x v="16"/>
    <n v="13"/>
    <s v="Q3"/>
    <n v="2012"/>
    <n v="2"/>
    <s v="LAC"/>
    <s v="Paraguay"/>
    <m/>
    <s v="Drought"/>
    <m/>
    <m/>
    <n v="1300000"/>
    <x v="2"/>
    <m/>
    <m/>
    <m/>
    <m/>
    <m/>
    <m/>
    <m/>
    <m/>
    <m/>
    <m/>
    <s v="Y"/>
    <n v="3065"/>
    <x v="2"/>
    <m/>
    <m/>
    <n v="45000"/>
    <m/>
    <n v="45000"/>
    <m/>
    <m/>
    <m/>
    <m/>
    <m/>
    <m/>
    <m/>
    <m/>
    <m/>
    <m/>
    <m/>
    <m/>
    <m/>
    <m/>
    <m/>
    <m/>
    <m/>
    <m/>
    <m/>
    <m/>
    <n v="45000"/>
    <m/>
    <m/>
    <m/>
    <n v="45000"/>
    <x v="2"/>
    <m/>
    <m/>
    <m/>
    <m/>
    <n v="2799"/>
    <n v="45000"/>
    <m/>
    <m/>
    <m/>
    <m/>
    <m/>
    <m/>
    <s v="Y"/>
    <m/>
    <s v="2799 Rapid Response Fund"/>
    <m/>
    <s v="A La Niña weather pattern has caused a serious drought in southern Paraguay, in one of the most important agricultural regions of the country affecting more than 263,800 families, or 1.3 million people.  The Paraguayan Red Cross performed rapid needs assessments and provided food parcels and seeds to affected farming families.  The American Red Cross  committed $45,000 to the Paraguay Red Cross to support their response efforts. The American Red Cross also supports the LARRA long term disaster risk reduction program in Paraguay.  "/>
    <s v="CASH: $45,000 grant letter bilaterally to Paraguayan Red Cross in support of their proposal for response to fund plan of action for drought."/>
  </r>
  <r>
    <s v="FL-2012-000032-BOL"/>
    <n v="281"/>
    <x v="48"/>
    <d v="2012-03-16T00:00:00"/>
    <x v="16"/>
    <n v="14"/>
    <s v="Q3"/>
    <n v="2012"/>
    <n v="3"/>
    <s v="LAC"/>
    <s v="Bolivia"/>
    <m/>
    <s v="Floods"/>
    <m/>
    <m/>
    <n v="65000"/>
    <x v="1"/>
    <s v="IFRC"/>
    <n v="540000"/>
    <m/>
    <s v="MDRBO007"/>
    <n v="0.13"/>
    <m/>
    <m/>
    <m/>
    <m/>
    <n v="10000"/>
    <m/>
    <m/>
    <x v="1"/>
    <n v="75000"/>
    <m/>
    <m/>
    <m/>
    <n v="75000"/>
    <m/>
    <m/>
    <m/>
    <m/>
    <m/>
    <m/>
    <m/>
    <m/>
    <m/>
    <m/>
    <m/>
    <m/>
    <m/>
    <m/>
    <m/>
    <m/>
    <m/>
    <m/>
    <m/>
    <m/>
    <n v="75000"/>
    <m/>
    <m/>
    <m/>
    <n v="75000"/>
    <x v="2"/>
    <m/>
    <m/>
    <m/>
    <m/>
    <n v="2799"/>
    <n v="75000"/>
    <m/>
    <m/>
    <m/>
    <m/>
    <m/>
    <m/>
    <s v="Y"/>
    <m/>
    <s v="2799 Rapid Response Fund"/>
    <m/>
    <s v="A La Niña weather phenomenon has created irregular rain patterns throughout South America, causing serious flooding in Bolivia.  The Bolivian Red Cross performed rapid needs assessments and relief supplies, food and water and sanitation to 2,000 affected farming families.  The American Red Cross  committed $75,000 to the Federation appeal in support their response efforts.   "/>
    <s v="CASH: $75,000 PMN to appeal earmarked for relief activities."/>
  </r>
  <r>
    <m/>
    <m/>
    <x v="257"/>
    <m/>
    <x v="17"/>
    <m/>
    <m/>
    <m/>
    <m/>
    <m/>
    <m/>
    <m/>
    <m/>
    <m/>
    <m/>
    <m/>
    <x v="0"/>
    <m/>
    <m/>
    <m/>
    <m/>
    <m/>
    <m/>
    <m/>
    <m/>
    <m/>
    <m/>
    <m/>
    <m/>
    <x v="0"/>
    <m/>
    <m/>
    <m/>
    <m/>
    <n v="0"/>
    <m/>
    <m/>
    <m/>
    <m/>
    <m/>
    <m/>
    <m/>
    <m/>
    <m/>
    <m/>
    <m/>
    <m/>
    <m/>
    <m/>
    <m/>
    <m/>
    <m/>
    <m/>
    <m/>
    <m/>
    <n v="0"/>
    <m/>
    <m/>
    <m/>
    <n v="0"/>
    <x v="0"/>
    <m/>
    <m/>
    <m/>
    <m/>
    <m/>
    <m/>
    <m/>
    <m/>
    <m/>
    <m/>
    <m/>
    <m/>
    <m/>
    <m/>
    <m/>
    <m/>
    <m/>
    <m/>
  </r>
  <r>
    <m/>
    <m/>
    <x v="257"/>
    <m/>
    <x v="17"/>
    <m/>
    <m/>
    <m/>
    <m/>
    <m/>
    <m/>
    <m/>
    <m/>
    <m/>
    <m/>
    <m/>
    <x v="0"/>
    <m/>
    <m/>
    <m/>
    <m/>
    <m/>
    <m/>
    <m/>
    <m/>
    <m/>
    <m/>
    <m/>
    <m/>
    <x v="0"/>
    <m/>
    <m/>
    <m/>
    <m/>
    <n v="0"/>
    <m/>
    <m/>
    <m/>
    <m/>
    <m/>
    <m/>
    <m/>
    <m/>
    <m/>
    <m/>
    <m/>
    <m/>
    <m/>
    <m/>
    <m/>
    <m/>
    <m/>
    <m/>
    <m/>
    <m/>
    <n v="0"/>
    <m/>
    <m/>
    <m/>
    <n v="0"/>
    <x v="0"/>
    <m/>
    <m/>
    <m/>
    <m/>
    <m/>
    <m/>
    <m/>
    <m/>
    <m/>
    <m/>
    <m/>
    <m/>
    <m/>
    <m/>
    <m/>
    <m/>
    <m/>
    <m/>
  </r>
  <r>
    <m/>
    <m/>
    <x v="257"/>
    <m/>
    <x v="17"/>
    <m/>
    <m/>
    <m/>
    <m/>
    <m/>
    <m/>
    <m/>
    <m/>
    <m/>
    <m/>
    <m/>
    <x v="0"/>
    <m/>
    <m/>
    <m/>
    <m/>
    <m/>
    <m/>
    <m/>
    <m/>
    <m/>
    <m/>
    <m/>
    <m/>
    <x v="0"/>
    <m/>
    <m/>
    <m/>
    <m/>
    <n v="0"/>
    <m/>
    <m/>
    <m/>
    <m/>
    <m/>
    <m/>
    <m/>
    <m/>
    <m/>
    <m/>
    <m/>
    <m/>
    <m/>
    <m/>
    <m/>
    <m/>
    <m/>
    <m/>
    <m/>
    <m/>
    <n v="0"/>
    <m/>
    <m/>
    <m/>
    <n v="0"/>
    <x v="0"/>
    <m/>
    <m/>
    <m/>
    <m/>
    <m/>
    <m/>
    <m/>
    <m/>
    <m/>
    <m/>
    <m/>
    <m/>
    <m/>
    <m/>
    <m/>
    <m/>
    <m/>
    <m/>
  </r>
  <r>
    <m/>
    <m/>
    <x v="257"/>
    <m/>
    <x v="17"/>
    <m/>
    <m/>
    <m/>
    <m/>
    <m/>
    <m/>
    <m/>
    <m/>
    <m/>
    <m/>
    <m/>
    <x v="0"/>
    <m/>
    <m/>
    <m/>
    <m/>
    <m/>
    <m/>
    <m/>
    <m/>
    <m/>
    <m/>
    <m/>
    <m/>
    <x v="0"/>
    <m/>
    <m/>
    <m/>
    <m/>
    <n v="0"/>
    <m/>
    <m/>
    <m/>
    <m/>
    <m/>
    <m/>
    <m/>
    <m/>
    <m/>
    <m/>
    <m/>
    <m/>
    <m/>
    <m/>
    <m/>
    <m/>
    <m/>
    <m/>
    <m/>
    <m/>
    <n v="0"/>
    <m/>
    <m/>
    <m/>
    <n v="0"/>
    <x v="0"/>
    <m/>
    <m/>
    <m/>
    <m/>
    <m/>
    <m/>
    <m/>
    <m/>
    <m/>
    <m/>
    <m/>
    <m/>
    <m/>
    <m/>
    <m/>
    <m/>
    <m/>
    <m/>
  </r>
  <r>
    <m/>
    <m/>
    <x v="257"/>
    <m/>
    <x v="17"/>
    <m/>
    <m/>
    <m/>
    <m/>
    <m/>
    <m/>
    <m/>
    <m/>
    <m/>
    <m/>
    <m/>
    <x v="0"/>
    <m/>
    <m/>
    <m/>
    <m/>
    <m/>
    <m/>
    <m/>
    <m/>
    <m/>
    <m/>
    <m/>
    <m/>
    <x v="0"/>
    <m/>
    <m/>
    <m/>
    <m/>
    <n v="0"/>
    <m/>
    <m/>
    <m/>
    <m/>
    <m/>
    <m/>
    <m/>
    <m/>
    <m/>
    <m/>
    <m/>
    <m/>
    <m/>
    <m/>
    <m/>
    <m/>
    <m/>
    <m/>
    <m/>
    <m/>
    <n v="0"/>
    <m/>
    <m/>
    <m/>
    <n v="0"/>
    <x v="0"/>
    <m/>
    <m/>
    <m/>
    <m/>
    <m/>
    <m/>
    <m/>
    <m/>
    <m/>
    <m/>
    <m/>
    <m/>
    <m/>
    <m/>
    <m/>
    <m/>
    <m/>
    <m/>
  </r>
  <r>
    <m/>
    <m/>
    <x v="257"/>
    <m/>
    <x v="17"/>
    <m/>
    <m/>
    <m/>
    <m/>
    <m/>
    <m/>
    <m/>
    <m/>
    <m/>
    <m/>
    <m/>
    <x v="0"/>
    <m/>
    <m/>
    <m/>
    <m/>
    <m/>
    <m/>
    <m/>
    <m/>
    <m/>
    <m/>
    <m/>
    <m/>
    <x v="0"/>
    <m/>
    <m/>
    <m/>
    <m/>
    <n v="0"/>
    <m/>
    <m/>
    <m/>
    <m/>
    <m/>
    <m/>
    <m/>
    <m/>
    <m/>
    <m/>
    <m/>
    <m/>
    <m/>
    <m/>
    <m/>
    <m/>
    <m/>
    <m/>
    <m/>
    <m/>
    <n v="0"/>
    <m/>
    <m/>
    <m/>
    <n v="0"/>
    <x v="0"/>
    <m/>
    <m/>
    <m/>
    <m/>
    <m/>
    <m/>
    <m/>
    <m/>
    <m/>
    <m/>
    <m/>
    <m/>
    <m/>
    <m/>
    <m/>
    <m/>
    <m/>
    <m/>
  </r>
  <r>
    <m/>
    <m/>
    <x v="257"/>
    <m/>
    <x v="17"/>
    <m/>
    <m/>
    <m/>
    <m/>
    <m/>
    <m/>
    <m/>
    <m/>
    <m/>
    <m/>
    <m/>
    <x v="0"/>
    <m/>
    <m/>
    <m/>
    <m/>
    <m/>
    <m/>
    <m/>
    <m/>
    <m/>
    <m/>
    <m/>
    <m/>
    <x v="0"/>
    <m/>
    <m/>
    <m/>
    <m/>
    <n v="0"/>
    <m/>
    <m/>
    <m/>
    <m/>
    <m/>
    <m/>
    <m/>
    <m/>
    <m/>
    <m/>
    <m/>
    <m/>
    <m/>
    <m/>
    <m/>
    <m/>
    <m/>
    <m/>
    <m/>
    <m/>
    <n v="0"/>
    <m/>
    <m/>
    <m/>
    <n v="0"/>
    <x v="0"/>
    <m/>
    <m/>
    <m/>
    <m/>
    <m/>
    <m/>
    <m/>
    <m/>
    <m/>
    <m/>
    <m/>
    <m/>
    <m/>
    <m/>
    <m/>
    <m/>
    <m/>
    <m/>
  </r>
  <r>
    <m/>
    <m/>
    <x v="257"/>
    <m/>
    <x v="17"/>
    <m/>
    <m/>
    <m/>
    <m/>
    <m/>
    <m/>
    <m/>
    <m/>
    <m/>
    <m/>
    <m/>
    <x v="0"/>
    <m/>
    <m/>
    <m/>
    <m/>
    <m/>
    <m/>
    <m/>
    <m/>
    <m/>
    <m/>
    <m/>
    <m/>
    <x v="0"/>
    <m/>
    <m/>
    <m/>
    <m/>
    <m/>
    <m/>
    <m/>
    <m/>
    <m/>
    <m/>
    <m/>
    <m/>
    <m/>
    <m/>
    <m/>
    <m/>
    <m/>
    <m/>
    <m/>
    <m/>
    <m/>
    <m/>
    <m/>
    <m/>
    <m/>
    <n v="0"/>
    <m/>
    <m/>
    <m/>
    <n v="0"/>
    <x v="0"/>
    <m/>
    <m/>
    <m/>
    <m/>
    <m/>
    <m/>
    <m/>
    <m/>
    <m/>
    <m/>
    <m/>
    <m/>
    <m/>
    <m/>
    <m/>
    <m/>
    <m/>
    <m/>
  </r>
  <r>
    <m/>
    <m/>
    <x v="257"/>
    <m/>
    <x v="17"/>
    <m/>
    <m/>
    <m/>
    <m/>
    <m/>
    <m/>
    <m/>
    <m/>
    <m/>
    <m/>
    <m/>
    <x v="0"/>
    <m/>
    <m/>
    <m/>
    <m/>
    <m/>
    <m/>
    <m/>
    <m/>
    <m/>
    <m/>
    <m/>
    <m/>
    <x v="0"/>
    <m/>
    <m/>
    <m/>
    <m/>
    <m/>
    <m/>
    <m/>
    <m/>
    <m/>
    <m/>
    <m/>
    <m/>
    <m/>
    <m/>
    <m/>
    <m/>
    <m/>
    <m/>
    <m/>
    <m/>
    <m/>
    <m/>
    <m/>
    <m/>
    <m/>
    <n v="0"/>
    <m/>
    <m/>
    <m/>
    <n v="0"/>
    <x v="0"/>
    <m/>
    <m/>
    <m/>
    <m/>
    <m/>
    <m/>
    <m/>
    <m/>
    <m/>
    <m/>
    <m/>
    <m/>
    <m/>
    <m/>
    <m/>
    <m/>
    <m/>
    <m/>
  </r>
  <r>
    <m/>
    <m/>
    <x v="257"/>
    <m/>
    <x v="17"/>
    <m/>
    <m/>
    <m/>
    <m/>
    <m/>
    <m/>
    <m/>
    <m/>
    <m/>
    <m/>
    <m/>
    <x v="0"/>
    <m/>
    <m/>
    <m/>
    <m/>
    <m/>
    <m/>
    <m/>
    <m/>
    <m/>
    <m/>
    <m/>
    <m/>
    <x v="0"/>
    <m/>
    <m/>
    <m/>
    <m/>
    <m/>
    <m/>
    <m/>
    <m/>
    <m/>
    <m/>
    <m/>
    <m/>
    <m/>
    <m/>
    <m/>
    <m/>
    <m/>
    <m/>
    <m/>
    <m/>
    <m/>
    <m/>
    <m/>
    <m/>
    <m/>
    <m/>
    <m/>
    <m/>
    <m/>
    <n v="0"/>
    <x v="0"/>
    <m/>
    <m/>
    <m/>
    <m/>
    <m/>
    <m/>
    <m/>
    <m/>
    <m/>
    <m/>
    <m/>
    <m/>
    <m/>
    <m/>
    <m/>
    <m/>
    <m/>
    <m/>
  </r>
  <r>
    <m/>
    <m/>
    <x v="257"/>
    <m/>
    <x v="17"/>
    <m/>
    <m/>
    <m/>
    <m/>
    <m/>
    <m/>
    <m/>
    <m/>
    <m/>
    <m/>
    <m/>
    <x v="0"/>
    <m/>
    <m/>
    <m/>
    <m/>
    <m/>
    <m/>
    <m/>
    <m/>
    <m/>
    <m/>
    <m/>
    <m/>
    <x v="0"/>
    <m/>
    <m/>
    <m/>
    <m/>
    <m/>
    <m/>
    <m/>
    <m/>
    <m/>
    <m/>
    <m/>
    <m/>
    <m/>
    <m/>
    <m/>
    <m/>
    <m/>
    <m/>
    <m/>
    <m/>
    <m/>
    <m/>
    <m/>
    <m/>
    <m/>
    <m/>
    <m/>
    <m/>
    <m/>
    <n v="0"/>
    <x v="0"/>
    <m/>
    <m/>
    <m/>
    <m/>
    <m/>
    <m/>
    <m/>
    <m/>
    <m/>
    <m/>
    <m/>
    <m/>
    <m/>
    <m/>
    <m/>
    <m/>
    <m/>
    <m/>
  </r>
  <r>
    <m/>
    <m/>
    <x v="257"/>
    <m/>
    <x v="17"/>
    <m/>
    <m/>
    <m/>
    <m/>
    <m/>
    <m/>
    <m/>
    <m/>
    <m/>
    <m/>
    <m/>
    <x v="0"/>
    <m/>
    <m/>
    <m/>
    <m/>
    <m/>
    <m/>
    <m/>
    <m/>
    <m/>
    <m/>
    <m/>
    <m/>
    <x v="0"/>
    <m/>
    <m/>
    <m/>
    <m/>
    <m/>
    <m/>
    <m/>
    <m/>
    <m/>
    <m/>
    <m/>
    <m/>
    <m/>
    <m/>
    <m/>
    <m/>
    <m/>
    <m/>
    <m/>
    <m/>
    <m/>
    <m/>
    <m/>
    <m/>
    <m/>
    <m/>
    <m/>
    <m/>
    <m/>
    <n v="0"/>
    <x v="0"/>
    <m/>
    <m/>
    <m/>
    <m/>
    <m/>
    <m/>
    <m/>
    <m/>
    <m/>
    <m/>
    <m/>
    <m/>
    <m/>
    <m/>
    <m/>
    <m/>
    <m/>
    <m/>
  </r>
  <r>
    <m/>
    <m/>
    <x v="257"/>
    <m/>
    <x v="17"/>
    <m/>
    <m/>
    <m/>
    <m/>
    <m/>
    <m/>
    <m/>
    <m/>
    <m/>
    <m/>
    <m/>
    <x v="0"/>
    <m/>
    <m/>
    <m/>
    <m/>
    <m/>
    <m/>
    <m/>
    <m/>
    <m/>
    <m/>
    <m/>
    <m/>
    <x v="0"/>
    <m/>
    <m/>
    <m/>
    <m/>
    <m/>
    <m/>
    <m/>
    <m/>
    <m/>
    <m/>
    <m/>
    <m/>
    <m/>
    <m/>
    <m/>
    <m/>
    <m/>
    <m/>
    <m/>
    <m/>
    <m/>
    <m/>
    <m/>
    <m/>
    <m/>
    <m/>
    <m/>
    <m/>
    <m/>
    <n v="0"/>
    <x v="0"/>
    <m/>
    <m/>
    <m/>
    <m/>
    <m/>
    <m/>
    <m/>
    <m/>
    <m/>
    <m/>
    <m/>
    <m/>
    <m/>
    <m/>
    <m/>
    <m/>
    <m/>
    <m/>
  </r>
  <r>
    <m/>
    <m/>
    <x v="257"/>
    <m/>
    <x v="17"/>
    <m/>
    <m/>
    <m/>
    <m/>
    <m/>
    <m/>
    <m/>
    <m/>
    <m/>
    <m/>
    <m/>
    <x v="0"/>
    <m/>
    <m/>
    <m/>
    <m/>
    <m/>
    <m/>
    <m/>
    <m/>
    <m/>
    <m/>
    <m/>
    <m/>
    <x v="0"/>
    <m/>
    <m/>
    <m/>
    <m/>
    <m/>
    <m/>
    <m/>
    <m/>
    <m/>
    <m/>
    <m/>
    <m/>
    <m/>
    <m/>
    <m/>
    <m/>
    <m/>
    <m/>
    <m/>
    <m/>
    <m/>
    <m/>
    <m/>
    <m/>
    <m/>
    <m/>
    <m/>
    <m/>
    <m/>
    <n v="0"/>
    <x v="0"/>
    <m/>
    <m/>
    <m/>
    <m/>
    <m/>
    <m/>
    <m/>
    <m/>
    <m/>
    <m/>
    <m/>
    <m/>
    <m/>
    <m/>
    <m/>
    <m/>
    <m/>
    <m/>
  </r>
  <r>
    <m/>
    <m/>
    <x v="257"/>
    <m/>
    <x v="17"/>
    <m/>
    <m/>
    <m/>
    <m/>
    <m/>
    <m/>
    <m/>
    <m/>
    <m/>
    <m/>
    <m/>
    <x v="0"/>
    <m/>
    <m/>
    <m/>
    <m/>
    <m/>
    <m/>
    <m/>
    <m/>
    <m/>
    <m/>
    <m/>
    <m/>
    <x v="0"/>
    <m/>
    <m/>
    <m/>
    <m/>
    <m/>
    <m/>
    <m/>
    <m/>
    <m/>
    <m/>
    <m/>
    <m/>
    <m/>
    <m/>
    <m/>
    <m/>
    <m/>
    <m/>
    <m/>
    <m/>
    <m/>
    <m/>
    <m/>
    <m/>
    <m/>
    <m/>
    <m/>
    <m/>
    <m/>
    <n v="0"/>
    <x v="0"/>
    <m/>
    <m/>
    <m/>
    <m/>
    <m/>
    <m/>
    <m/>
    <m/>
    <m/>
    <m/>
    <m/>
    <m/>
    <m/>
    <m/>
    <m/>
    <m/>
    <m/>
    <m/>
  </r>
  <r>
    <m/>
    <m/>
    <x v="257"/>
    <m/>
    <x v="17"/>
    <m/>
    <m/>
    <m/>
    <m/>
    <m/>
    <m/>
    <m/>
    <m/>
    <m/>
    <m/>
    <m/>
    <x v="0"/>
    <m/>
    <m/>
    <m/>
    <m/>
    <m/>
    <m/>
    <m/>
    <m/>
    <m/>
    <m/>
    <m/>
    <m/>
    <x v="0"/>
    <m/>
    <m/>
    <m/>
    <m/>
    <m/>
    <m/>
    <m/>
    <m/>
    <m/>
    <m/>
    <m/>
    <m/>
    <m/>
    <m/>
    <m/>
    <m/>
    <m/>
    <m/>
    <m/>
    <m/>
    <m/>
    <m/>
    <m/>
    <m/>
    <m/>
    <m/>
    <m/>
    <m/>
    <m/>
    <n v="0"/>
    <x v="0"/>
    <m/>
    <m/>
    <m/>
    <m/>
    <m/>
    <m/>
    <m/>
    <m/>
    <m/>
    <m/>
    <m/>
    <m/>
    <m/>
    <m/>
    <m/>
    <m/>
    <m/>
    <m/>
  </r>
  <r>
    <m/>
    <m/>
    <x v="257"/>
    <m/>
    <x v="17"/>
    <m/>
    <m/>
    <m/>
    <m/>
    <m/>
    <m/>
    <m/>
    <m/>
    <m/>
    <m/>
    <m/>
    <x v="0"/>
    <m/>
    <m/>
    <m/>
    <m/>
    <m/>
    <m/>
    <m/>
    <m/>
    <m/>
    <m/>
    <m/>
    <m/>
    <x v="0"/>
    <m/>
    <m/>
    <m/>
    <m/>
    <m/>
    <m/>
    <m/>
    <m/>
    <m/>
    <m/>
    <m/>
    <m/>
    <m/>
    <m/>
    <m/>
    <m/>
    <m/>
    <m/>
    <m/>
    <m/>
    <m/>
    <m/>
    <m/>
    <m/>
    <m/>
    <m/>
    <m/>
    <m/>
    <m/>
    <n v="0"/>
    <x v="0"/>
    <m/>
    <m/>
    <m/>
    <m/>
    <m/>
    <m/>
    <m/>
    <m/>
    <m/>
    <m/>
    <m/>
    <m/>
    <m/>
    <m/>
    <m/>
    <m/>
    <m/>
    <m/>
  </r>
  <r>
    <m/>
    <m/>
    <x v="257"/>
    <m/>
    <x v="17"/>
    <m/>
    <m/>
    <m/>
    <m/>
    <m/>
    <m/>
    <m/>
    <m/>
    <m/>
    <m/>
    <m/>
    <x v="0"/>
    <m/>
    <m/>
    <m/>
    <m/>
    <m/>
    <m/>
    <m/>
    <m/>
    <m/>
    <m/>
    <m/>
    <m/>
    <x v="0"/>
    <m/>
    <m/>
    <m/>
    <m/>
    <m/>
    <m/>
    <m/>
    <m/>
    <m/>
    <m/>
    <m/>
    <m/>
    <m/>
    <m/>
    <m/>
    <m/>
    <m/>
    <m/>
    <m/>
    <m/>
    <m/>
    <m/>
    <m/>
    <m/>
    <m/>
    <m/>
    <m/>
    <m/>
    <m/>
    <m/>
    <x v="0"/>
    <m/>
    <m/>
    <m/>
    <m/>
    <m/>
    <m/>
    <m/>
    <m/>
    <m/>
    <m/>
    <m/>
    <m/>
    <m/>
    <m/>
    <m/>
    <m/>
    <m/>
    <m/>
  </r>
  <r>
    <m/>
    <m/>
    <x v="257"/>
    <m/>
    <x v="17"/>
    <m/>
    <m/>
    <m/>
    <m/>
    <m/>
    <m/>
    <m/>
    <m/>
    <m/>
    <m/>
    <m/>
    <x v="0"/>
    <m/>
    <m/>
    <m/>
    <m/>
    <m/>
    <m/>
    <m/>
    <m/>
    <m/>
    <m/>
    <m/>
    <m/>
    <x v="0"/>
    <m/>
    <m/>
    <m/>
    <m/>
    <m/>
    <m/>
    <m/>
    <m/>
    <m/>
    <m/>
    <m/>
    <m/>
    <m/>
    <m/>
    <m/>
    <m/>
    <m/>
    <m/>
    <m/>
    <m/>
    <m/>
    <m/>
    <m/>
    <m/>
    <m/>
    <m/>
    <m/>
    <m/>
    <m/>
    <m/>
    <x v="0"/>
    <m/>
    <m/>
    <m/>
    <m/>
    <m/>
    <m/>
    <m/>
    <m/>
    <m/>
    <m/>
    <m/>
    <m/>
    <m/>
    <m/>
    <m/>
    <m/>
    <m/>
    <m/>
  </r>
  <r>
    <m/>
    <m/>
    <x v="257"/>
    <m/>
    <x v="17"/>
    <m/>
    <m/>
    <m/>
    <m/>
    <m/>
    <m/>
    <m/>
    <m/>
    <m/>
    <m/>
    <m/>
    <x v="0"/>
    <m/>
    <m/>
    <m/>
    <m/>
    <m/>
    <m/>
    <m/>
    <m/>
    <m/>
    <m/>
    <m/>
    <m/>
    <x v="0"/>
    <m/>
    <m/>
    <m/>
    <m/>
    <m/>
    <m/>
    <m/>
    <m/>
    <m/>
    <m/>
    <m/>
    <m/>
    <m/>
    <m/>
    <m/>
    <m/>
    <m/>
    <m/>
    <m/>
    <m/>
    <m/>
    <m/>
    <m/>
    <m/>
    <m/>
    <m/>
    <m/>
    <m/>
    <m/>
    <m/>
    <x v="0"/>
    <m/>
    <m/>
    <m/>
    <m/>
    <m/>
    <m/>
    <m/>
    <m/>
    <m/>
    <m/>
    <m/>
    <m/>
    <m/>
    <m/>
    <m/>
    <m/>
    <m/>
    <m/>
  </r>
  <r>
    <m/>
    <m/>
    <x v="257"/>
    <m/>
    <x v="17"/>
    <m/>
    <m/>
    <m/>
    <m/>
    <m/>
    <m/>
    <m/>
    <m/>
    <m/>
    <m/>
    <m/>
    <x v="0"/>
    <m/>
    <m/>
    <m/>
    <m/>
    <m/>
    <m/>
    <m/>
    <m/>
    <m/>
    <m/>
    <m/>
    <m/>
    <x v="0"/>
    <m/>
    <m/>
    <m/>
    <m/>
    <m/>
    <m/>
    <m/>
    <m/>
    <m/>
    <m/>
    <m/>
    <m/>
    <m/>
    <m/>
    <m/>
    <m/>
    <m/>
    <m/>
    <m/>
    <m/>
    <m/>
    <m/>
    <m/>
    <m/>
    <m/>
    <m/>
    <m/>
    <m/>
    <m/>
    <m/>
    <x v="0"/>
    <m/>
    <m/>
    <m/>
    <m/>
    <m/>
    <m/>
    <m/>
    <m/>
    <m/>
    <m/>
    <m/>
    <m/>
    <m/>
    <m/>
    <m/>
    <m/>
    <m/>
    <m/>
  </r>
  <r>
    <m/>
    <m/>
    <x v="257"/>
    <m/>
    <x v="17"/>
    <m/>
    <m/>
    <m/>
    <m/>
    <m/>
    <m/>
    <m/>
    <m/>
    <m/>
    <m/>
    <m/>
    <x v="0"/>
    <m/>
    <m/>
    <m/>
    <m/>
    <m/>
    <m/>
    <m/>
    <m/>
    <m/>
    <m/>
    <m/>
    <m/>
    <x v="0"/>
    <m/>
    <m/>
    <m/>
    <m/>
    <m/>
    <m/>
    <m/>
    <m/>
    <m/>
    <m/>
    <m/>
    <m/>
    <m/>
    <m/>
    <m/>
    <m/>
    <m/>
    <m/>
    <m/>
    <m/>
    <m/>
    <m/>
    <m/>
    <m/>
    <m/>
    <m/>
    <m/>
    <m/>
    <m/>
    <m/>
    <x v="0"/>
    <m/>
    <m/>
    <m/>
    <m/>
    <m/>
    <m/>
    <m/>
    <m/>
    <m/>
    <m/>
    <m/>
    <m/>
    <m/>
    <m/>
    <m/>
    <m/>
    <m/>
    <m/>
  </r>
  <r>
    <m/>
    <m/>
    <x v="257"/>
    <m/>
    <x v="17"/>
    <m/>
    <m/>
    <m/>
    <m/>
    <m/>
    <m/>
    <m/>
    <m/>
    <m/>
    <m/>
    <m/>
    <x v="0"/>
    <m/>
    <m/>
    <m/>
    <m/>
    <m/>
    <m/>
    <m/>
    <m/>
    <m/>
    <m/>
    <m/>
    <m/>
    <x v="0"/>
    <m/>
    <m/>
    <m/>
    <m/>
    <m/>
    <m/>
    <m/>
    <m/>
    <m/>
    <m/>
    <m/>
    <m/>
    <m/>
    <m/>
    <m/>
    <m/>
    <m/>
    <m/>
    <m/>
    <m/>
    <m/>
    <m/>
    <m/>
    <m/>
    <m/>
    <m/>
    <m/>
    <m/>
    <m/>
    <m/>
    <x v="0"/>
    <m/>
    <m/>
    <m/>
    <m/>
    <m/>
    <m/>
    <m/>
    <m/>
    <m/>
    <m/>
    <m/>
    <m/>
    <m/>
    <m/>
    <m/>
    <m/>
    <m/>
    <m/>
  </r>
  <r>
    <m/>
    <m/>
    <x v="257"/>
    <m/>
    <x v="17"/>
    <m/>
    <m/>
    <m/>
    <m/>
    <m/>
    <m/>
    <m/>
    <m/>
    <m/>
    <m/>
    <m/>
    <x v="0"/>
    <m/>
    <m/>
    <m/>
    <m/>
    <m/>
    <m/>
    <m/>
    <m/>
    <m/>
    <m/>
    <m/>
    <m/>
    <x v="0"/>
    <m/>
    <m/>
    <m/>
    <m/>
    <m/>
    <m/>
    <m/>
    <m/>
    <m/>
    <m/>
    <m/>
    <m/>
    <m/>
    <m/>
    <m/>
    <m/>
    <m/>
    <m/>
    <m/>
    <m/>
    <m/>
    <m/>
    <m/>
    <m/>
    <m/>
    <m/>
    <m/>
    <m/>
    <m/>
    <m/>
    <x v="0"/>
    <m/>
    <m/>
    <m/>
    <m/>
    <m/>
    <m/>
    <m/>
    <m/>
    <m/>
    <m/>
    <m/>
    <m/>
    <m/>
    <m/>
    <m/>
    <m/>
    <m/>
    <m/>
  </r>
  <r>
    <m/>
    <m/>
    <x v="257"/>
    <m/>
    <x v="17"/>
    <m/>
    <m/>
    <m/>
    <m/>
    <m/>
    <m/>
    <m/>
    <m/>
    <m/>
    <m/>
    <m/>
    <x v="0"/>
    <m/>
    <m/>
    <m/>
    <m/>
    <m/>
    <m/>
    <m/>
    <m/>
    <m/>
    <m/>
    <m/>
    <m/>
    <x v="0"/>
    <m/>
    <m/>
    <m/>
    <m/>
    <m/>
    <m/>
    <m/>
    <m/>
    <m/>
    <m/>
    <m/>
    <m/>
    <m/>
    <m/>
    <m/>
    <m/>
    <m/>
    <m/>
    <m/>
    <m/>
    <m/>
    <m/>
    <m/>
    <m/>
    <m/>
    <m/>
    <m/>
    <m/>
    <m/>
    <m/>
    <x v="0"/>
    <m/>
    <m/>
    <m/>
    <m/>
    <m/>
    <m/>
    <m/>
    <m/>
    <m/>
    <m/>
    <m/>
    <m/>
    <m/>
    <m/>
    <m/>
    <m/>
    <m/>
    <m/>
  </r>
  <r>
    <m/>
    <m/>
    <x v="257"/>
    <m/>
    <x v="17"/>
    <m/>
    <m/>
    <m/>
    <m/>
    <m/>
    <m/>
    <m/>
    <m/>
    <m/>
    <m/>
    <m/>
    <x v="0"/>
    <m/>
    <m/>
    <m/>
    <m/>
    <m/>
    <m/>
    <m/>
    <m/>
    <m/>
    <m/>
    <m/>
    <m/>
    <x v="0"/>
    <m/>
    <m/>
    <m/>
    <m/>
    <m/>
    <m/>
    <m/>
    <m/>
    <m/>
    <m/>
    <m/>
    <m/>
    <m/>
    <m/>
    <m/>
    <m/>
    <m/>
    <m/>
    <m/>
    <m/>
    <m/>
    <m/>
    <m/>
    <m/>
    <m/>
    <m/>
    <m/>
    <m/>
    <m/>
    <m/>
    <x v="0"/>
    <m/>
    <m/>
    <m/>
    <m/>
    <m/>
    <m/>
    <m/>
    <m/>
    <m/>
    <m/>
    <m/>
    <m/>
    <m/>
    <m/>
    <m/>
    <m/>
    <m/>
    <m/>
  </r>
  <r>
    <m/>
    <m/>
    <x v="257"/>
    <m/>
    <x v="17"/>
    <m/>
    <m/>
    <m/>
    <m/>
    <m/>
    <m/>
    <m/>
    <m/>
    <m/>
    <m/>
    <m/>
    <x v="0"/>
    <m/>
    <m/>
    <m/>
    <m/>
    <m/>
    <m/>
    <m/>
    <m/>
    <m/>
    <m/>
    <m/>
    <m/>
    <x v="0"/>
    <m/>
    <m/>
    <m/>
    <m/>
    <m/>
    <m/>
    <m/>
    <m/>
    <m/>
    <m/>
    <m/>
    <m/>
    <m/>
    <m/>
    <m/>
    <m/>
    <m/>
    <m/>
    <m/>
    <m/>
    <m/>
    <m/>
    <m/>
    <m/>
    <m/>
    <m/>
    <m/>
    <m/>
    <m/>
    <m/>
    <x v="0"/>
    <m/>
    <m/>
    <m/>
    <m/>
    <m/>
    <m/>
    <m/>
    <m/>
    <m/>
    <m/>
    <m/>
    <m/>
    <m/>
    <m/>
    <m/>
    <m/>
    <m/>
    <m/>
  </r>
  <r>
    <m/>
    <m/>
    <x v="257"/>
    <m/>
    <x v="17"/>
    <m/>
    <m/>
    <m/>
    <m/>
    <m/>
    <m/>
    <m/>
    <m/>
    <m/>
    <m/>
    <m/>
    <x v="0"/>
    <m/>
    <m/>
    <m/>
    <m/>
    <m/>
    <m/>
    <m/>
    <m/>
    <m/>
    <m/>
    <m/>
    <m/>
    <x v="0"/>
    <m/>
    <m/>
    <m/>
    <m/>
    <m/>
    <m/>
    <m/>
    <m/>
    <m/>
    <m/>
    <m/>
    <m/>
    <m/>
    <m/>
    <m/>
    <m/>
    <m/>
    <m/>
    <m/>
    <m/>
    <m/>
    <m/>
    <m/>
    <m/>
    <m/>
    <m/>
    <m/>
    <m/>
    <m/>
    <m/>
    <x v="0"/>
    <m/>
    <m/>
    <m/>
    <m/>
    <m/>
    <m/>
    <m/>
    <m/>
    <m/>
    <m/>
    <m/>
    <m/>
    <m/>
    <m/>
    <m/>
    <m/>
    <m/>
    <m/>
  </r>
  <r>
    <m/>
    <m/>
    <x v="257"/>
    <m/>
    <x v="17"/>
    <m/>
    <m/>
    <m/>
    <m/>
    <m/>
    <m/>
    <m/>
    <m/>
    <m/>
    <m/>
    <m/>
    <x v="0"/>
    <m/>
    <m/>
    <m/>
    <m/>
    <m/>
    <m/>
    <m/>
    <m/>
    <m/>
    <m/>
    <m/>
    <m/>
    <x v="0"/>
    <m/>
    <m/>
    <m/>
    <m/>
    <m/>
    <m/>
    <m/>
    <m/>
    <m/>
    <m/>
    <m/>
    <m/>
    <m/>
    <m/>
    <m/>
    <m/>
    <m/>
    <m/>
    <m/>
    <m/>
    <m/>
    <m/>
    <m/>
    <m/>
    <m/>
    <m/>
    <m/>
    <m/>
    <m/>
    <m/>
    <x v="0"/>
    <m/>
    <m/>
    <m/>
    <m/>
    <m/>
    <m/>
    <m/>
    <m/>
    <m/>
    <m/>
    <m/>
    <m/>
    <m/>
    <m/>
    <m/>
    <m/>
    <m/>
    <m/>
  </r>
  <r>
    <m/>
    <m/>
    <x v="257"/>
    <m/>
    <x v="17"/>
    <m/>
    <m/>
    <m/>
    <m/>
    <m/>
    <m/>
    <m/>
    <m/>
    <m/>
    <m/>
    <m/>
    <x v="0"/>
    <m/>
    <m/>
    <m/>
    <m/>
    <m/>
    <m/>
    <m/>
    <m/>
    <m/>
    <m/>
    <m/>
    <m/>
    <x v="0"/>
    <m/>
    <m/>
    <m/>
    <m/>
    <m/>
    <m/>
    <m/>
    <m/>
    <m/>
    <m/>
    <m/>
    <m/>
    <m/>
    <m/>
    <m/>
    <m/>
    <m/>
    <m/>
    <m/>
    <m/>
    <m/>
    <m/>
    <m/>
    <m/>
    <m/>
    <m/>
    <m/>
    <m/>
    <m/>
    <m/>
    <x v="0"/>
    <m/>
    <m/>
    <m/>
    <m/>
    <m/>
    <m/>
    <m/>
    <m/>
    <m/>
    <m/>
    <m/>
    <m/>
    <m/>
    <m/>
    <m/>
    <m/>
    <m/>
    <m/>
  </r>
  <r>
    <m/>
    <m/>
    <x v="257"/>
    <m/>
    <x v="17"/>
    <m/>
    <m/>
    <m/>
    <m/>
    <m/>
    <m/>
    <m/>
    <m/>
    <m/>
    <m/>
    <m/>
    <x v="0"/>
    <m/>
    <m/>
    <m/>
    <m/>
    <m/>
    <m/>
    <m/>
    <m/>
    <m/>
    <m/>
    <m/>
    <m/>
    <x v="0"/>
    <m/>
    <m/>
    <m/>
    <m/>
    <m/>
    <m/>
    <m/>
    <m/>
    <m/>
    <m/>
    <m/>
    <m/>
    <m/>
    <m/>
    <m/>
    <m/>
    <m/>
    <m/>
    <m/>
    <m/>
    <m/>
    <m/>
    <m/>
    <m/>
    <m/>
    <m/>
    <m/>
    <m/>
    <m/>
    <m/>
    <x v="0"/>
    <m/>
    <m/>
    <m/>
    <m/>
    <m/>
    <m/>
    <m/>
    <m/>
    <m/>
    <m/>
    <m/>
    <m/>
    <m/>
    <m/>
    <m/>
    <m/>
    <m/>
    <m/>
  </r>
  <r>
    <m/>
    <m/>
    <x v="257"/>
    <m/>
    <x v="17"/>
    <m/>
    <m/>
    <m/>
    <m/>
    <m/>
    <m/>
    <m/>
    <m/>
    <m/>
    <m/>
    <m/>
    <x v="0"/>
    <m/>
    <m/>
    <m/>
    <m/>
    <m/>
    <m/>
    <m/>
    <m/>
    <m/>
    <m/>
    <m/>
    <m/>
    <x v="0"/>
    <m/>
    <m/>
    <m/>
    <m/>
    <m/>
    <m/>
    <m/>
    <m/>
    <m/>
    <m/>
    <m/>
    <m/>
    <m/>
    <m/>
    <m/>
    <m/>
    <m/>
    <m/>
    <m/>
    <m/>
    <m/>
    <m/>
    <m/>
    <m/>
    <m/>
    <m/>
    <m/>
    <m/>
    <m/>
    <m/>
    <x v="0"/>
    <m/>
    <m/>
    <m/>
    <m/>
    <m/>
    <m/>
    <m/>
    <m/>
    <m/>
    <m/>
    <m/>
    <m/>
    <m/>
    <m/>
    <m/>
    <m/>
    <m/>
    <m/>
  </r>
  <r>
    <m/>
    <m/>
    <x v="257"/>
    <m/>
    <x v="17"/>
    <m/>
    <m/>
    <m/>
    <m/>
    <m/>
    <m/>
    <m/>
    <m/>
    <m/>
    <m/>
    <m/>
    <x v="0"/>
    <m/>
    <m/>
    <m/>
    <m/>
    <m/>
    <m/>
    <m/>
    <m/>
    <m/>
    <m/>
    <m/>
    <m/>
    <x v="0"/>
    <m/>
    <m/>
    <m/>
    <m/>
    <m/>
    <m/>
    <m/>
    <m/>
    <m/>
    <m/>
    <m/>
    <m/>
    <m/>
    <m/>
    <m/>
    <m/>
    <m/>
    <m/>
    <m/>
    <m/>
    <m/>
    <m/>
    <m/>
    <m/>
    <m/>
    <m/>
    <m/>
    <m/>
    <m/>
    <m/>
    <x v="0"/>
    <m/>
    <m/>
    <m/>
    <m/>
    <m/>
    <m/>
    <m/>
    <m/>
    <m/>
    <m/>
    <m/>
    <m/>
    <m/>
    <m/>
    <m/>
    <m/>
    <m/>
    <m/>
  </r>
  <r>
    <m/>
    <m/>
    <x v="257"/>
    <m/>
    <x v="17"/>
    <m/>
    <m/>
    <m/>
    <m/>
    <m/>
    <m/>
    <m/>
    <m/>
    <m/>
    <m/>
    <m/>
    <x v="0"/>
    <m/>
    <m/>
    <m/>
    <m/>
    <m/>
    <m/>
    <m/>
    <m/>
    <m/>
    <m/>
    <m/>
    <m/>
    <x v="0"/>
    <m/>
    <m/>
    <m/>
    <m/>
    <m/>
    <m/>
    <m/>
    <m/>
    <m/>
    <m/>
    <m/>
    <m/>
    <m/>
    <m/>
    <m/>
    <m/>
    <m/>
    <m/>
    <m/>
    <m/>
    <m/>
    <m/>
    <m/>
    <m/>
    <m/>
    <m/>
    <m/>
    <m/>
    <m/>
    <m/>
    <x v="0"/>
    <m/>
    <m/>
    <m/>
    <m/>
    <m/>
    <m/>
    <m/>
    <m/>
    <m/>
    <m/>
    <m/>
    <m/>
    <m/>
    <m/>
    <m/>
    <m/>
    <m/>
    <m/>
  </r>
  <r>
    <m/>
    <m/>
    <x v="257"/>
    <m/>
    <x v="17"/>
    <m/>
    <m/>
    <m/>
    <m/>
    <m/>
    <m/>
    <m/>
    <m/>
    <m/>
    <m/>
    <m/>
    <x v="0"/>
    <m/>
    <m/>
    <m/>
    <m/>
    <m/>
    <m/>
    <m/>
    <m/>
    <m/>
    <m/>
    <m/>
    <m/>
    <x v="0"/>
    <m/>
    <m/>
    <m/>
    <m/>
    <m/>
    <m/>
    <m/>
    <m/>
    <m/>
    <m/>
    <m/>
    <m/>
    <m/>
    <m/>
    <m/>
    <m/>
    <m/>
    <m/>
    <m/>
    <m/>
    <m/>
    <m/>
    <m/>
    <m/>
    <m/>
    <m/>
    <m/>
    <m/>
    <m/>
    <m/>
    <x v="0"/>
    <m/>
    <m/>
    <m/>
    <m/>
    <m/>
    <m/>
    <m/>
    <m/>
    <m/>
    <m/>
    <m/>
    <m/>
    <m/>
    <m/>
    <m/>
    <m/>
    <m/>
    <m/>
  </r>
  <r>
    <m/>
    <m/>
    <x v="257"/>
    <m/>
    <x v="17"/>
    <m/>
    <m/>
    <m/>
    <m/>
    <m/>
    <m/>
    <m/>
    <m/>
    <m/>
    <m/>
    <m/>
    <x v="0"/>
    <m/>
    <m/>
    <m/>
    <m/>
    <m/>
    <m/>
    <m/>
    <m/>
    <m/>
    <m/>
    <m/>
    <m/>
    <x v="0"/>
    <m/>
    <m/>
    <m/>
    <m/>
    <m/>
    <m/>
    <m/>
    <m/>
    <m/>
    <m/>
    <m/>
    <m/>
    <m/>
    <m/>
    <m/>
    <m/>
    <m/>
    <m/>
    <m/>
    <m/>
    <m/>
    <m/>
    <m/>
    <m/>
    <m/>
    <m/>
    <m/>
    <m/>
    <m/>
    <m/>
    <x v="0"/>
    <m/>
    <m/>
    <m/>
    <m/>
    <m/>
    <m/>
    <m/>
    <m/>
    <m/>
    <m/>
    <m/>
    <m/>
    <m/>
    <m/>
    <m/>
    <m/>
    <m/>
    <m/>
  </r>
  <r>
    <m/>
    <m/>
    <x v="257"/>
    <m/>
    <x v="17"/>
    <m/>
    <m/>
    <m/>
    <m/>
    <m/>
    <m/>
    <m/>
    <m/>
    <m/>
    <m/>
    <m/>
    <x v="0"/>
    <m/>
    <m/>
    <m/>
    <m/>
    <m/>
    <m/>
    <m/>
    <m/>
    <m/>
    <m/>
    <m/>
    <m/>
    <x v="0"/>
    <m/>
    <m/>
    <m/>
    <m/>
    <m/>
    <m/>
    <m/>
    <m/>
    <m/>
    <m/>
    <m/>
    <m/>
    <m/>
    <m/>
    <m/>
    <m/>
    <m/>
    <m/>
    <m/>
    <m/>
    <m/>
    <m/>
    <m/>
    <m/>
    <m/>
    <m/>
    <m/>
    <m/>
    <m/>
    <m/>
    <x v="0"/>
    <m/>
    <m/>
    <m/>
    <m/>
    <m/>
    <m/>
    <m/>
    <m/>
    <m/>
    <m/>
    <m/>
    <m/>
    <m/>
    <m/>
    <m/>
    <m/>
    <m/>
    <m/>
  </r>
  <r>
    <m/>
    <m/>
    <x v="257"/>
    <m/>
    <x v="17"/>
    <m/>
    <m/>
    <m/>
    <m/>
    <m/>
    <m/>
    <m/>
    <m/>
    <m/>
    <m/>
    <m/>
    <x v="0"/>
    <m/>
    <m/>
    <m/>
    <m/>
    <m/>
    <m/>
    <m/>
    <m/>
    <m/>
    <m/>
    <m/>
    <m/>
    <x v="0"/>
    <m/>
    <m/>
    <m/>
    <m/>
    <m/>
    <m/>
    <m/>
    <m/>
    <m/>
    <m/>
    <m/>
    <m/>
    <m/>
    <m/>
    <m/>
    <m/>
    <m/>
    <m/>
    <m/>
    <m/>
    <m/>
    <m/>
    <m/>
    <m/>
    <m/>
    <m/>
    <m/>
    <m/>
    <m/>
    <m/>
    <x v="0"/>
    <m/>
    <m/>
    <m/>
    <m/>
    <m/>
    <m/>
    <m/>
    <m/>
    <m/>
    <m/>
    <m/>
    <m/>
    <m/>
    <m/>
    <m/>
    <m/>
    <m/>
    <m/>
  </r>
  <r>
    <m/>
    <m/>
    <x v="257"/>
    <m/>
    <x v="17"/>
    <m/>
    <m/>
    <m/>
    <m/>
    <m/>
    <m/>
    <m/>
    <m/>
    <m/>
    <m/>
    <m/>
    <x v="0"/>
    <m/>
    <m/>
    <m/>
    <m/>
    <m/>
    <m/>
    <m/>
    <m/>
    <m/>
    <m/>
    <m/>
    <m/>
    <x v="0"/>
    <m/>
    <m/>
    <m/>
    <m/>
    <m/>
    <m/>
    <m/>
    <m/>
    <m/>
    <m/>
    <m/>
    <m/>
    <m/>
    <m/>
    <m/>
    <m/>
    <m/>
    <m/>
    <m/>
    <m/>
    <m/>
    <m/>
    <m/>
    <m/>
    <m/>
    <m/>
    <m/>
    <m/>
    <m/>
    <m/>
    <x v="0"/>
    <m/>
    <m/>
    <m/>
    <m/>
    <m/>
    <m/>
    <m/>
    <m/>
    <m/>
    <m/>
    <m/>
    <m/>
    <m/>
    <m/>
    <m/>
    <m/>
    <m/>
    <m/>
  </r>
  <r>
    <m/>
    <m/>
    <x v="257"/>
    <m/>
    <x v="17"/>
    <m/>
    <m/>
    <m/>
    <m/>
    <m/>
    <m/>
    <m/>
    <m/>
    <m/>
    <m/>
    <m/>
    <x v="0"/>
    <m/>
    <m/>
    <m/>
    <m/>
    <m/>
    <m/>
    <m/>
    <m/>
    <m/>
    <m/>
    <m/>
    <m/>
    <x v="0"/>
    <m/>
    <m/>
    <m/>
    <m/>
    <m/>
    <m/>
    <m/>
    <m/>
    <m/>
    <m/>
    <m/>
    <m/>
    <m/>
    <m/>
    <m/>
    <m/>
    <m/>
    <m/>
    <m/>
    <m/>
    <m/>
    <m/>
    <m/>
    <m/>
    <m/>
    <m/>
    <m/>
    <m/>
    <m/>
    <m/>
    <x v="0"/>
    <m/>
    <m/>
    <m/>
    <m/>
    <m/>
    <m/>
    <m/>
    <m/>
    <m/>
    <m/>
    <m/>
    <m/>
    <m/>
    <m/>
    <m/>
    <m/>
    <m/>
    <m/>
  </r>
  <r>
    <m/>
    <m/>
    <x v="257"/>
    <m/>
    <x v="17"/>
    <m/>
    <m/>
    <m/>
    <m/>
    <m/>
    <m/>
    <m/>
    <m/>
    <m/>
    <m/>
    <m/>
    <x v="0"/>
    <m/>
    <m/>
    <m/>
    <m/>
    <m/>
    <m/>
    <m/>
    <m/>
    <m/>
    <m/>
    <m/>
    <m/>
    <x v="0"/>
    <m/>
    <m/>
    <m/>
    <m/>
    <m/>
    <m/>
    <m/>
    <m/>
    <m/>
    <m/>
    <m/>
    <m/>
    <m/>
    <m/>
    <m/>
    <m/>
    <m/>
    <m/>
    <m/>
    <m/>
    <m/>
    <m/>
    <m/>
    <m/>
    <m/>
    <m/>
    <m/>
    <m/>
    <m/>
    <m/>
    <x v="0"/>
    <m/>
    <m/>
    <m/>
    <m/>
    <m/>
    <m/>
    <m/>
    <m/>
    <m/>
    <m/>
    <m/>
    <m/>
    <m/>
    <m/>
    <m/>
    <m/>
    <m/>
    <m/>
  </r>
  <r>
    <m/>
    <m/>
    <x v="257"/>
    <m/>
    <x v="17"/>
    <m/>
    <m/>
    <m/>
    <m/>
    <m/>
    <m/>
    <m/>
    <m/>
    <m/>
    <m/>
    <m/>
    <x v="0"/>
    <m/>
    <m/>
    <m/>
    <m/>
    <m/>
    <m/>
    <m/>
    <m/>
    <m/>
    <m/>
    <m/>
    <m/>
    <x v="0"/>
    <m/>
    <m/>
    <m/>
    <m/>
    <m/>
    <m/>
    <m/>
    <m/>
    <m/>
    <m/>
    <m/>
    <m/>
    <m/>
    <m/>
    <m/>
    <m/>
    <m/>
    <m/>
    <m/>
    <m/>
    <m/>
    <m/>
    <m/>
    <m/>
    <m/>
    <m/>
    <m/>
    <m/>
    <m/>
    <m/>
    <x v="0"/>
    <m/>
    <m/>
    <m/>
    <m/>
    <m/>
    <m/>
    <m/>
    <m/>
    <m/>
    <m/>
    <m/>
    <m/>
    <m/>
    <m/>
    <m/>
    <m/>
    <m/>
    <m/>
  </r>
  <r>
    <m/>
    <m/>
    <x v="257"/>
    <m/>
    <x v="17"/>
    <m/>
    <m/>
    <m/>
    <m/>
    <m/>
    <m/>
    <m/>
    <m/>
    <m/>
    <m/>
    <m/>
    <x v="0"/>
    <m/>
    <m/>
    <m/>
    <m/>
    <m/>
    <m/>
    <m/>
    <m/>
    <m/>
    <m/>
    <m/>
    <m/>
    <x v="0"/>
    <m/>
    <m/>
    <m/>
    <m/>
    <m/>
    <m/>
    <m/>
    <m/>
    <m/>
    <m/>
    <m/>
    <m/>
    <m/>
    <m/>
    <m/>
    <m/>
    <m/>
    <m/>
    <m/>
    <m/>
    <m/>
    <m/>
    <m/>
    <m/>
    <m/>
    <m/>
    <m/>
    <m/>
    <m/>
    <m/>
    <x v="0"/>
    <m/>
    <m/>
    <m/>
    <m/>
    <m/>
    <m/>
    <m/>
    <m/>
    <m/>
    <m/>
    <m/>
    <m/>
    <m/>
    <m/>
    <m/>
    <m/>
    <m/>
    <m/>
  </r>
  <r>
    <m/>
    <m/>
    <x v="257"/>
    <m/>
    <x v="17"/>
    <m/>
    <m/>
    <m/>
    <m/>
    <m/>
    <m/>
    <m/>
    <m/>
    <m/>
    <m/>
    <m/>
    <x v="0"/>
    <m/>
    <m/>
    <m/>
    <m/>
    <m/>
    <m/>
    <m/>
    <m/>
    <m/>
    <m/>
    <m/>
    <m/>
    <x v="0"/>
    <m/>
    <m/>
    <m/>
    <m/>
    <m/>
    <m/>
    <m/>
    <m/>
    <m/>
    <m/>
    <m/>
    <m/>
    <m/>
    <m/>
    <m/>
    <m/>
    <m/>
    <m/>
    <m/>
    <m/>
    <m/>
    <m/>
    <m/>
    <m/>
    <m/>
    <m/>
    <m/>
    <m/>
    <m/>
    <m/>
    <x v="0"/>
    <m/>
    <m/>
    <m/>
    <m/>
    <m/>
    <m/>
    <m/>
    <m/>
    <m/>
    <m/>
    <m/>
    <m/>
    <m/>
    <m/>
    <m/>
    <m/>
    <m/>
    <m/>
  </r>
  <r>
    <m/>
    <m/>
    <x v="257"/>
    <m/>
    <x v="17"/>
    <m/>
    <m/>
    <m/>
    <m/>
    <m/>
    <m/>
    <m/>
    <m/>
    <m/>
    <m/>
    <m/>
    <x v="0"/>
    <m/>
    <m/>
    <m/>
    <m/>
    <m/>
    <m/>
    <m/>
    <m/>
    <m/>
    <m/>
    <m/>
    <m/>
    <x v="0"/>
    <m/>
    <m/>
    <m/>
    <m/>
    <m/>
    <m/>
    <m/>
    <m/>
    <m/>
    <m/>
    <m/>
    <m/>
    <m/>
    <m/>
    <m/>
    <m/>
    <m/>
    <m/>
    <m/>
    <m/>
    <m/>
    <m/>
    <m/>
    <m/>
    <m/>
    <m/>
    <m/>
    <m/>
    <m/>
    <m/>
    <x v="0"/>
    <m/>
    <m/>
    <m/>
    <m/>
    <m/>
    <m/>
    <m/>
    <m/>
    <m/>
    <m/>
    <m/>
    <m/>
    <m/>
    <m/>
    <m/>
    <m/>
    <m/>
    <m/>
  </r>
  <r>
    <m/>
    <m/>
    <x v="257"/>
    <m/>
    <x v="17"/>
    <m/>
    <m/>
    <m/>
    <m/>
    <m/>
    <m/>
    <m/>
    <m/>
    <m/>
    <m/>
    <m/>
    <x v="0"/>
    <m/>
    <m/>
    <m/>
    <m/>
    <m/>
    <m/>
    <m/>
    <m/>
    <m/>
    <m/>
    <m/>
    <m/>
    <x v="0"/>
    <m/>
    <m/>
    <m/>
    <m/>
    <m/>
    <m/>
    <m/>
    <m/>
    <m/>
    <m/>
    <m/>
    <m/>
    <m/>
    <m/>
    <m/>
    <m/>
    <m/>
    <m/>
    <m/>
    <m/>
    <m/>
    <m/>
    <m/>
    <m/>
    <m/>
    <m/>
    <m/>
    <m/>
    <m/>
    <m/>
    <x v="0"/>
    <m/>
    <m/>
    <m/>
    <m/>
    <m/>
    <m/>
    <m/>
    <m/>
    <m/>
    <m/>
    <m/>
    <m/>
    <m/>
    <m/>
    <m/>
    <m/>
    <m/>
    <m/>
  </r>
  <r>
    <m/>
    <m/>
    <x v="257"/>
    <m/>
    <x v="17"/>
    <m/>
    <m/>
    <m/>
    <m/>
    <m/>
    <m/>
    <m/>
    <m/>
    <m/>
    <m/>
    <m/>
    <x v="0"/>
    <m/>
    <m/>
    <m/>
    <m/>
    <m/>
    <m/>
    <m/>
    <m/>
    <m/>
    <m/>
    <m/>
    <m/>
    <x v="0"/>
    <m/>
    <m/>
    <m/>
    <m/>
    <m/>
    <m/>
    <m/>
    <m/>
    <m/>
    <m/>
    <m/>
    <m/>
    <m/>
    <m/>
    <m/>
    <m/>
    <m/>
    <m/>
    <m/>
    <m/>
    <m/>
    <m/>
    <m/>
    <m/>
    <m/>
    <m/>
    <m/>
    <m/>
    <m/>
    <m/>
    <x v="0"/>
    <m/>
    <m/>
    <m/>
    <m/>
    <m/>
    <m/>
    <m/>
    <m/>
    <m/>
    <m/>
    <m/>
    <m/>
    <m/>
    <m/>
    <m/>
    <m/>
    <m/>
    <m/>
  </r>
  <r>
    <m/>
    <m/>
    <x v="257"/>
    <m/>
    <x v="17"/>
    <m/>
    <m/>
    <m/>
    <m/>
    <m/>
    <m/>
    <m/>
    <m/>
    <m/>
    <m/>
    <m/>
    <x v="0"/>
    <m/>
    <m/>
    <m/>
    <m/>
    <m/>
    <m/>
    <m/>
    <m/>
    <m/>
    <m/>
    <m/>
    <m/>
    <x v="0"/>
    <m/>
    <m/>
    <m/>
    <m/>
    <m/>
    <m/>
    <m/>
    <m/>
    <m/>
    <m/>
    <m/>
    <m/>
    <m/>
    <m/>
    <m/>
    <m/>
    <m/>
    <m/>
    <m/>
    <m/>
    <m/>
    <m/>
    <m/>
    <m/>
    <m/>
    <m/>
    <m/>
    <m/>
    <m/>
    <m/>
    <x v="0"/>
    <m/>
    <m/>
    <m/>
    <m/>
    <m/>
    <m/>
    <m/>
    <m/>
    <m/>
    <m/>
    <m/>
    <m/>
    <m/>
    <m/>
    <m/>
    <m/>
    <m/>
    <m/>
  </r>
  <r>
    <m/>
    <m/>
    <x v="257"/>
    <m/>
    <x v="17"/>
    <m/>
    <m/>
    <m/>
    <m/>
    <m/>
    <m/>
    <m/>
    <m/>
    <m/>
    <m/>
    <m/>
    <x v="0"/>
    <m/>
    <m/>
    <m/>
    <m/>
    <m/>
    <m/>
    <m/>
    <m/>
    <m/>
    <m/>
    <m/>
    <m/>
    <x v="0"/>
    <m/>
    <m/>
    <m/>
    <m/>
    <m/>
    <m/>
    <m/>
    <m/>
    <m/>
    <m/>
    <m/>
    <m/>
    <m/>
    <m/>
    <m/>
    <m/>
    <m/>
    <m/>
    <m/>
    <m/>
    <m/>
    <m/>
    <m/>
    <m/>
    <m/>
    <m/>
    <m/>
    <m/>
    <m/>
    <m/>
    <x v="0"/>
    <m/>
    <m/>
    <m/>
    <m/>
    <m/>
    <m/>
    <m/>
    <m/>
    <m/>
    <m/>
    <m/>
    <m/>
    <m/>
    <m/>
    <m/>
    <m/>
    <m/>
    <m/>
  </r>
  <r>
    <m/>
    <m/>
    <x v="257"/>
    <m/>
    <x v="17"/>
    <m/>
    <m/>
    <m/>
    <m/>
    <m/>
    <m/>
    <m/>
    <m/>
    <m/>
    <m/>
    <m/>
    <x v="0"/>
    <m/>
    <m/>
    <m/>
    <m/>
    <m/>
    <m/>
    <m/>
    <m/>
    <m/>
    <m/>
    <m/>
    <m/>
    <x v="0"/>
    <m/>
    <m/>
    <m/>
    <m/>
    <m/>
    <m/>
    <m/>
    <m/>
    <m/>
    <m/>
    <m/>
    <m/>
    <m/>
    <m/>
    <m/>
    <m/>
    <m/>
    <m/>
    <m/>
    <m/>
    <m/>
    <m/>
    <m/>
    <m/>
    <m/>
    <m/>
    <m/>
    <m/>
    <m/>
    <m/>
    <x v="0"/>
    <m/>
    <m/>
    <m/>
    <m/>
    <m/>
    <m/>
    <m/>
    <m/>
    <m/>
    <m/>
    <m/>
    <m/>
    <m/>
    <m/>
    <m/>
    <m/>
    <m/>
    <m/>
  </r>
  <r>
    <m/>
    <m/>
    <x v="257"/>
    <m/>
    <x v="17"/>
    <m/>
    <m/>
    <m/>
    <m/>
    <m/>
    <m/>
    <m/>
    <m/>
    <m/>
    <m/>
    <m/>
    <x v="0"/>
    <m/>
    <m/>
    <m/>
    <m/>
    <m/>
    <m/>
    <m/>
    <m/>
    <m/>
    <m/>
    <m/>
    <m/>
    <x v="0"/>
    <m/>
    <m/>
    <m/>
    <m/>
    <m/>
    <m/>
    <m/>
    <m/>
    <m/>
    <m/>
    <m/>
    <m/>
    <m/>
    <m/>
    <m/>
    <m/>
    <m/>
    <m/>
    <m/>
    <m/>
    <m/>
    <m/>
    <m/>
    <m/>
    <m/>
    <m/>
    <m/>
    <m/>
    <m/>
    <m/>
    <x v="0"/>
    <m/>
    <m/>
    <m/>
    <m/>
    <m/>
    <m/>
    <m/>
    <m/>
    <m/>
    <m/>
    <m/>
    <m/>
    <m/>
    <m/>
    <m/>
    <m/>
    <m/>
    <m/>
  </r>
  <r>
    <m/>
    <m/>
    <x v="257"/>
    <m/>
    <x v="17"/>
    <m/>
    <m/>
    <m/>
    <m/>
    <m/>
    <m/>
    <m/>
    <m/>
    <m/>
    <m/>
    <m/>
    <x v="0"/>
    <m/>
    <m/>
    <m/>
    <m/>
    <m/>
    <m/>
    <m/>
    <m/>
    <m/>
    <m/>
    <m/>
    <m/>
    <x v="0"/>
    <m/>
    <m/>
    <m/>
    <m/>
    <m/>
    <m/>
    <m/>
    <m/>
    <m/>
    <m/>
    <m/>
    <m/>
    <m/>
    <m/>
    <m/>
    <m/>
    <m/>
    <m/>
    <m/>
    <m/>
    <m/>
    <m/>
    <m/>
    <m/>
    <m/>
    <m/>
    <m/>
    <m/>
    <m/>
    <m/>
    <x v="0"/>
    <m/>
    <m/>
    <m/>
    <m/>
    <m/>
    <m/>
    <m/>
    <m/>
    <m/>
    <m/>
    <m/>
    <m/>
    <m/>
    <m/>
    <m/>
    <m/>
    <m/>
    <m/>
  </r>
  <r>
    <m/>
    <m/>
    <x v="257"/>
    <m/>
    <x v="17"/>
    <m/>
    <m/>
    <m/>
    <m/>
    <m/>
    <m/>
    <m/>
    <m/>
    <m/>
    <m/>
    <m/>
    <x v="0"/>
    <m/>
    <m/>
    <m/>
    <m/>
    <m/>
    <m/>
    <m/>
    <m/>
    <m/>
    <m/>
    <m/>
    <m/>
    <x v="0"/>
    <m/>
    <m/>
    <m/>
    <m/>
    <m/>
    <m/>
    <m/>
    <m/>
    <m/>
    <m/>
    <m/>
    <m/>
    <m/>
    <m/>
    <m/>
    <m/>
    <m/>
    <m/>
    <m/>
    <m/>
    <m/>
    <m/>
    <m/>
    <m/>
    <m/>
    <m/>
    <m/>
    <m/>
    <m/>
    <m/>
    <x v="0"/>
    <m/>
    <m/>
    <m/>
    <m/>
    <m/>
    <m/>
    <m/>
    <m/>
    <m/>
    <m/>
    <m/>
    <m/>
    <m/>
    <m/>
    <m/>
    <m/>
    <m/>
    <m/>
  </r>
  <r>
    <m/>
    <m/>
    <x v="257"/>
    <m/>
    <x v="17"/>
    <m/>
    <m/>
    <m/>
    <m/>
    <m/>
    <m/>
    <m/>
    <m/>
    <m/>
    <m/>
    <m/>
    <x v="0"/>
    <m/>
    <m/>
    <m/>
    <m/>
    <m/>
    <m/>
    <m/>
    <m/>
    <m/>
    <m/>
    <m/>
    <m/>
    <x v="0"/>
    <m/>
    <m/>
    <m/>
    <m/>
    <m/>
    <m/>
    <m/>
    <m/>
    <m/>
    <m/>
    <m/>
    <m/>
    <m/>
    <m/>
    <m/>
    <m/>
    <m/>
    <m/>
    <m/>
    <m/>
    <m/>
    <m/>
    <m/>
    <m/>
    <m/>
    <m/>
    <m/>
    <m/>
    <m/>
    <m/>
    <x v="0"/>
    <m/>
    <m/>
    <m/>
    <m/>
    <m/>
    <m/>
    <m/>
    <m/>
    <m/>
    <m/>
    <m/>
    <m/>
    <m/>
    <m/>
    <m/>
    <m/>
    <m/>
    <m/>
  </r>
  <r>
    <m/>
    <m/>
    <x v="257"/>
    <m/>
    <x v="17"/>
    <m/>
    <m/>
    <m/>
    <m/>
    <m/>
    <m/>
    <m/>
    <m/>
    <m/>
    <m/>
    <m/>
    <x v="0"/>
    <m/>
    <m/>
    <m/>
    <m/>
    <m/>
    <m/>
    <m/>
    <m/>
    <m/>
    <m/>
    <m/>
    <m/>
    <x v="0"/>
    <m/>
    <m/>
    <m/>
    <m/>
    <m/>
    <m/>
    <m/>
    <m/>
    <m/>
    <m/>
    <m/>
    <m/>
    <m/>
    <m/>
    <m/>
    <m/>
    <m/>
    <m/>
    <m/>
    <m/>
    <m/>
    <m/>
    <m/>
    <m/>
    <m/>
    <m/>
    <m/>
    <m/>
    <m/>
    <m/>
    <x v="0"/>
    <m/>
    <m/>
    <m/>
    <m/>
    <m/>
    <m/>
    <m/>
    <m/>
    <m/>
    <m/>
    <m/>
    <m/>
    <m/>
    <m/>
    <m/>
    <m/>
    <m/>
    <m/>
  </r>
  <r>
    <m/>
    <m/>
    <x v="257"/>
    <m/>
    <x v="17"/>
    <m/>
    <m/>
    <m/>
    <m/>
    <m/>
    <m/>
    <m/>
    <m/>
    <m/>
    <m/>
    <m/>
    <x v="0"/>
    <m/>
    <m/>
    <m/>
    <m/>
    <m/>
    <m/>
    <m/>
    <m/>
    <m/>
    <m/>
    <m/>
    <m/>
    <x v="0"/>
    <m/>
    <m/>
    <m/>
    <m/>
    <m/>
    <m/>
    <m/>
    <m/>
    <m/>
    <m/>
    <m/>
    <m/>
    <m/>
    <m/>
    <m/>
    <m/>
    <m/>
    <m/>
    <m/>
    <m/>
    <m/>
    <m/>
    <m/>
    <m/>
    <m/>
    <m/>
    <m/>
    <m/>
    <m/>
    <m/>
    <x v="0"/>
    <m/>
    <m/>
    <m/>
    <m/>
    <m/>
    <m/>
    <m/>
    <m/>
    <m/>
    <m/>
    <m/>
    <m/>
    <m/>
    <m/>
    <m/>
    <m/>
    <m/>
    <m/>
  </r>
  <r>
    <m/>
    <m/>
    <x v="257"/>
    <m/>
    <x v="17"/>
    <m/>
    <m/>
    <m/>
    <m/>
    <m/>
    <m/>
    <m/>
    <m/>
    <m/>
    <m/>
    <m/>
    <x v="0"/>
    <m/>
    <m/>
    <m/>
    <m/>
    <m/>
    <m/>
    <m/>
    <m/>
    <m/>
    <m/>
    <m/>
    <m/>
    <x v="0"/>
    <m/>
    <m/>
    <m/>
    <m/>
    <m/>
    <m/>
    <m/>
    <m/>
    <m/>
    <m/>
    <m/>
    <m/>
    <m/>
    <m/>
    <m/>
    <m/>
    <m/>
    <m/>
    <m/>
    <m/>
    <m/>
    <m/>
    <m/>
    <m/>
    <m/>
    <m/>
    <m/>
    <m/>
    <m/>
    <m/>
    <x v="0"/>
    <m/>
    <m/>
    <m/>
    <m/>
    <m/>
    <m/>
    <m/>
    <m/>
    <m/>
    <m/>
    <m/>
    <m/>
    <m/>
    <m/>
    <m/>
    <m/>
    <m/>
    <m/>
  </r>
  <r>
    <m/>
    <m/>
    <x v="257"/>
    <m/>
    <x v="17"/>
    <m/>
    <m/>
    <m/>
    <m/>
    <m/>
    <m/>
    <m/>
    <m/>
    <m/>
    <m/>
    <m/>
    <x v="0"/>
    <m/>
    <m/>
    <m/>
    <m/>
    <m/>
    <m/>
    <m/>
    <m/>
    <m/>
    <m/>
    <m/>
    <m/>
    <x v="0"/>
    <m/>
    <m/>
    <m/>
    <m/>
    <m/>
    <m/>
    <m/>
    <m/>
    <m/>
    <m/>
    <m/>
    <m/>
    <m/>
    <m/>
    <m/>
    <m/>
    <m/>
    <m/>
    <m/>
    <m/>
    <m/>
    <m/>
    <m/>
    <m/>
    <m/>
    <m/>
    <m/>
    <m/>
    <m/>
    <m/>
    <x v="0"/>
    <m/>
    <m/>
    <m/>
    <m/>
    <m/>
    <m/>
    <m/>
    <m/>
    <m/>
    <m/>
    <m/>
    <m/>
    <m/>
    <m/>
    <m/>
    <m/>
    <m/>
    <m/>
  </r>
  <r>
    <m/>
    <m/>
    <x v="257"/>
    <m/>
    <x v="17"/>
    <m/>
    <m/>
    <m/>
    <m/>
    <m/>
    <m/>
    <m/>
    <m/>
    <m/>
    <m/>
    <m/>
    <x v="0"/>
    <m/>
    <m/>
    <m/>
    <m/>
    <m/>
    <m/>
    <m/>
    <m/>
    <m/>
    <m/>
    <m/>
    <m/>
    <x v="0"/>
    <m/>
    <m/>
    <m/>
    <m/>
    <m/>
    <m/>
    <m/>
    <m/>
    <m/>
    <m/>
    <m/>
    <m/>
    <m/>
    <m/>
    <m/>
    <m/>
    <m/>
    <m/>
    <m/>
    <m/>
    <m/>
    <m/>
    <m/>
    <m/>
    <m/>
    <m/>
    <m/>
    <m/>
    <m/>
    <m/>
    <x v="0"/>
    <m/>
    <m/>
    <m/>
    <m/>
    <m/>
    <m/>
    <m/>
    <m/>
    <m/>
    <m/>
    <m/>
    <m/>
    <m/>
    <m/>
    <m/>
    <m/>
    <m/>
    <m/>
  </r>
  <r>
    <m/>
    <m/>
    <x v="257"/>
    <m/>
    <x v="17"/>
    <m/>
    <m/>
    <m/>
    <m/>
    <m/>
    <m/>
    <m/>
    <m/>
    <m/>
    <m/>
    <m/>
    <x v="0"/>
    <m/>
    <m/>
    <m/>
    <m/>
    <m/>
    <m/>
    <m/>
    <m/>
    <m/>
    <m/>
    <m/>
    <m/>
    <x v="0"/>
    <m/>
    <m/>
    <m/>
    <m/>
    <m/>
    <m/>
    <m/>
    <m/>
    <m/>
    <m/>
    <m/>
    <m/>
    <m/>
    <m/>
    <m/>
    <m/>
    <m/>
    <m/>
    <m/>
    <m/>
    <m/>
    <m/>
    <m/>
    <m/>
    <m/>
    <m/>
    <m/>
    <m/>
    <m/>
    <m/>
    <x v="0"/>
    <m/>
    <m/>
    <m/>
    <m/>
    <m/>
    <m/>
    <m/>
    <m/>
    <m/>
    <m/>
    <m/>
    <m/>
    <m/>
    <m/>
    <m/>
    <m/>
    <m/>
    <m/>
  </r>
  <r>
    <m/>
    <m/>
    <x v="257"/>
    <m/>
    <x v="17"/>
    <m/>
    <m/>
    <m/>
    <m/>
    <m/>
    <m/>
    <m/>
    <m/>
    <m/>
    <m/>
    <m/>
    <x v="0"/>
    <m/>
    <m/>
    <m/>
    <m/>
    <m/>
    <m/>
    <m/>
    <m/>
    <m/>
    <m/>
    <m/>
    <m/>
    <x v="0"/>
    <m/>
    <m/>
    <m/>
    <m/>
    <m/>
    <m/>
    <m/>
    <m/>
    <m/>
    <m/>
    <m/>
    <m/>
    <m/>
    <m/>
    <m/>
    <m/>
    <m/>
    <m/>
    <m/>
    <m/>
    <m/>
    <m/>
    <m/>
    <m/>
    <m/>
    <m/>
    <m/>
    <m/>
    <m/>
    <m/>
    <x v="0"/>
    <m/>
    <m/>
    <m/>
    <m/>
    <m/>
    <m/>
    <m/>
    <m/>
    <m/>
    <m/>
    <m/>
    <m/>
    <m/>
    <m/>
    <m/>
    <m/>
    <m/>
    <m/>
  </r>
  <r>
    <m/>
    <m/>
    <x v="257"/>
    <m/>
    <x v="17"/>
    <m/>
    <m/>
    <m/>
    <m/>
    <m/>
    <m/>
    <m/>
    <m/>
    <m/>
    <m/>
    <m/>
    <x v="0"/>
    <m/>
    <m/>
    <m/>
    <m/>
    <m/>
    <m/>
    <m/>
    <m/>
    <m/>
    <m/>
    <m/>
    <m/>
    <x v="0"/>
    <m/>
    <m/>
    <m/>
    <m/>
    <m/>
    <m/>
    <m/>
    <m/>
    <m/>
    <m/>
    <m/>
    <m/>
    <m/>
    <m/>
    <m/>
    <m/>
    <m/>
    <m/>
    <m/>
    <m/>
    <m/>
    <m/>
    <m/>
    <m/>
    <m/>
    <m/>
    <m/>
    <m/>
    <m/>
    <m/>
    <x v="0"/>
    <m/>
    <m/>
    <m/>
    <m/>
    <m/>
    <m/>
    <m/>
    <m/>
    <m/>
    <m/>
    <m/>
    <m/>
    <m/>
    <m/>
    <m/>
    <m/>
    <m/>
    <m/>
  </r>
  <r>
    <m/>
    <m/>
    <x v="257"/>
    <m/>
    <x v="17"/>
    <m/>
    <m/>
    <m/>
    <m/>
    <m/>
    <m/>
    <m/>
    <m/>
    <m/>
    <m/>
    <m/>
    <x v="0"/>
    <m/>
    <m/>
    <m/>
    <m/>
    <m/>
    <m/>
    <m/>
    <m/>
    <m/>
    <m/>
    <m/>
    <m/>
    <x v="0"/>
    <m/>
    <m/>
    <m/>
    <m/>
    <m/>
    <m/>
    <m/>
    <m/>
    <m/>
    <m/>
    <m/>
    <m/>
    <m/>
    <m/>
    <m/>
    <m/>
    <m/>
    <m/>
    <m/>
    <m/>
    <m/>
    <m/>
    <m/>
    <m/>
    <m/>
    <m/>
    <m/>
    <m/>
    <m/>
    <m/>
    <x v="0"/>
    <m/>
    <m/>
    <m/>
    <m/>
    <m/>
    <m/>
    <m/>
    <m/>
    <m/>
    <m/>
    <m/>
    <m/>
    <m/>
    <m/>
    <m/>
    <m/>
    <m/>
    <m/>
  </r>
  <r>
    <m/>
    <m/>
    <x v="257"/>
    <m/>
    <x v="17"/>
    <m/>
    <m/>
    <m/>
    <m/>
    <m/>
    <m/>
    <m/>
    <m/>
    <m/>
    <m/>
    <m/>
    <x v="0"/>
    <m/>
    <m/>
    <m/>
    <m/>
    <m/>
    <m/>
    <m/>
    <m/>
    <m/>
    <m/>
    <m/>
    <m/>
    <x v="0"/>
    <m/>
    <m/>
    <m/>
    <m/>
    <m/>
    <m/>
    <m/>
    <m/>
    <m/>
    <m/>
    <m/>
    <m/>
    <m/>
    <m/>
    <m/>
    <m/>
    <m/>
    <m/>
    <m/>
    <m/>
    <m/>
    <m/>
    <m/>
    <m/>
    <m/>
    <m/>
    <m/>
    <m/>
    <m/>
    <m/>
    <x v="0"/>
    <m/>
    <m/>
    <m/>
    <m/>
    <m/>
    <m/>
    <m/>
    <m/>
    <m/>
    <m/>
    <m/>
    <m/>
    <m/>
    <m/>
    <m/>
    <m/>
    <m/>
    <m/>
  </r>
  <r>
    <m/>
    <m/>
    <x v="257"/>
    <m/>
    <x v="17"/>
    <m/>
    <m/>
    <m/>
    <m/>
    <m/>
    <m/>
    <m/>
    <m/>
    <m/>
    <m/>
    <m/>
    <x v="0"/>
    <m/>
    <m/>
    <m/>
    <m/>
    <m/>
    <m/>
    <m/>
    <m/>
    <m/>
    <m/>
    <m/>
    <m/>
    <x v="0"/>
    <m/>
    <m/>
    <m/>
    <m/>
    <m/>
    <m/>
    <m/>
    <m/>
    <m/>
    <m/>
    <m/>
    <m/>
    <m/>
    <m/>
    <m/>
    <m/>
    <m/>
    <m/>
    <m/>
    <m/>
    <m/>
    <m/>
    <m/>
    <m/>
    <m/>
    <m/>
    <m/>
    <m/>
    <m/>
    <m/>
    <x v="0"/>
    <m/>
    <m/>
    <m/>
    <m/>
    <m/>
    <m/>
    <m/>
    <m/>
    <m/>
    <m/>
    <m/>
    <m/>
    <m/>
    <m/>
    <m/>
    <m/>
    <m/>
    <m/>
  </r>
  <r>
    <m/>
    <m/>
    <x v="257"/>
    <m/>
    <x v="17"/>
    <m/>
    <m/>
    <m/>
    <m/>
    <m/>
    <m/>
    <m/>
    <m/>
    <m/>
    <m/>
    <m/>
    <x v="0"/>
    <m/>
    <m/>
    <m/>
    <m/>
    <m/>
    <m/>
    <m/>
    <m/>
    <m/>
    <m/>
    <m/>
    <m/>
    <x v="0"/>
    <m/>
    <m/>
    <m/>
    <m/>
    <m/>
    <m/>
    <m/>
    <m/>
    <m/>
    <m/>
    <m/>
    <m/>
    <m/>
    <m/>
    <m/>
    <m/>
    <m/>
    <m/>
    <m/>
    <m/>
    <m/>
    <m/>
    <m/>
    <m/>
    <m/>
    <m/>
    <m/>
    <m/>
    <m/>
    <m/>
    <x v="0"/>
    <m/>
    <m/>
    <m/>
    <m/>
    <m/>
    <m/>
    <m/>
    <m/>
    <m/>
    <m/>
    <m/>
    <m/>
    <m/>
    <m/>
    <m/>
    <m/>
    <m/>
    <m/>
  </r>
  <r>
    <m/>
    <m/>
    <x v="257"/>
    <m/>
    <x v="17"/>
    <m/>
    <m/>
    <m/>
    <m/>
    <m/>
    <m/>
    <m/>
    <m/>
    <m/>
    <m/>
    <m/>
    <x v="0"/>
    <m/>
    <m/>
    <m/>
    <m/>
    <m/>
    <m/>
    <m/>
    <m/>
    <m/>
    <m/>
    <m/>
    <m/>
    <x v="0"/>
    <m/>
    <m/>
    <m/>
    <m/>
    <m/>
    <m/>
    <m/>
    <m/>
    <m/>
    <m/>
    <m/>
    <m/>
    <m/>
    <m/>
    <m/>
    <m/>
    <m/>
    <m/>
    <m/>
    <m/>
    <m/>
    <m/>
    <m/>
    <m/>
    <m/>
    <m/>
    <m/>
    <m/>
    <m/>
    <m/>
    <x v="0"/>
    <m/>
    <m/>
    <m/>
    <m/>
    <m/>
    <m/>
    <m/>
    <m/>
    <m/>
    <m/>
    <m/>
    <m/>
    <m/>
    <m/>
    <m/>
    <m/>
    <m/>
    <m/>
  </r>
  <r>
    <m/>
    <m/>
    <x v="257"/>
    <m/>
    <x v="17"/>
    <m/>
    <m/>
    <m/>
    <m/>
    <m/>
    <m/>
    <m/>
    <m/>
    <m/>
    <m/>
    <m/>
    <x v="0"/>
    <m/>
    <m/>
    <m/>
    <m/>
    <m/>
    <m/>
    <m/>
    <m/>
    <m/>
    <m/>
    <m/>
    <m/>
    <x v="0"/>
    <m/>
    <m/>
    <m/>
    <m/>
    <m/>
    <m/>
    <m/>
    <m/>
    <m/>
    <m/>
    <m/>
    <m/>
    <m/>
    <m/>
    <m/>
    <m/>
    <m/>
    <m/>
    <m/>
    <m/>
    <m/>
    <m/>
    <m/>
    <m/>
    <m/>
    <m/>
    <m/>
    <m/>
    <m/>
    <m/>
    <x v="0"/>
    <m/>
    <m/>
    <m/>
    <m/>
    <m/>
    <m/>
    <m/>
    <m/>
    <m/>
    <m/>
    <m/>
    <m/>
    <m/>
    <m/>
    <m/>
    <m/>
    <m/>
    <m/>
  </r>
  <r>
    <m/>
    <m/>
    <x v="257"/>
    <m/>
    <x v="17"/>
    <m/>
    <m/>
    <m/>
    <m/>
    <m/>
    <m/>
    <m/>
    <m/>
    <m/>
    <m/>
    <m/>
    <x v="0"/>
    <m/>
    <m/>
    <m/>
    <m/>
    <m/>
    <m/>
    <m/>
    <m/>
    <m/>
    <m/>
    <m/>
    <m/>
    <x v="0"/>
    <m/>
    <m/>
    <m/>
    <m/>
    <m/>
    <m/>
    <m/>
    <m/>
    <m/>
    <m/>
    <m/>
    <m/>
    <m/>
    <m/>
    <m/>
    <m/>
    <m/>
    <m/>
    <m/>
    <m/>
    <m/>
    <m/>
    <m/>
    <m/>
    <m/>
    <m/>
    <m/>
    <m/>
    <m/>
    <m/>
    <x v="0"/>
    <m/>
    <m/>
    <m/>
    <m/>
    <m/>
    <m/>
    <m/>
    <m/>
    <m/>
    <m/>
    <m/>
    <m/>
    <m/>
    <m/>
    <m/>
    <m/>
    <m/>
    <m/>
  </r>
  <r>
    <m/>
    <m/>
    <x v="257"/>
    <m/>
    <x v="17"/>
    <m/>
    <m/>
    <m/>
    <m/>
    <m/>
    <m/>
    <m/>
    <m/>
    <m/>
    <m/>
    <m/>
    <x v="0"/>
    <m/>
    <m/>
    <m/>
    <m/>
    <m/>
    <m/>
    <m/>
    <m/>
    <m/>
    <m/>
    <m/>
    <m/>
    <x v="0"/>
    <m/>
    <m/>
    <m/>
    <m/>
    <m/>
    <m/>
    <m/>
    <m/>
    <m/>
    <m/>
    <m/>
    <m/>
    <m/>
    <m/>
    <m/>
    <m/>
    <m/>
    <m/>
    <m/>
    <m/>
    <m/>
    <m/>
    <m/>
    <m/>
    <m/>
    <m/>
    <m/>
    <m/>
    <m/>
    <m/>
    <x v="0"/>
    <m/>
    <m/>
    <m/>
    <m/>
    <m/>
    <m/>
    <m/>
    <m/>
    <m/>
    <m/>
    <m/>
    <m/>
    <m/>
    <m/>
    <m/>
    <m/>
    <m/>
    <m/>
  </r>
  <r>
    <m/>
    <m/>
    <x v="257"/>
    <m/>
    <x v="17"/>
    <m/>
    <m/>
    <m/>
    <m/>
    <m/>
    <m/>
    <m/>
    <m/>
    <m/>
    <m/>
    <m/>
    <x v="0"/>
    <m/>
    <m/>
    <m/>
    <m/>
    <m/>
    <m/>
    <m/>
    <m/>
    <m/>
    <m/>
    <m/>
    <m/>
    <x v="0"/>
    <m/>
    <m/>
    <m/>
    <m/>
    <m/>
    <m/>
    <m/>
    <m/>
    <m/>
    <m/>
    <m/>
    <m/>
    <m/>
    <m/>
    <m/>
    <m/>
    <m/>
    <m/>
    <m/>
    <m/>
    <m/>
    <m/>
    <m/>
    <m/>
    <m/>
    <m/>
    <m/>
    <m/>
    <m/>
    <m/>
    <x v="0"/>
    <m/>
    <m/>
    <m/>
    <m/>
    <m/>
    <m/>
    <m/>
    <m/>
    <m/>
    <m/>
    <m/>
    <m/>
    <m/>
    <m/>
    <m/>
    <m/>
    <m/>
    <m/>
  </r>
  <r>
    <m/>
    <m/>
    <x v="257"/>
    <m/>
    <x v="17"/>
    <m/>
    <m/>
    <m/>
    <m/>
    <m/>
    <m/>
    <m/>
    <m/>
    <m/>
    <m/>
    <m/>
    <x v="0"/>
    <m/>
    <m/>
    <m/>
    <m/>
    <m/>
    <m/>
    <m/>
    <m/>
    <m/>
    <m/>
    <m/>
    <m/>
    <x v="0"/>
    <m/>
    <m/>
    <m/>
    <m/>
    <m/>
    <m/>
    <m/>
    <m/>
    <m/>
    <m/>
    <m/>
    <m/>
    <m/>
    <m/>
    <m/>
    <m/>
    <m/>
    <m/>
    <m/>
    <m/>
    <m/>
    <m/>
    <m/>
    <m/>
    <m/>
    <m/>
    <m/>
    <m/>
    <m/>
    <m/>
    <x v="0"/>
    <m/>
    <m/>
    <m/>
    <m/>
    <m/>
    <m/>
    <m/>
    <m/>
    <m/>
    <m/>
    <m/>
    <m/>
    <m/>
    <m/>
    <m/>
    <m/>
    <m/>
    <m/>
  </r>
  <r>
    <m/>
    <m/>
    <x v="257"/>
    <m/>
    <x v="17"/>
    <m/>
    <m/>
    <m/>
    <m/>
    <m/>
    <m/>
    <m/>
    <m/>
    <m/>
    <m/>
    <m/>
    <x v="0"/>
    <m/>
    <m/>
    <m/>
    <m/>
    <m/>
    <m/>
    <m/>
    <m/>
    <m/>
    <m/>
    <m/>
    <m/>
    <x v="0"/>
    <m/>
    <m/>
    <m/>
    <m/>
    <m/>
    <m/>
    <m/>
    <m/>
    <m/>
    <m/>
    <m/>
    <m/>
    <m/>
    <m/>
    <m/>
    <m/>
    <m/>
    <m/>
    <m/>
    <m/>
    <m/>
    <m/>
    <m/>
    <m/>
    <m/>
    <m/>
    <m/>
    <m/>
    <m/>
    <m/>
    <x v="0"/>
    <m/>
    <m/>
    <m/>
    <m/>
    <m/>
    <m/>
    <m/>
    <m/>
    <m/>
    <m/>
    <m/>
    <m/>
    <m/>
    <m/>
    <m/>
    <m/>
    <m/>
    <m/>
  </r>
  <r>
    <m/>
    <m/>
    <x v="257"/>
    <m/>
    <x v="17"/>
    <m/>
    <m/>
    <m/>
    <m/>
    <m/>
    <m/>
    <m/>
    <m/>
    <m/>
    <m/>
    <m/>
    <x v="0"/>
    <m/>
    <m/>
    <m/>
    <m/>
    <m/>
    <m/>
    <m/>
    <m/>
    <m/>
    <m/>
    <m/>
    <m/>
    <x v="0"/>
    <m/>
    <m/>
    <m/>
    <m/>
    <m/>
    <m/>
    <m/>
    <m/>
    <m/>
    <m/>
    <m/>
    <m/>
    <m/>
    <m/>
    <m/>
    <m/>
    <m/>
    <m/>
    <m/>
    <m/>
    <m/>
    <m/>
    <m/>
    <m/>
    <m/>
    <m/>
    <m/>
    <m/>
    <m/>
    <m/>
    <x v="0"/>
    <m/>
    <m/>
    <m/>
    <m/>
    <m/>
    <m/>
    <m/>
    <m/>
    <m/>
    <m/>
    <m/>
    <m/>
    <m/>
    <m/>
    <m/>
    <m/>
    <m/>
    <m/>
  </r>
  <r>
    <m/>
    <m/>
    <x v="257"/>
    <m/>
    <x v="17"/>
    <m/>
    <m/>
    <m/>
    <m/>
    <m/>
    <m/>
    <m/>
    <m/>
    <m/>
    <m/>
    <m/>
    <x v="0"/>
    <m/>
    <m/>
    <m/>
    <m/>
    <m/>
    <m/>
    <m/>
    <m/>
    <m/>
    <m/>
    <m/>
    <m/>
    <x v="0"/>
    <m/>
    <m/>
    <m/>
    <m/>
    <m/>
    <m/>
    <m/>
    <m/>
    <m/>
    <m/>
    <m/>
    <m/>
    <m/>
    <m/>
    <m/>
    <m/>
    <m/>
    <m/>
    <m/>
    <m/>
    <m/>
    <m/>
    <m/>
    <m/>
    <m/>
    <m/>
    <m/>
    <m/>
    <m/>
    <m/>
    <x v="0"/>
    <m/>
    <m/>
    <m/>
    <m/>
    <m/>
    <m/>
    <m/>
    <m/>
    <m/>
    <m/>
    <m/>
    <m/>
    <m/>
    <m/>
    <m/>
    <m/>
    <m/>
    <m/>
  </r>
  <r>
    <m/>
    <m/>
    <x v="257"/>
    <m/>
    <x v="17"/>
    <m/>
    <m/>
    <m/>
    <m/>
    <m/>
    <m/>
    <m/>
    <m/>
    <m/>
    <m/>
    <m/>
    <x v="0"/>
    <m/>
    <m/>
    <m/>
    <m/>
    <m/>
    <m/>
    <m/>
    <m/>
    <m/>
    <m/>
    <m/>
    <m/>
    <x v="0"/>
    <m/>
    <m/>
    <m/>
    <m/>
    <m/>
    <m/>
    <m/>
    <m/>
    <m/>
    <m/>
    <m/>
    <m/>
    <m/>
    <m/>
    <m/>
    <m/>
    <m/>
    <m/>
    <m/>
    <m/>
    <m/>
    <m/>
    <m/>
    <m/>
    <m/>
    <m/>
    <m/>
    <m/>
    <m/>
    <m/>
    <x v="0"/>
    <m/>
    <m/>
    <m/>
    <m/>
    <m/>
    <m/>
    <m/>
    <m/>
    <m/>
    <m/>
    <m/>
    <m/>
    <m/>
    <m/>
    <m/>
    <m/>
    <m/>
    <m/>
  </r>
  <r>
    <m/>
    <m/>
    <x v="257"/>
    <m/>
    <x v="17"/>
    <m/>
    <m/>
    <m/>
    <m/>
    <m/>
    <m/>
    <m/>
    <m/>
    <m/>
    <m/>
    <m/>
    <x v="0"/>
    <m/>
    <m/>
    <m/>
    <m/>
    <m/>
    <m/>
    <m/>
    <m/>
    <m/>
    <m/>
    <m/>
    <m/>
    <x v="0"/>
    <m/>
    <m/>
    <m/>
    <m/>
    <m/>
    <m/>
    <m/>
    <m/>
    <m/>
    <m/>
    <m/>
    <m/>
    <m/>
    <m/>
    <m/>
    <m/>
    <m/>
    <m/>
    <m/>
    <m/>
    <m/>
    <m/>
    <m/>
    <m/>
    <m/>
    <m/>
    <m/>
    <m/>
    <m/>
    <m/>
    <x v="0"/>
    <m/>
    <m/>
    <m/>
    <m/>
    <m/>
    <m/>
    <m/>
    <m/>
    <m/>
    <m/>
    <m/>
    <m/>
    <m/>
    <m/>
    <m/>
    <m/>
    <m/>
    <m/>
  </r>
  <r>
    <m/>
    <m/>
    <x v="257"/>
    <m/>
    <x v="17"/>
    <m/>
    <m/>
    <m/>
    <m/>
    <m/>
    <m/>
    <m/>
    <m/>
    <m/>
    <m/>
    <m/>
    <x v="0"/>
    <m/>
    <m/>
    <m/>
    <m/>
    <m/>
    <m/>
    <m/>
    <m/>
    <m/>
    <m/>
    <m/>
    <m/>
    <x v="0"/>
    <m/>
    <m/>
    <m/>
    <m/>
    <m/>
    <m/>
    <m/>
    <m/>
    <m/>
    <m/>
    <m/>
    <m/>
    <m/>
    <m/>
    <m/>
    <m/>
    <m/>
    <m/>
    <m/>
    <m/>
    <m/>
    <m/>
    <m/>
    <m/>
    <m/>
    <m/>
    <m/>
    <m/>
    <m/>
    <m/>
    <x v="0"/>
    <m/>
    <m/>
    <m/>
    <m/>
    <m/>
    <m/>
    <m/>
    <m/>
    <m/>
    <m/>
    <m/>
    <m/>
    <m/>
    <m/>
    <m/>
    <m/>
    <m/>
    <m/>
  </r>
  <r>
    <m/>
    <m/>
    <x v="257"/>
    <m/>
    <x v="17"/>
    <m/>
    <m/>
    <m/>
    <m/>
    <m/>
    <m/>
    <m/>
    <m/>
    <m/>
    <m/>
    <m/>
    <x v="0"/>
    <m/>
    <m/>
    <m/>
    <m/>
    <m/>
    <m/>
    <m/>
    <m/>
    <m/>
    <m/>
    <m/>
    <m/>
    <x v="0"/>
    <m/>
    <m/>
    <m/>
    <m/>
    <m/>
    <m/>
    <m/>
    <m/>
    <m/>
    <m/>
    <m/>
    <m/>
    <m/>
    <m/>
    <m/>
    <m/>
    <m/>
    <m/>
    <m/>
    <m/>
    <m/>
    <m/>
    <m/>
    <m/>
    <m/>
    <m/>
    <m/>
    <m/>
    <m/>
    <m/>
    <x v="0"/>
    <m/>
    <m/>
    <m/>
    <m/>
    <m/>
    <m/>
    <m/>
    <m/>
    <m/>
    <m/>
    <m/>
    <m/>
    <m/>
    <m/>
    <m/>
    <m/>
    <m/>
    <m/>
  </r>
  <r>
    <m/>
    <m/>
    <x v="257"/>
    <m/>
    <x v="17"/>
    <m/>
    <m/>
    <m/>
    <m/>
    <m/>
    <m/>
    <m/>
    <m/>
    <m/>
    <m/>
    <m/>
    <x v="0"/>
    <m/>
    <m/>
    <m/>
    <m/>
    <m/>
    <m/>
    <m/>
    <m/>
    <m/>
    <m/>
    <m/>
    <m/>
    <x v="0"/>
    <m/>
    <m/>
    <m/>
    <m/>
    <m/>
    <m/>
    <m/>
    <m/>
    <m/>
    <m/>
    <m/>
    <m/>
    <m/>
    <m/>
    <m/>
    <m/>
    <m/>
    <m/>
    <m/>
    <m/>
    <m/>
    <m/>
    <m/>
    <m/>
    <m/>
    <m/>
    <m/>
    <m/>
    <m/>
    <m/>
    <x v="0"/>
    <m/>
    <m/>
    <m/>
    <m/>
    <m/>
    <m/>
    <m/>
    <m/>
    <m/>
    <m/>
    <m/>
    <m/>
    <m/>
    <m/>
    <m/>
    <m/>
    <m/>
    <m/>
  </r>
  <r>
    <m/>
    <m/>
    <x v="257"/>
    <m/>
    <x v="17"/>
    <m/>
    <m/>
    <m/>
    <m/>
    <m/>
    <m/>
    <m/>
    <m/>
    <m/>
    <m/>
    <m/>
    <x v="0"/>
    <m/>
    <m/>
    <m/>
    <m/>
    <m/>
    <m/>
    <m/>
    <m/>
    <m/>
    <m/>
    <m/>
    <m/>
    <x v="0"/>
    <m/>
    <m/>
    <m/>
    <m/>
    <m/>
    <m/>
    <m/>
    <m/>
    <m/>
    <m/>
    <m/>
    <m/>
    <m/>
    <m/>
    <m/>
    <m/>
    <m/>
    <m/>
    <m/>
    <m/>
    <m/>
    <m/>
    <m/>
    <m/>
    <m/>
    <m/>
    <m/>
    <m/>
    <m/>
    <m/>
    <x v="0"/>
    <m/>
    <m/>
    <m/>
    <m/>
    <m/>
    <m/>
    <m/>
    <m/>
    <m/>
    <m/>
    <m/>
    <m/>
    <m/>
    <m/>
    <m/>
    <m/>
    <m/>
    <m/>
  </r>
  <r>
    <m/>
    <m/>
    <x v="257"/>
    <m/>
    <x v="17"/>
    <m/>
    <m/>
    <m/>
    <m/>
    <m/>
    <m/>
    <m/>
    <m/>
    <m/>
    <m/>
    <m/>
    <x v="0"/>
    <m/>
    <m/>
    <m/>
    <m/>
    <m/>
    <m/>
    <m/>
    <m/>
    <m/>
    <m/>
    <m/>
    <m/>
    <x v="0"/>
    <m/>
    <m/>
    <m/>
    <m/>
    <m/>
    <m/>
    <m/>
    <m/>
    <m/>
    <m/>
    <m/>
    <m/>
    <m/>
    <m/>
    <m/>
    <m/>
    <m/>
    <m/>
    <m/>
    <m/>
    <m/>
    <m/>
    <m/>
    <m/>
    <m/>
    <m/>
    <m/>
    <m/>
    <m/>
    <m/>
    <x v="0"/>
    <m/>
    <m/>
    <m/>
    <m/>
    <m/>
    <m/>
    <m/>
    <m/>
    <m/>
    <m/>
    <m/>
    <m/>
    <m/>
    <m/>
    <m/>
    <m/>
    <m/>
    <m/>
  </r>
  <r>
    <m/>
    <m/>
    <x v="257"/>
    <m/>
    <x v="17"/>
    <m/>
    <m/>
    <m/>
    <m/>
    <m/>
    <m/>
    <m/>
    <m/>
    <m/>
    <m/>
    <m/>
    <x v="0"/>
    <m/>
    <m/>
    <m/>
    <m/>
    <m/>
    <m/>
    <m/>
    <m/>
    <m/>
    <m/>
    <m/>
    <m/>
    <x v="0"/>
    <m/>
    <m/>
    <m/>
    <m/>
    <m/>
    <m/>
    <m/>
    <m/>
    <m/>
    <m/>
    <m/>
    <m/>
    <m/>
    <m/>
    <m/>
    <m/>
    <m/>
    <m/>
    <m/>
    <m/>
    <m/>
    <m/>
    <m/>
    <m/>
    <m/>
    <m/>
    <m/>
    <m/>
    <m/>
    <m/>
    <x v="0"/>
    <m/>
    <m/>
    <m/>
    <m/>
    <m/>
    <m/>
    <m/>
    <m/>
    <m/>
    <m/>
    <m/>
    <m/>
    <m/>
    <m/>
    <m/>
    <m/>
    <m/>
    <m/>
  </r>
  <r>
    <m/>
    <m/>
    <x v="257"/>
    <m/>
    <x v="17"/>
    <m/>
    <m/>
    <m/>
    <m/>
    <m/>
    <m/>
    <m/>
    <m/>
    <m/>
    <m/>
    <m/>
    <x v="0"/>
    <m/>
    <m/>
    <m/>
    <m/>
    <m/>
    <m/>
    <m/>
    <m/>
    <m/>
    <m/>
    <m/>
    <m/>
    <x v="0"/>
    <m/>
    <m/>
    <m/>
    <m/>
    <m/>
    <m/>
    <m/>
    <m/>
    <m/>
    <m/>
    <m/>
    <m/>
    <m/>
    <m/>
    <m/>
    <m/>
    <m/>
    <m/>
    <m/>
    <m/>
    <m/>
    <m/>
    <m/>
    <m/>
    <m/>
    <m/>
    <m/>
    <m/>
    <m/>
    <m/>
    <x v="0"/>
    <m/>
    <m/>
    <m/>
    <m/>
    <m/>
    <m/>
    <m/>
    <m/>
    <m/>
    <m/>
    <m/>
    <m/>
    <m/>
    <m/>
    <m/>
    <m/>
    <m/>
    <m/>
  </r>
  <r>
    <m/>
    <m/>
    <x v="257"/>
    <m/>
    <x v="17"/>
    <m/>
    <m/>
    <m/>
    <m/>
    <m/>
    <m/>
    <m/>
    <m/>
    <m/>
    <m/>
    <m/>
    <x v="0"/>
    <m/>
    <m/>
    <m/>
    <m/>
    <m/>
    <m/>
    <m/>
    <m/>
    <m/>
    <m/>
    <m/>
    <m/>
    <x v="0"/>
    <m/>
    <m/>
    <m/>
    <m/>
    <m/>
    <m/>
    <m/>
    <m/>
    <m/>
    <m/>
    <m/>
    <m/>
    <m/>
    <m/>
    <m/>
    <m/>
    <m/>
    <m/>
    <m/>
    <m/>
    <m/>
    <m/>
    <m/>
    <m/>
    <m/>
    <m/>
    <m/>
    <m/>
    <m/>
    <m/>
    <x v="0"/>
    <m/>
    <m/>
    <m/>
    <m/>
    <m/>
    <m/>
    <m/>
    <m/>
    <m/>
    <m/>
    <m/>
    <m/>
    <m/>
    <m/>
    <m/>
    <m/>
    <m/>
    <m/>
  </r>
</pivotCacheRecords>
</file>

<file path=xl/pivotCache/pivotCacheRecords19.xml><?xml version="1.0" encoding="utf-8"?>
<pivotCacheRecords xmlns="http://schemas.openxmlformats.org/spreadsheetml/2006/main" xmlns:r="http://schemas.openxmlformats.org/officeDocument/2006/relationships" count="66">
  <r>
    <s v="MDRCN002"/>
    <n v="9462000"/>
    <n v="0.25"/>
    <x v="0"/>
    <s v="China"/>
    <s v="A"/>
    <s v="Hubei"/>
    <s v="FL-2007-000097-CHN"/>
    <b v="1"/>
    <n v="1"/>
    <s v="2916 3569 3570"/>
    <x v="0"/>
    <d v="2007-07-03T00:00:00"/>
    <d v="2009-05-07T00:00:00"/>
    <m/>
    <n v="1138"/>
    <m/>
    <n v="200000000"/>
    <n v="5000000"/>
    <n v="400000"/>
    <m/>
    <m/>
    <n v="4"/>
    <n v="1"/>
    <s v="RDMT"/>
    <s v="Govt, UN"/>
    <m/>
    <m/>
    <n v="240000"/>
    <s v="OU1-&gt;6 final report"/>
    <n v="2007"/>
    <n v="45"/>
    <s v=""/>
    <s v=""/>
    <s v=""/>
    <n v="25"/>
    <n v="3"/>
    <n v="9"/>
    <n v="1405"/>
  </r>
  <r>
    <s v="MDRSD004"/>
    <n v="7498940"/>
    <n v="0.8"/>
    <x v="1"/>
    <s v="Sudan"/>
    <s v="A"/>
    <s v="North Kordofan, White Nile States"/>
    <s v="FL-2007-000093-SDN"/>
    <b v="1"/>
    <n v="1"/>
    <s v="2955 2967 2973 2985 3009"/>
    <x v="0"/>
    <d v="2007-07-14T00:00:00"/>
    <d v="2010-03-19T00:00:00"/>
    <n v="335"/>
    <n v="90"/>
    <m/>
    <n v="500000"/>
    <n v="208520"/>
    <n v="200000"/>
    <n v="21"/>
    <n v="1500"/>
    <m/>
    <n v="1"/>
    <s v="LDRT"/>
    <s v="Govt, UN, NGOs"/>
    <n v="1"/>
    <n v="1"/>
    <n v="549000"/>
    <s v="PREL OU1-&gt;6 REV Final report"/>
    <n v="2007"/>
    <n v="208"/>
    <s v=""/>
    <s v=""/>
    <s v=""/>
    <n v="25"/>
    <n v="1"/>
    <n v="2"/>
    <n v="1433"/>
  </r>
  <r>
    <s v="MDRNP001"/>
    <n v="2344464"/>
    <n v="1"/>
    <x v="2"/>
    <s v="Nepal"/>
    <s v="A"/>
    <s v="Southern plains"/>
    <s v="FF-2007-000117-NPL"/>
    <b v="1"/>
    <n v="1"/>
    <s v="2984 2993 3002 3016 3569 3570"/>
    <x v="0"/>
    <d v="2007-07-28T00:00:00"/>
    <d v="2009-05-27T00:00:00"/>
    <n v="94"/>
    <n v="214"/>
    <n v="4"/>
    <n v="640658"/>
    <n v="129385"/>
    <n v="150000"/>
    <n v="107"/>
    <n v="2700"/>
    <n v="1"/>
    <n v="1"/>
    <s v="RDRT"/>
    <s v="Govt, UNICEF, NGOs, WFP, ICRC, INGOs"/>
    <m/>
    <m/>
    <n v="250000"/>
    <s v="IB1 PREL OU1-&gt;7 revised OU7-&gt;10, Final report"/>
    <n v="2007"/>
    <n v="155"/>
    <s v=""/>
    <s v=""/>
    <s v=""/>
    <n v="25"/>
    <n v="3"/>
    <n v="11"/>
    <n v="1446"/>
  </r>
  <r>
    <s v="MDRKP001"/>
    <n v="5451295"/>
    <n v="1.05"/>
    <x v="3"/>
    <s v="DPRK"/>
    <s v="A"/>
    <s v="North Hwanghae"/>
    <s v="FL-2007-000126-PRK"/>
    <b v="0"/>
    <n v="1"/>
    <s v=""/>
    <x v="0"/>
    <d v="2007-08-12T00:00:00"/>
    <d v="2009-01-21T00:00:00"/>
    <n v="518"/>
    <n v="454"/>
    <n v="156"/>
    <n v="960000"/>
    <n v="170000"/>
    <n v="3700000"/>
    <m/>
    <n v="14293"/>
    <n v="1"/>
    <m/>
    <s v=""/>
    <s v="Govt, World Food Programme, UNICEF, WHO"/>
    <m/>
    <m/>
    <n v="250000"/>
    <s v="IB1-&gt;2 OU1-&gt;4 final report"/>
    <n v="2007"/>
    <n v="165"/>
    <s v=""/>
    <s v=""/>
    <s v=""/>
    <n v="25"/>
    <n v="3"/>
    <n v="9"/>
    <n v="1498"/>
  </r>
  <r>
    <s v="MDRUG006"/>
    <n v="11413603"/>
    <n v="0.69"/>
    <x v="4"/>
    <s v="Uganda"/>
    <s v="A"/>
    <s v="Sironko"/>
    <s v="FL-2007-000138-UGA"/>
    <b v="1"/>
    <n v="1"/>
    <s v="3026 3218 3235 3249 3255 3259 3278 3295 3300 3306 3315"/>
    <x v="0"/>
    <d v="2007-08-13T00:00:00"/>
    <d v="2010-01-14T00:00:00"/>
    <n v="1852"/>
    <n v="2"/>
    <m/>
    <n v="435070"/>
    <n v="58000"/>
    <n v="125000"/>
    <m/>
    <m/>
    <n v="1"/>
    <m/>
    <s v=""/>
    <s v="Govt, UNICEF, WHO, WFP"/>
    <n v="1"/>
    <n v="1"/>
    <n v="174197"/>
    <s v="PREL OU1-&gt;4 REV OU5 Final report"/>
    <n v="2007"/>
    <n v="230"/>
    <s v=""/>
    <s v=""/>
    <s v=""/>
    <n v="25"/>
    <n v="1"/>
    <n v="2"/>
    <n v="1478"/>
  </r>
  <r>
    <s v="MDR49001"/>
    <n v="2927000"/>
    <n v="0.98"/>
    <x v="5"/>
    <s v="Dominica"/>
    <s v="A"/>
    <s v="Dean"/>
    <s v="TC-2007-000135-DMA"/>
    <b v="1"/>
    <n v="1"/>
    <s v="3032 3039 3048 3049 3051 3057 3058 3069 3061 3062 3063 3066 3071 3072 3075 3077 3076 3080 3084 3086 3087 3089 3095 3096 3091 3101 3106 3107 3111 3124 3148 3149 3162 3254"/>
    <x v="0"/>
    <d v="2007-08-15T00:00:00"/>
    <d v="2009-08-05T00:00:00"/>
    <m/>
    <n v="9"/>
    <m/>
    <n v="113530"/>
    <n v="1000"/>
    <n v="113530"/>
    <m/>
    <m/>
    <m/>
    <n v="2"/>
    <s v="PADRU, RIT"/>
    <s v="Govt, OCHA, NGOs"/>
    <m/>
    <m/>
    <n v="150000"/>
    <s v="OU1-&gt;4 Rev-&gt; OU 5-&gt; Interim final report 31102008, Final report. See Mexico, Jamaica, Cayman Is., Haiti, Belize, Honduras. Appeal called &quot;The Caribbean and Mexico: Hurricane Dean&quot;. IB1 PREL OU1-&gt;3 REV"/>
    <n v="2007"/>
    <n v="61"/>
    <s v=""/>
    <s v=""/>
    <s v=""/>
    <n v="36"/>
    <n v="2"/>
    <n v="5"/>
    <n v="1481"/>
  </r>
  <r>
    <s v="MDRPE003"/>
    <n v="10468864.039999999"/>
    <n v="1"/>
    <x v="6"/>
    <s v="Peru"/>
    <s v="A"/>
    <s v="7.9 Central coast"/>
    <s v="EQ-2007-000133-PER"/>
    <b v="1"/>
    <n v="26"/>
    <s v="3033 3034 3037 3059 3064 3067"/>
    <x v="0"/>
    <d v="2007-08-15T00:00:00"/>
    <d v="2010-06-23T00:00:00"/>
    <n v="21800"/>
    <n v="595"/>
    <n v="318"/>
    <n v="655674"/>
    <m/>
    <n v="37500"/>
    <n v="80"/>
    <n v="530"/>
    <n v="1"/>
    <n v="3"/>
    <s v="PADRU, RIT, NIT"/>
    <s v="Govt, UN, Oxfam, WFP, IOM, NGOs, UNDP, OCHA, ICRC, USAID"/>
    <m/>
    <n v="2"/>
    <n v="250000"/>
    <s v="IB1 PRL OU1-&gt;6 REV -&gt; OU7-&gt;REV-&gt;11, DREF allocated without Bulletin, Interim Final Report, Final report"/>
    <n v="2007"/>
    <n v="174"/>
    <s v="Ica"/>
    <s v="Pisco, Chincha and Ica"/>
    <s v=""/>
    <n v="19"/>
    <n v="2"/>
    <n v="8"/>
    <n v="1482"/>
  </r>
  <r>
    <s v=""/>
    <m/>
    <m/>
    <x v="7"/>
    <s v="Cayman Is."/>
    <s v="A"/>
    <s v="Dean"/>
    <s v=""/>
    <b v="1"/>
    <n v="1"/>
    <s v="3055 3065 3073 3074 3081"/>
    <x v="0"/>
    <d v="2007-08-17T00:00:00"/>
    <d v="2007-10-17T00:00:00"/>
    <m/>
    <m/>
    <m/>
    <m/>
    <n v="2500"/>
    <m/>
    <n v="6"/>
    <n v="30"/>
    <m/>
    <n v="1"/>
    <s v="RIT"/>
    <s v="Govt"/>
    <m/>
    <m/>
    <m/>
    <s v="Multiple countries. See also Dominica, 2007, Tropical Cyclone, Dean. Appeal called &quot;The Caribbean and Mexico: Hurricane Dean&quot;."/>
    <n v="2007"/>
    <n v="41"/>
    <s v=""/>
    <s v=""/>
    <s v=""/>
    <n v="36"/>
    <n v="2"/>
    <n v="5"/>
    <n v="1490"/>
  </r>
  <r>
    <s v="MDRET004"/>
    <n v="941088"/>
    <n v="0.86"/>
    <x v="8"/>
    <s v="Ethiopia"/>
    <s v="A"/>
    <s v="Acute Watery Diarrhoea"/>
    <s v="EP-2007-000145-ETH"/>
    <b v="0"/>
    <n v="1"/>
    <s v=""/>
    <x v="0"/>
    <d v="2007-08-30T00:00:00"/>
    <d v="2009-04-29T00:00:00"/>
    <n v="82956"/>
    <n v="952"/>
    <m/>
    <n v="850000"/>
    <n v="130000"/>
    <n v="39080"/>
    <m/>
    <m/>
    <m/>
    <m/>
    <s v=""/>
    <s v="Govt, OCHA, UNICEF, MSF"/>
    <m/>
    <m/>
    <n v="99654"/>
    <s v="OU1-&gt;2, Final report"/>
    <n v="2007"/>
    <n v="69"/>
    <s v=""/>
    <s v=""/>
    <s v=""/>
    <n v="20"/>
    <n v="1"/>
    <n v="2"/>
    <n v="1499"/>
  </r>
  <r>
    <s v=""/>
    <m/>
    <m/>
    <x v="7"/>
    <s v="Trinidad and Tobago"/>
    <s v="A"/>
    <s v="Felix"/>
    <s v="TC-2005-000157-TTO"/>
    <b v="1"/>
    <n v="1"/>
    <s v="3130 3131 3132"/>
    <x v="0"/>
    <d v="2007-08-31T00:00:00"/>
    <d v="2007-09-01T00:00:00"/>
    <m/>
    <m/>
    <m/>
    <m/>
    <m/>
    <m/>
    <m/>
    <m/>
    <m/>
    <n v="1"/>
    <s v="PADRU"/>
    <s v="Govt"/>
    <m/>
    <m/>
    <m/>
    <s v="See also Honduras, 2007, DREF, Tropical Cyclone, Felix."/>
    <n v="2007"/>
    <n v="224"/>
    <s v=""/>
    <s v=""/>
    <s v=""/>
    <n v="36"/>
    <n v="2"/>
    <n v="5"/>
    <n v="1513"/>
  </r>
  <r>
    <s v=""/>
    <m/>
    <m/>
    <x v="7"/>
    <s v="Aruba"/>
    <s v="A"/>
    <s v="Felix"/>
    <s v=""/>
    <b v="1"/>
    <n v="1"/>
    <s v="3134 3135 3136 3137 3138 3140 3142"/>
    <x v="0"/>
    <d v="2007-09-01T00:00:00"/>
    <d v="2007-09-02T00:00:00"/>
    <m/>
    <m/>
    <m/>
    <m/>
    <m/>
    <m/>
    <m/>
    <m/>
    <m/>
    <m/>
    <s v=""/>
    <s v="Govt"/>
    <m/>
    <m/>
    <m/>
    <s v="See also Honduras, 2007, DREF, Tropical Cyclone, Felix."/>
    <n v="2007"/>
    <n v="12"/>
    <s v=""/>
    <s v=""/>
    <s v=""/>
    <n v="36"/>
    <n v="2"/>
    <n v="5"/>
    <n v="1515"/>
  </r>
  <r>
    <s v="MDR43002"/>
    <n v="1371000"/>
    <n v="0.96"/>
    <x v="9"/>
    <s v="Nicaragua"/>
    <s v="A"/>
    <s v="Felix"/>
    <s v="TC2007000157NIC"/>
    <b v="1"/>
    <n v="1"/>
    <s v="3143 3144 3157 3159 3166 3169 3173 3176 3177"/>
    <x v="0"/>
    <d v="2007-09-03T00:00:00"/>
    <d v="2009-07-13T00:00:00"/>
    <m/>
    <m/>
    <m/>
    <n v="11805"/>
    <n v="32216"/>
    <n v="31658"/>
    <m/>
    <n v="40"/>
    <n v="1"/>
    <n v="2"/>
    <s v="NIT, PADRU"/>
    <s v=""/>
    <m/>
    <m/>
    <n v="200000"/>
    <s v="Final report, DREF Bulletin: MDR43001, Appeal: MDR43002  PREL OU1-&gt;5  REV-&gt;7, Multiple countries See also Aruba, Trinidad and Tobago, Netherlands Antille, Mexico, Guatemala, Beliye, Colombia, El Salvador, Nicaragua."/>
    <n v="2007"/>
    <n v="160"/>
    <s v=""/>
    <s v=""/>
    <s v=""/>
    <n v="36"/>
    <n v="2"/>
    <n v="6"/>
    <n v="1519"/>
  </r>
  <r>
    <s v="MDR61002"/>
    <n v="3922365"/>
    <n v="0.95"/>
    <x v="10"/>
    <s v="Ghana"/>
    <s v="A"/>
    <s v="West Africa Floods"/>
    <s v="FL-2007-000153-GHA"/>
    <b v="0"/>
    <n v="1"/>
    <s v="3209 3256 3272 3273 3292"/>
    <x v="0"/>
    <d v="2007-09-17T00:00:00"/>
    <d v="2008-11-10T00:00:00"/>
    <m/>
    <n v="30"/>
    <m/>
    <n v="200000"/>
    <n v="40000"/>
    <n v="94826"/>
    <m/>
    <m/>
    <n v="1"/>
    <n v="1"/>
    <s v="RDRT"/>
    <s v="Govt, WFP, UNICEF"/>
    <n v="1"/>
    <m/>
    <n v="226065"/>
    <s v="Multiple countries: See also Togo and Burkina Faso. REV OU1-&gt;4 Final report"/>
    <n v="2007"/>
    <n v="82"/>
    <s v=""/>
    <s v=""/>
    <s v=""/>
    <n v="25"/>
    <n v="1"/>
    <n v="4"/>
    <n v="1566"/>
  </r>
  <r>
    <s v="MDRVN002"/>
    <n v="3231507"/>
    <n v="0.77"/>
    <x v="11"/>
    <s v="Vietnam"/>
    <s v="A"/>
    <s v="Lekima"/>
    <s v="TC-2007-000178-VNM"/>
    <b v="1"/>
    <n v="8"/>
    <s v="3267 3268 3280 3314"/>
    <x v="0"/>
    <d v="2007-10-01T00:00:00"/>
    <d v="2009-01-16T00:00:00"/>
    <n v="51"/>
    <n v="103"/>
    <n v="12"/>
    <n v="2000000"/>
    <n v="300000"/>
    <n v="193000"/>
    <m/>
    <m/>
    <n v="1"/>
    <m/>
    <s v=""/>
    <s v="Govt, USAID, ECHO"/>
    <m/>
    <m/>
    <n v="200000"/>
    <s v="IB1 PREL OU1-&gt;4 Final report"/>
    <n v="2007"/>
    <n v="240"/>
    <s v=""/>
    <s v=""/>
    <s v=""/>
    <n v="36"/>
    <n v="3"/>
    <n v="12"/>
    <n v="1588"/>
  </r>
  <r>
    <s v="MDRMX002"/>
    <n v="1898867"/>
    <n v="1"/>
    <x v="12"/>
    <s v="Mexico"/>
    <s v="A"/>
    <s v="Dept of Tabasco and Chiapas"/>
    <s v="FL-2007-000200-MEX"/>
    <b v="1"/>
    <n v="10"/>
    <s v="3359 3367 3369 3371 3372 3373 3379"/>
    <x v="0"/>
    <d v="2007-10-31T00:00:00"/>
    <d v="2010-02-02T00:00:00"/>
    <m/>
    <m/>
    <n v="21"/>
    <n v="1989969"/>
    <n v="126581"/>
    <n v="61491"/>
    <n v="20"/>
    <n v="10000"/>
    <n v="1"/>
    <n v="2"/>
    <s v="PADRU, NIT"/>
    <s v="ICRC, MSF, UNDAC, UN, WFP, UNICEF, WHO, UNFPA, UNDSS"/>
    <m/>
    <m/>
    <n v="200000"/>
    <s v="PREL OU1-&gt;3 REV-&gt;OU5, final report"/>
    <n v="2007"/>
    <n v="143"/>
    <s v=""/>
    <s v=""/>
    <s v=""/>
    <n v="25"/>
    <n v="2"/>
    <n v="7"/>
    <n v="1819"/>
  </r>
  <r>
    <s v="MDR49002"/>
    <n v="1750541"/>
    <n v="1"/>
    <x v="13"/>
    <s v="The Bahamas"/>
    <s v="A"/>
    <s v="Tropical storm Noel"/>
    <s v="TC-2007-000198-BHS"/>
    <b v="1"/>
    <n v="4"/>
    <s v="3354 3356 3375 3349 3364 3366"/>
    <x v="0"/>
    <d v="2007-11-01T00:00:00"/>
    <d v="2009-05-28T00:00:00"/>
    <m/>
    <n v="162"/>
    <n v="42"/>
    <n v="78752"/>
    <m/>
    <n v="52995"/>
    <m/>
    <n v="6681"/>
    <n v="4"/>
    <n v="3"/>
    <s v="PADRU"/>
    <s v="Govt, OCHA, ICRC, REDLAC, UNADC, WFP, UNICEF,"/>
    <m/>
    <m/>
    <n v="480000"/>
    <s v="OU-&gt;3, Final report, Dominican Republic, Haiti, The Bahamas and Cuba"/>
    <n v="2007"/>
    <n v="218"/>
    <s v=""/>
    <s v=""/>
    <s v=""/>
    <n v="36"/>
    <n v="2"/>
    <n v="5"/>
    <n v="1825"/>
  </r>
  <r>
    <s v=""/>
    <m/>
    <m/>
    <x v="7"/>
    <s v="Cuba"/>
    <s v="A"/>
    <s v="Noel"/>
    <s v="TC-2000-000198-CUB"/>
    <b v="0"/>
    <n v="1"/>
    <s v=""/>
    <x v="0"/>
    <d v="2007-11-07T00:00:00"/>
    <d v="2007-11-07T00:00:00"/>
    <m/>
    <m/>
    <m/>
    <n v="17000"/>
    <n v="34219"/>
    <m/>
    <m/>
    <m/>
    <m/>
    <m/>
    <s v=""/>
    <s v="Govt"/>
    <m/>
    <m/>
    <m/>
    <s v=""/>
    <n v="2007"/>
    <n v="56"/>
    <s v=""/>
    <s v=""/>
    <s v=""/>
    <n v="36"/>
    <n v="2"/>
    <n v="5"/>
    <n v="1631"/>
  </r>
  <r>
    <s v="MDRBD003"/>
    <n v="24483160"/>
    <n v="0.8"/>
    <x v="14"/>
    <s v="Bangladesh"/>
    <s v="A"/>
    <s v="SIDR"/>
    <s v="TC-2007-000208-BGD"/>
    <b v="1"/>
    <n v="1"/>
    <s v="3390 3391 3399 3403"/>
    <x v="0"/>
    <d v="2007-11-13T00:00:00"/>
    <d v="2010-02-25T00:00:00"/>
    <n v="52808"/>
    <n v="4400"/>
    <n v="871"/>
    <n v="8923259"/>
    <n v="1500000"/>
    <n v="1215000"/>
    <m/>
    <n v="42000"/>
    <n v="4"/>
    <n v="1"/>
    <s v="RDRT"/>
    <s v="Govt, UNICEF, UNDP, WFP, USAID"/>
    <n v="1"/>
    <n v="1"/>
    <n v="250000"/>
    <s v="IB1 PREL OU1-&gt;9 FS1 OU 10-&gt;15, Final report"/>
    <n v="2007"/>
    <n v="18"/>
    <s v=""/>
    <s v=""/>
    <s v=""/>
    <n v="36"/>
    <n v="3"/>
    <n v="11"/>
    <n v="1625"/>
  </r>
  <r>
    <s v="MDRPG002"/>
    <n v="740642"/>
    <n v="0.76"/>
    <x v="15"/>
    <s v="Papua New Guinea"/>
    <s v="A"/>
    <s v="Guba"/>
    <s v="FL-2007-000209-PNG"/>
    <b v="1"/>
    <n v="8"/>
    <s v="3402 3404 3423"/>
    <x v="0"/>
    <d v="2007-11-17T00:00:00"/>
    <d v="2009-05-29T00:00:00"/>
    <m/>
    <n v="175"/>
    <n v="55"/>
    <n v="53000"/>
    <n v="13000"/>
    <n v="13000"/>
    <n v="16"/>
    <n v="200"/>
    <m/>
    <m/>
    <s v=""/>
    <s v="Govt, AUSAID, OCHA, UNICEF, ICRC"/>
    <m/>
    <m/>
    <n v="25000"/>
    <s v="OU1-&gt;3 FS1 OU4 Interim Final report"/>
    <n v="2007"/>
    <n v="172"/>
    <s v=""/>
    <s v=""/>
    <s v=""/>
    <n v="36"/>
    <n v="3"/>
    <n v="10"/>
    <n v="1638"/>
  </r>
  <r>
    <s v="MDR63001"/>
    <n v="8773852"/>
    <n v="0.66"/>
    <x v="16"/>
    <s v="Lesotho"/>
    <s v="A"/>
    <s v="Zambezi river"/>
    <s v="FL-2008-00004-LSO"/>
    <b v="1"/>
    <n v="8"/>
    <s v="3475 3486 3543 3541 3540 3542"/>
    <x v="0"/>
    <d v="2008-01-11T00:00:00"/>
    <d v="2009-04-08T00:00:00"/>
    <m/>
    <n v="60"/>
    <n v="1"/>
    <n v="401650"/>
    <m/>
    <n v="154150"/>
    <m/>
    <m/>
    <m/>
    <n v="3"/>
    <s v="RDRT"/>
    <s v="UNOCHA, WFP, UNICEF, FAO, NGOs"/>
    <n v="1"/>
    <m/>
    <n v="1191647"/>
    <s v="OU1-&gt;2 REV, Final report, see also  Mozambique, Zambia, Malawi, Zimbabue, Swaziland and Namibia"/>
    <n v="2008"/>
    <n v="125"/>
    <s v=""/>
    <s v=""/>
    <s v=""/>
    <n v="25"/>
    <n v="1"/>
    <n v="3"/>
    <n v="1753"/>
  </r>
  <r>
    <s v="MDRIQ003"/>
    <n v="5377198"/>
    <n v="0.47"/>
    <x v="17"/>
    <s v="Iraq"/>
    <s v="A"/>
    <s v="Expanding response to humanitarian crisis"/>
    <s v=""/>
    <b v="0"/>
    <n v="1"/>
    <s v=""/>
    <x v="0"/>
    <d v="2008-02-12T00:00:00"/>
    <d v="2009-05-24T00:00:00"/>
    <m/>
    <m/>
    <m/>
    <m/>
    <n v="10000"/>
    <n v="50000"/>
    <n v="3200"/>
    <n v="10000"/>
    <m/>
    <m/>
    <s v=""/>
    <s v="ICRC, UNHCR, UNDP, UNAMI, NGO, OCHA"/>
    <m/>
    <m/>
    <m/>
    <s v="OU1-&gt;1 REV-&gt;OU2, Final report"/>
    <n v="2008"/>
    <n v="104"/>
    <s v=""/>
    <s v=""/>
    <s v=""/>
    <n v="17"/>
    <n v="5"/>
    <n v="19"/>
    <n v="1764"/>
  </r>
  <r>
    <s v="MDRTJ004"/>
    <n v="572678"/>
    <n v="0.86"/>
    <x v="18"/>
    <s v="Tajikistan"/>
    <s v="A"/>
    <s v=""/>
    <s v="CW-2008-000015-TJK"/>
    <b v="1"/>
    <n v="1"/>
    <s v="3615 3620"/>
    <x v="0"/>
    <d v="2008-02-12T00:00:00"/>
    <d v="2008-12-03T00:00:00"/>
    <m/>
    <m/>
    <m/>
    <m/>
    <m/>
    <n v="5097"/>
    <m/>
    <m/>
    <m/>
    <m/>
    <s v=""/>
    <s v="NOGs, UN, CERF, WFP, CARITAS, CARE, OCHA, FOCUS, UNHCR, WHO"/>
    <m/>
    <m/>
    <n v="172062"/>
    <s v="OU1-&gt;3 Final report"/>
    <n v="2008"/>
    <n v="215"/>
    <s v=""/>
    <s v=""/>
    <s v=""/>
    <n v="16"/>
    <n v="4"/>
    <n v="16"/>
    <n v="1849"/>
  </r>
  <r>
    <s v="MDRCM006"/>
    <n v="2023398"/>
    <n v="0.71"/>
    <x v="19"/>
    <s v="Cameroon"/>
    <s v="A"/>
    <s v="Pop. Mov."/>
    <s v=""/>
    <b v="1"/>
    <n v="1"/>
    <s v="3595 3597"/>
    <x v="0"/>
    <d v="2008-02-13T00:00:00"/>
    <d v="2009-05-07T00:00:00"/>
    <m/>
    <n v="600"/>
    <m/>
    <m/>
    <m/>
    <n v="10000"/>
    <n v="2"/>
    <n v="100"/>
    <n v="1"/>
    <n v="1"/>
    <s v="RDRT"/>
    <s v="ICRC, UNCHR, Govt of Cameroon, WFP, UNICEF, MSF,"/>
    <m/>
    <n v="1"/>
    <n v="300000"/>
    <s v="OU1-&gt;2 Rev OU 3-&gt; Final report"/>
    <n v="2008"/>
    <n v="38"/>
    <s v=""/>
    <s v=""/>
    <s v=""/>
    <n v="41"/>
    <n v="1"/>
    <n v="1"/>
    <n v="1765"/>
  </r>
  <r>
    <s v="MDRMG003"/>
    <n v="1074880"/>
    <n v="0.65"/>
    <x v="20"/>
    <s v="Madagascar"/>
    <s v="A"/>
    <s v="Cyclone Ivan"/>
    <s v="TC-2008-000023 -MDG"/>
    <b v="1"/>
    <n v="1"/>
    <s v="3637 3642 3648 3688 3672 3679 3700"/>
    <x v="0"/>
    <d v="2008-02-18T00:00:00"/>
    <d v="2008-05-15T00:00:00"/>
    <n v="580"/>
    <n v="93"/>
    <m/>
    <n v="332391"/>
    <n v="3000"/>
    <n v="50000"/>
    <m/>
    <n v="360"/>
    <m/>
    <m/>
    <s v="RDRT"/>
    <s v="Govt, UNICEF"/>
    <m/>
    <m/>
    <n v="108719"/>
    <s v="OU 1-&gt; 1, Final report"/>
    <n v="2008"/>
    <n v="132"/>
    <s v=""/>
    <s v=""/>
    <s v=""/>
    <n v="36"/>
    <n v="1"/>
    <n v="2"/>
    <n v="1821"/>
  </r>
  <r>
    <s v="MDRMM002"/>
    <n v="73987907"/>
    <n v="1.02"/>
    <x v="21"/>
    <s v="Myanmar"/>
    <s v="A"/>
    <s v="Cyclone Nargis"/>
    <s v="TC-2008-000057-MMR"/>
    <b v="1"/>
    <n v="1"/>
    <s v="3749 3754 3760 3768 3776 3789 3811 4097 4100 4102"/>
    <x v="0"/>
    <d v="2008-04-30T00:00:00"/>
    <d v="2011-11-18T00:00:00"/>
    <m/>
    <n v="84500"/>
    <n v="53800"/>
    <n v="2400000"/>
    <m/>
    <n v="518985"/>
    <n v="17800"/>
    <n v="10000"/>
    <m/>
    <n v="1"/>
    <s v="RDRT"/>
    <s v="IASC, UNHCR, NGOs, UN, OCHA, ICRC, UNICEF, WFP"/>
    <n v="1"/>
    <n v="3"/>
    <n v="200000"/>
    <s v="OU 1-&gt; 8 REV 9 -&gt; 17 REV OU 18 -&gt;24 REV-&gt;31, final report"/>
    <n v="2008"/>
    <n v="152"/>
    <s v="Ayeyarwady and Yangon"/>
    <s v=""/>
    <s v=""/>
    <n v="36"/>
    <n v="3"/>
    <n v="12"/>
    <n v="2032"/>
  </r>
  <r>
    <s v="MDRET005"/>
    <n v="8157607"/>
    <n v="0.87"/>
    <x v="22"/>
    <s v="Ethiopia"/>
    <s v="A"/>
    <s v="Food Insecurity"/>
    <s v="DR-2008-000043-ETH"/>
    <b v="1"/>
    <n v="1"/>
    <s v=""/>
    <x v="0"/>
    <d v="2008-05-14T00:00:00"/>
    <d v="2009-12-14T00:00:00"/>
    <m/>
    <m/>
    <m/>
    <n v="375000"/>
    <m/>
    <n v="76075"/>
    <m/>
    <m/>
    <m/>
    <n v="1"/>
    <s v="RDRT"/>
    <s v="DPPA, FSCB, ICRC, EWWG, STF, OCHA, WFP, NGOs, ECHO"/>
    <m/>
    <m/>
    <n v="474150"/>
    <s v="OU1-&gt;2 REV OU3-&gt;6, Final report"/>
    <n v="2008"/>
    <n v="69"/>
    <s v=""/>
    <s v=""/>
    <s v=""/>
    <n v="18"/>
    <n v="1"/>
    <n v="2"/>
    <n v="2051"/>
  </r>
  <r>
    <s v="MDRCN003"/>
    <n v="152857777"/>
    <n v="1"/>
    <x v="23"/>
    <s v="China"/>
    <s v="A"/>
    <s v="Sichuan Earthquake, 8 RS"/>
    <s v="EQ-2008-000062-CHN"/>
    <b v="1"/>
    <n v="5"/>
    <s v="3772 3774"/>
    <x v="0"/>
    <d v="2008-05-15T00:00:00"/>
    <d v="2011-12-21T00:00:00"/>
    <n v="375000"/>
    <n v="87449"/>
    <n v="18222"/>
    <n v="10000000"/>
    <n v="15000000"/>
    <n v="1000000"/>
    <n v="400"/>
    <n v="35000"/>
    <m/>
    <m/>
    <s v=""/>
    <s v="Govt, IMO, UNICEF, MSF, ICRC, NGOs"/>
    <m/>
    <n v="4"/>
    <n v="250000"/>
    <s v="OU 1-&gt; 8 REV, OU 9-&gt;17 REV-&gt;19 OU20-&gt;28, REV, OU29-&gt;32"/>
    <n v="2008"/>
    <n v="45"/>
    <s v="Sichuan, Gansu and Shaanxi"/>
    <s v="Wenchuan"/>
    <s v=""/>
    <n v="19"/>
    <n v="3"/>
    <n v="9"/>
    <n v="2053"/>
  </r>
  <r>
    <s v="MDRSR002"/>
    <n v="911135"/>
    <n v="1"/>
    <x v="24"/>
    <s v="Suriname"/>
    <s v="A"/>
    <s v="Marowijne, Lawa and Tapanahoni regions"/>
    <s v="FL-2008-000095-SUR"/>
    <b v="1"/>
    <n v="1"/>
    <s v="3831 3842 3846 3856"/>
    <x v="0"/>
    <d v="2008-06-20T00:00:00"/>
    <d v="2009-08-20T00:00:00"/>
    <m/>
    <n v="2"/>
    <m/>
    <n v="6548"/>
    <m/>
    <n v="15000"/>
    <m/>
    <n v="41"/>
    <m/>
    <n v="2"/>
    <s v="PADRU, RIT"/>
    <s v="PAHO, UNICEF, NGO, ECHO, UNICEF,  UNDP"/>
    <m/>
    <m/>
    <n v="140000"/>
    <s v="Final report, OU 1-&gt;1 REV-&gt;4, Interim final report 26/06/09"/>
    <n v="2008"/>
    <n v="209"/>
    <s v=""/>
    <s v=""/>
    <s v=""/>
    <n v="25"/>
    <n v="2"/>
    <n v="5"/>
    <n v="2135"/>
  </r>
  <r>
    <s v="MDRPH004"/>
    <n v="8310213"/>
    <n v="1"/>
    <x v="25"/>
    <s v="Philippines"/>
    <s v="A"/>
    <s v="Typhoon Fengshen (Frank)"/>
    <s v="TC-2008-000093-PHL"/>
    <b v="1"/>
    <n v="1"/>
    <s v="3864 3866 3867 3870 3871 3873 3874"/>
    <x v="0"/>
    <d v="2008-06-24T00:00:00"/>
    <d v="2009-09-23T00:00:00"/>
    <n v="826"/>
    <n v="557"/>
    <n v="87"/>
    <n v="2500000"/>
    <m/>
    <n v="30000"/>
    <m/>
    <m/>
    <m/>
    <n v="1"/>
    <s v="RDRT"/>
    <s v="Govt, ICRC, UN"/>
    <m/>
    <n v="1"/>
    <n v="200000"/>
    <s v="OU 1-&gt;5, Final report"/>
    <n v="2008"/>
    <n v="175"/>
    <s v=""/>
    <s v=""/>
    <s v=""/>
    <n v="36"/>
    <n v="3"/>
    <n v="12"/>
    <n v="2127"/>
  </r>
  <r>
    <s v="MDRZW004"/>
    <n v="10170233"/>
    <n v="0.48"/>
    <x v="26"/>
    <s v="Zimbabwe"/>
    <s v="A"/>
    <s v="Cholera"/>
    <s v="EP-2008-000218-ZWE"/>
    <b v="0"/>
    <n v="1"/>
    <s v=""/>
    <x v="1"/>
    <d v="2008-07-08T00:00:00"/>
    <d v="2010-02-12T00:00:00"/>
    <m/>
    <n v="4288"/>
    <m/>
    <n v="98592"/>
    <m/>
    <n v="1500000"/>
    <m/>
    <n v="800"/>
    <m/>
    <m/>
    <s v=""/>
    <s v="UN-OCHA, WHO, MoH, NGOs, UNICEF, MSF, OXFAM, PSI, GAA"/>
    <m/>
    <n v="7"/>
    <n v="403302"/>
    <s v="OU1-&gt;7, Final report"/>
    <n v="2008"/>
    <n v="248"/>
    <n v="10170233"/>
    <s v=""/>
    <s v=""/>
    <n v="20"/>
    <n v="1"/>
    <n v="3"/>
    <n v="2484"/>
  </r>
  <r>
    <s v="MDRUG010"/>
    <n v="947079"/>
    <n v="0.16"/>
    <x v="27"/>
    <s v="Uganda"/>
    <s v="A"/>
    <s v="Cholera in eastern Uganda"/>
    <s v="EP2008000101UGA"/>
    <b v="1"/>
    <n v="1"/>
    <s v="3657 3862"/>
    <x v="1"/>
    <d v="2008-07-10T00:00:00"/>
    <d v="2009-09-01T00:00:00"/>
    <m/>
    <n v="67"/>
    <m/>
    <n v="3530"/>
    <m/>
    <n v="425095"/>
    <m/>
    <m/>
    <m/>
    <m/>
    <s v=""/>
    <s v="MoH, WHO, UNICEF, OXFAM, IRC, MSF"/>
    <m/>
    <m/>
    <n v="100000"/>
    <s v="Final report"/>
    <n v="2008"/>
    <n v="230"/>
    <s v=""/>
    <s v=""/>
    <s v=""/>
    <n v="20"/>
    <n v="1"/>
    <n v="2"/>
    <n v="2152"/>
  </r>
  <r>
    <s v="MDR61003"/>
    <n v="1209435"/>
    <n v="1"/>
    <x v="28"/>
    <s v="Togo"/>
    <s v="A"/>
    <s v="Flood preparedness"/>
    <s v=""/>
    <b v="0"/>
    <n v="2"/>
    <s v=""/>
    <x v="1"/>
    <d v="2008-07-11T00:00:00"/>
    <d v="2009-08-21T00:00:00"/>
    <m/>
    <n v="15"/>
    <m/>
    <n v="51718"/>
    <m/>
    <n v="47500"/>
    <m/>
    <m/>
    <m/>
    <n v="1"/>
    <s v="RDRT"/>
    <s v="ICRC, UNICEF, Caritas, MoH, UN, OCHA, NGOs, USAID"/>
    <m/>
    <m/>
    <n v="483047"/>
    <s v="Final report, OU 1-&gt;1 REV &amp; extension OU 2-&gt;4 extension, Multiple country - Country entry: See also Benin, West and Central Africa. Other affected countries: Ghana, Senegal and Gambia"/>
    <n v="2008"/>
    <n v="221"/>
    <s v=""/>
    <s v=""/>
    <s v=""/>
    <n v="25"/>
    <n v="1"/>
    <n v="1"/>
    <n v="2153"/>
  </r>
  <r>
    <s v="MDR67003"/>
    <n v="1250355"/>
    <n v="1.02"/>
    <x v="29"/>
    <s v="Moldova"/>
    <s v="A"/>
    <s v="Dniester and Prut rivers"/>
    <s v="FL-2008-000122-UKR"/>
    <b v="1"/>
    <n v="2"/>
    <s v="3915"/>
    <x v="1"/>
    <d v="2008-08-05T00:00:00"/>
    <d v="2008-10-14T00:00:00"/>
    <m/>
    <n v="40"/>
    <m/>
    <m/>
    <n v="30000"/>
    <n v="60000"/>
    <m/>
    <m/>
    <m/>
    <m/>
    <s v=""/>
    <s v="UN, NGOs, ICRC, Govt, USAID"/>
    <m/>
    <m/>
    <n v="636942"/>
    <s v="OU 1-&gt;3, Final report, Multiple country - Country entry, See also DREF Ukraine MDRUA004 DREF Moldova MDRMO002"/>
    <n v="2008"/>
    <n v="146"/>
    <s v=""/>
    <s v=""/>
    <s v=""/>
    <n v="25"/>
    <n v="4"/>
    <n v="13"/>
    <n v="2177"/>
  </r>
  <r>
    <s v="MDRZW003"/>
    <n v="38424042"/>
    <n v="0.35"/>
    <x v="30"/>
    <s v="Zimbabwe"/>
    <s v="A"/>
    <s v="Food Insecurity"/>
    <s v="JT-2008-000097-ZWE"/>
    <b v="0"/>
    <n v="1"/>
    <s v=""/>
    <x v="1"/>
    <d v="2008-08-06T00:00:00"/>
    <d v="2010-12-16T00:00:00"/>
    <m/>
    <m/>
    <m/>
    <n v="5100000"/>
    <m/>
    <n v="260787"/>
    <m/>
    <m/>
    <m/>
    <m/>
    <s v=""/>
    <s v="FAO, WFP, Tree Africa, ICRAF, UNICEF"/>
    <m/>
    <m/>
    <m/>
    <s v="OU 1-&gt; 9, REV-&gt;10, Final report"/>
    <n v="2008"/>
    <n v="248"/>
    <s v=""/>
    <s v=""/>
    <s v=""/>
    <n v="22"/>
    <n v="1"/>
    <n v="3"/>
    <n v="2181"/>
  </r>
  <r>
    <s v="MDRHT005"/>
    <n v="8475870"/>
    <n v="1"/>
    <x v="31"/>
    <s v="Haiti"/>
    <s v="A"/>
    <s v="Hurricane Season 2008"/>
    <s v="TC-2008-000147-HTI"/>
    <b v="1"/>
    <n v="6"/>
    <s v="4013 4031 4039"/>
    <x v="1"/>
    <d v="2008-08-27T00:00:00"/>
    <d v="2010-10-19T00:00:00"/>
    <n v="548"/>
    <n v="793"/>
    <n v="310"/>
    <n v="826685"/>
    <m/>
    <n v="50000"/>
    <m/>
    <m/>
    <n v="1"/>
    <n v="1"/>
    <s v="PADRU"/>
    <s v="WHO, MSF, ICRC, UNICEF, WFP, FAO,  UNDAC, UNDP, OCHA"/>
    <n v="1"/>
    <n v="5"/>
    <n v="300000"/>
    <s v="OU 1 REV OU 2-&gt;REV-&gt;OU4, Hurricane Seaso 2008, Final report"/>
    <n v="2008"/>
    <n v="95"/>
    <s v="Sud, Sud-Est, Artibonite and the northern coast"/>
    <s v=""/>
    <s v=""/>
    <n v="36"/>
    <n v="2"/>
    <n v="5"/>
    <n v="2263"/>
  </r>
  <r>
    <s v="MDRNP002"/>
    <n v="2650000"/>
    <n v="1"/>
    <x v="32"/>
    <s v="Nepal"/>
    <s v="A"/>
    <s v="Saptakoshi River"/>
    <s v="FL-2008-000104-NPL"/>
    <b v="1"/>
    <n v="1"/>
    <s v="3961 3963 3977 3981"/>
    <x v="1"/>
    <d v="2008-08-29T00:00:00"/>
    <d v="2009-11-26T00:00:00"/>
    <m/>
    <n v="60"/>
    <n v="4"/>
    <n v="200000"/>
    <n v="70000"/>
    <n v="100000"/>
    <n v="18"/>
    <n v="2800"/>
    <m/>
    <m/>
    <s v=""/>
    <s v="Govt, ICRC, NGOs, UNOCHA, UNICEF, WHO, WFP, UNDP"/>
    <m/>
    <m/>
    <n v="250000"/>
    <s v="OU 1-&gt;4, Final report"/>
    <n v="2008"/>
    <n v="155"/>
    <s v=""/>
    <s v=""/>
    <s v=""/>
    <n v="25"/>
    <n v="3"/>
    <n v="11"/>
    <n v="2248"/>
  </r>
  <r>
    <s v="MDR49003"/>
    <n v="2010991"/>
    <n v="0.87"/>
    <x v="33"/>
    <s v="Jamaica"/>
    <s v="A"/>
    <s v="Hurricane Season 2008"/>
    <s v="TC-2008-000143-AAA"/>
    <b v="1"/>
    <n v="5"/>
    <s v="3990 3992 4003 4005 4002 4004 4014 4029 4009"/>
    <x v="1"/>
    <d v="2008-09-02T00:00:00"/>
    <d v="2009-12-21T00:00:00"/>
    <m/>
    <n v="12"/>
    <m/>
    <n v="25000"/>
    <m/>
    <n v="35000"/>
    <m/>
    <n v="25"/>
    <m/>
    <n v="2"/>
    <s v="PADRU, RIT"/>
    <s v="UNFPA"/>
    <m/>
    <m/>
    <n v="320000"/>
    <s v="OU 1-&gt;3, Final report, Multiple country - Country entry: See also Bahamas, Turks &amp; Caicos, Cayman Islands, Haïti, Cuba"/>
    <n v="2008"/>
    <n v="109"/>
    <s v=""/>
    <s v=""/>
    <s v=""/>
    <n v="36"/>
    <n v="2"/>
    <n v="5"/>
    <n v="2267"/>
  </r>
  <r>
    <s v="MDRCU001"/>
    <n v="9604366"/>
    <n v="0.96"/>
    <x v="34"/>
    <s v="Cuba"/>
    <s v="A"/>
    <s v="Hurricane Season 2008: Gustav, Ike"/>
    <s v="TC-2008-000143-CUB"/>
    <b v="1"/>
    <m/>
    <s v="4032 4042"/>
    <x v="1"/>
    <d v="2008-09-08T00:00:00"/>
    <d v="2010-05-31T00:00:00"/>
    <n v="19"/>
    <m/>
    <m/>
    <n v="87000"/>
    <n v="2700000"/>
    <n v="60000"/>
    <m/>
    <n v="5381"/>
    <m/>
    <n v="2"/>
    <s v="PADRU, RIT"/>
    <s v="Govt, UNDP, OCHA, CERF, ICRC, UNFPA"/>
    <m/>
    <m/>
    <n v="150000"/>
    <s v="OU1-&gt;1 REV OU-&gt;4, Interim Final report, Final report"/>
    <n v="2008"/>
    <n v="56"/>
    <s v=""/>
    <s v=""/>
    <s v=""/>
    <n v="36"/>
    <n v="2"/>
    <n v="5"/>
    <n v="2265"/>
  </r>
  <r>
    <s v="MDRNG007"/>
    <n v="790350"/>
    <n v="0.01"/>
    <x v="35"/>
    <s v="Nigeria"/>
    <s v="A"/>
    <s v=""/>
    <s v=""/>
    <b v="0"/>
    <n v="1"/>
    <s v=""/>
    <x v="1"/>
    <d v="2008-09-24T00:00:00"/>
    <d v="2009-07-16T00:00:00"/>
    <m/>
    <m/>
    <m/>
    <m/>
    <m/>
    <n v="2500"/>
    <m/>
    <m/>
    <m/>
    <n v="1"/>
    <s v="RDRT"/>
    <s v="ICRC, Govt"/>
    <n v="1"/>
    <m/>
    <n v="75939"/>
    <s v="OU1-&gt;1, Final report"/>
    <n v="2008"/>
    <n v="162"/>
    <s v=""/>
    <s v=""/>
    <s v=""/>
    <n v="41"/>
    <n v="1"/>
    <n v="4"/>
    <n v="2420"/>
  </r>
  <r>
    <s v="MDR62003"/>
    <n v="438119"/>
    <n v="0.105"/>
    <x v="36"/>
    <s v="Chad"/>
    <s v="A"/>
    <s v="Chad and Cameroon"/>
    <s v="FL-2008-000126-TCD"/>
    <b v="1"/>
    <n v="2"/>
    <s v="4088"/>
    <x v="1"/>
    <d v="2008-09-29T00:00:00"/>
    <d v="2008-12-31T00:00:00"/>
    <m/>
    <m/>
    <m/>
    <n v="13001"/>
    <m/>
    <n v="23030"/>
    <m/>
    <n v="30"/>
    <m/>
    <m/>
    <s v=""/>
    <s v="Govt"/>
    <m/>
    <m/>
    <n v="46402"/>
    <s v="OU1-&gt;1, See also: Cameroon. Other countries affected: Gambia, Liberia, Burkina, Guinea, Senegal, Niger, Guinea Bissau and Central African Republic"/>
    <n v="2008"/>
    <n v="43"/>
    <s v=""/>
    <s v=""/>
    <s v=""/>
    <n v="25"/>
    <n v="1"/>
    <n v="1"/>
    <n v="2312"/>
  </r>
  <r>
    <s v="MDRDZ001"/>
    <n v="809626"/>
    <n v="0.33"/>
    <x v="37"/>
    <s v="Algeria"/>
    <s v="A"/>
    <s v="Floods in Ghardaia province"/>
    <s v="FF-2008-000178-DZA"/>
    <b v="0"/>
    <n v="1"/>
    <s v=""/>
    <x v="1"/>
    <d v="2008-10-17T00:00:00"/>
    <d v="2009-08-02T00:00:00"/>
    <n v="50"/>
    <n v="89"/>
    <m/>
    <n v="59000"/>
    <m/>
    <n v="12000"/>
    <m/>
    <m/>
    <m/>
    <m/>
    <s v=""/>
    <s v="NGOs"/>
    <m/>
    <m/>
    <n v="187166"/>
    <s v="OU1-&gt;1, Final report"/>
    <n v="2008"/>
    <n v="3"/>
    <s v=""/>
    <s v=""/>
    <s v=""/>
    <n v="24"/>
    <n v="5"/>
    <n v="19"/>
    <n v="2351"/>
  </r>
  <r>
    <s v="MDR43004"/>
    <n v="1469778"/>
    <n v="0.83"/>
    <x v="38"/>
    <s v="Honduras"/>
    <s v="A"/>
    <s v="Tropical Depression 16"/>
    <s v="FL-2008-000198-HND"/>
    <b v="1"/>
    <n v="3"/>
    <s v="4186"/>
    <x v="1"/>
    <d v="2008-10-24T00:00:00"/>
    <d v="2009-10-29T00:00:00"/>
    <m/>
    <n v="22"/>
    <n v="5"/>
    <n v="234965"/>
    <n v="44937"/>
    <n v="32000"/>
    <m/>
    <m/>
    <m/>
    <n v="3"/>
    <s v="2 PADRU  1 RIT"/>
    <s v="Govt, COE, WFP, UNDAC, UNICEF"/>
    <m/>
    <m/>
    <n v="271000"/>
    <s v="Final report, OU 1-&gt;Rev-&gt;2, Multiple countries, country entry: See also Guatemala, Nicaragua. Other affected countries: El Salvador, Costa Rica and Belize"/>
    <n v="2008"/>
    <n v="97"/>
    <s v=""/>
    <s v=""/>
    <s v=""/>
    <n v="25"/>
    <n v="2"/>
    <n v="6"/>
    <n v="2382"/>
  </r>
  <r>
    <s v="MDRYE002"/>
    <n v="1997283"/>
    <n v="0.7"/>
    <x v="39"/>
    <s v="Yemen"/>
    <s v="A"/>
    <s v="South eastern and south western"/>
    <s v="FL-2008-000201-YEM"/>
    <b v="0"/>
    <n v="1"/>
    <s v=""/>
    <x v="1"/>
    <d v="2008-10-29T00:00:00"/>
    <d v="2010-03-02T00:00:00"/>
    <n v="61"/>
    <n v="180"/>
    <n v="30"/>
    <m/>
    <n v="25000"/>
    <n v="21000"/>
    <m/>
    <m/>
    <m/>
    <m/>
    <s v=""/>
    <s v="Govt, NGOs, ICRC, MSF, UNICEF, UNDAC, WHO, UNHCR, UNEPRT,  OCHA, WFP, UNDP"/>
    <n v="1"/>
    <m/>
    <n v="270067"/>
    <s v="OU1-&gt;2, Final report"/>
    <n v="2008"/>
    <n v="246"/>
    <s v=""/>
    <s v=""/>
    <s v=""/>
    <n v="24"/>
    <n v="5"/>
    <n v="19"/>
    <n v="2416"/>
  </r>
  <r>
    <s v="MDRMA001"/>
    <n v="1618182"/>
    <n v="0.15"/>
    <x v="40"/>
    <s v="Morocco"/>
    <s v="A"/>
    <s v=""/>
    <s v="FF-2008-000202-MAR"/>
    <b v="1"/>
    <n v="1"/>
    <s v="1613"/>
    <x v="1"/>
    <d v="2008-11-07T00:00:00"/>
    <d v="2009-09-10T00:00:00"/>
    <m/>
    <n v="70"/>
    <m/>
    <n v="20000"/>
    <n v="5000"/>
    <n v="10000"/>
    <n v="40"/>
    <n v="250"/>
    <m/>
    <m/>
    <s v=""/>
    <s v="ICRC"/>
    <m/>
    <m/>
    <m/>
    <s v="OU1-&gt;2, Final report"/>
    <n v="2008"/>
    <n v="150"/>
    <s v=""/>
    <s v=""/>
    <s v=""/>
    <n v="25"/>
    <n v="5"/>
    <n v="19"/>
    <n v="2411"/>
  </r>
  <r>
    <s v="MDRKE007"/>
    <n v="6179532"/>
    <n v="7.0000000000000007E-2"/>
    <x v="41"/>
    <s v="Kenya"/>
    <s v="A"/>
    <s v="Flood in many parts of country"/>
    <s v="FL-2008-000217-KEN"/>
    <b v="1"/>
    <n v="1"/>
    <s v="4144 4218"/>
    <x v="1"/>
    <d v="2008-11-10T00:00:00"/>
    <d v="2009-09-29T00:00:00"/>
    <m/>
    <n v="12"/>
    <m/>
    <n v="120000"/>
    <m/>
    <n v="300000"/>
    <m/>
    <m/>
    <m/>
    <m/>
    <s v=""/>
    <s v=""/>
    <m/>
    <m/>
    <n v="211787"/>
    <s v="Final report"/>
    <n v="2008"/>
    <n v="118"/>
    <s v=""/>
    <s v=""/>
    <s v=""/>
    <n v="25"/>
    <n v="1"/>
    <n v="2"/>
    <n v="2442"/>
  </r>
  <r>
    <s v="MDRVN005"/>
    <n v="4779037"/>
    <n v="0.47"/>
    <x v="42"/>
    <s v="Vietnam"/>
    <s v="A"/>
    <s v="North and Central provinces"/>
    <s v="FF-2008-000211-VNM"/>
    <b v="1"/>
    <n v="1"/>
    <s v="4211 4212 4214"/>
    <x v="1"/>
    <d v="2008-11-12T00:00:00"/>
    <d v="2009-12-23T00:00:00"/>
    <m/>
    <n v="89"/>
    <m/>
    <n v="600000"/>
    <n v="92000"/>
    <n v="293860"/>
    <m/>
    <m/>
    <m/>
    <m/>
    <s v=""/>
    <s v="UN, NGOs, UNICEF, WHO, UNDP, FAO"/>
    <m/>
    <m/>
    <m/>
    <s v="OU 1-&gt;5, Interim final report"/>
    <n v="2008"/>
    <n v="240"/>
    <s v=""/>
    <s v=""/>
    <s v=""/>
    <n v="25"/>
    <n v="3"/>
    <n v="12"/>
    <n v="2419"/>
  </r>
  <r>
    <s v="MDRPK002"/>
    <n v="2500000"/>
    <n v="0.8"/>
    <x v="43"/>
    <s v="Pakistan"/>
    <s v="A"/>
    <s v="South-western Baluchistan Province"/>
    <s v="EQ-2008-000206-PAK"/>
    <b v="1"/>
    <n v="1"/>
    <s v="4205"/>
    <x v="1"/>
    <d v="2008-11-19T00:00:00"/>
    <d v="2009-08-28T00:00:00"/>
    <n v="320"/>
    <n v="166"/>
    <m/>
    <n v="80000"/>
    <m/>
    <n v="40000"/>
    <n v="10"/>
    <n v="58"/>
    <m/>
    <m/>
    <s v=""/>
    <s v="ICRC, IASC, NGOs, UN, WFP"/>
    <m/>
    <m/>
    <m/>
    <s v="OU 1-&gt;3, Final report"/>
    <n v="2008"/>
    <n v="169"/>
    <s v=""/>
    <s v=""/>
    <s v=""/>
    <n v="19"/>
    <n v="3"/>
    <n v="11"/>
    <n v="2439"/>
  </r>
  <r>
    <s v="MDR43005"/>
    <n v="651961"/>
    <n v="1"/>
    <x v="44"/>
    <s v="Costa Rica"/>
    <s v="A"/>
    <s v=""/>
    <s v="FL-2008-000232-CRI"/>
    <b v="1"/>
    <n v="2"/>
    <s v="4276 4274 4275 4276 4281 4283 4285 4296 4300 4301 4303"/>
    <x v="1"/>
    <d v="2008-12-01T00:00:00"/>
    <d v="2011-02-23T00:00:00"/>
    <n v="15"/>
    <n v="13"/>
    <n v="19"/>
    <n v="46600"/>
    <n v="525"/>
    <n v="12500"/>
    <m/>
    <n v="350"/>
    <m/>
    <n v="2"/>
    <s v="PADRU, NIT"/>
    <s v="UN, UNETE, UNDP, UNDAC, NGOs,  UNEP, FAO, UNCT, AECID,  WFP, UNICEF"/>
    <m/>
    <m/>
    <n v="110501"/>
    <s v="OU 1-&gt;3, Final report Multiple Countries: country enrty: See also Panama FL-2008-000158-PAN, See also DREF Costa Rica MDRCR004"/>
    <n v="2008"/>
    <n v="53"/>
    <s v=""/>
    <s v=""/>
    <s v=""/>
    <n v="25"/>
    <n v="2"/>
    <n v="6"/>
    <n v="2444"/>
  </r>
  <r>
    <s v="MDR64004"/>
    <n v="1300299"/>
    <n v="0.64"/>
    <x v="45"/>
    <s v="Uganda"/>
    <s v="A"/>
    <s v="North Kivu Province of DRC"/>
    <s v=""/>
    <b v="1"/>
    <n v="3"/>
    <s v="4213 4277 4289 4297 4278 4233"/>
    <x v="1"/>
    <d v="2008-12-06T00:00:00"/>
    <d v="2010-01-20T00:00:00"/>
    <m/>
    <m/>
    <m/>
    <m/>
    <m/>
    <n v="60000"/>
    <m/>
    <m/>
    <m/>
    <m/>
    <s v=""/>
    <s v="WHO, MSF, UNHCR, ICRC,"/>
    <n v="1"/>
    <m/>
    <n v="211650"/>
    <s v="OU1-&gt;REV, final report, Multiple countries: country entry: Rwanda, Burundi. See also DREF Uganda MDRUG012"/>
    <n v="2008"/>
    <n v="230"/>
    <s v=""/>
    <s v=""/>
    <s v=""/>
    <n v="41"/>
    <n v="1"/>
    <n v="2"/>
    <n v="2447"/>
  </r>
  <r>
    <s v="MDR64003"/>
    <n v="75760326"/>
    <n v="0.17"/>
    <x v="46"/>
    <s v="Djibouti"/>
    <s v="A"/>
    <s v="Horn of Africa: Exceptional food security crisis"/>
    <s v="OT-2008-000196-DJI"/>
    <b v="1"/>
    <n v="30"/>
    <s v="3711 3712 3683"/>
    <x v="1"/>
    <d v="2008-12-11T00:00:00"/>
    <d v="2011-01-31T00:00:00"/>
    <m/>
    <m/>
    <m/>
    <n v="20000000"/>
    <m/>
    <n v="2200000"/>
    <m/>
    <m/>
    <m/>
    <m/>
    <s v=""/>
    <s v="FAO, UN, WFP, WHO, UNICEF, NGOs, OXFAM, SCF, CARE, ICRC, UNDP, OCHA"/>
    <m/>
    <m/>
    <n v="130000"/>
    <s v="OU1-&gt;2 REV-&gt;4, Multiple countries: country entry: See also Kenya, Ethiopia and Somalia MDR64003"/>
    <n v="2008"/>
    <n v="60"/>
    <s v=""/>
    <s v=""/>
    <s v=""/>
    <n v="22"/>
    <n v="1"/>
    <n v="2"/>
    <n v="2472"/>
  </r>
  <r>
    <s v="MDRCO006"/>
    <n v="1110665"/>
    <n v="1"/>
    <x v="47"/>
    <s v="Colombia"/>
    <s v="A"/>
    <s v=""/>
    <s v="FL-2009-000052-COL"/>
    <b v="1"/>
    <n v="1"/>
    <s v="4450 4453 4460 4485 4478"/>
    <x v="1"/>
    <d v="2009-02-19T00:00:00"/>
    <d v="2010-02-24T00:00:00"/>
    <m/>
    <n v="8"/>
    <n v="22"/>
    <n v="31250"/>
    <m/>
    <n v="25000"/>
    <m/>
    <n v="65"/>
    <m/>
    <n v="3"/>
    <s v="PADRU, RIT, NIT"/>
    <s v="Govt, ICRC,  PAHO, OCHA"/>
    <m/>
    <m/>
    <n v="177000"/>
    <s v="OU1-&gt;3, Prelim final report, FInal report"/>
    <n v="2009"/>
    <n v="48"/>
    <s v=""/>
    <s v=""/>
    <s v=""/>
    <n v="25"/>
    <n v="2"/>
    <n v="8"/>
    <n v="2565"/>
  </r>
  <r>
    <s v="MDRNA004"/>
    <n v="2121518"/>
    <n v="0.97"/>
    <x v="48"/>
    <s v="Namibia"/>
    <s v="A"/>
    <s v="North-Western and North-Eastern regions"/>
    <s v="FL-2009-000062-NAM"/>
    <b v="1"/>
    <n v="1"/>
    <s v="4473 4522"/>
    <x v="1"/>
    <d v="2009-03-11T00:00:00"/>
    <d v="2010-05-31T00:00:00"/>
    <m/>
    <n v="92"/>
    <m/>
    <n v="700000"/>
    <n v="54581"/>
    <n v="10000"/>
    <m/>
    <n v="204"/>
    <m/>
    <n v="1"/>
    <s v="RDRT"/>
    <s v="UNICEF, WHO, UNDP, Govt, UNDAC, UNICEF, WHO, UNDP"/>
    <m/>
    <m/>
    <n v="275695"/>
    <s v="OU1-&gt;3, Preleminary final report, Final report"/>
    <n v="2009"/>
    <n v="153"/>
    <s v=""/>
    <s v=""/>
    <s v=""/>
    <n v="25"/>
    <n v="1"/>
    <n v="3"/>
    <n v="2570"/>
  </r>
  <r>
    <s v="MDR61004"/>
    <n v="2432933"/>
    <n v="0.61"/>
    <x v="49"/>
    <s v="Angola"/>
    <s v="A"/>
    <s v="Polio"/>
    <s v=""/>
    <b v="0"/>
    <n v="15"/>
    <s v=""/>
    <x v="1"/>
    <d v="2009-04-07T00:00:00"/>
    <d v="2010-07-01T00:00:00"/>
    <n v="730"/>
    <m/>
    <m/>
    <m/>
    <m/>
    <n v="25000000"/>
    <m/>
    <n v="12640"/>
    <m/>
    <m/>
    <s v=""/>
    <s v="WHO, CDC, UNICEF, MoH"/>
    <m/>
    <m/>
    <n v="517842"/>
    <s v="OU1-&gt;4,Final report, MDR64005 East Africa, MDR63002 Southern Africa"/>
    <n v="2009"/>
    <n v="6"/>
    <s v=""/>
    <s v=""/>
    <s v=""/>
    <n v="20"/>
    <n v="1"/>
    <n v="3"/>
    <n v="2719"/>
  </r>
  <r>
    <s v="MDRTJ005"/>
    <n v="892624"/>
    <n v="0.91"/>
    <x v="50"/>
    <s v="Tajikistan"/>
    <s v="A"/>
    <s v="Khuroson District"/>
    <s v="MS-2009-000083-TJK FL-2009-000095-TJK MS-2009-000099-TJK"/>
    <b v="1"/>
    <n v="1"/>
    <s v="04555 04557 04703"/>
    <x v="1"/>
    <d v="2009-04-22T00:00:00"/>
    <d v="2010-06-23T00:00:00"/>
    <m/>
    <n v="26"/>
    <m/>
    <n v="7930"/>
    <n v="2814"/>
    <n v="4320"/>
    <n v="56"/>
    <n v="28"/>
    <m/>
    <n v="2"/>
    <s v="NDRT, RDRT"/>
    <s v="WFP, WHO, UNICEF, UNDP, UN, NGO"/>
    <m/>
    <m/>
    <n v="292342"/>
    <s v="DREF OU1-&gt;3, Final report"/>
    <n v="2009"/>
    <n v="215"/>
    <s v=""/>
    <s v=""/>
    <s v=""/>
    <n v="28"/>
    <n v="4"/>
    <n v="16"/>
    <n v="2612"/>
  </r>
  <r>
    <s v="MDR00002"/>
    <n v="0"/>
    <n v="0"/>
    <x v="7"/>
    <s v="Mexico"/>
    <s v="A"/>
    <s v="Influenza A (H1N1), response and mitigation"/>
    <s v="EP2009000084AAA"/>
    <b v="1"/>
    <n v="1"/>
    <s v="04561 04563 04568 04610"/>
    <x v="1"/>
    <d v="2009-04-25T00:00:00"/>
    <d v="2009-11-30T00:00:00"/>
    <m/>
    <n v="159"/>
    <m/>
    <n v="6497"/>
    <m/>
    <n v="2000000"/>
    <m/>
    <m/>
    <m/>
    <m/>
    <s v=""/>
    <s v="WHO, UN, UNSIC, NGOs, ICRC, WFP, UNICEF"/>
    <m/>
    <m/>
    <n v="550000"/>
    <s v="Global EA, OU1-&gt;2, 20 countries affected"/>
    <n v="2009"/>
    <n v="143"/>
    <s v=""/>
    <s v=""/>
    <s v=""/>
    <n v="20"/>
    <n v="2"/>
    <n v="7"/>
    <n v="2615"/>
  </r>
  <r>
    <s v="MDRPK003"/>
    <n v="3635713"/>
    <n v="0.98"/>
    <x v="51"/>
    <s v="Pakistan"/>
    <s v="A"/>
    <s v="Humanitarian assistance for IDP"/>
    <s v=""/>
    <b v="1"/>
    <n v="1"/>
    <s v="04596"/>
    <x v="1"/>
    <d v="2009-05-11T00:00:00"/>
    <d v="2010-11-29T00:00:00"/>
    <m/>
    <m/>
    <m/>
    <m/>
    <n v="91000"/>
    <n v="42000"/>
    <m/>
    <n v="93"/>
    <m/>
    <n v="1"/>
    <s v="RDRT"/>
    <s v="UN-OCHA, ICRC, UNHCR, WHO, UNICEF, WFP, ICRC"/>
    <m/>
    <m/>
    <m/>
    <s v="OU1-&gt;3 REV-&gt;OU4-&gt;9 REV-&gt;10, OU11, See also IB01, Interim final, final report"/>
    <n v="2009"/>
    <n v="169"/>
    <s v=""/>
    <s v=""/>
    <s v=""/>
    <n v="41"/>
    <n v="3"/>
    <n v="11"/>
    <n v="2641"/>
  </r>
  <r>
    <s v="MDRTZ009"/>
    <n v="545134"/>
    <n v="0.42"/>
    <x v="52"/>
    <s v="Tanzania"/>
    <s v="A"/>
    <s v="Explosion in Dar es Salaam"/>
    <s v="OT2009000098TZA"/>
    <b v="1"/>
    <n v="1"/>
    <s v="4591"/>
    <x v="1"/>
    <d v="2009-05-11T00:00:00"/>
    <d v="2010-02-02T00:00:00"/>
    <n v="500"/>
    <n v="20"/>
    <m/>
    <m/>
    <n v="1244"/>
    <n v="18866"/>
    <m/>
    <m/>
    <m/>
    <m/>
    <s v=""/>
    <s v="MoH, UNICEF, UNSAID"/>
    <m/>
    <m/>
    <n v="100535"/>
    <s v="Final report"/>
    <n v="2009"/>
    <n v="216"/>
    <s v=""/>
    <s v=""/>
    <s v=""/>
    <n v="30"/>
    <n v="1"/>
    <n v="2"/>
    <n v="2635"/>
  </r>
  <r>
    <s v="MDRBD004"/>
    <n v="1153737"/>
    <n v="0.86"/>
    <x v="53"/>
    <s v="Bangladesh"/>
    <s v="A"/>
    <s v="Aila"/>
    <s v="TC-2009-000105-BGD"/>
    <b v="1"/>
    <n v="1"/>
    <s v="4618 4620 4623 4626 4636 4698"/>
    <x v="1"/>
    <d v="2009-05-26T00:00:00"/>
    <d v="2010-06-30T00:00:00"/>
    <n v="6551"/>
    <n v="190"/>
    <n v="1131"/>
    <n v="3928238"/>
    <m/>
    <n v="150000"/>
    <m/>
    <m/>
    <n v="1"/>
    <m/>
    <s v=""/>
    <s v="ICRC, WHO, NGO, UNICEF, UNDP, WFP"/>
    <m/>
    <m/>
    <n v="253000"/>
    <s v="OU1-&gt;7, IB01-&gt;02, Final report, Multiple countries: See also India, TC-2009-000105-IND"/>
    <n v="2009"/>
    <n v="18"/>
    <s v="Khulna, Barisal, Chittagong"/>
    <s v="Satkhira, Khulna, Bagerhat, Pirojpur, Jhalakathi, Barguna, Patuakhali, Bhola, Lakshmipur, Noakhali, Chittagong, Feni, Cox's Bazar"/>
    <s v=""/>
    <n v="36"/>
    <n v="3"/>
    <n v="11"/>
    <n v="2648"/>
  </r>
  <r>
    <m/>
    <m/>
    <m/>
    <x v="54"/>
    <m/>
    <m/>
    <m/>
    <m/>
    <m/>
    <m/>
    <m/>
    <x v="2"/>
    <m/>
    <m/>
    <m/>
    <m/>
    <m/>
    <m/>
    <m/>
    <m/>
    <m/>
    <m/>
    <m/>
    <m/>
    <m/>
    <m/>
    <m/>
    <m/>
    <m/>
    <m/>
    <m/>
    <m/>
    <m/>
    <m/>
    <m/>
    <m/>
    <m/>
    <m/>
    <m/>
  </r>
  <r>
    <m/>
    <m/>
    <m/>
    <x v="54"/>
    <m/>
    <m/>
    <m/>
    <m/>
    <m/>
    <m/>
    <m/>
    <x v="2"/>
    <m/>
    <m/>
    <m/>
    <m/>
    <m/>
    <m/>
    <m/>
    <m/>
    <m/>
    <m/>
    <m/>
    <m/>
    <m/>
    <m/>
    <m/>
    <m/>
    <m/>
    <m/>
    <m/>
    <m/>
    <m/>
    <m/>
    <m/>
    <m/>
    <m/>
    <m/>
    <m/>
  </r>
  <r>
    <m/>
    <m/>
    <m/>
    <x v="54"/>
    <m/>
    <m/>
    <m/>
    <m/>
    <m/>
    <m/>
    <m/>
    <x v="2"/>
    <m/>
    <m/>
    <m/>
    <m/>
    <m/>
    <m/>
    <m/>
    <m/>
    <m/>
    <m/>
    <m/>
    <m/>
    <m/>
    <m/>
    <m/>
    <m/>
    <m/>
    <m/>
    <m/>
    <m/>
    <m/>
    <m/>
    <m/>
    <m/>
    <m/>
    <m/>
    <m/>
  </r>
  <r>
    <m/>
    <m/>
    <m/>
    <x v="54"/>
    <m/>
    <m/>
    <m/>
    <m/>
    <m/>
    <m/>
    <m/>
    <x v="2"/>
    <m/>
    <m/>
    <m/>
    <m/>
    <m/>
    <m/>
    <m/>
    <m/>
    <m/>
    <m/>
    <m/>
    <m/>
    <m/>
    <m/>
    <m/>
    <m/>
    <m/>
    <m/>
    <m/>
    <m/>
    <m/>
    <m/>
    <m/>
    <m/>
    <m/>
    <m/>
    <m/>
  </r>
  <r>
    <m/>
    <m/>
    <m/>
    <x v="54"/>
    <m/>
    <m/>
    <m/>
    <m/>
    <m/>
    <m/>
    <m/>
    <x v="2"/>
    <m/>
    <m/>
    <m/>
    <m/>
    <m/>
    <m/>
    <m/>
    <m/>
    <m/>
    <m/>
    <m/>
    <m/>
    <m/>
    <m/>
    <m/>
    <m/>
    <m/>
    <m/>
    <m/>
    <m/>
    <m/>
    <m/>
    <m/>
    <m/>
    <m/>
    <m/>
    <m/>
  </r>
  <r>
    <m/>
    <m/>
    <m/>
    <x v="54"/>
    <m/>
    <m/>
    <m/>
    <m/>
    <m/>
    <m/>
    <m/>
    <x v="2"/>
    <m/>
    <m/>
    <m/>
    <m/>
    <m/>
    <m/>
    <m/>
    <m/>
    <m/>
    <m/>
    <m/>
    <m/>
    <m/>
    <m/>
    <m/>
    <m/>
    <m/>
    <m/>
    <m/>
    <m/>
    <m/>
    <m/>
    <m/>
    <m/>
    <m/>
    <m/>
    <m/>
  </r>
  <r>
    <m/>
    <m/>
    <m/>
    <x v="54"/>
    <m/>
    <m/>
    <m/>
    <m/>
    <m/>
    <m/>
    <m/>
    <x v="2"/>
    <m/>
    <m/>
    <m/>
    <m/>
    <m/>
    <m/>
    <m/>
    <m/>
    <m/>
    <m/>
    <m/>
    <m/>
    <m/>
    <m/>
    <m/>
    <m/>
    <m/>
    <m/>
    <m/>
    <m/>
    <m/>
    <m/>
    <m/>
    <m/>
    <m/>
    <m/>
    <m/>
  </r>
  <r>
    <m/>
    <m/>
    <m/>
    <x v="54"/>
    <m/>
    <m/>
    <m/>
    <m/>
    <m/>
    <m/>
    <m/>
    <x v="2"/>
    <m/>
    <m/>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5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4.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55.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56.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57.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58.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59.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60.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pivotTable1.xml><?xml version="1.0" encoding="utf-8"?>
<pivotTableDefinition xmlns="http://schemas.openxmlformats.org/spreadsheetml/2006/main" name="PivotTable3" cacheId="3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H3:K55" firstHeaderRow="1" firstDataRow="2" firstDataCol="1"/>
  <pivotFields count="15">
    <pivotField showAll="0"/>
    <pivotField showAll="0"/>
    <pivotField showAll="0"/>
    <pivotField numFmtId="166" showAll="0"/>
    <pivotField showAll="0"/>
    <pivotField dataField="1" showAll="0" defaultSubtotal="0"/>
    <pivotField showAll="0"/>
    <pivotField showAll="0"/>
    <pivotField axis="axisRow" showAll="0">
      <items count="103">
        <item x="27"/>
        <item x="91"/>
        <item x="83"/>
        <item x="69"/>
        <item x="44"/>
        <item x="86"/>
        <item x="73"/>
        <item x="18"/>
        <item x="68"/>
        <item x="19"/>
        <item x="61"/>
        <item x="57"/>
        <item x="101"/>
        <item x="32"/>
        <item x="76"/>
        <item x="88"/>
        <item x="17"/>
        <item x="39"/>
        <item x="3"/>
        <item x="7"/>
        <item x="42"/>
        <item x="92"/>
        <item x="41"/>
        <item x="51"/>
        <item x="52"/>
        <item x="56"/>
        <item x="30"/>
        <item x="1"/>
        <item x="36"/>
        <item x="24"/>
        <item x="23"/>
        <item x="22"/>
        <item x="29"/>
        <item x="13"/>
        <item x="0"/>
        <item x="28"/>
        <item x="11"/>
        <item x="26"/>
        <item x="14"/>
        <item x="40"/>
        <item x="93"/>
        <item x="90"/>
        <item x="21"/>
        <item x="95"/>
        <item x="82"/>
        <item x="6"/>
        <item x="20"/>
        <item x="8"/>
        <item x="98"/>
        <item x="64"/>
        <item x="54"/>
        <item x="74"/>
        <item x="38"/>
        <item x="5"/>
        <item x="16"/>
        <item x="75"/>
        <item x="50"/>
        <item x="46"/>
        <item x="63"/>
        <item x="85"/>
        <item x="84"/>
        <item x="66"/>
        <item x="96"/>
        <item x="59"/>
        <item x="33"/>
        <item x="87"/>
        <item x="62"/>
        <item x="58"/>
        <item x="25"/>
        <item x="67"/>
        <item x="79"/>
        <item x="35"/>
        <item x="72"/>
        <item x="47"/>
        <item x="34"/>
        <item x="97"/>
        <item x="2"/>
        <item x="94"/>
        <item x="49"/>
        <item x="45"/>
        <item x="78"/>
        <item x="9"/>
        <item x="60"/>
        <item x="71"/>
        <item x="43"/>
        <item x="77"/>
        <item x="89"/>
        <item x="53"/>
        <item x="4"/>
        <item x="37"/>
        <item x="55"/>
        <item x="100"/>
        <item x="99"/>
        <item x="10"/>
        <item x="12"/>
        <item x="65"/>
        <item x="80"/>
        <item x="70"/>
        <item x="48"/>
        <item x="81"/>
        <item x="15"/>
        <item x="31"/>
        <item t="default"/>
      </items>
    </pivotField>
    <pivotField showAll="0"/>
    <pivotField showAll="0"/>
    <pivotField numFmtId="14" showAll="0"/>
    <pivotField showAll="0"/>
    <pivotField axis="axisCol" multipleItemSelectionAllowed="1" showAll="0">
      <items count="6">
        <item h="1" x="0"/>
        <item h="1" x="1"/>
        <item x="2"/>
        <item x="3"/>
        <item h="1" x="4"/>
        <item t="default"/>
      </items>
    </pivotField>
    <pivotField showAll="0"/>
  </pivotFields>
  <rowFields count="1">
    <field x="8"/>
  </rowFields>
  <rowItems count="51">
    <i>
      <x v="2"/>
    </i>
    <i>
      <x v="3"/>
    </i>
    <i>
      <x v="4"/>
    </i>
    <i>
      <x v="5"/>
    </i>
    <i>
      <x v="6"/>
    </i>
    <i>
      <x v="8"/>
    </i>
    <i>
      <x v="10"/>
    </i>
    <i>
      <x v="11"/>
    </i>
    <i>
      <x v="13"/>
    </i>
    <i>
      <x v="14"/>
    </i>
    <i>
      <x v="15"/>
    </i>
    <i>
      <x v="20"/>
    </i>
    <i>
      <x v="22"/>
    </i>
    <i>
      <x v="23"/>
    </i>
    <i>
      <x v="24"/>
    </i>
    <i>
      <x v="25"/>
    </i>
    <i>
      <x v="39"/>
    </i>
    <i>
      <x v="44"/>
    </i>
    <i>
      <x v="49"/>
    </i>
    <i>
      <x v="50"/>
    </i>
    <i>
      <x v="51"/>
    </i>
    <i>
      <x v="55"/>
    </i>
    <i>
      <x v="56"/>
    </i>
    <i>
      <x v="57"/>
    </i>
    <i>
      <x v="58"/>
    </i>
    <i>
      <x v="59"/>
    </i>
    <i>
      <x v="60"/>
    </i>
    <i>
      <x v="61"/>
    </i>
    <i>
      <x v="63"/>
    </i>
    <i>
      <x v="65"/>
    </i>
    <i>
      <x v="66"/>
    </i>
    <i>
      <x v="67"/>
    </i>
    <i>
      <x v="69"/>
    </i>
    <i>
      <x v="70"/>
    </i>
    <i>
      <x v="72"/>
    </i>
    <i>
      <x v="73"/>
    </i>
    <i>
      <x v="78"/>
    </i>
    <i>
      <x v="79"/>
    </i>
    <i>
      <x v="80"/>
    </i>
    <i>
      <x v="82"/>
    </i>
    <i>
      <x v="83"/>
    </i>
    <i>
      <x v="84"/>
    </i>
    <i>
      <x v="85"/>
    </i>
    <i>
      <x v="87"/>
    </i>
    <i>
      <x v="90"/>
    </i>
    <i>
      <x v="95"/>
    </i>
    <i>
      <x v="96"/>
    </i>
    <i>
      <x v="97"/>
    </i>
    <i>
      <x v="98"/>
    </i>
    <i>
      <x v="99"/>
    </i>
    <i t="grand">
      <x/>
    </i>
  </rowItems>
  <colFields count="1">
    <field x="13"/>
  </colFields>
  <colItems count="3">
    <i>
      <x v="2"/>
    </i>
    <i>
      <x v="3"/>
    </i>
    <i t="grand">
      <x/>
    </i>
  </colItems>
  <dataFields count="1">
    <dataField name="Sum of Total Coverage USD" fld="5" baseField="8" baseItem="14"/>
  </dataFields>
  <formats count="5">
    <format dxfId="199">
      <pivotArea outline="0" collapsedLevelsAreSubtotals="1" fieldPosition="0"/>
    </format>
    <format dxfId="198">
      <pivotArea field="13" type="button" dataOnly="0" labelOnly="1" outline="0" axis="axisCol" fieldPosition="0"/>
    </format>
    <format dxfId="197">
      <pivotArea type="topRight" dataOnly="0" labelOnly="1" outline="0" fieldPosition="0"/>
    </format>
    <format dxfId="196">
      <pivotArea dataOnly="0" labelOnly="1" fieldPosition="0">
        <references count="1">
          <reference field="13" count="0"/>
        </references>
      </pivotArea>
    </format>
    <format dxfId="195">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3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D55" firstHeaderRow="1" firstDataRow="2" firstDataCol="1"/>
  <pivotFields count="15">
    <pivotField showAll="0"/>
    <pivotField showAll="0"/>
    <pivotField showAll="0"/>
    <pivotField dataField="1" numFmtId="166" showAll="0"/>
    <pivotField showAll="0"/>
    <pivotField showAll="0" defaultSubtotal="0"/>
    <pivotField showAll="0"/>
    <pivotField showAll="0"/>
    <pivotField axis="axisRow" showAll="0">
      <items count="103">
        <item x="27"/>
        <item x="91"/>
        <item x="83"/>
        <item x="69"/>
        <item x="44"/>
        <item x="86"/>
        <item x="73"/>
        <item x="18"/>
        <item x="68"/>
        <item x="19"/>
        <item x="61"/>
        <item x="57"/>
        <item x="101"/>
        <item x="32"/>
        <item x="76"/>
        <item x="88"/>
        <item x="17"/>
        <item x="39"/>
        <item x="3"/>
        <item x="7"/>
        <item x="42"/>
        <item x="92"/>
        <item x="41"/>
        <item x="51"/>
        <item x="52"/>
        <item x="56"/>
        <item x="30"/>
        <item x="1"/>
        <item x="36"/>
        <item x="24"/>
        <item x="23"/>
        <item x="22"/>
        <item x="29"/>
        <item x="13"/>
        <item x="0"/>
        <item x="28"/>
        <item x="11"/>
        <item x="26"/>
        <item x="14"/>
        <item x="40"/>
        <item x="93"/>
        <item x="90"/>
        <item x="21"/>
        <item x="95"/>
        <item x="82"/>
        <item x="6"/>
        <item x="20"/>
        <item x="8"/>
        <item x="98"/>
        <item x="64"/>
        <item x="54"/>
        <item x="74"/>
        <item x="38"/>
        <item x="5"/>
        <item x="16"/>
        <item x="75"/>
        <item x="50"/>
        <item x="46"/>
        <item x="63"/>
        <item x="85"/>
        <item x="84"/>
        <item x="66"/>
        <item x="96"/>
        <item x="59"/>
        <item x="33"/>
        <item x="87"/>
        <item x="62"/>
        <item x="58"/>
        <item x="25"/>
        <item x="67"/>
        <item x="79"/>
        <item x="35"/>
        <item x="72"/>
        <item x="47"/>
        <item x="34"/>
        <item x="97"/>
        <item x="2"/>
        <item x="94"/>
        <item x="49"/>
        <item x="45"/>
        <item x="78"/>
        <item x="9"/>
        <item x="60"/>
        <item x="71"/>
        <item x="43"/>
        <item x="77"/>
        <item x="89"/>
        <item x="53"/>
        <item x="4"/>
        <item x="37"/>
        <item x="55"/>
        <item x="100"/>
        <item x="99"/>
        <item x="10"/>
        <item x="12"/>
        <item x="65"/>
        <item x="80"/>
        <item x="70"/>
        <item x="48"/>
        <item x="81"/>
        <item x="15"/>
        <item x="31"/>
        <item t="default"/>
      </items>
    </pivotField>
    <pivotField showAll="0"/>
    <pivotField showAll="0"/>
    <pivotField numFmtId="14" showAll="0"/>
    <pivotField showAll="0"/>
    <pivotField axis="axisCol" multipleItemSelectionAllowed="1" showAll="0">
      <items count="6">
        <item h="1" x="0"/>
        <item h="1" x="1"/>
        <item x="2"/>
        <item x="3"/>
        <item h="1" x="4"/>
        <item t="default"/>
      </items>
    </pivotField>
    <pivotField showAll="0"/>
  </pivotFields>
  <rowFields count="1">
    <field x="8"/>
  </rowFields>
  <rowItems count="51">
    <i>
      <x v="2"/>
    </i>
    <i>
      <x v="3"/>
    </i>
    <i>
      <x v="4"/>
    </i>
    <i>
      <x v="5"/>
    </i>
    <i>
      <x v="6"/>
    </i>
    <i>
      <x v="8"/>
    </i>
    <i>
      <x v="10"/>
    </i>
    <i>
      <x v="11"/>
    </i>
    <i>
      <x v="13"/>
    </i>
    <i>
      <x v="14"/>
    </i>
    <i>
      <x v="15"/>
    </i>
    <i>
      <x v="20"/>
    </i>
    <i>
      <x v="22"/>
    </i>
    <i>
      <x v="23"/>
    </i>
    <i>
      <x v="24"/>
    </i>
    <i>
      <x v="25"/>
    </i>
    <i>
      <x v="39"/>
    </i>
    <i>
      <x v="44"/>
    </i>
    <i>
      <x v="49"/>
    </i>
    <i>
      <x v="50"/>
    </i>
    <i>
      <x v="51"/>
    </i>
    <i>
      <x v="55"/>
    </i>
    <i>
      <x v="56"/>
    </i>
    <i>
      <x v="57"/>
    </i>
    <i>
      <x v="58"/>
    </i>
    <i>
      <x v="59"/>
    </i>
    <i>
      <x v="60"/>
    </i>
    <i>
      <x v="61"/>
    </i>
    <i>
      <x v="63"/>
    </i>
    <i>
      <x v="65"/>
    </i>
    <i>
      <x v="66"/>
    </i>
    <i>
      <x v="67"/>
    </i>
    <i>
      <x v="69"/>
    </i>
    <i>
      <x v="70"/>
    </i>
    <i>
      <x v="72"/>
    </i>
    <i>
      <x v="73"/>
    </i>
    <i>
      <x v="78"/>
    </i>
    <i>
      <x v="79"/>
    </i>
    <i>
      <x v="80"/>
    </i>
    <i>
      <x v="82"/>
    </i>
    <i>
      <x v="83"/>
    </i>
    <i>
      <x v="84"/>
    </i>
    <i>
      <x v="85"/>
    </i>
    <i>
      <x v="87"/>
    </i>
    <i>
      <x v="90"/>
    </i>
    <i>
      <x v="95"/>
    </i>
    <i>
      <x v="96"/>
    </i>
    <i>
      <x v="97"/>
    </i>
    <i>
      <x v="98"/>
    </i>
    <i>
      <x v="99"/>
    </i>
    <i t="grand">
      <x/>
    </i>
  </rowItems>
  <colFields count="1">
    <field x="13"/>
  </colFields>
  <colItems count="3">
    <i>
      <x v="2"/>
    </i>
    <i>
      <x v="3"/>
    </i>
    <i t="grand">
      <x/>
    </i>
  </colItems>
  <dataFields count="1">
    <dataField name="Sum of Value USD" fld="3" baseField="0" baseItem="0" numFmtId="166"/>
  </dataFields>
  <formats count="5">
    <format dxfId="204">
      <pivotArea outline="0" collapsedLevelsAreSubtotals="1" fieldPosition="0"/>
    </format>
    <format dxfId="203">
      <pivotArea field="13" type="button" dataOnly="0" labelOnly="1" outline="0" axis="axisCol" fieldPosition="0"/>
    </format>
    <format dxfId="202">
      <pivotArea type="topRight" dataOnly="0" labelOnly="1" outline="0" fieldPosition="0"/>
    </format>
    <format dxfId="201">
      <pivotArea dataOnly="0" labelOnly="1" fieldPosition="0">
        <references count="1">
          <reference field="13" count="0"/>
        </references>
      </pivotArea>
    </format>
    <format dxfId="20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6" cacheId="34"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71:E73" firstHeaderRow="1" firstDataRow="2" firstDataCol="1"/>
  <pivotFields count="39">
    <pivotField showAll="0"/>
    <pivotField showAll="0"/>
    <pivotField showAll="0" defaultSubtotal="0"/>
    <pivotField dataField="1" showAll="0" defaultSubtotal="0">
      <items count="55">
        <item x="7"/>
        <item x="35"/>
        <item x="36"/>
        <item x="27"/>
        <item x="52"/>
        <item x="40"/>
        <item x="37"/>
        <item x="41"/>
        <item x="18"/>
        <item x="15"/>
        <item x="44"/>
        <item x="20"/>
        <item x="8"/>
        <item x="50"/>
        <item x="45"/>
        <item x="24"/>
        <item x="53"/>
        <item x="47"/>
        <item x="28"/>
        <item x="38"/>
        <item x="29"/>
        <item x="9"/>
        <item x="39"/>
        <item x="19"/>
        <item x="49"/>
        <item x="33"/>
        <item x="13"/>
        <item x="12"/>
        <item x="43"/>
        <item x="48"/>
        <item x="42"/>
        <item x="2"/>
        <item x="0"/>
        <item x="11"/>
        <item x="17"/>
        <item x="32"/>
        <item x="5"/>
        <item x="51"/>
        <item x="10"/>
        <item x="26"/>
        <item x="3"/>
        <item x="16"/>
        <item x="1"/>
        <item x="22"/>
        <item x="4"/>
        <item x="25"/>
        <item x="31"/>
        <item x="34"/>
        <item x="6"/>
        <item x="46"/>
        <item x="30"/>
        <item x="14"/>
        <item x="21"/>
        <item x="23"/>
        <item x="54"/>
      </items>
    </pivotField>
    <pivotField showAll="0"/>
    <pivotField showAll="0"/>
    <pivotField showAll="0"/>
    <pivotField showAll="0"/>
    <pivotField showAll="0"/>
    <pivotField showAll="0"/>
    <pivotField showAll="0"/>
    <pivotField axis="axisCol"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11"/>
  </colFields>
  <colItems count="4">
    <i>
      <x/>
    </i>
    <i>
      <x v="1"/>
    </i>
    <i>
      <x v="2"/>
    </i>
    <i t="grand">
      <x/>
    </i>
  </colItems>
  <dataFields count="1">
    <dataField name="Sum of Total Coverage CHF" fld="3" baseField="11" baseItem="1"/>
  </dataFields>
  <formats count="6">
    <format dxfId="210">
      <pivotArea outline="0" collapsedLevelsAreSubtotals="1" fieldPosition="0"/>
    </format>
    <format dxfId="209">
      <pivotArea field="11" type="button" dataOnly="0" labelOnly="1" outline="0" axis="axisCol" fieldPosition="0"/>
    </format>
    <format dxfId="208">
      <pivotArea type="topRight" dataOnly="0" labelOnly="1" outline="0" fieldPosition="0"/>
    </format>
    <format dxfId="207">
      <pivotArea dataOnly="0" labelOnly="1" fieldPosition="0">
        <references count="1">
          <reference field="11" count="0"/>
        </references>
      </pivotArea>
    </format>
    <format dxfId="206">
      <pivotArea dataOnly="0" labelOnly="1" grandCol="1" outline="0" fieldPosition="0"/>
    </format>
    <format dxfId="205">
      <pivotArea dataOnly="0" labelOnly="1" fieldPosition="0">
        <references count="1">
          <reference field="11"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33" dataOnRows="1" applyNumberFormats="0" applyBorderFormats="0" applyFontFormats="0" applyPatternFormats="0" applyAlignmentFormats="0" applyWidthHeightFormats="1" dataCaption="Values" updatedVersion="4" minRefreshableVersion="3" showCalcMbrs="0" useAutoFormatting="1" itemPrintTitles="1" createdVersion="3" indent="0" outline="1" outlineData="1" multipleFieldFilters="0">
  <location ref="G64:L66" firstHeaderRow="1" firstDataRow="2" firstDataCol="1" rowPageCount="2" colPageCount="1"/>
  <pivotFields count="79">
    <pivotField showAll="0"/>
    <pivotField showAll="0"/>
    <pivotField showAll="0">
      <items count="259">
        <item x="60"/>
        <item x="79"/>
        <item x="216"/>
        <item x="76"/>
        <item x="114"/>
        <item x="154"/>
        <item x="24"/>
        <item x="108"/>
        <item x="1"/>
        <item x="98"/>
        <item x="214"/>
        <item x="93"/>
        <item x="39"/>
        <item x="40"/>
        <item x="13"/>
        <item x="4"/>
        <item x="218"/>
        <item x="183"/>
        <item x="19"/>
        <item x="243"/>
        <item x="68"/>
        <item x="34"/>
        <item x="69"/>
        <item x="48"/>
        <item x="87"/>
        <item x="53"/>
        <item x="29"/>
        <item x="11"/>
        <item x="75"/>
        <item x="132"/>
        <item x="50"/>
        <item x="112"/>
        <item x="242"/>
        <item x="203"/>
        <item x="202"/>
        <item x="127"/>
        <item x="205"/>
        <item x="124"/>
        <item x="233"/>
        <item x="195"/>
        <item x="104"/>
        <item x="109"/>
        <item x="8"/>
        <item x="192"/>
        <item x="186"/>
        <item x="44"/>
        <item x="157"/>
        <item x="170"/>
        <item x="145"/>
        <item x="244"/>
        <item x="213"/>
        <item x="7"/>
        <item x="204"/>
        <item x="72"/>
        <item x="90"/>
        <item x="22"/>
        <item x="113"/>
        <item x="116"/>
        <item x="251"/>
        <item x="77"/>
        <item x="150"/>
        <item x="188"/>
        <item x="160"/>
        <item x="59"/>
        <item x="55"/>
        <item x="43"/>
        <item x="230"/>
        <item x="141"/>
        <item x="5"/>
        <item x="161"/>
        <item x="193"/>
        <item x="85"/>
        <item x="211"/>
        <item x="212"/>
        <item x="200"/>
        <item x="89"/>
        <item x="12"/>
        <item x="176"/>
        <item x="25"/>
        <item x="58"/>
        <item x="187"/>
        <item x="131"/>
        <item x="239"/>
        <item x="231"/>
        <item x="120"/>
        <item x="201"/>
        <item x="56"/>
        <item x="70"/>
        <item x="110"/>
        <item x="250"/>
        <item x="208"/>
        <item x="92"/>
        <item x="175"/>
        <item x="134"/>
        <item x="135"/>
        <item x="133"/>
        <item x="177"/>
        <item x="137"/>
        <item x="3"/>
        <item x="139"/>
        <item x="140"/>
        <item x="142"/>
        <item x="143"/>
        <item x="45"/>
        <item x="33"/>
        <item x="20"/>
        <item x="178"/>
        <item x="32"/>
        <item x="97"/>
        <item x="129"/>
        <item x="241"/>
        <item x="158"/>
        <item x="63"/>
        <item x="117"/>
        <item x="105"/>
        <item x="151"/>
        <item x="35"/>
        <item x="96"/>
        <item x="122"/>
        <item x="73"/>
        <item x="248"/>
        <item x="15"/>
        <item x="224"/>
        <item x="36"/>
        <item x="229"/>
        <item x="185"/>
        <item x="101"/>
        <item x="81"/>
        <item x="237"/>
        <item x="100"/>
        <item x="115"/>
        <item x="52"/>
        <item x="189"/>
        <item x="168"/>
        <item x="31"/>
        <item x="121"/>
        <item x="47"/>
        <item x="82"/>
        <item x="130"/>
        <item x="171"/>
        <item x="256"/>
        <item x="0"/>
        <item x="6"/>
        <item x="16"/>
        <item x="223"/>
        <item x="67"/>
        <item x="66"/>
        <item x="159"/>
        <item x="199"/>
        <item x="234"/>
        <item x="46"/>
        <item x="191"/>
        <item x="215"/>
        <item x="235"/>
        <item x="174"/>
        <item x="246"/>
        <item x="83"/>
        <item x="57"/>
        <item x="71"/>
        <item x="10"/>
        <item x="78"/>
        <item x="245"/>
        <item x="119"/>
        <item x="206"/>
        <item x="61"/>
        <item x="172"/>
        <item x="138"/>
        <item x="252"/>
        <item x="217"/>
        <item x="238"/>
        <item x="37"/>
        <item x="207"/>
        <item x="118"/>
        <item x="80"/>
        <item x="184"/>
        <item x="247"/>
        <item x="94"/>
        <item x="123"/>
        <item x="54"/>
        <item x="49"/>
        <item x="86"/>
        <item x="196"/>
        <item x="153"/>
        <item x="240"/>
        <item x="255"/>
        <item x="163"/>
        <item x="88"/>
        <item x="17"/>
        <item x="51"/>
        <item x="2"/>
        <item x="136"/>
        <item x="228"/>
        <item x="91"/>
        <item x="102"/>
        <item x="169"/>
        <item x="165"/>
        <item x="155"/>
        <item x="166"/>
        <item x="194"/>
        <item x="42"/>
        <item x="28"/>
        <item x="95"/>
        <item x="103"/>
        <item x="225"/>
        <item x="226"/>
        <item x="190"/>
        <item x="146"/>
        <item x="147"/>
        <item x="149"/>
        <item x="148"/>
        <item x="156"/>
        <item x="167"/>
        <item x="111"/>
        <item x="41"/>
        <item x="128"/>
        <item x="23"/>
        <item x="26"/>
        <item x="125"/>
        <item x="162"/>
        <item x="198"/>
        <item x="106"/>
        <item x="220"/>
        <item x="84"/>
        <item x="14"/>
        <item x="126"/>
        <item x="38"/>
        <item x="219"/>
        <item x="232"/>
        <item x="254"/>
        <item x="18"/>
        <item x="152"/>
        <item x="180"/>
        <item x="236"/>
        <item x="181"/>
        <item x="253"/>
        <item x="107"/>
        <item x="9"/>
        <item x="64"/>
        <item x="179"/>
        <item x="209"/>
        <item x="173"/>
        <item x="65"/>
        <item x="74"/>
        <item x="62"/>
        <item x="27"/>
        <item x="21"/>
        <item x="99"/>
        <item x="144"/>
        <item x="182"/>
        <item x="164"/>
        <item x="221"/>
        <item x="222"/>
        <item x="249"/>
        <item x="227"/>
        <item x="197"/>
        <item x="210"/>
        <item x="30"/>
        <item x="257"/>
        <item t="default"/>
      </items>
    </pivotField>
    <pivotField showAll="0"/>
    <pivotField axis="axisCol" multipleItemSelectionAllowed="1" showAll="0">
      <items count="19">
        <item h="1" x="0"/>
        <item h="1" x="1"/>
        <item h="1" x="2"/>
        <item h="1" x="3"/>
        <item h="1" x="4"/>
        <item h="1" x="5"/>
        <item h="1" x="6"/>
        <item h="1" x="7"/>
        <item h="1" x="8"/>
        <item h="1" x="9"/>
        <item h="1" x="10"/>
        <item h="1" x="11"/>
        <item x="12"/>
        <item x="13"/>
        <item x="14"/>
        <item x="15"/>
        <item h="1" x="16"/>
        <item h="1" x="17"/>
        <item t="default"/>
      </items>
    </pivotField>
    <pivotField showAll="0"/>
    <pivotField showAll="0"/>
    <pivotField showAll="0"/>
    <pivotField showAll="0"/>
    <pivotField showAll="0"/>
    <pivotField showAll="0"/>
    <pivotField showAll="0"/>
    <pivotField showAll="0"/>
    <pivotField showAll="0"/>
    <pivotField showAll="0"/>
    <pivotField showAll="0"/>
    <pivotField axis="axisPage" showAll="0">
      <items count="4">
        <item x="2"/>
        <item x="1"/>
        <item x="0"/>
        <item t="default"/>
      </items>
    </pivotField>
    <pivotField showAll="0"/>
    <pivotField showAll="0" defaultSubtotal="0"/>
    <pivotField showAll="0" defaultSubtotal="0"/>
    <pivotField showAll="0"/>
    <pivotField showAll="0"/>
    <pivotField showAll="0" defaultSubtotal="0"/>
    <pivotField showAll="0" defaultSubtotal="0"/>
    <pivotField showAll="0"/>
    <pivotField showAll="0"/>
    <pivotField showAll="0"/>
    <pivotField showAll="0"/>
    <pivotField showAll="0"/>
    <pivotField axis="axisPage" showAll="0">
      <items count="5">
        <item x="2"/>
        <item x="1"/>
        <item m="1" x="3"/>
        <item x="0"/>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4"/>
  </colFields>
  <colItems count="5">
    <i>
      <x v="12"/>
    </i>
    <i>
      <x v="13"/>
    </i>
    <i>
      <x v="14"/>
    </i>
    <i>
      <x v="15"/>
    </i>
    <i t="grand">
      <x/>
    </i>
  </colItems>
  <pageFields count="2">
    <pageField fld="16" item="1" hier="-1"/>
    <pageField fld="29" item="1" hier="-1"/>
  </pageFields>
  <dataFields count="1">
    <dataField name="Sum of Total Cash" fld="34" baseField="0" baseItem="0" numFmtId="166"/>
  </dataFields>
  <formats count="2">
    <format dxfId="212">
      <pivotArea dataOnly="0" labelOnly="1" outline="0" axis="axisValues" fieldPosition="0"/>
    </format>
    <format dxfId="211">
      <pivotArea outline="0" collapsedLevelsAreSubtotals="1" fieldPosition="0"/>
    </format>
  </formats>
  <pivotTableStyleInfo name="PivotStyleLight16" showRowHeaders="1" showColHeaders="1" showRowStripes="0" showColStripes="0" showLastColumn="1"/>
</pivotTableDefinition>
</file>

<file path=xl/pivotTables/pivotTable5.xml><?xml version="1.0" encoding="utf-8"?>
<pivotTableDefinition xmlns="http://schemas.openxmlformats.org/spreadsheetml/2006/main" name="PivotTable1" cacheId="34"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61:E63" firstHeaderRow="1" firstDataRow="2" firstDataCol="1"/>
  <pivotFields count="39">
    <pivotField showAll="0"/>
    <pivotField dataField="1" showAll="0"/>
    <pivotField showAll="0" defaultSubtotal="0"/>
    <pivotField showAll="0" defaultSubtotal="0"/>
    <pivotField showAll="0"/>
    <pivotField showAll="0"/>
    <pivotField showAll="0"/>
    <pivotField showAll="0"/>
    <pivotField showAll="0"/>
    <pivotField showAll="0"/>
    <pivotField showAll="0"/>
    <pivotField axis="axisCol"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11"/>
  </colFields>
  <colItems count="4">
    <i>
      <x/>
    </i>
    <i>
      <x v="1"/>
    </i>
    <i>
      <x v="2"/>
    </i>
    <i t="grand">
      <x/>
    </i>
  </colItems>
  <dataFields count="1">
    <dataField name="Sum of Appeal: Emergency Appeal launched" fld="1" baseField="8" baseItem="0" numFmtId="166"/>
  </dataFields>
  <formats count="6">
    <format dxfId="218">
      <pivotArea outline="0" collapsedLevelsAreSubtotals="1" fieldPosition="0"/>
    </format>
    <format dxfId="217">
      <pivotArea field="11" type="button" dataOnly="0" labelOnly="1" outline="0" axis="axisCol" fieldPosition="0"/>
    </format>
    <format dxfId="216">
      <pivotArea type="topRight" dataOnly="0" labelOnly="1" outline="0" fieldPosition="0"/>
    </format>
    <format dxfId="215">
      <pivotArea dataOnly="0" labelOnly="1" fieldPosition="0">
        <references count="1">
          <reference field="11" count="0"/>
        </references>
      </pivotArea>
    </format>
    <format dxfId="214">
      <pivotArea dataOnly="0" labelOnly="1" grandCol="1" outline="0" fieldPosition="0"/>
    </format>
    <format dxfId="213">
      <pivotArea dataOnly="0" labelOnly="1" fieldPosition="0">
        <references count="1">
          <reference field="11"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3" cacheId="33" dataOnRows="1" applyNumberFormats="0" applyBorderFormats="0" applyFontFormats="0" applyPatternFormats="0" applyAlignmentFormats="0" applyWidthHeightFormats="1" dataCaption="Values" updatedVersion="4" minRefreshableVersion="3" showCalcMbrs="0" useAutoFormatting="1" itemPrintTitles="1" createdVersion="3" indent="0" outline="1" outlineData="1" multipleFieldFilters="0">
  <location ref="A8:F62" firstHeaderRow="1" firstDataRow="2" firstDataCol="1" rowPageCount="2" colPageCount="1"/>
  <pivotFields count="79">
    <pivotField showAll="0"/>
    <pivotField showAll="0"/>
    <pivotField axis="axisRow" showAll="0">
      <items count="259">
        <item x="60"/>
        <item x="79"/>
        <item x="216"/>
        <item x="76"/>
        <item x="114"/>
        <item x="154"/>
        <item x="24"/>
        <item x="108"/>
        <item x="1"/>
        <item x="98"/>
        <item x="214"/>
        <item x="93"/>
        <item x="39"/>
        <item x="40"/>
        <item x="13"/>
        <item x="4"/>
        <item x="218"/>
        <item x="183"/>
        <item x="19"/>
        <item x="243"/>
        <item x="68"/>
        <item x="34"/>
        <item x="69"/>
        <item x="48"/>
        <item x="87"/>
        <item x="53"/>
        <item x="29"/>
        <item x="11"/>
        <item x="75"/>
        <item x="132"/>
        <item x="50"/>
        <item x="112"/>
        <item x="242"/>
        <item x="203"/>
        <item x="202"/>
        <item x="127"/>
        <item x="205"/>
        <item x="124"/>
        <item x="233"/>
        <item x="195"/>
        <item x="104"/>
        <item x="109"/>
        <item x="8"/>
        <item x="192"/>
        <item x="186"/>
        <item x="44"/>
        <item x="157"/>
        <item x="170"/>
        <item x="145"/>
        <item x="244"/>
        <item x="213"/>
        <item x="7"/>
        <item x="204"/>
        <item x="72"/>
        <item x="90"/>
        <item x="22"/>
        <item x="113"/>
        <item x="116"/>
        <item x="251"/>
        <item x="77"/>
        <item x="150"/>
        <item x="188"/>
        <item x="160"/>
        <item x="59"/>
        <item x="55"/>
        <item x="43"/>
        <item x="230"/>
        <item x="141"/>
        <item x="5"/>
        <item x="161"/>
        <item x="193"/>
        <item x="85"/>
        <item x="211"/>
        <item x="212"/>
        <item x="200"/>
        <item x="89"/>
        <item x="12"/>
        <item x="176"/>
        <item x="25"/>
        <item x="58"/>
        <item x="187"/>
        <item x="131"/>
        <item x="239"/>
        <item x="231"/>
        <item x="120"/>
        <item x="201"/>
        <item x="56"/>
        <item x="70"/>
        <item x="110"/>
        <item x="250"/>
        <item x="208"/>
        <item x="92"/>
        <item x="175"/>
        <item x="134"/>
        <item x="135"/>
        <item x="133"/>
        <item x="177"/>
        <item x="137"/>
        <item x="3"/>
        <item x="139"/>
        <item x="140"/>
        <item x="142"/>
        <item x="143"/>
        <item x="45"/>
        <item x="33"/>
        <item x="20"/>
        <item x="178"/>
        <item x="32"/>
        <item x="97"/>
        <item x="129"/>
        <item x="241"/>
        <item x="158"/>
        <item x="63"/>
        <item x="117"/>
        <item x="105"/>
        <item x="151"/>
        <item x="35"/>
        <item x="96"/>
        <item x="122"/>
        <item x="73"/>
        <item x="248"/>
        <item x="15"/>
        <item x="224"/>
        <item x="36"/>
        <item x="229"/>
        <item x="185"/>
        <item x="101"/>
        <item x="81"/>
        <item x="237"/>
        <item x="100"/>
        <item x="115"/>
        <item x="52"/>
        <item x="189"/>
        <item x="168"/>
        <item x="31"/>
        <item x="121"/>
        <item x="47"/>
        <item x="82"/>
        <item x="130"/>
        <item x="171"/>
        <item x="256"/>
        <item x="0"/>
        <item x="6"/>
        <item x="16"/>
        <item x="223"/>
        <item x="67"/>
        <item x="66"/>
        <item x="159"/>
        <item x="199"/>
        <item x="234"/>
        <item x="46"/>
        <item x="191"/>
        <item x="215"/>
        <item x="235"/>
        <item x="174"/>
        <item x="246"/>
        <item x="83"/>
        <item x="57"/>
        <item x="71"/>
        <item x="10"/>
        <item x="78"/>
        <item x="245"/>
        <item x="119"/>
        <item x="206"/>
        <item x="61"/>
        <item x="172"/>
        <item x="138"/>
        <item x="252"/>
        <item x="217"/>
        <item x="238"/>
        <item x="37"/>
        <item x="207"/>
        <item x="118"/>
        <item x="80"/>
        <item x="184"/>
        <item x="247"/>
        <item x="94"/>
        <item x="123"/>
        <item x="54"/>
        <item x="49"/>
        <item x="86"/>
        <item x="196"/>
        <item x="153"/>
        <item x="240"/>
        <item x="255"/>
        <item x="163"/>
        <item x="88"/>
        <item x="17"/>
        <item x="51"/>
        <item x="2"/>
        <item x="136"/>
        <item x="228"/>
        <item x="91"/>
        <item x="102"/>
        <item x="169"/>
        <item x="165"/>
        <item x="155"/>
        <item x="166"/>
        <item x="194"/>
        <item x="42"/>
        <item x="28"/>
        <item x="95"/>
        <item x="103"/>
        <item x="225"/>
        <item x="226"/>
        <item x="190"/>
        <item x="146"/>
        <item x="147"/>
        <item x="149"/>
        <item x="148"/>
        <item x="156"/>
        <item x="167"/>
        <item x="111"/>
        <item x="41"/>
        <item x="128"/>
        <item x="23"/>
        <item x="26"/>
        <item x="125"/>
        <item x="162"/>
        <item x="198"/>
        <item x="106"/>
        <item x="220"/>
        <item x="84"/>
        <item x="14"/>
        <item x="126"/>
        <item x="38"/>
        <item x="219"/>
        <item x="232"/>
        <item x="254"/>
        <item x="18"/>
        <item x="152"/>
        <item x="180"/>
        <item x="236"/>
        <item x="181"/>
        <item x="253"/>
        <item x="107"/>
        <item x="9"/>
        <item x="64"/>
        <item x="179"/>
        <item x="209"/>
        <item x="173"/>
        <item x="65"/>
        <item x="74"/>
        <item x="62"/>
        <item x="27"/>
        <item x="21"/>
        <item x="99"/>
        <item x="144"/>
        <item x="182"/>
        <item x="164"/>
        <item x="221"/>
        <item x="222"/>
        <item x="249"/>
        <item x="227"/>
        <item x="197"/>
        <item x="210"/>
        <item x="30"/>
        <item x="257"/>
        <item t="default"/>
      </items>
    </pivotField>
    <pivotField showAll="0"/>
    <pivotField axis="axisCol" multipleItemSelectionAllowed="1" showAll="0">
      <items count="19">
        <item h="1" x="0"/>
        <item h="1" x="1"/>
        <item h="1" x="2"/>
        <item h="1" x="3"/>
        <item h="1" x="4"/>
        <item h="1" x="5"/>
        <item h="1" x="6"/>
        <item h="1" x="7"/>
        <item h="1" x="8"/>
        <item h="1" x="9"/>
        <item h="1" x="10"/>
        <item h="1" x="11"/>
        <item x="12"/>
        <item x="13"/>
        <item x="14"/>
        <item x="15"/>
        <item h="1" x="16"/>
        <item h="1" x="17"/>
        <item t="default"/>
      </items>
    </pivotField>
    <pivotField showAll="0"/>
    <pivotField showAll="0"/>
    <pivotField showAll="0"/>
    <pivotField showAll="0"/>
    <pivotField showAll="0"/>
    <pivotField showAll="0"/>
    <pivotField showAll="0"/>
    <pivotField showAll="0"/>
    <pivotField showAll="0"/>
    <pivotField showAll="0"/>
    <pivotField showAll="0"/>
    <pivotField axis="axisPage" showAll="0">
      <items count="4">
        <item x="2"/>
        <item x="1"/>
        <item x="0"/>
        <item t="default"/>
      </items>
    </pivotField>
    <pivotField showAll="0"/>
    <pivotField showAll="0" defaultSubtotal="0"/>
    <pivotField showAll="0" defaultSubtotal="0"/>
    <pivotField showAll="0"/>
    <pivotField showAll="0"/>
    <pivotField showAll="0" defaultSubtotal="0"/>
    <pivotField showAll="0" defaultSubtotal="0"/>
    <pivotField showAll="0"/>
    <pivotField showAll="0"/>
    <pivotField showAll="0"/>
    <pivotField showAll="0"/>
    <pivotField showAll="0"/>
    <pivotField axis="axisPage" showAll="0">
      <items count="5">
        <item x="2"/>
        <item x="1"/>
        <item m="1" x="3"/>
        <item x="0"/>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53">
    <i>
      <x v="2"/>
    </i>
    <i>
      <x v="17"/>
    </i>
    <i>
      <x v="18"/>
    </i>
    <i>
      <x v="23"/>
    </i>
    <i>
      <x v="32"/>
    </i>
    <i>
      <x v="34"/>
    </i>
    <i>
      <x v="36"/>
    </i>
    <i>
      <x v="38"/>
    </i>
    <i>
      <x v="43"/>
    </i>
    <i>
      <x v="49"/>
    </i>
    <i>
      <x v="52"/>
    </i>
    <i>
      <x v="66"/>
    </i>
    <i>
      <x v="70"/>
    </i>
    <i>
      <x v="74"/>
    </i>
    <i>
      <x v="82"/>
    </i>
    <i>
      <x v="83"/>
    </i>
    <i>
      <x v="85"/>
    </i>
    <i>
      <x v="96"/>
    </i>
    <i>
      <x v="110"/>
    </i>
    <i>
      <x v="114"/>
    </i>
    <i>
      <x v="124"/>
    </i>
    <i>
      <x v="125"/>
    </i>
    <i>
      <x v="128"/>
    </i>
    <i>
      <x v="142"/>
    </i>
    <i>
      <x v="148"/>
    </i>
    <i>
      <x v="149"/>
    </i>
    <i>
      <x v="151"/>
    </i>
    <i>
      <x v="152"/>
    </i>
    <i>
      <x v="153"/>
    </i>
    <i>
      <x v="154"/>
    </i>
    <i>
      <x v="161"/>
    </i>
    <i>
      <x v="165"/>
    </i>
    <i>
      <x v="168"/>
    </i>
    <i>
      <x v="169"/>
    </i>
    <i>
      <x v="171"/>
    </i>
    <i>
      <x v="178"/>
    </i>
    <i>
      <x v="181"/>
    </i>
    <i>
      <x v="191"/>
    </i>
    <i>
      <x v="203"/>
    </i>
    <i>
      <x v="204"/>
    </i>
    <i>
      <x v="205"/>
    </i>
    <i>
      <x v="217"/>
    </i>
    <i>
      <x v="218"/>
    </i>
    <i>
      <x v="221"/>
    </i>
    <i>
      <x v="227"/>
    </i>
    <i>
      <x v="232"/>
    </i>
    <i>
      <x v="239"/>
    </i>
    <i>
      <x v="245"/>
    </i>
    <i>
      <x v="248"/>
    </i>
    <i>
      <x v="252"/>
    </i>
    <i>
      <x v="254"/>
    </i>
    <i>
      <x v="255"/>
    </i>
    <i t="grand">
      <x/>
    </i>
  </rowItems>
  <colFields count="1">
    <field x="4"/>
  </colFields>
  <colItems count="5">
    <i>
      <x v="12"/>
    </i>
    <i>
      <x v="13"/>
    </i>
    <i>
      <x v="14"/>
    </i>
    <i>
      <x v="15"/>
    </i>
    <i t="grand">
      <x/>
    </i>
  </colItems>
  <pageFields count="2">
    <pageField fld="16" item="1" hier="-1"/>
    <pageField fld="29" item="1" hier="-1"/>
  </pageFields>
  <dataFields count="1">
    <dataField name="Sum of Total Cash" fld="34" baseField="0" baseItem="0" numFmtId="166"/>
  </dataFields>
  <formats count="2">
    <format dxfId="188">
      <pivotArea dataOnly="0" labelOnly="1" outline="0" axis="axisValues" fieldPosition="0"/>
    </format>
    <format dxfId="187">
      <pivotArea outline="0" collapsedLevelsAreSubtotals="1" fieldPosition="0"/>
    </format>
  </formats>
  <pivotTableStyleInfo name="PivotStyleLight16" showRowHeaders="1" showColHeaders="1" showRowStripes="0" showColStripes="0" showLastColumn="1"/>
</pivotTableDefinition>
</file>

<file path=xl/pivotTables/pivotTable7.xml><?xml version="1.0" encoding="utf-8"?>
<pivotTableDefinition xmlns="http://schemas.openxmlformats.org/spreadsheetml/2006/main" name="PivotTable5" cacheId="33" dataOnRows="1" applyNumberFormats="0" applyBorderFormats="0" applyFontFormats="0" applyPatternFormats="0" applyAlignmentFormats="0" applyWidthHeightFormats="1" dataCaption="Values" updatedVersion="4" minRefreshableVersion="3" showCalcMbrs="0" useAutoFormatting="1" itemPrintTitles="1" createdVersion="3" indent="0" outline="1" outlineData="1" multipleFieldFilters="0">
  <location ref="K71:N84" firstHeaderRow="1" firstDataRow="2" firstDataCol="1" rowPageCount="3" colPageCount="1"/>
  <pivotFields count="79">
    <pivotField showAll="0"/>
    <pivotField showAll="0"/>
    <pivotField axis="axisRow" showAll="0">
      <items count="259">
        <item x="60"/>
        <item x="79"/>
        <item x="216"/>
        <item x="76"/>
        <item x="114"/>
        <item x="154"/>
        <item x="24"/>
        <item x="108"/>
        <item x="1"/>
        <item x="98"/>
        <item x="214"/>
        <item x="93"/>
        <item x="39"/>
        <item x="40"/>
        <item x="13"/>
        <item x="4"/>
        <item x="218"/>
        <item x="183"/>
        <item x="19"/>
        <item x="243"/>
        <item x="68"/>
        <item x="34"/>
        <item x="69"/>
        <item x="48"/>
        <item x="87"/>
        <item x="53"/>
        <item x="29"/>
        <item x="11"/>
        <item x="75"/>
        <item x="132"/>
        <item x="50"/>
        <item x="112"/>
        <item x="242"/>
        <item x="203"/>
        <item x="202"/>
        <item x="127"/>
        <item x="205"/>
        <item x="124"/>
        <item x="233"/>
        <item x="195"/>
        <item x="104"/>
        <item x="109"/>
        <item x="8"/>
        <item x="192"/>
        <item x="186"/>
        <item x="44"/>
        <item x="157"/>
        <item x="170"/>
        <item x="145"/>
        <item x="244"/>
        <item x="213"/>
        <item x="7"/>
        <item x="204"/>
        <item x="72"/>
        <item x="90"/>
        <item x="22"/>
        <item x="113"/>
        <item x="116"/>
        <item x="251"/>
        <item x="77"/>
        <item x="150"/>
        <item x="188"/>
        <item x="160"/>
        <item x="59"/>
        <item x="55"/>
        <item x="43"/>
        <item x="230"/>
        <item x="141"/>
        <item x="5"/>
        <item x="161"/>
        <item x="193"/>
        <item x="85"/>
        <item x="211"/>
        <item x="212"/>
        <item x="200"/>
        <item x="89"/>
        <item x="12"/>
        <item x="176"/>
        <item x="25"/>
        <item x="58"/>
        <item x="187"/>
        <item x="131"/>
        <item x="239"/>
        <item x="231"/>
        <item x="120"/>
        <item x="201"/>
        <item x="56"/>
        <item x="70"/>
        <item x="110"/>
        <item x="250"/>
        <item x="208"/>
        <item x="92"/>
        <item x="175"/>
        <item x="134"/>
        <item x="135"/>
        <item x="133"/>
        <item x="177"/>
        <item x="137"/>
        <item x="3"/>
        <item x="139"/>
        <item x="140"/>
        <item x="142"/>
        <item x="143"/>
        <item x="45"/>
        <item x="33"/>
        <item x="20"/>
        <item x="178"/>
        <item x="32"/>
        <item x="97"/>
        <item x="129"/>
        <item x="241"/>
        <item x="158"/>
        <item x="63"/>
        <item x="117"/>
        <item x="105"/>
        <item x="151"/>
        <item x="35"/>
        <item x="96"/>
        <item x="122"/>
        <item x="73"/>
        <item x="248"/>
        <item x="15"/>
        <item x="224"/>
        <item x="36"/>
        <item x="229"/>
        <item x="185"/>
        <item x="101"/>
        <item x="81"/>
        <item x="237"/>
        <item x="100"/>
        <item x="115"/>
        <item x="52"/>
        <item x="189"/>
        <item x="168"/>
        <item x="31"/>
        <item x="121"/>
        <item x="47"/>
        <item x="82"/>
        <item x="130"/>
        <item x="171"/>
        <item x="256"/>
        <item x="0"/>
        <item x="6"/>
        <item x="16"/>
        <item x="223"/>
        <item x="67"/>
        <item x="66"/>
        <item x="159"/>
        <item x="199"/>
        <item x="234"/>
        <item x="46"/>
        <item x="191"/>
        <item x="215"/>
        <item x="235"/>
        <item x="174"/>
        <item x="246"/>
        <item x="83"/>
        <item x="57"/>
        <item x="71"/>
        <item x="10"/>
        <item x="78"/>
        <item x="245"/>
        <item x="119"/>
        <item x="206"/>
        <item x="61"/>
        <item x="172"/>
        <item x="138"/>
        <item x="252"/>
        <item x="217"/>
        <item x="238"/>
        <item x="37"/>
        <item x="207"/>
        <item x="118"/>
        <item x="80"/>
        <item x="184"/>
        <item x="247"/>
        <item x="94"/>
        <item x="123"/>
        <item x="54"/>
        <item x="49"/>
        <item x="86"/>
        <item x="196"/>
        <item x="153"/>
        <item x="240"/>
        <item x="255"/>
        <item x="163"/>
        <item x="88"/>
        <item x="17"/>
        <item x="51"/>
        <item x="2"/>
        <item x="136"/>
        <item x="228"/>
        <item x="91"/>
        <item x="102"/>
        <item x="169"/>
        <item x="165"/>
        <item x="155"/>
        <item x="166"/>
        <item x="194"/>
        <item x="42"/>
        <item x="28"/>
        <item x="95"/>
        <item x="103"/>
        <item x="225"/>
        <item x="226"/>
        <item x="190"/>
        <item x="146"/>
        <item x="147"/>
        <item x="149"/>
        <item x="148"/>
        <item x="156"/>
        <item x="167"/>
        <item x="111"/>
        <item x="41"/>
        <item x="128"/>
        <item x="23"/>
        <item x="26"/>
        <item x="125"/>
        <item x="162"/>
        <item x="198"/>
        <item x="106"/>
        <item x="220"/>
        <item x="84"/>
        <item x="14"/>
        <item x="126"/>
        <item x="38"/>
        <item x="219"/>
        <item x="232"/>
        <item x="254"/>
        <item x="18"/>
        <item x="152"/>
        <item x="180"/>
        <item x="236"/>
        <item x="181"/>
        <item x="253"/>
        <item x="107"/>
        <item x="9"/>
        <item x="64"/>
        <item x="179"/>
        <item x="209"/>
        <item x="173"/>
        <item x="65"/>
        <item x="74"/>
        <item x="62"/>
        <item x="27"/>
        <item x="21"/>
        <item x="99"/>
        <item x="144"/>
        <item x="182"/>
        <item x="164"/>
        <item x="221"/>
        <item x="222"/>
        <item x="249"/>
        <item x="227"/>
        <item x="197"/>
        <item x="210"/>
        <item x="30"/>
        <item x="257"/>
        <item t="default"/>
      </items>
    </pivotField>
    <pivotField showAll="0"/>
    <pivotField axis="axisCol" multipleItemSelectionAllowed="1" showAll="0">
      <items count="19">
        <item h="1" x="0"/>
        <item h="1" x="1"/>
        <item h="1" x="2"/>
        <item h="1" x="3"/>
        <item h="1" x="4"/>
        <item h="1" x="5"/>
        <item h="1" x="6"/>
        <item h="1" x="7"/>
        <item h="1" x="8"/>
        <item h="1" x="9"/>
        <item h="1" x="10"/>
        <item h="1" x="11"/>
        <item h="1" x="12"/>
        <item h="1" x="13"/>
        <item x="14"/>
        <item x="15"/>
        <item h="1" x="16"/>
        <item h="1" x="17"/>
        <item t="default"/>
      </items>
    </pivotField>
    <pivotField showAll="0"/>
    <pivotField showAll="0"/>
    <pivotField showAll="0"/>
    <pivotField showAll="0"/>
    <pivotField showAll="0"/>
    <pivotField showAll="0"/>
    <pivotField showAll="0"/>
    <pivotField showAll="0"/>
    <pivotField showAll="0"/>
    <pivotField showAll="0"/>
    <pivotField showAll="0"/>
    <pivotField axis="axisPage" showAll="0">
      <items count="4">
        <item x="2"/>
        <item x="1"/>
        <item x="0"/>
        <item t="default"/>
      </items>
    </pivotField>
    <pivotField showAll="0"/>
    <pivotField showAll="0" defaultSubtotal="0"/>
    <pivotField showAll="0" defaultSubtotal="0"/>
    <pivotField showAll="0"/>
    <pivotField showAll="0"/>
    <pivotField showAll="0" defaultSubtotal="0"/>
    <pivotField showAll="0" defaultSubtotal="0"/>
    <pivotField showAll="0"/>
    <pivotField showAll="0"/>
    <pivotField showAll="0"/>
    <pivotField showAll="0"/>
    <pivotField showAll="0"/>
    <pivotField axis="axisPage" showAll="0">
      <items count="5">
        <item x="2"/>
        <item x="1"/>
        <item m="1" x="3"/>
        <item x="0"/>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defaultSubtotal="0">
      <items count="3">
        <item x="2"/>
        <item x="1"/>
        <item x="0"/>
      </items>
    </pivotField>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2">
    <i>
      <x v="23"/>
    </i>
    <i>
      <x v="38"/>
    </i>
    <i>
      <x v="49"/>
    </i>
    <i>
      <x v="66"/>
    </i>
    <i>
      <x v="82"/>
    </i>
    <i>
      <x v="83"/>
    </i>
    <i>
      <x v="128"/>
    </i>
    <i>
      <x v="161"/>
    </i>
    <i>
      <x v="169"/>
    </i>
    <i>
      <x v="203"/>
    </i>
    <i>
      <x v="204"/>
    </i>
    <i t="grand">
      <x/>
    </i>
  </rowItems>
  <colFields count="1">
    <field x="4"/>
  </colFields>
  <colItems count="3">
    <i>
      <x v="14"/>
    </i>
    <i>
      <x v="15"/>
    </i>
    <i t="grand">
      <x/>
    </i>
  </colItems>
  <pageFields count="3">
    <pageField fld="16" item="1" hier="-1"/>
    <pageField fld="29" item="1" hier="-1"/>
    <pageField fld="60" item="1" hier="-1"/>
  </pageFields>
  <dataFields count="1">
    <dataField name="Sum of Total Cash" fld="34" baseField="0" baseItem="0" numFmtId="166"/>
  </dataFields>
  <formats count="2">
    <format dxfId="190">
      <pivotArea dataOnly="0" labelOnly="1" outline="0" axis="axisValues" fieldPosition="0"/>
    </format>
    <format dxfId="189">
      <pivotArea outline="0" collapsedLevelsAreSubtotals="1" fieldPosition="0"/>
    </format>
  </formats>
  <pivotTableStyleInfo name="PivotStyleLight16" showRowHeaders="1" showColHeaders="1" showRowStripes="0" showColStripes="0" showLastColumn="1"/>
</pivotTableDefinition>
</file>

<file path=xl/pivotTables/pivotTable8.xml><?xml version="1.0" encoding="utf-8"?>
<pivotTableDefinition xmlns="http://schemas.openxmlformats.org/spreadsheetml/2006/main" name="PivotTable4" cacheId="33" dataOnRows="1" applyNumberFormats="0" applyBorderFormats="0" applyFontFormats="0" applyPatternFormats="0" applyAlignmentFormats="0" applyWidthHeightFormats="1" dataCaption="Values" updatedVersion="4" minRefreshableVersion="3" showCalcMbrs="0" useAutoFormatting="1" itemPrintTitles="1" createdVersion="3" indent="0" outline="1" outlineData="1" multipleFieldFilters="0">
  <location ref="A71:D84" firstHeaderRow="1" firstDataRow="2" firstDataCol="1" rowPageCount="3" colPageCount="1"/>
  <pivotFields count="79">
    <pivotField showAll="0"/>
    <pivotField showAll="0"/>
    <pivotField axis="axisRow" showAll="0">
      <items count="259">
        <item x="60"/>
        <item x="79"/>
        <item x="216"/>
        <item x="76"/>
        <item x="114"/>
        <item x="154"/>
        <item x="24"/>
        <item x="108"/>
        <item x="1"/>
        <item x="98"/>
        <item x="214"/>
        <item x="93"/>
        <item x="39"/>
        <item x="40"/>
        <item x="13"/>
        <item x="4"/>
        <item x="218"/>
        <item x="183"/>
        <item x="19"/>
        <item x="243"/>
        <item x="68"/>
        <item x="34"/>
        <item x="69"/>
        <item x="48"/>
        <item x="87"/>
        <item x="53"/>
        <item x="29"/>
        <item x="11"/>
        <item x="75"/>
        <item x="132"/>
        <item x="50"/>
        <item x="112"/>
        <item x="242"/>
        <item x="203"/>
        <item x="202"/>
        <item x="127"/>
        <item x="205"/>
        <item x="124"/>
        <item x="233"/>
        <item x="195"/>
        <item x="104"/>
        <item x="109"/>
        <item x="8"/>
        <item x="192"/>
        <item x="186"/>
        <item x="44"/>
        <item x="157"/>
        <item x="170"/>
        <item x="145"/>
        <item x="244"/>
        <item x="213"/>
        <item x="7"/>
        <item x="204"/>
        <item x="72"/>
        <item x="90"/>
        <item x="22"/>
        <item x="113"/>
        <item x="116"/>
        <item x="251"/>
        <item x="77"/>
        <item x="150"/>
        <item x="188"/>
        <item x="160"/>
        <item x="59"/>
        <item x="55"/>
        <item x="43"/>
        <item x="230"/>
        <item x="141"/>
        <item x="5"/>
        <item x="161"/>
        <item x="193"/>
        <item x="85"/>
        <item x="211"/>
        <item x="212"/>
        <item x="200"/>
        <item x="89"/>
        <item x="12"/>
        <item x="176"/>
        <item x="25"/>
        <item x="58"/>
        <item x="187"/>
        <item x="131"/>
        <item x="239"/>
        <item x="231"/>
        <item x="120"/>
        <item x="201"/>
        <item x="56"/>
        <item x="70"/>
        <item x="110"/>
        <item x="250"/>
        <item x="208"/>
        <item x="92"/>
        <item x="175"/>
        <item x="134"/>
        <item x="135"/>
        <item x="133"/>
        <item x="177"/>
        <item x="137"/>
        <item x="3"/>
        <item x="139"/>
        <item x="140"/>
        <item x="142"/>
        <item x="143"/>
        <item x="45"/>
        <item x="33"/>
        <item x="20"/>
        <item x="178"/>
        <item x="32"/>
        <item x="97"/>
        <item x="129"/>
        <item x="241"/>
        <item x="158"/>
        <item x="63"/>
        <item x="117"/>
        <item x="105"/>
        <item x="151"/>
        <item x="35"/>
        <item x="96"/>
        <item x="122"/>
        <item x="73"/>
        <item x="248"/>
        <item x="15"/>
        <item x="224"/>
        <item x="36"/>
        <item x="229"/>
        <item x="185"/>
        <item x="101"/>
        <item x="81"/>
        <item x="237"/>
        <item x="100"/>
        <item x="115"/>
        <item x="52"/>
        <item x="189"/>
        <item x="168"/>
        <item x="31"/>
        <item x="121"/>
        <item x="47"/>
        <item x="82"/>
        <item x="130"/>
        <item x="171"/>
        <item x="256"/>
        <item x="0"/>
        <item x="6"/>
        <item x="16"/>
        <item x="223"/>
        <item x="67"/>
        <item x="66"/>
        <item x="159"/>
        <item x="199"/>
        <item x="234"/>
        <item x="46"/>
        <item x="191"/>
        <item x="215"/>
        <item x="235"/>
        <item x="174"/>
        <item x="246"/>
        <item x="83"/>
        <item x="57"/>
        <item x="71"/>
        <item x="10"/>
        <item x="78"/>
        <item x="245"/>
        <item x="119"/>
        <item x="206"/>
        <item x="61"/>
        <item x="172"/>
        <item x="138"/>
        <item x="252"/>
        <item x="217"/>
        <item x="238"/>
        <item x="37"/>
        <item x="207"/>
        <item x="118"/>
        <item x="80"/>
        <item x="184"/>
        <item x="247"/>
        <item x="94"/>
        <item x="123"/>
        <item x="54"/>
        <item x="49"/>
        <item x="86"/>
        <item x="196"/>
        <item x="153"/>
        <item x="240"/>
        <item x="255"/>
        <item x="163"/>
        <item x="88"/>
        <item x="17"/>
        <item x="51"/>
        <item x="2"/>
        <item x="136"/>
        <item x="228"/>
        <item x="91"/>
        <item x="102"/>
        <item x="169"/>
        <item x="165"/>
        <item x="155"/>
        <item x="166"/>
        <item x="194"/>
        <item x="42"/>
        <item x="28"/>
        <item x="95"/>
        <item x="103"/>
        <item x="225"/>
        <item x="226"/>
        <item x="190"/>
        <item x="146"/>
        <item x="147"/>
        <item x="149"/>
        <item x="148"/>
        <item x="156"/>
        <item x="167"/>
        <item x="111"/>
        <item x="41"/>
        <item x="128"/>
        <item x="23"/>
        <item x="26"/>
        <item x="125"/>
        <item x="162"/>
        <item x="198"/>
        <item x="106"/>
        <item x="220"/>
        <item x="84"/>
        <item x="14"/>
        <item x="126"/>
        <item x="38"/>
        <item x="219"/>
        <item x="232"/>
        <item x="254"/>
        <item x="18"/>
        <item x="152"/>
        <item x="180"/>
        <item x="236"/>
        <item x="181"/>
        <item x="253"/>
        <item x="107"/>
        <item x="9"/>
        <item x="64"/>
        <item x="179"/>
        <item x="209"/>
        <item x="173"/>
        <item x="65"/>
        <item x="74"/>
        <item x="62"/>
        <item x="27"/>
        <item x="21"/>
        <item x="99"/>
        <item x="144"/>
        <item x="182"/>
        <item x="164"/>
        <item x="221"/>
        <item x="222"/>
        <item x="249"/>
        <item x="227"/>
        <item x="197"/>
        <item x="210"/>
        <item x="30"/>
        <item x="257"/>
        <item t="default"/>
      </items>
    </pivotField>
    <pivotField showAll="0"/>
    <pivotField axis="axisCol" multipleItemSelectionAllowed="1" showAll="0">
      <items count="19">
        <item h="1" x="0"/>
        <item h="1" x="1"/>
        <item h="1" x="2"/>
        <item h="1" x="3"/>
        <item h="1" x="4"/>
        <item h="1" x="5"/>
        <item h="1" x="6"/>
        <item h="1" x="7"/>
        <item h="1" x="8"/>
        <item h="1" x="9"/>
        <item h="1" x="10"/>
        <item h="1" x="11"/>
        <item h="1" x="12"/>
        <item h="1" x="13"/>
        <item x="14"/>
        <item x="15"/>
        <item h="1" x="16"/>
        <item h="1" x="17"/>
        <item t="default"/>
      </items>
    </pivotField>
    <pivotField showAll="0"/>
    <pivotField showAll="0"/>
    <pivotField showAll="0"/>
    <pivotField showAll="0"/>
    <pivotField showAll="0"/>
    <pivotField showAll="0"/>
    <pivotField showAll="0"/>
    <pivotField showAll="0"/>
    <pivotField showAll="0"/>
    <pivotField showAll="0"/>
    <pivotField showAll="0"/>
    <pivotField axis="axisPage" showAll="0">
      <items count="4">
        <item x="2"/>
        <item x="1"/>
        <item x="0"/>
        <item t="default"/>
      </items>
    </pivotField>
    <pivotField showAll="0"/>
    <pivotField showAll="0" defaultSubtotal="0"/>
    <pivotField showAll="0" defaultSubtotal="0"/>
    <pivotField showAll="0"/>
    <pivotField showAll="0"/>
    <pivotField showAll="0" defaultSubtotal="0"/>
    <pivotField showAll="0" defaultSubtotal="0"/>
    <pivotField showAll="0"/>
    <pivotField showAll="0"/>
    <pivotField showAll="0"/>
    <pivotField showAll="0"/>
    <pivotField showAll="0"/>
    <pivotField axis="axisPage" showAll="0">
      <items count="5">
        <item x="2"/>
        <item x="1"/>
        <item m="1" x="3"/>
        <item x="0"/>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defaultSubtotal="0">
      <items count="3">
        <item x="2"/>
        <item x="1"/>
        <item x="0"/>
      </items>
    </pivotField>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2">
    <i>
      <x v="32"/>
    </i>
    <i>
      <x v="110"/>
    </i>
    <i>
      <x v="124"/>
    </i>
    <i>
      <x v="149"/>
    </i>
    <i>
      <x v="152"/>
    </i>
    <i>
      <x v="153"/>
    </i>
    <i>
      <x v="191"/>
    </i>
    <i>
      <x v="221"/>
    </i>
    <i>
      <x v="227"/>
    </i>
    <i>
      <x v="232"/>
    </i>
    <i>
      <x v="252"/>
    </i>
    <i t="grand">
      <x/>
    </i>
  </rowItems>
  <colFields count="1">
    <field x="4"/>
  </colFields>
  <colItems count="3">
    <i>
      <x v="14"/>
    </i>
    <i>
      <x v="15"/>
    </i>
    <i t="grand">
      <x/>
    </i>
  </colItems>
  <pageFields count="3">
    <pageField fld="16" item="1" hier="-1"/>
    <pageField fld="29" item="1" hier="-1"/>
    <pageField fld="60" item="0" hier="-1"/>
  </pageFields>
  <dataFields count="1">
    <dataField name="Sum of Total Cash" fld="34" baseField="0" baseItem="0" numFmtId="166"/>
  </dataFields>
  <formats count="2">
    <format dxfId="192">
      <pivotArea dataOnly="0" labelOnly="1" outline="0" axis="axisValues" fieldPosition="0"/>
    </format>
    <format dxfId="191">
      <pivotArea outline="0" collapsedLevelsAreSubtotals="1" fieldPosition="0"/>
    </format>
  </formats>
  <pivotTableStyleInfo name="PivotStyleLight16" showRowHeaders="1" showColHeaders="1" showRowStripes="0" showColStripes="0" showLastColumn="1"/>
</pivotTableDefinition>
</file>

<file path=xl/pivotTables/pivotTable9.xml><?xml version="1.0" encoding="utf-8"?>
<pivotTableDefinition xmlns="http://schemas.openxmlformats.org/spreadsheetml/2006/main" name="PivotTable1" cacheId="33" dataOnRows="1" applyNumberFormats="0" applyBorderFormats="0" applyFontFormats="0" applyPatternFormats="0" applyAlignmentFormats="0" applyWidthHeightFormats="1" dataCaption="Values" updatedVersion="4" minRefreshableVersion="3" showCalcMbrs="0" useAutoFormatting="1" itemPrintTitles="1" createdVersion="3" indent="0" outline="1" outlineData="1" multipleFieldFilters="0">
  <location ref="K8:N32" firstHeaderRow="1" firstDataRow="2" firstDataCol="1" rowPageCount="2" colPageCount="1"/>
  <pivotFields count="79">
    <pivotField showAll="0"/>
    <pivotField showAll="0"/>
    <pivotField axis="axisRow" showAll="0">
      <items count="259">
        <item x="60"/>
        <item x="79"/>
        <item x="216"/>
        <item x="76"/>
        <item x="114"/>
        <item x="154"/>
        <item x="24"/>
        <item x="108"/>
        <item x="1"/>
        <item x="98"/>
        <item x="214"/>
        <item x="93"/>
        <item x="39"/>
        <item x="40"/>
        <item x="13"/>
        <item x="4"/>
        <item x="218"/>
        <item x="183"/>
        <item x="19"/>
        <item x="243"/>
        <item x="68"/>
        <item x="34"/>
        <item x="69"/>
        <item x="48"/>
        <item x="87"/>
        <item x="53"/>
        <item x="29"/>
        <item x="11"/>
        <item x="75"/>
        <item x="132"/>
        <item x="50"/>
        <item x="112"/>
        <item x="242"/>
        <item x="203"/>
        <item x="202"/>
        <item x="127"/>
        <item x="205"/>
        <item x="124"/>
        <item x="233"/>
        <item x="195"/>
        <item x="104"/>
        <item x="109"/>
        <item x="8"/>
        <item x="192"/>
        <item x="186"/>
        <item x="44"/>
        <item x="157"/>
        <item x="170"/>
        <item x="145"/>
        <item x="244"/>
        <item x="213"/>
        <item x="7"/>
        <item x="204"/>
        <item x="72"/>
        <item x="90"/>
        <item x="22"/>
        <item x="113"/>
        <item x="116"/>
        <item x="251"/>
        <item x="77"/>
        <item x="150"/>
        <item x="188"/>
        <item x="160"/>
        <item x="59"/>
        <item x="55"/>
        <item x="43"/>
        <item x="230"/>
        <item x="141"/>
        <item x="5"/>
        <item x="161"/>
        <item x="193"/>
        <item x="85"/>
        <item x="211"/>
        <item x="212"/>
        <item x="200"/>
        <item x="89"/>
        <item x="12"/>
        <item x="176"/>
        <item x="25"/>
        <item x="58"/>
        <item x="187"/>
        <item x="131"/>
        <item x="239"/>
        <item x="231"/>
        <item x="120"/>
        <item x="201"/>
        <item x="56"/>
        <item x="70"/>
        <item x="110"/>
        <item x="250"/>
        <item x="208"/>
        <item x="92"/>
        <item x="175"/>
        <item x="134"/>
        <item x="135"/>
        <item x="133"/>
        <item x="177"/>
        <item x="137"/>
        <item x="3"/>
        <item x="139"/>
        <item x="140"/>
        <item x="142"/>
        <item x="143"/>
        <item x="45"/>
        <item x="33"/>
        <item x="20"/>
        <item x="178"/>
        <item x="32"/>
        <item x="97"/>
        <item x="129"/>
        <item x="241"/>
        <item x="158"/>
        <item x="63"/>
        <item x="117"/>
        <item x="105"/>
        <item x="151"/>
        <item x="35"/>
        <item x="96"/>
        <item x="122"/>
        <item x="73"/>
        <item x="248"/>
        <item x="15"/>
        <item x="224"/>
        <item x="36"/>
        <item x="229"/>
        <item x="185"/>
        <item x="101"/>
        <item x="81"/>
        <item x="237"/>
        <item x="100"/>
        <item x="115"/>
        <item x="52"/>
        <item x="189"/>
        <item x="168"/>
        <item x="31"/>
        <item x="121"/>
        <item x="47"/>
        <item x="82"/>
        <item x="130"/>
        <item x="171"/>
        <item x="256"/>
        <item x="0"/>
        <item x="6"/>
        <item x="16"/>
        <item x="223"/>
        <item x="67"/>
        <item x="66"/>
        <item x="159"/>
        <item x="199"/>
        <item x="234"/>
        <item x="46"/>
        <item x="191"/>
        <item x="215"/>
        <item x="235"/>
        <item x="174"/>
        <item x="246"/>
        <item x="83"/>
        <item x="57"/>
        <item x="71"/>
        <item x="10"/>
        <item x="78"/>
        <item x="245"/>
        <item x="119"/>
        <item x="206"/>
        <item x="61"/>
        <item x="172"/>
        <item x="138"/>
        <item x="252"/>
        <item x="217"/>
        <item x="238"/>
        <item x="37"/>
        <item x="207"/>
        <item x="118"/>
        <item x="80"/>
        <item x="184"/>
        <item x="247"/>
        <item x="94"/>
        <item x="123"/>
        <item x="54"/>
        <item x="49"/>
        <item x="86"/>
        <item x="196"/>
        <item x="153"/>
        <item x="240"/>
        <item x="255"/>
        <item x="163"/>
        <item x="88"/>
        <item x="17"/>
        <item x="51"/>
        <item x="2"/>
        <item x="136"/>
        <item x="228"/>
        <item x="91"/>
        <item x="102"/>
        <item x="169"/>
        <item x="165"/>
        <item x="155"/>
        <item x="166"/>
        <item x="194"/>
        <item x="42"/>
        <item x="28"/>
        <item x="95"/>
        <item x="103"/>
        <item x="225"/>
        <item x="226"/>
        <item x="190"/>
        <item x="146"/>
        <item x="147"/>
        <item x="149"/>
        <item x="148"/>
        <item x="156"/>
        <item x="167"/>
        <item x="111"/>
        <item x="41"/>
        <item x="128"/>
        <item x="23"/>
        <item x="26"/>
        <item x="125"/>
        <item x="162"/>
        <item x="198"/>
        <item x="106"/>
        <item x="220"/>
        <item x="84"/>
        <item x="14"/>
        <item x="126"/>
        <item x="38"/>
        <item x="219"/>
        <item x="232"/>
        <item x="254"/>
        <item x="18"/>
        <item x="152"/>
        <item x="180"/>
        <item x="236"/>
        <item x="181"/>
        <item x="253"/>
        <item x="107"/>
        <item x="9"/>
        <item x="64"/>
        <item x="179"/>
        <item x="209"/>
        <item x="173"/>
        <item x="65"/>
        <item x="74"/>
        <item x="62"/>
        <item x="27"/>
        <item x="21"/>
        <item x="99"/>
        <item x="144"/>
        <item x="182"/>
        <item x="164"/>
        <item x="221"/>
        <item x="222"/>
        <item x="249"/>
        <item x="227"/>
        <item x="197"/>
        <item x="210"/>
        <item x="30"/>
        <item x="257"/>
        <item t="default"/>
      </items>
    </pivotField>
    <pivotField showAll="0"/>
    <pivotField axis="axisCol" multipleItemSelectionAllowed="1" showAll="0">
      <items count="19">
        <item h="1" x="0"/>
        <item h="1" x="1"/>
        <item h="1" x="2"/>
        <item h="1" x="3"/>
        <item h="1" x="4"/>
        <item h="1" x="5"/>
        <item h="1" x="6"/>
        <item h="1" x="7"/>
        <item h="1" x="8"/>
        <item h="1" x="9"/>
        <item h="1" x="10"/>
        <item h="1" x="11"/>
        <item h="1" x="12"/>
        <item h="1" x="13"/>
        <item x="14"/>
        <item x="15"/>
        <item h="1" x="16"/>
        <item h="1" x="17"/>
        <item t="default"/>
      </items>
    </pivotField>
    <pivotField showAll="0"/>
    <pivotField showAll="0"/>
    <pivotField showAll="0"/>
    <pivotField showAll="0"/>
    <pivotField showAll="0"/>
    <pivotField showAll="0"/>
    <pivotField showAll="0"/>
    <pivotField showAll="0"/>
    <pivotField showAll="0"/>
    <pivotField showAll="0"/>
    <pivotField showAll="0"/>
    <pivotField axis="axisPage" showAll="0">
      <items count="4">
        <item x="2"/>
        <item x="1"/>
        <item x="0"/>
        <item t="default"/>
      </items>
    </pivotField>
    <pivotField showAll="0"/>
    <pivotField showAll="0" defaultSubtotal="0"/>
    <pivotField showAll="0" defaultSubtotal="0"/>
    <pivotField showAll="0"/>
    <pivotField showAll="0"/>
    <pivotField showAll="0" defaultSubtotal="0"/>
    <pivotField showAll="0" defaultSubtotal="0"/>
    <pivotField showAll="0"/>
    <pivotField showAll="0"/>
    <pivotField showAll="0"/>
    <pivotField showAll="0"/>
    <pivotField showAll="0"/>
    <pivotField axis="axisPage" showAll="0">
      <items count="5">
        <item x="2"/>
        <item x="1"/>
        <item m="1" x="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s>
  <rowFields count="1">
    <field x="2"/>
  </rowFields>
  <rowItems count="23">
    <i>
      <x v="23"/>
    </i>
    <i>
      <x v="32"/>
    </i>
    <i>
      <x v="38"/>
    </i>
    <i>
      <x v="49"/>
    </i>
    <i>
      <x v="66"/>
    </i>
    <i>
      <x v="82"/>
    </i>
    <i>
      <x v="83"/>
    </i>
    <i>
      <x v="110"/>
    </i>
    <i>
      <x v="124"/>
    </i>
    <i>
      <x v="128"/>
    </i>
    <i>
      <x v="149"/>
    </i>
    <i>
      <x v="152"/>
    </i>
    <i>
      <x v="153"/>
    </i>
    <i>
      <x v="161"/>
    </i>
    <i>
      <x v="169"/>
    </i>
    <i>
      <x v="191"/>
    </i>
    <i>
      <x v="203"/>
    </i>
    <i>
      <x v="204"/>
    </i>
    <i>
      <x v="221"/>
    </i>
    <i>
      <x v="227"/>
    </i>
    <i>
      <x v="232"/>
    </i>
    <i>
      <x v="252"/>
    </i>
    <i t="grand">
      <x/>
    </i>
  </rowItems>
  <colFields count="1">
    <field x="4"/>
  </colFields>
  <colItems count="3">
    <i>
      <x v="14"/>
    </i>
    <i>
      <x v="15"/>
    </i>
    <i t="grand">
      <x/>
    </i>
  </colItems>
  <pageFields count="2">
    <pageField fld="16" item="1" hier="-1"/>
    <pageField fld="29" item="1" hier="-1"/>
  </pageFields>
  <dataFields count="1">
    <dataField name="Sum of ARCT?" fld="71" baseField="2" baseItem="23"/>
  </dataFields>
  <formats count="2">
    <format dxfId="194">
      <pivotArea dataOnly="0" labelOnly="1" outline="0" axis="axisValues" fieldPosition="0"/>
    </format>
    <format dxfId="193">
      <pivotArea outline="0" collapsedLevelsAreSubtotals="1" fieldPosition="0"/>
    </format>
  </formats>
  <pivotTableStyleInfo name="PivotStyleLight16" showRowHeaders="1" showColHeaders="1" showRowStripes="0" showColStripes="0" showLastColumn="1"/>
</pivotTableDefinition>
</file>

<file path=xl/pivotTables/pivotTable10.xml><?xml version="1.0" encoding="utf-8"?>
<pivotTableDefinition xmlns="http://schemas.openxmlformats.org/spreadsheetml/2006/main" name="PivotTable1" cacheId="29"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location ref="A41:J61" firstHeaderRow="1" firstDataRow="2" firstDataCol="1" rowPageCount="1" colPageCount="1"/>
  <pivotFields count="77">
    <pivotField showAll="0"/>
    <pivotField showAll="0"/>
    <pivotField axis="axisRow" showAll="0">
      <items count="251">
        <item x="60"/>
        <item x="79"/>
        <item x="216"/>
        <item x="76"/>
        <item x="114"/>
        <item x="154"/>
        <item x="24"/>
        <item x="108"/>
        <item x="1"/>
        <item x="98"/>
        <item x="214"/>
        <item x="93"/>
        <item x="39"/>
        <item x="40"/>
        <item x="13"/>
        <item x="4"/>
        <item x="218"/>
        <item x="183"/>
        <item x="19"/>
        <item x="243"/>
        <item x="68"/>
        <item x="34"/>
        <item x="69"/>
        <item x="48"/>
        <item x="87"/>
        <item x="53"/>
        <item x="29"/>
        <item x="11"/>
        <item x="75"/>
        <item x="132"/>
        <item x="50"/>
        <item x="112"/>
        <item x="242"/>
        <item x="203"/>
        <item x="202"/>
        <item x="127"/>
        <item x="205"/>
        <item x="124"/>
        <item x="233"/>
        <item x="195"/>
        <item x="104"/>
        <item x="109"/>
        <item x="8"/>
        <item x="192"/>
        <item x="186"/>
        <item x="44"/>
        <item x="157"/>
        <item x="170"/>
        <item x="145"/>
        <item x="244"/>
        <item x="213"/>
        <item x="7"/>
        <item x="204"/>
        <item x="72"/>
        <item x="90"/>
        <item x="22"/>
        <item x="113"/>
        <item x="116"/>
        <item x="77"/>
        <item x="150"/>
        <item x="188"/>
        <item x="160"/>
        <item x="59"/>
        <item x="55"/>
        <item x="43"/>
        <item x="230"/>
        <item x="141"/>
        <item x="5"/>
        <item x="161"/>
        <item x="193"/>
        <item x="85"/>
        <item x="211"/>
        <item x="212"/>
        <item x="200"/>
        <item x="89"/>
        <item x="12"/>
        <item x="176"/>
        <item x="25"/>
        <item x="58"/>
        <item x="187"/>
        <item x="131"/>
        <item x="239"/>
        <item x="231"/>
        <item x="120"/>
        <item x="201"/>
        <item x="56"/>
        <item x="70"/>
        <item x="110"/>
        <item x="208"/>
        <item x="92"/>
        <item x="175"/>
        <item x="134"/>
        <item x="135"/>
        <item x="133"/>
        <item x="177"/>
        <item x="137"/>
        <item x="3"/>
        <item x="139"/>
        <item x="140"/>
        <item x="142"/>
        <item x="143"/>
        <item x="45"/>
        <item x="33"/>
        <item x="20"/>
        <item x="178"/>
        <item x="32"/>
        <item x="97"/>
        <item x="129"/>
        <item x="241"/>
        <item x="158"/>
        <item x="63"/>
        <item x="117"/>
        <item x="105"/>
        <item x="151"/>
        <item x="35"/>
        <item x="96"/>
        <item x="122"/>
        <item x="73"/>
        <item x="248"/>
        <item x="15"/>
        <item x="224"/>
        <item x="36"/>
        <item x="229"/>
        <item x="185"/>
        <item x="101"/>
        <item x="81"/>
        <item x="237"/>
        <item x="100"/>
        <item x="115"/>
        <item x="52"/>
        <item x="189"/>
        <item x="168"/>
        <item x="31"/>
        <item x="121"/>
        <item x="47"/>
        <item x="82"/>
        <item x="130"/>
        <item x="171"/>
        <item x="0"/>
        <item x="6"/>
        <item x="16"/>
        <item x="223"/>
        <item x="67"/>
        <item x="66"/>
        <item x="159"/>
        <item x="199"/>
        <item x="234"/>
        <item x="46"/>
        <item x="191"/>
        <item x="215"/>
        <item x="235"/>
        <item x="174"/>
        <item x="246"/>
        <item x="83"/>
        <item x="57"/>
        <item x="71"/>
        <item x="10"/>
        <item x="78"/>
        <item x="245"/>
        <item x="119"/>
        <item x="206"/>
        <item x="61"/>
        <item x="172"/>
        <item x="138"/>
        <item x="217"/>
        <item x="238"/>
        <item x="37"/>
        <item x="207"/>
        <item x="118"/>
        <item x="80"/>
        <item x="184"/>
        <item x="247"/>
        <item x="94"/>
        <item x="123"/>
        <item x="54"/>
        <item x="49"/>
        <item x="86"/>
        <item x="196"/>
        <item x="153"/>
        <item x="240"/>
        <item x="163"/>
        <item x="88"/>
        <item x="17"/>
        <item x="51"/>
        <item x="2"/>
        <item x="136"/>
        <item x="228"/>
        <item x="91"/>
        <item x="102"/>
        <item x="169"/>
        <item x="165"/>
        <item x="155"/>
        <item x="166"/>
        <item x="194"/>
        <item x="42"/>
        <item x="28"/>
        <item x="95"/>
        <item x="103"/>
        <item x="225"/>
        <item x="226"/>
        <item x="190"/>
        <item x="146"/>
        <item x="147"/>
        <item x="149"/>
        <item x="148"/>
        <item x="156"/>
        <item x="167"/>
        <item x="111"/>
        <item x="41"/>
        <item x="128"/>
        <item x="23"/>
        <item x="26"/>
        <item x="125"/>
        <item x="162"/>
        <item x="198"/>
        <item x="106"/>
        <item x="220"/>
        <item x="84"/>
        <item x="14"/>
        <item x="126"/>
        <item x="38"/>
        <item x="219"/>
        <item x="232"/>
        <item x="18"/>
        <item x="152"/>
        <item x="180"/>
        <item x="236"/>
        <item x="181"/>
        <item x="107"/>
        <item x="9"/>
        <item x="64"/>
        <item x="179"/>
        <item x="209"/>
        <item x="173"/>
        <item x="65"/>
        <item x="74"/>
        <item x="62"/>
        <item x="27"/>
        <item x="21"/>
        <item x="99"/>
        <item x="144"/>
        <item x="182"/>
        <item x="164"/>
        <item x="221"/>
        <item x="222"/>
        <item x="249"/>
        <item x="227"/>
        <item x="197"/>
        <item x="210"/>
        <item x="30"/>
        <item t="default"/>
      </items>
    </pivotField>
    <pivotField numFmtId="167" showAll="0"/>
    <pivotField axis="axisPage" multipleItemSelectionAllowed="1" showAll="0">
      <items count="17">
        <item h="1" x="0"/>
        <item h="1" x="1"/>
        <item h="1" x="2"/>
        <item h="1" x="3"/>
        <item h="1" x="4"/>
        <item h="1" x="5"/>
        <item h="1" x="6"/>
        <item h="1" x="7"/>
        <item h="1" x="8"/>
        <item h="1" x="9"/>
        <item h="1" x="10"/>
        <item h="1" x="11"/>
        <item h="1" x="12"/>
        <item h="1" x="13"/>
        <item h="1" x="14"/>
        <item x="15"/>
        <item t="default"/>
      </items>
    </pivotField>
    <pivotField showAll="0">
      <items count="35">
        <item x="1"/>
        <item x="2"/>
        <item x="3"/>
        <item x="4"/>
        <item x="5"/>
        <item x="6"/>
        <item x="7"/>
        <item x="8"/>
        <item x="9"/>
        <item x="10"/>
        <item x="11"/>
        <item x="12"/>
        <item x="13"/>
        <item x="14"/>
        <item x="15"/>
        <item x="16"/>
        <item x="17"/>
        <item x="18"/>
        <item x="19"/>
        <item x="23"/>
        <item x="20"/>
        <item x="21"/>
        <item x="22"/>
        <item x="24"/>
        <item x="25"/>
        <item x="26"/>
        <item x="27"/>
        <item x="28"/>
        <item x="29"/>
        <item x="31"/>
        <item x="32"/>
        <item x="30"/>
        <item x="33"/>
        <item x="0"/>
        <item t="default"/>
      </items>
    </pivotField>
    <pivotField showAll="0"/>
    <pivotField showAll="0"/>
    <pivotField showAll="0"/>
    <pivotField showAll="0"/>
    <pivotField dataField="1" showAll="0">
      <items count="119">
        <item x="106"/>
        <item x="46"/>
        <item x="54"/>
        <item x="76"/>
        <item x="90"/>
        <item x="19"/>
        <item x="73"/>
        <item x="69"/>
        <item x="32"/>
        <item x="33"/>
        <item x="9"/>
        <item x="83"/>
        <item x="14"/>
        <item x="28"/>
        <item x="38"/>
        <item x="42"/>
        <item x="24"/>
        <item x="110"/>
        <item x="7"/>
        <item x="40"/>
        <item x="82"/>
        <item x="80"/>
        <item x="101"/>
        <item x="4"/>
        <item x="87"/>
        <item x="3"/>
        <item x="52"/>
        <item x="63"/>
        <item x="107"/>
        <item x="17"/>
        <item x="75"/>
        <item x="78"/>
        <item x="55"/>
        <item x="45"/>
        <item x="35"/>
        <item x="1"/>
        <item x="60"/>
        <item x="105"/>
        <item x="62"/>
        <item x="8"/>
        <item x="20"/>
        <item x="44"/>
        <item x="85"/>
        <item x="79"/>
        <item x="43"/>
        <item x="74"/>
        <item x="65"/>
        <item x="15"/>
        <item x="27"/>
        <item x="49"/>
        <item x="72"/>
        <item x="29"/>
        <item x="68"/>
        <item x="53"/>
        <item x="11"/>
        <item x="30"/>
        <item x="58"/>
        <item x="114"/>
        <item x="93"/>
        <item x="70"/>
        <item x="77"/>
        <item x="41"/>
        <item x="26"/>
        <item x="37"/>
        <item x="84"/>
        <item x="2"/>
        <item x="113"/>
        <item x="36"/>
        <item x="100"/>
        <item x="108"/>
        <item x="95"/>
        <item x="117"/>
        <item x="6"/>
        <item x="86"/>
        <item x="56"/>
        <item x="47"/>
        <item x="31"/>
        <item x="57"/>
        <item x="98"/>
        <item x="66"/>
        <item x="39"/>
        <item x="89"/>
        <item x="61"/>
        <item x="12"/>
        <item x="115"/>
        <item x="112"/>
        <item x="111"/>
        <item x="64"/>
        <item x="71"/>
        <item x="91"/>
        <item x="23"/>
        <item x="67"/>
        <item x="92"/>
        <item x="34"/>
        <item x="18"/>
        <item x="21"/>
        <item x="81"/>
        <item x="103"/>
        <item x="59"/>
        <item x="10"/>
        <item x="109"/>
        <item x="99"/>
        <item x="13"/>
        <item x="97"/>
        <item x="116"/>
        <item x="5"/>
        <item x="50"/>
        <item x="96"/>
        <item x="104"/>
        <item x="94"/>
        <item x="51"/>
        <item x="48"/>
        <item x="22"/>
        <item x="16"/>
        <item x="102"/>
        <item x="88"/>
        <item x="25"/>
        <item x="0"/>
        <item t="default"/>
      </items>
    </pivotField>
    <pivotField showAll="0"/>
    <pivotField dataField="1" showAll="0">
      <items count="25">
        <item x="19"/>
        <item x="8"/>
        <item x="1"/>
        <item x="3"/>
        <item x="22"/>
        <item x="11"/>
        <item x="2"/>
        <item x="7"/>
        <item x="14"/>
        <item x="6"/>
        <item x="18"/>
        <item x="13"/>
        <item x="10"/>
        <item x="23"/>
        <item x="5"/>
        <item x="12"/>
        <item x="9"/>
        <item x="17"/>
        <item x="16"/>
        <item x="21"/>
        <item x="4"/>
        <item x="15"/>
        <item x="20"/>
        <item x="0"/>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 dataField="1" showAll="0">
      <items count="74">
        <item x="67"/>
        <item x="54"/>
        <item x="11"/>
        <item x="29"/>
        <item x="13"/>
        <item x="2"/>
        <item x="61"/>
        <item x="14"/>
        <item x="45"/>
        <item x="19"/>
        <item x="31"/>
        <item x="15"/>
        <item x="10"/>
        <item x="43"/>
        <item x="8"/>
        <item x="9"/>
        <item x="51"/>
        <item x="3"/>
        <item x="47"/>
        <item x="46"/>
        <item x="16"/>
        <item x="20"/>
        <item x="56"/>
        <item x="44"/>
        <item x="27"/>
        <item x="6"/>
        <item x="40"/>
        <item x="12"/>
        <item x="25"/>
        <item x="4"/>
        <item x="38"/>
        <item x="34"/>
        <item x="35"/>
        <item x="1"/>
        <item x="18"/>
        <item x="49"/>
        <item x="58"/>
        <item x="42"/>
        <item x="30"/>
        <item x="68"/>
        <item x="32"/>
        <item x="48"/>
        <item x="72"/>
        <item x="55"/>
        <item x="17"/>
        <item x="64"/>
        <item x="60"/>
        <item x="33"/>
        <item x="28"/>
        <item x="52"/>
        <item x="57"/>
        <item x="41"/>
        <item x="71"/>
        <item x="21"/>
        <item x="22"/>
        <item x="63"/>
        <item x="37"/>
        <item x="66"/>
        <item x="62"/>
        <item x="39"/>
        <item x="50"/>
        <item x="59"/>
        <item x="5"/>
        <item x="36"/>
        <item x="24"/>
        <item x="23"/>
        <item x="70"/>
        <item x="7"/>
        <item x="69"/>
        <item x="26"/>
        <item x="53"/>
        <item x="65"/>
        <item x="0"/>
        <item t="default"/>
      </items>
    </pivotField>
    <pivotField dataField="1" showAll="0">
      <items count="16">
        <item x="7"/>
        <item x="2"/>
        <item x="1"/>
        <item x="9"/>
        <item x="3"/>
        <item x="5"/>
        <item x="12"/>
        <item x="13"/>
        <item x="10"/>
        <item x="4"/>
        <item x="6"/>
        <item x="8"/>
        <item x="14"/>
        <item x="11"/>
        <item x="0"/>
        <item t="default"/>
      </items>
    </pivotField>
    <pivotField dataField="1" showAll="0">
      <items count="59">
        <item x="26"/>
        <item x="27"/>
        <item x="20"/>
        <item x="45"/>
        <item x="42"/>
        <item x="43"/>
        <item x="18"/>
        <item x="10"/>
        <item x="2"/>
        <item x="32"/>
        <item x="19"/>
        <item x="9"/>
        <item x="33"/>
        <item x="37"/>
        <item x="40"/>
        <item x="16"/>
        <item x="3"/>
        <item x="12"/>
        <item x="39"/>
        <item x="29"/>
        <item x="22"/>
        <item x="13"/>
        <item x="24"/>
        <item x="47"/>
        <item x="7"/>
        <item x="56"/>
        <item x="34"/>
        <item x="31"/>
        <item x="50"/>
        <item x="15"/>
        <item x="6"/>
        <item x="14"/>
        <item x="53"/>
        <item x="35"/>
        <item x="21"/>
        <item x="1"/>
        <item x="23"/>
        <item x="4"/>
        <item x="5"/>
        <item x="25"/>
        <item x="46"/>
        <item x="41"/>
        <item x="54"/>
        <item x="36"/>
        <item x="28"/>
        <item x="11"/>
        <item x="38"/>
        <item x="30"/>
        <item x="48"/>
        <item x="49"/>
        <item x="55"/>
        <item x="44"/>
        <item x="52"/>
        <item x="8"/>
        <item x="51"/>
        <item x="17"/>
        <item x="57"/>
        <item x="0"/>
        <item t="default"/>
      </items>
    </pivotField>
    <pivotField showAll="0"/>
    <pivotField showAll="0"/>
    <pivotField dataField="1" showAll="0"/>
    <pivotField showAll="0"/>
    <pivotField showAll="0"/>
    <pivotField showAll="0">
      <items count="55">
        <item x="16"/>
        <item x="25"/>
        <item x="30"/>
        <item x="23"/>
        <item x="20"/>
        <item x="11"/>
        <item x="24"/>
        <item x="4"/>
        <item x="53"/>
        <item x="52"/>
        <item x="36"/>
        <item x="17"/>
        <item x="22"/>
        <item x="34"/>
        <item x="28"/>
        <item x="9"/>
        <item x="35"/>
        <item x="29"/>
        <item x="3"/>
        <item x="43"/>
        <item x="7"/>
        <item x="8"/>
        <item x="5"/>
        <item x="49"/>
        <item x="14"/>
        <item x="21"/>
        <item x="47"/>
        <item x="42"/>
        <item x="13"/>
        <item x="50"/>
        <item x="26"/>
        <item x="6"/>
        <item x="18"/>
        <item x="19"/>
        <item x="44"/>
        <item x="10"/>
        <item x="37"/>
        <item x="33"/>
        <item x="41"/>
        <item x="31"/>
        <item x="45"/>
        <item x="32"/>
        <item x="38"/>
        <item x="46"/>
        <item x="2"/>
        <item x="12"/>
        <item x="1"/>
        <item x="51"/>
        <item x="15"/>
        <item x="39"/>
        <item x="27"/>
        <item x="48"/>
        <item x="40"/>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85">
        <item x="1"/>
        <item x="3"/>
        <item x="45"/>
        <item x="42"/>
        <item x="46"/>
        <item x="41"/>
        <item x="35"/>
        <item x="50"/>
        <item x="64"/>
        <item x="51"/>
        <item x="82"/>
        <item x="22"/>
        <item x="44"/>
        <item x="29"/>
        <item x="37"/>
        <item x="55"/>
        <item x="17"/>
        <item x="33"/>
        <item x="8"/>
        <item x="53"/>
        <item x="16"/>
        <item x="11"/>
        <item x="70"/>
        <item x="43"/>
        <item x="76"/>
        <item x="62"/>
        <item x="56"/>
        <item x="30"/>
        <item x="81"/>
        <item x="83"/>
        <item x="54"/>
        <item x="60"/>
        <item x="31"/>
        <item x="34"/>
        <item x="38"/>
        <item x="21"/>
        <item x="63"/>
        <item x="23"/>
        <item x="59"/>
        <item x="71"/>
        <item x="9"/>
        <item x="78"/>
        <item x="40"/>
        <item x="2"/>
        <item x="19"/>
        <item x="26"/>
        <item x="39"/>
        <item x="73"/>
        <item x="57"/>
        <item x="25"/>
        <item x="65"/>
        <item x="15"/>
        <item x="12"/>
        <item x="49"/>
        <item x="10"/>
        <item x="75"/>
        <item x="7"/>
        <item x="58"/>
        <item x="36"/>
        <item x="61"/>
        <item x="27"/>
        <item x="72"/>
        <item x="66"/>
        <item x="28"/>
        <item x="69"/>
        <item x="24"/>
        <item x="18"/>
        <item x="74"/>
        <item x="6"/>
        <item x="4"/>
        <item x="14"/>
        <item x="80"/>
        <item x="5"/>
        <item x="79"/>
        <item x="32"/>
        <item x="67"/>
        <item x="13"/>
        <item x="47"/>
        <item x="20"/>
        <item x="48"/>
        <item x="52"/>
        <item x="77"/>
        <item x="68"/>
        <item x="0"/>
        <item t="default"/>
      </items>
    </pivotField>
    <pivotField showAll="0"/>
    <pivotField showAll="0"/>
    <pivotField showAll="0"/>
    <pivotField showAll="0"/>
    <pivotField showAll="0"/>
    <pivotField showAll="0">
      <items count="189">
        <item x="7"/>
        <item x="12"/>
        <item x="47"/>
        <item x="37"/>
        <item x="63"/>
        <item x="55"/>
        <item x="132"/>
        <item x="31"/>
        <item x="95"/>
        <item x="86"/>
        <item x="44"/>
        <item x="46"/>
        <item x="79"/>
        <item x="106"/>
        <item x="64"/>
        <item x="30"/>
        <item x="19"/>
        <item x="182"/>
        <item x="6"/>
        <item x="76"/>
        <item x="166"/>
        <item x="52"/>
        <item x="146"/>
        <item x="99"/>
        <item x="18"/>
        <item x="73"/>
        <item x="135"/>
        <item x="110"/>
        <item x="68"/>
        <item x="39"/>
        <item x="87"/>
        <item x="136"/>
        <item x="78"/>
        <item x="25"/>
        <item x="128"/>
        <item x="107"/>
        <item x="38"/>
        <item x="109"/>
        <item x="72"/>
        <item x="50"/>
        <item x="133"/>
        <item x="21"/>
        <item x="22"/>
        <item x="143"/>
        <item x="8"/>
        <item x="163"/>
        <item x="32"/>
        <item x="100"/>
        <item x="70"/>
        <item x="67"/>
        <item x="130"/>
        <item x="59"/>
        <item x="75"/>
        <item x="89"/>
        <item x="102"/>
        <item x="139"/>
        <item x="27"/>
        <item x="153"/>
        <item x="82"/>
        <item x="49"/>
        <item x="61"/>
        <item x="118"/>
        <item x="134"/>
        <item x="104"/>
        <item x="149"/>
        <item x="16"/>
        <item x="113"/>
        <item x="185"/>
        <item x="138"/>
        <item x="90"/>
        <item x="45"/>
        <item x="83"/>
        <item x="120"/>
        <item x="74"/>
        <item x="48"/>
        <item x="160"/>
        <item x="56"/>
        <item x="9"/>
        <item x="117"/>
        <item x="29"/>
        <item x="114"/>
        <item x="85"/>
        <item x="43"/>
        <item x="5"/>
        <item x="124"/>
        <item x="137"/>
        <item x="53"/>
        <item x="101"/>
        <item x="80"/>
        <item x="84"/>
        <item x="93"/>
        <item x="141"/>
        <item x="58"/>
        <item x="26"/>
        <item x="155"/>
        <item x="126"/>
        <item x="60"/>
        <item x="92"/>
        <item x="10"/>
        <item x="176"/>
        <item x="13"/>
        <item x="127"/>
        <item x="28"/>
        <item x="36"/>
        <item x="177"/>
        <item x="187"/>
        <item x="151"/>
        <item x="112"/>
        <item x="171"/>
        <item x="121"/>
        <item x="14"/>
        <item x="81"/>
        <item x="54"/>
        <item x="33"/>
        <item x="57"/>
        <item x="62"/>
        <item x="181"/>
        <item x="122"/>
        <item x="158"/>
        <item x="88"/>
        <item x="35"/>
        <item x="167"/>
        <item x="148"/>
        <item x="172"/>
        <item x="125"/>
        <item x="131"/>
        <item x="144"/>
        <item x="91"/>
        <item x="180"/>
        <item x="165"/>
        <item x="69"/>
        <item x="105"/>
        <item x="65"/>
        <item x="51"/>
        <item x="24"/>
        <item x="71"/>
        <item x="23"/>
        <item x="111"/>
        <item x="94"/>
        <item x="66"/>
        <item x="183"/>
        <item x="108"/>
        <item x="162"/>
        <item x="15"/>
        <item x="34"/>
        <item x="40"/>
        <item x="147"/>
        <item x="119"/>
        <item x="184"/>
        <item x="145"/>
        <item x="159"/>
        <item x="164"/>
        <item x="175"/>
        <item x="20"/>
        <item x="157"/>
        <item x="168"/>
        <item x="77"/>
        <item x="11"/>
        <item x="142"/>
        <item x="115"/>
        <item x="161"/>
        <item x="154"/>
        <item x="170"/>
        <item x="98"/>
        <item x="116"/>
        <item x="140"/>
        <item x="123"/>
        <item x="169"/>
        <item x="129"/>
        <item x="42"/>
        <item x="17"/>
        <item x="174"/>
        <item x="178"/>
        <item x="41"/>
        <item x="103"/>
        <item x="1"/>
        <item x="179"/>
        <item x="2"/>
        <item x="0"/>
        <item x="4"/>
        <item x="3"/>
        <item x="150"/>
        <item x="96"/>
        <item x="173"/>
        <item x="186"/>
        <item x="97"/>
        <item x="156"/>
        <item x="15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9">
    <i>
      <x v="19"/>
    </i>
    <i>
      <x v="23"/>
    </i>
    <i>
      <x v="32"/>
    </i>
    <i>
      <x v="49"/>
    </i>
    <i>
      <x v="51"/>
    </i>
    <i>
      <x v="81"/>
    </i>
    <i>
      <x v="108"/>
    </i>
    <i>
      <x v="118"/>
    </i>
    <i>
      <x v="139"/>
    </i>
    <i>
      <x v="149"/>
    </i>
    <i>
      <x v="152"/>
    </i>
    <i>
      <x v="158"/>
    </i>
    <i>
      <x v="165"/>
    </i>
    <i>
      <x v="169"/>
    </i>
    <i>
      <x v="171"/>
    </i>
    <i>
      <x v="179"/>
    </i>
    <i>
      <x v="238"/>
    </i>
    <i>
      <x v="245"/>
    </i>
    <i t="grand">
      <x/>
    </i>
  </rowItems>
  <colFields count="1">
    <field x="-2"/>
  </colFields>
  <colItems count="9">
    <i>
      <x/>
    </i>
    <i i="1">
      <x v="1"/>
    </i>
    <i i="2">
      <x v="2"/>
    </i>
    <i i="3">
      <x v="3"/>
    </i>
    <i i="4">
      <x v="4"/>
    </i>
    <i i="5">
      <x v="5"/>
    </i>
    <i i="6">
      <x v="6"/>
    </i>
    <i i="7">
      <x v="7"/>
    </i>
    <i i="8">
      <x v="8"/>
    </i>
  </colItems>
  <pageFields count="1">
    <pageField fld="4" hier="-1"/>
  </pageFields>
  <dataFields count="9">
    <dataField name="Count of Country" fld="10" subtotal="count" baseField="0" baseItem="0"/>
    <dataField name="Count of Disaster Type" fld="12" subtotal="count" baseField="0" baseItem="0"/>
    <dataField name="Sum of Multilateral Beneficiaries" fld="24" baseField="0" baseItem="0" numFmtId="3"/>
    <dataField name="Sum of Direct Beneficiaries" fld="26" baseField="0" baseItem="0" numFmtId="3"/>
    <dataField name="Sum of Cash to IFRC" fld="28" baseField="0" baseItem="0" numFmtId="166"/>
    <dataField name="Sum of Cash to ICRC" fld="29" baseField="0" baseItem="0" numFmtId="166"/>
    <dataField name="Sum of Cash to NS" fld="30" baseField="0" baseItem="0" numFmtId="166"/>
    <dataField name="Sum of Value of Supplies" fld="51" baseField="0" baseItem="0" numFmtId="166"/>
    <dataField name="Sum of ARC People Deployed" fld="33" baseField="0" baseItem="0"/>
  </dataFields>
  <pivotTableStyleInfo name="PivotStyleLight16" showRowHeaders="1" showColHeaders="1" showRowStripes="0" showColStripes="0" showLastColumn="1"/>
</pivotTableDefinition>
</file>

<file path=xl/pivotTables/pivotTable11.xml><?xml version="1.0" encoding="utf-8"?>
<pivotTableDefinition xmlns="http://schemas.openxmlformats.org/spreadsheetml/2006/main" name="MRL Analysis - Undesignated Funds 2012 - 2007" cacheId="25" applyNumberFormats="0" applyBorderFormats="0" applyFontFormats="0" applyPatternFormats="0" applyAlignmentFormats="0" applyWidthHeightFormats="1" dataCaption="Data" updatedVersion="3" minRefreshableVersion="3" showMemberPropertyTips="0" useAutoFormatting="1" itemPrintTitles="1" createdVersion="3" indent="0" compact="0" compactData="0" gridDropZones="1">
  <location ref="A6:K37" firstHeaderRow="1" firstDataRow="2" firstDataCol="5" rowPageCount="3" colPageCount="1"/>
  <pivotFields count="77">
    <pivotField compact="0" outline="0" subtotalTop="0" showAll="0" includeNewItemsInFilter="1"/>
    <pivotField compact="0" outline="0" subtotalTop="0" showAll="0" includeNewItemsInFilter="1"/>
    <pivotField axis="axisRow" compact="0" outline="0" subtotalTop="0" showAll="0" includeNewItemsInFilter="1" defaultSubtotal="0">
      <items count="256">
        <item x="60"/>
        <item x="79"/>
        <item x="216"/>
        <item x="76"/>
        <item x="114"/>
        <item x="154"/>
        <item x="24"/>
        <item x="108"/>
        <item x="1"/>
        <item x="98"/>
        <item x="214"/>
        <item x="93"/>
        <item x="39"/>
        <item x="40"/>
        <item x="13"/>
        <item x="4"/>
        <item x="218"/>
        <item x="183"/>
        <item x="19"/>
        <item x="243"/>
        <item x="68"/>
        <item x="34"/>
        <item x="69"/>
        <item x="48"/>
        <item x="87"/>
        <item x="53"/>
        <item x="29"/>
        <item x="11"/>
        <item x="75"/>
        <item x="132"/>
        <item x="50"/>
        <item x="112"/>
        <item x="242"/>
        <item x="203"/>
        <item x="202"/>
        <item x="127"/>
        <item x="205"/>
        <item x="124"/>
        <item x="233"/>
        <item x="195"/>
        <item x="104"/>
        <item x="109"/>
        <item x="8"/>
        <item x="192"/>
        <item x="186"/>
        <item x="44"/>
        <item x="157"/>
        <item x="170"/>
        <item x="145"/>
        <item x="244"/>
        <item x="213"/>
        <item x="7"/>
        <item x="204"/>
        <item x="72"/>
        <item x="90"/>
        <item x="22"/>
        <item x="113"/>
        <item x="116"/>
        <item x="251"/>
        <item x="77"/>
        <item x="150"/>
        <item x="188"/>
        <item x="160"/>
        <item x="59"/>
        <item x="55"/>
        <item x="43"/>
        <item x="230"/>
        <item x="141"/>
        <item x="5"/>
        <item x="161"/>
        <item x="193"/>
        <item x="85"/>
        <item x="211"/>
        <item x="212"/>
        <item x="200"/>
        <item x="89"/>
        <item x="12"/>
        <item x="176"/>
        <item x="25"/>
        <item x="58"/>
        <item x="187"/>
        <item x="131"/>
        <item x="239"/>
        <item x="231"/>
        <item x="120"/>
        <item x="201"/>
        <item x="56"/>
        <item x="70"/>
        <item x="110"/>
        <item x="250"/>
        <item x="208"/>
        <item x="92"/>
        <item x="175"/>
        <item x="134"/>
        <item x="135"/>
        <item x="133"/>
        <item x="177"/>
        <item x="137"/>
        <item x="3"/>
        <item x="139"/>
        <item x="140"/>
        <item x="142"/>
        <item x="143"/>
        <item x="45"/>
        <item x="33"/>
        <item x="20"/>
        <item x="178"/>
        <item x="32"/>
        <item x="97"/>
        <item x="129"/>
        <item x="241"/>
        <item x="158"/>
        <item x="63"/>
        <item x="117"/>
        <item x="105"/>
        <item x="151"/>
        <item x="35"/>
        <item x="96"/>
        <item x="122"/>
        <item x="73"/>
        <item x="248"/>
        <item x="15"/>
        <item x="224"/>
        <item x="36"/>
        <item x="229"/>
        <item x="185"/>
        <item x="101"/>
        <item x="81"/>
        <item x="237"/>
        <item x="100"/>
        <item x="115"/>
        <item x="52"/>
        <item x="189"/>
        <item x="168"/>
        <item x="31"/>
        <item x="121"/>
        <item x="47"/>
        <item x="82"/>
        <item x="130"/>
        <item x="171"/>
        <item x="0"/>
        <item x="6"/>
        <item x="16"/>
        <item x="223"/>
        <item x="67"/>
        <item x="66"/>
        <item x="159"/>
        <item x="199"/>
        <item x="234"/>
        <item x="46"/>
        <item x="191"/>
        <item x="215"/>
        <item x="235"/>
        <item x="174"/>
        <item x="246"/>
        <item x="83"/>
        <item x="57"/>
        <item x="71"/>
        <item x="10"/>
        <item x="78"/>
        <item x="245"/>
        <item x="119"/>
        <item x="206"/>
        <item x="61"/>
        <item x="172"/>
        <item x="138"/>
        <item x="252"/>
        <item x="217"/>
        <item x="238"/>
        <item x="37"/>
        <item x="207"/>
        <item x="118"/>
        <item x="80"/>
        <item x="184"/>
        <item x="247"/>
        <item x="94"/>
        <item x="123"/>
        <item x="54"/>
        <item x="49"/>
        <item x="86"/>
        <item x="196"/>
        <item x="153"/>
        <item x="240"/>
        <item x="163"/>
        <item x="88"/>
        <item x="17"/>
        <item x="51"/>
        <item x="2"/>
        <item x="136"/>
        <item x="228"/>
        <item x="91"/>
        <item x="102"/>
        <item x="169"/>
        <item x="165"/>
        <item x="155"/>
        <item x="166"/>
        <item x="194"/>
        <item x="42"/>
        <item x="28"/>
        <item x="95"/>
        <item x="103"/>
        <item x="225"/>
        <item x="226"/>
        <item x="190"/>
        <item x="146"/>
        <item x="147"/>
        <item x="149"/>
        <item x="148"/>
        <item x="156"/>
        <item x="167"/>
        <item x="111"/>
        <item x="41"/>
        <item x="128"/>
        <item x="23"/>
        <item x="26"/>
        <item x="125"/>
        <item x="162"/>
        <item x="198"/>
        <item x="106"/>
        <item x="220"/>
        <item x="84"/>
        <item x="14"/>
        <item x="126"/>
        <item x="38"/>
        <item x="219"/>
        <item x="232"/>
        <item x="254"/>
        <item x="18"/>
        <item x="152"/>
        <item x="180"/>
        <item x="236"/>
        <item x="181"/>
        <item x="253"/>
        <item x="107"/>
        <item x="9"/>
        <item x="64"/>
        <item x="179"/>
        <item x="209"/>
        <item x="173"/>
        <item x="65"/>
        <item x="74"/>
        <item x="62"/>
        <item x="27"/>
        <item x="21"/>
        <item x="99"/>
        <item x="144"/>
        <item x="182"/>
        <item x="164"/>
        <item x="221"/>
        <item x="222"/>
        <item x="249"/>
        <item x="227"/>
        <item x="197"/>
        <item x="210"/>
        <item x="30"/>
        <item x="255"/>
      </items>
    </pivotField>
    <pivotField compact="0" outline="0" subtotalTop="0" showAll="0" includeNewItemsInFilter="1"/>
    <pivotField compact="0" outline="0" subtotalTop="0" showAll="0" includeNewItemsInFilter="1">
      <items count="19">
        <item h="1" x="0"/>
        <item h="1" x="1"/>
        <item h="1" x="2"/>
        <item h="1" x="3"/>
        <item h="1" x="4"/>
        <item h="1" x="5"/>
        <item h="1" x="6"/>
        <item h="1" x="7"/>
        <item h="1" x="8"/>
        <item h="1" x="9"/>
        <item h="1" x="10"/>
        <item x="11"/>
        <item x="12"/>
        <item x="13"/>
        <item x="14"/>
        <item x="15"/>
        <item x="16"/>
        <item h="1" x="17"/>
        <item t="default"/>
      </items>
    </pivotField>
    <pivotField compact="0" outline="0" subtotalTop="0" showAll="0" includeNewItemsInFilter="1"/>
    <pivotField compact="0" outline="0" subtotalTop="0" showAll="0" includeNewItemsInFilter="1"/>
    <pivotField axis="axisRow" compact="0" outline="0" subtotalTop="0" multipleItemSelectionAllowed="1" showAll="0" includeNewItemsInFilter="1">
      <items count="19">
        <item h="1" x="0"/>
        <item h="1" x="1"/>
        <item h="1" x="2"/>
        <item h="1" x="3"/>
        <item h="1" x="4"/>
        <item h="1" x="5"/>
        <item h="1" x="6"/>
        <item h="1" x="7"/>
        <item h="1" x="8"/>
        <item h="1" x="9"/>
        <item h="1" x="10"/>
        <item h="1" x="11"/>
        <item x="12"/>
        <item x="13"/>
        <item x="14"/>
        <item x="15"/>
        <item x="16"/>
        <item h="1" x="17"/>
        <item t="default"/>
      </items>
    </pivotField>
    <pivotField compact="0" outline="0" subtotalTop="0" showAll="0" includeNewItemsInFilter="1"/>
    <pivotField axis="axisPage" compact="0" outline="0" subtotalTop="0" multipleItemSelectionAllowed="1" showAll="0" includeNewItemsInFilter="1">
      <items count="6">
        <item x="1"/>
        <item x="3"/>
        <item x="2"/>
        <item x="4"/>
        <item x="0"/>
        <item t="default"/>
      </items>
    </pivotField>
    <pivotField compact="0" outline="0" subtotalTop="0" showAll="0" includeNewItemsInFilter="1"/>
    <pivotField compact="0" outline="0" subtotalTop="0" showAll="0" includeNewItemsInFilter="1"/>
    <pivotField axis="axisRow" compact="0" outline="0" subtotalTop="0" showAll="0" includeNewItemsInFilter="1" defaultSubtotal="0">
      <items count="25">
        <item h="1" sd="0" x="19"/>
        <item h="1" x="8"/>
        <item h="1" sd="0" x="20"/>
        <item h="1" sd="0" x="1"/>
        <item h="1" sd="0" x="3"/>
        <item h="1" sd="0" x="23"/>
        <item h="1" sd="0" x="11"/>
        <item x="2"/>
        <item h="1" sd="0" x="7"/>
        <item h="1" sd="0" x="14"/>
        <item h="1" sd="0" x="6"/>
        <item h="1" sd="0" x="18"/>
        <item h="1" sd="0" x="13"/>
        <item h="1" sd="0" x="10"/>
        <item h="1" sd="0" x="24"/>
        <item h="1" sd="0" x="5"/>
        <item h="1" sd="0" x="12"/>
        <item h="1" sd="0" x="9"/>
        <item h="1" sd="0" x="17"/>
        <item h="1" sd="0" x="16"/>
        <item h="1" sd="0" x="22"/>
        <item h="1" sd="0" x="4"/>
        <item h="1" sd="0" x="15"/>
        <item h="1" sd="0" x="21"/>
        <item h="1" sd="0" x="0"/>
      </items>
    </pivotField>
    <pivotField compact="0" outline="0" subtotalTop="0" showAll="0" includeNewItemsInFilter="1"/>
    <pivotField compact="0" outline="0" subtotalTop="0" showAll="0" includeNewItemsInFilter="1"/>
    <pivotField axis="axisRow" compact="0" outline="0" subtotalTop="0" showAll="0" includeNewItemsInFilter="1" defaultSubtotal="0">
      <items count="87">
        <item x="65"/>
        <item x="27"/>
        <item x="49"/>
        <item x="40"/>
        <item x="76"/>
        <item x="74"/>
        <item x="39"/>
        <item x="62"/>
        <item x="57"/>
        <item x="75"/>
        <item x="50"/>
        <item x="35"/>
        <item x="52"/>
        <item x="45"/>
        <item x="79"/>
        <item x="53"/>
        <item x="34"/>
        <item x="31"/>
        <item x="68"/>
        <item x="37"/>
        <item x="36"/>
        <item x="66"/>
        <item x="33"/>
        <item x="48"/>
        <item x="60"/>
        <item x="59"/>
        <item x="20"/>
        <item x="69"/>
        <item x="14"/>
        <item x="16"/>
        <item x="17"/>
        <item x="13"/>
        <item x="73"/>
        <item x="77"/>
        <item x="51"/>
        <item x="47"/>
        <item x="5"/>
        <item x="23"/>
        <item x="83"/>
        <item x="25"/>
        <item x="43"/>
        <item x="9"/>
        <item x="44"/>
        <item x="70"/>
        <item x="26"/>
        <item x="86"/>
        <item x="15"/>
        <item x="21"/>
        <item x="67"/>
        <item x="84"/>
        <item x="18"/>
        <item x="82"/>
        <item x="11"/>
        <item x="12"/>
        <item x="72"/>
        <item x="54"/>
        <item x="38"/>
        <item x="10"/>
        <item x="58"/>
        <item x="6"/>
        <item x="8"/>
        <item x="7"/>
        <item x="28"/>
        <item x="41"/>
        <item x="1"/>
        <item x="61"/>
        <item x="81"/>
        <item x="85"/>
        <item x="4"/>
        <item x="64"/>
        <item x="56"/>
        <item x="24"/>
        <item x="63"/>
        <item x="30"/>
        <item x="32"/>
        <item x="80"/>
        <item x="3"/>
        <item x="22"/>
        <item x="19"/>
        <item x="29"/>
        <item x="78"/>
        <item x="2"/>
        <item x="46"/>
        <item x="71"/>
        <item x="55"/>
        <item x="42"/>
        <item x="0"/>
      </items>
    </pivotField>
    <pivotField axis="axisRow" compact="0" outline="0" subtotalTop="0" showAll="0" includeNewItemsInFilter="1">
      <items count="4">
        <item x="2"/>
        <item x="1"/>
        <item x="0"/>
        <item t="default"/>
      </items>
    </pivotField>
    <pivotField compact="0" outline="0" subtotalTop="0" showAll="0" includeNewItemsInFilter="1"/>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Page" compact="0" outline="0" subtotalTop="0" multipleItemSelectionAllowed="1" showAll="0" includeNewItemsInFilter="1">
      <items count="3">
        <item x="1"/>
        <item x="0"/>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sumSubtotal="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items count="194">
        <item x="7"/>
        <item x="12"/>
        <item x="47"/>
        <item x="37"/>
        <item x="63"/>
        <item x="55"/>
        <item x="132"/>
        <item x="31"/>
        <item x="95"/>
        <item x="86"/>
        <item x="44"/>
        <item x="46"/>
        <item x="79"/>
        <item x="106"/>
        <item x="64"/>
        <item x="30"/>
        <item x="19"/>
        <item x="182"/>
        <item x="6"/>
        <item x="76"/>
        <item x="166"/>
        <item x="52"/>
        <item x="146"/>
        <item x="99"/>
        <item x="18"/>
        <item x="73"/>
        <item x="135"/>
        <item x="110"/>
        <item x="68"/>
        <item x="39"/>
        <item x="87"/>
        <item x="136"/>
        <item x="78"/>
        <item x="25"/>
        <item x="128"/>
        <item x="107"/>
        <item x="38"/>
        <item x="109"/>
        <item x="72"/>
        <item x="50"/>
        <item x="133"/>
        <item x="21"/>
        <item x="22"/>
        <item x="143"/>
        <item x="8"/>
        <item x="163"/>
        <item x="32"/>
        <item x="100"/>
        <item x="70"/>
        <item x="67"/>
        <item x="130"/>
        <item x="59"/>
        <item x="75"/>
        <item x="89"/>
        <item x="102"/>
        <item x="139"/>
        <item x="27"/>
        <item x="153"/>
        <item x="82"/>
        <item x="49"/>
        <item x="61"/>
        <item x="118"/>
        <item x="134"/>
        <item x="104"/>
        <item x="149"/>
        <item x="16"/>
        <item x="113"/>
        <item x="185"/>
        <item x="138"/>
        <item x="90"/>
        <item x="45"/>
        <item x="83"/>
        <item x="120"/>
        <item x="74"/>
        <item x="48"/>
        <item x="160"/>
        <item x="56"/>
        <item x="9"/>
        <item x="117"/>
        <item x="29"/>
        <item x="114"/>
        <item x="85"/>
        <item x="43"/>
        <item x="5"/>
        <item x="124"/>
        <item x="137"/>
        <item x="53"/>
        <item x="101"/>
        <item x="80"/>
        <item x="84"/>
        <item x="93"/>
        <item x="141"/>
        <item x="58"/>
        <item x="26"/>
        <item x="155"/>
        <item x="126"/>
        <item x="60"/>
        <item x="92"/>
        <item x="10"/>
        <item x="176"/>
        <item x="13"/>
        <item x="127"/>
        <item x="192"/>
        <item x="28"/>
        <item x="36"/>
        <item x="177"/>
        <item x="187"/>
        <item x="151"/>
        <item x="112"/>
        <item x="171"/>
        <item x="121"/>
        <item x="14"/>
        <item x="81"/>
        <item x="54"/>
        <item x="33"/>
        <item x="57"/>
        <item x="62"/>
        <item x="181"/>
        <item x="122"/>
        <item x="158"/>
        <item x="88"/>
        <item x="35"/>
        <item x="167"/>
        <item x="148"/>
        <item x="191"/>
        <item x="172"/>
        <item x="125"/>
        <item x="131"/>
        <item x="144"/>
        <item x="91"/>
        <item x="189"/>
        <item x="180"/>
        <item x="165"/>
        <item x="69"/>
        <item x="105"/>
        <item x="65"/>
        <item x="51"/>
        <item x="24"/>
        <item x="71"/>
        <item x="23"/>
        <item x="111"/>
        <item x="94"/>
        <item x="66"/>
        <item x="183"/>
        <item x="108"/>
        <item x="162"/>
        <item x="15"/>
        <item x="34"/>
        <item x="40"/>
        <item x="147"/>
        <item x="119"/>
        <item x="190"/>
        <item x="184"/>
        <item x="145"/>
        <item x="159"/>
        <item x="164"/>
        <item x="175"/>
        <item x="20"/>
        <item x="157"/>
        <item x="168"/>
        <item x="77"/>
        <item x="11"/>
        <item x="142"/>
        <item x="115"/>
        <item x="161"/>
        <item x="154"/>
        <item x="170"/>
        <item x="98"/>
        <item x="116"/>
        <item x="140"/>
        <item x="123"/>
        <item x="169"/>
        <item x="188"/>
        <item x="129"/>
        <item x="42"/>
        <item x="17"/>
        <item x="174"/>
        <item x="178"/>
        <item x="41"/>
        <item x="103"/>
        <item x="1"/>
        <item x="179"/>
        <item x="2"/>
        <item x="0"/>
        <item x="4"/>
        <item x="3"/>
        <item x="150"/>
        <item x="96"/>
        <item x="173"/>
        <item x="186"/>
        <item x="97"/>
        <item x="156"/>
        <item x="152"/>
        <item t="default"/>
      </items>
    </pivotField>
    <pivotField axis="axisPage" compact="0" outline="0" subtotalTop="0" multipleItemSelectionAllowed="1" showAll="0" includeNewItemsInFilter="1">
      <items count="4">
        <item x="2"/>
        <item h="1" x="1"/>
        <item h="1" x="0"/>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5">
    <field x="7"/>
    <field x="12"/>
    <field x="2"/>
    <field x="15"/>
    <field x="16"/>
  </rowFields>
  <rowItems count="30">
    <i>
      <x v="12"/>
      <x v="7"/>
      <x v="47"/>
      <x v="86"/>
      <x v="2"/>
    </i>
    <i r="2">
      <x v="153"/>
      <x v="52"/>
      <x v="1"/>
    </i>
    <i r="2">
      <x v="229"/>
      <x v="29"/>
      <x v="1"/>
    </i>
    <i r="2">
      <x v="236"/>
      <x v="46"/>
      <x v="1"/>
    </i>
    <i t="default">
      <x v="12"/>
    </i>
    <i>
      <x v="13"/>
      <x v="7"/>
      <x v="39"/>
      <x v="17"/>
      <x v="2"/>
    </i>
    <i r="2">
      <x v="153"/>
      <x v="19"/>
      <x v="1"/>
    </i>
    <i r="2">
      <x v="170"/>
      <x v="13"/>
      <x v="1"/>
    </i>
    <i r="2">
      <x v="217"/>
      <x v="16"/>
      <x v="1"/>
    </i>
    <i r="2">
      <x v="243"/>
      <x v="50"/>
      <x v="1"/>
    </i>
    <i t="default">
      <x v="13"/>
    </i>
    <i>
      <x v="14"/>
      <x v="7"/>
      <x v="46"/>
      <x v="12"/>
      <x v="1"/>
    </i>
    <i r="2">
      <x v="151"/>
      <x v="55"/>
      <x v="1"/>
    </i>
    <i r="2">
      <x v="224"/>
      <x v="8"/>
      <x v="1"/>
    </i>
    <i r="2">
      <x v="248"/>
      <x v="50"/>
      <x v="1"/>
    </i>
    <i r="2">
      <x v="249"/>
      <x v="25"/>
      <x v="1"/>
    </i>
    <i t="default">
      <x v="14"/>
    </i>
    <i>
      <x v="15"/>
      <x v="7"/>
      <x v="141"/>
      <x v="47"/>
      <x/>
    </i>
    <i r="2">
      <x v="168"/>
      <x v="83"/>
      <x v="1"/>
    </i>
    <i r="2">
      <x v="172"/>
      <x v="4"/>
      <x v="1"/>
    </i>
    <i r="2">
      <x v="243"/>
      <x v="54"/>
      <x v="1"/>
    </i>
    <i t="default">
      <x v="15"/>
    </i>
    <i>
      <x v="16"/>
      <x v="7"/>
      <x v="18"/>
      <x v="55"/>
      <x v="1"/>
    </i>
    <i r="2">
      <x v="46"/>
      <x v="45"/>
      <x/>
    </i>
    <i r="2">
      <x v="58"/>
      <x v="14"/>
      <x v="1"/>
    </i>
    <i r="2">
      <x v="151"/>
      <x v="33"/>
      <x v="1"/>
    </i>
    <i r="2">
      <x v="166"/>
      <x v="75"/>
      <x v="1"/>
    </i>
    <i r="2">
      <x v="243"/>
      <x v="49"/>
      <x v="1"/>
    </i>
    <i t="default">
      <x v="16"/>
    </i>
    <i t="grand">
      <x/>
    </i>
  </rowItems>
  <colFields count="1">
    <field x="-2"/>
  </colFields>
  <colItems count="6">
    <i>
      <x/>
    </i>
    <i i="1">
      <x v="1"/>
    </i>
    <i i="2">
      <x v="2"/>
    </i>
    <i i="3">
      <x v="3"/>
    </i>
    <i i="4">
      <x v="4"/>
    </i>
    <i i="5">
      <x v="5"/>
    </i>
  </colItems>
  <pageFields count="3">
    <pageField fld="58" hier="-1"/>
    <pageField fld="9" hier="-1"/>
    <pageField fld="25" hier="-1"/>
  </pageFields>
  <dataFields count="6">
    <dataField name="Sum of Total Cash" fld="32" baseField="0" baseItem="0" numFmtId="166"/>
    <dataField name="Average of Total Cash" fld="32" subtotal="average" baseField="0" baseItem="0" numFmtId="166"/>
    <dataField name="Min of Total Cash" fld="32" subtotal="min" baseField="0" baseItem="0" numFmtId="166"/>
    <dataField name="Max of Total Cash" fld="32" subtotal="max" baseField="0" baseItem="0" numFmtId="166"/>
    <dataField name="Sum of Value of Supplies" fld="51" baseField="0" baseItem="0" numFmtId="166"/>
    <dataField name="Sum of Total Contributions" fld="57" baseField="0" baseItem="0" numFmtId="166"/>
  </dataFields>
  <formats count="20">
    <format dxfId="186">
      <pivotArea field="57" type="button" dataOnly="0" labelOnly="1" outline="0"/>
    </format>
    <format dxfId="185">
      <pivotArea outline="0" fieldPosition="0">
        <references count="1">
          <reference field="4294967294" count="1">
            <x v="0"/>
          </reference>
        </references>
      </pivotArea>
    </format>
    <format dxfId="184">
      <pivotArea outline="0" fieldPosition="0">
        <references count="1">
          <reference field="4294967294" count="1">
            <x v="4"/>
          </reference>
        </references>
      </pivotArea>
    </format>
    <format dxfId="183">
      <pivotArea outline="0" fieldPosition="0">
        <references count="1">
          <reference field="4294967294" count="1">
            <x v="5"/>
          </reference>
        </references>
      </pivotArea>
    </format>
    <format dxfId="182">
      <pivotArea field="58" type="button" dataOnly="0" labelOnly="1" outline="0" axis="axisPage" fieldPosition="0"/>
    </format>
    <format dxfId="181">
      <pivotArea field="9" type="button" dataOnly="0" labelOnly="1" outline="0" axis="axisPage" fieldPosition="1"/>
    </format>
    <format dxfId="180">
      <pivotArea type="origin" dataOnly="0" labelOnly="1" outline="0" fieldPosition="0"/>
    </format>
    <format dxfId="179">
      <pivotArea dataOnly="0" labelOnly="1" grandRow="1" outline="0" fieldPosition="0"/>
    </format>
    <format dxfId="178">
      <pivotArea outline="0" fieldPosition="0">
        <references count="1">
          <reference field="4294967294" count="1">
            <x v="1"/>
          </reference>
        </references>
      </pivotArea>
    </format>
    <format dxfId="177">
      <pivotArea field="4" type="button" dataOnly="0" labelOnly="1" outline="0"/>
    </format>
    <format dxfId="176">
      <pivotArea field="12" type="button" dataOnly="0" labelOnly="1" outline="0" axis="axisRow" fieldPosition="1"/>
    </format>
    <format dxfId="175">
      <pivotArea field="2" type="button" dataOnly="0" labelOnly="1" outline="0" axis="axisRow" fieldPosition="2"/>
    </format>
    <format dxfId="174">
      <pivotArea field="15" type="button" dataOnly="0" labelOnly="1" outline="0" axis="axisRow" fieldPosition="3"/>
    </format>
    <format dxfId="173">
      <pivotArea field="16" type="button" dataOnly="0" labelOnly="1" outline="0" axis="axisRow" fieldPosition="4"/>
    </format>
    <format dxfId="172">
      <pivotArea dataOnly="0" labelOnly="1" outline="0" fieldPosition="0">
        <references count="1">
          <reference field="4294967294" count="4">
            <x v="0"/>
            <x v="1"/>
            <x v="4"/>
            <x v="5"/>
          </reference>
        </references>
      </pivotArea>
    </format>
    <format dxfId="171">
      <pivotArea field="25" type="button" dataOnly="0" labelOnly="1" outline="0" axis="axisPage" fieldPosition="2"/>
    </format>
    <format dxfId="170">
      <pivotArea field="15" type="button" dataOnly="0" labelOnly="1" outline="0" axis="axisRow" fieldPosition="3"/>
    </format>
    <format dxfId="169">
      <pivotArea outline="0" fieldPosition="0">
        <references count="1">
          <reference field="4294967294" count="1">
            <x v="2"/>
          </reference>
        </references>
      </pivotArea>
    </format>
    <format dxfId="168">
      <pivotArea dataOnly="0" labelOnly="1" outline="0" fieldPosition="0">
        <references count="1">
          <reference field="4294967294" count="2">
            <x v="2"/>
            <x v="3"/>
          </reference>
        </references>
      </pivotArea>
    </format>
    <format dxfId="167">
      <pivotArea outline="0" fieldPosition="0">
        <references count="1">
          <reference field="4294967294" count="1">
            <x v="3"/>
          </reference>
        </references>
      </pivotArea>
    </format>
  </formats>
  <pivotTableStyleInfo showRowHeaders="1" showColHeaders="1" showRowStripes="0" showColStripes="0" showLastColumn="1"/>
</pivotTableDefinition>
</file>

<file path=xl/pivotTables/pivotTable12.xml><?xml version="1.0" encoding="utf-8"?>
<pivotTableDefinition xmlns="http://schemas.openxmlformats.org/spreadsheetml/2006/main" name="MRL Analysis - Undesignated Funds 2012 - 2007" cacheId="27" applyNumberFormats="0" applyBorderFormats="0" applyFontFormats="0" applyPatternFormats="0" applyAlignmentFormats="0" applyWidthHeightFormats="1" dataCaption="Data" updatedVersion="3" minRefreshableVersion="3" showMemberPropertyTips="0" useAutoFormatting="1" itemPrintTitles="1" createdVersion="3" indent="0" compact="0" compactData="0" gridDropZones="1" chartFormat="27">
  <location ref="A6:I11" firstHeaderRow="1" firstDataRow="2" firstDataCol="1" rowPageCount="3" colPageCount="1"/>
  <pivotFields count="77">
    <pivotField compact="0" outline="0" subtotalTop="0" showAll="0" includeNewItemsInFilter="1"/>
    <pivotField compact="0" outline="0" subtotalTop="0" showAll="0" includeNewItemsInFilter="1"/>
    <pivotField compact="0" outline="0" subtotalTop="0" showAll="0" includeNewItemsInFilter="1" defaultSubtotal="0">
      <items count="255">
        <item x="60"/>
        <item x="79"/>
        <item x="216"/>
        <item x="76"/>
        <item x="114"/>
        <item x="154"/>
        <item x="24"/>
        <item x="108"/>
        <item x="1"/>
        <item x="98"/>
        <item x="214"/>
        <item x="93"/>
        <item x="39"/>
        <item x="40"/>
        <item x="13"/>
        <item x="4"/>
        <item x="218"/>
        <item x="183"/>
        <item x="19"/>
        <item x="243"/>
        <item x="68"/>
        <item x="34"/>
        <item x="69"/>
        <item x="48"/>
        <item x="87"/>
        <item x="53"/>
        <item x="29"/>
        <item x="11"/>
        <item x="75"/>
        <item x="132"/>
        <item x="50"/>
        <item x="112"/>
        <item x="242"/>
        <item x="203"/>
        <item x="202"/>
        <item x="127"/>
        <item x="205"/>
        <item x="124"/>
        <item x="233"/>
        <item x="195"/>
        <item x="104"/>
        <item x="109"/>
        <item x="8"/>
        <item x="192"/>
        <item x="186"/>
        <item x="44"/>
        <item x="157"/>
        <item x="170"/>
        <item x="145"/>
        <item x="244"/>
        <item x="213"/>
        <item x="7"/>
        <item x="204"/>
        <item x="72"/>
        <item x="90"/>
        <item x="22"/>
        <item x="113"/>
        <item x="116"/>
        <item x="251"/>
        <item x="77"/>
        <item x="150"/>
        <item x="188"/>
        <item x="160"/>
        <item x="59"/>
        <item x="55"/>
        <item x="43"/>
        <item x="230"/>
        <item x="141"/>
        <item x="5"/>
        <item x="161"/>
        <item x="193"/>
        <item x="85"/>
        <item x="211"/>
        <item x="212"/>
        <item x="200"/>
        <item x="89"/>
        <item x="12"/>
        <item x="176"/>
        <item x="25"/>
        <item x="58"/>
        <item x="187"/>
        <item x="131"/>
        <item x="239"/>
        <item x="231"/>
        <item x="120"/>
        <item x="201"/>
        <item x="56"/>
        <item x="70"/>
        <item x="110"/>
        <item x="250"/>
        <item x="208"/>
        <item x="92"/>
        <item x="175"/>
        <item x="134"/>
        <item x="135"/>
        <item x="133"/>
        <item x="177"/>
        <item x="137"/>
        <item x="3"/>
        <item x="139"/>
        <item x="140"/>
        <item x="142"/>
        <item x="143"/>
        <item x="45"/>
        <item x="33"/>
        <item x="20"/>
        <item x="178"/>
        <item x="32"/>
        <item x="97"/>
        <item x="129"/>
        <item x="241"/>
        <item x="158"/>
        <item x="63"/>
        <item x="117"/>
        <item x="105"/>
        <item x="151"/>
        <item x="35"/>
        <item x="96"/>
        <item x="122"/>
        <item x="73"/>
        <item x="248"/>
        <item x="15"/>
        <item x="224"/>
        <item x="36"/>
        <item x="229"/>
        <item x="185"/>
        <item x="101"/>
        <item x="81"/>
        <item x="237"/>
        <item x="100"/>
        <item x="115"/>
        <item x="52"/>
        <item x="189"/>
        <item x="168"/>
        <item x="31"/>
        <item x="121"/>
        <item x="47"/>
        <item x="82"/>
        <item x="130"/>
        <item x="171"/>
        <item x="0"/>
        <item x="6"/>
        <item x="16"/>
        <item x="223"/>
        <item x="67"/>
        <item x="66"/>
        <item x="159"/>
        <item x="199"/>
        <item x="234"/>
        <item x="46"/>
        <item x="191"/>
        <item x="215"/>
        <item x="235"/>
        <item x="174"/>
        <item x="246"/>
        <item x="83"/>
        <item x="57"/>
        <item x="71"/>
        <item x="10"/>
        <item x="78"/>
        <item x="245"/>
        <item x="119"/>
        <item x="206"/>
        <item x="61"/>
        <item x="172"/>
        <item x="138"/>
        <item x="252"/>
        <item x="217"/>
        <item x="238"/>
        <item x="37"/>
        <item x="207"/>
        <item x="118"/>
        <item x="80"/>
        <item x="184"/>
        <item x="247"/>
        <item x="94"/>
        <item x="123"/>
        <item x="54"/>
        <item x="49"/>
        <item x="86"/>
        <item x="196"/>
        <item x="153"/>
        <item x="240"/>
        <item x="163"/>
        <item x="88"/>
        <item x="17"/>
        <item x="51"/>
        <item x="2"/>
        <item x="136"/>
        <item x="228"/>
        <item x="91"/>
        <item x="102"/>
        <item x="169"/>
        <item x="165"/>
        <item x="155"/>
        <item x="166"/>
        <item x="194"/>
        <item x="42"/>
        <item x="28"/>
        <item x="95"/>
        <item x="103"/>
        <item x="225"/>
        <item x="226"/>
        <item x="190"/>
        <item x="146"/>
        <item x="147"/>
        <item x="149"/>
        <item x="148"/>
        <item x="156"/>
        <item x="167"/>
        <item x="111"/>
        <item x="41"/>
        <item x="128"/>
        <item x="23"/>
        <item x="26"/>
        <item x="125"/>
        <item x="162"/>
        <item x="198"/>
        <item x="106"/>
        <item x="220"/>
        <item x="84"/>
        <item x="14"/>
        <item x="126"/>
        <item x="38"/>
        <item x="219"/>
        <item x="232"/>
        <item x="254"/>
        <item x="18"/>
        <item x="152"/>
        <item x="180"/>
        <item x="236"/>
        <item x="181"/>
        <item x="253"/>
        <item x="107"/>
        <item x="9"/>
        <item x="64"/>
        <item x="179"/>
        <item x="209"/>
        <item x="173"/>
        <item x="65"/>
        <item x="74"/>
        <item x="62"/>
        <item x="27"/>
        <item x="21"/>
        <item x="99"/>
        <item x="144"/>
        <item x="182"/>
        <item x="164"/>
        <item x="221"/>
        <item x="222"/>
        <item x="249"/>
        <item x="227"/>
        <item x="197"/>
        <item x="210"/>
        <item x="30"/>
      </items>
    </pivotField>
    <pivotField compact="0" outline="0" subtotalTop="0" showAll="0" includeNewItemsInFilter="1"/>
    <pivotField compact="0" outline="0" subtotalTop="0" multipleItemSelectionAllowed="1" showAll="0" includeNewItemsInFilter="1">
      <items count="18">
        <item h="1" x="0"/>
        <item h="1" x="1"/>
        <item h="1" x="2"/>
        <item h="1" x="3"/>
        <item h="1" x="4"/>
        <item h="1" x="5"/>
        <item h="1" x="6"/>
        <item h="1" x="7"/>
        <item h="1" x="8"/>
        <item h="1" x="9"/>
        <item h="1" x="10"/>
        <item h="1" x="11"/>
        <item x="12"/>
        <item x="13"/>
        <item x="14"/>
        <item x="15"/>
        <item x="16"/>
        <item t="default"/>
      </items>
    </pivotField>
    <pivotField compact="0" outline="0" subtotalTop="0" showAll="0" includeNewItemsInFilter="1"/>
    <pivotField compact="0" outline="0" subtotalTop="0" showAll="0" includeNewItemsInFilter="1"/>
    <pivotField axis="axisPage" compact="0" outline="0" subtotalTop="0" multipleItemSelectionAllowed="1" showAll="0" includeNewItemsInFilter="1">
      <items count="18">
        <item h="1" x="0"/>
        <item h="1" x="1"/>
        <item h="1" x="2"/>
        <item h="1" x="3"/>
        <item h="1" x="4"/>
        <item h="1" x="5"/>
        <item h="1" x="6"/>
        <item h="1" x="7"/>
        <item h="1" x="8"/>
        <item h="1" x="9"/>
        <item h="1" x="10"/>
        <item h="1" x="11"/>
        <item x="12"/>
        <item x="13"/>
        <item x="14"/>
        <item x="15"/>
        <item x="16"/>
        <item t="default"/>
      </items>
    </pivotField>
    <pivotField compact="0" outline="0" subtotalTop="0" showAll="0" includeNewItemsInFilter="1"/>
    <pivotField axis="axisRow" compact="0" outline="0" subtotalTop="0" multipleItemSelectionAllowed="1" showAll="0" includeNewItemsInFilter="1">
      <items count="6">
        <item x="1"/>
        <item x="3"/>
        <item x="2"/>
        <item x="4"/>
        <item x="0"/>
        <item t="default"/>
      </items>
    </pivotField>
    <pivotField compact="0" outline="0" subtotalTop="0" showAll="0" includeNewItemsInFilter="1"/>
    <pivotField compact="0" outline="0" subtotalTop="0" showAll="0" includeNewItemsInFilter="1"/>
    <pivotField axis="axisCol" compact="0" outline="0" subtotalTop="0" showAll="0" includeNewItemsInFilter="1" defaultSubtotal="0">
      <items count="25">
        <item h="1" sd="0" x="19"/>
        <item sd="0" x="8"/>
        <item sd="0" x="20"/>
        <item sd="0" x="1"/>
        <item sd="0" x="3"/>
        <item h="1" sd="0" x="23"/>
        <item h="1" sd="0" x="11"/>
        <item sd="0" x="2"/>
        <item sd="0" x="7"/>
        <item h="1" sd="0" x="14"/>
        <item h="1" sd="0" x="6"/>
        <item h="1" sd="0" x="18"/>
        <item h="1" sd="0" x="13"/>
        <item h="1" sd="0" x="10"/>
        <item h="1" sd="0" x="24"/>
        <item sd="0" x="5"/>
        <item h="1" sd="0" x="12"/>
        <item h="1" sd="0" x="9"/>
        <item sd="0" x="17"/>
        <item h="1" sd="0" x="16"/>
        <item h="1" sd="0" x="22"/>
        <item h="1" sd="0" x="4"/>
        <item h="1" sd="0" x="15"/>
        <item h="1" sd="0" x="21"/>
        <item h="1" sd="0" x="0"/>
      </items>
    </pivotField>
    <pivotField compact="0" outline="0" subtotalTop="0" showAll="0" includeNewItemsInFilter="1"/>
    <pivotField compact="0" outline="0" subtotalTop="0" showAll="0" includeNewItemsInFilter="1"/>
    <pivotField compact="0" outline="0" subtotalTop="0" showAll="0" includeNewItemsInFilter="1" defaultSubtotal="0">
      <items count="87">
        <item x="65"/>
        <item x="27"/>
        <item x="49"/>
        <item x="40"/>
        <item x="76"/>
        <item x="74"/>
        <item x="39"/>
        <item x="62"/>
        <item x="57"/>
        <item x="75"/>
        <item x="50"/>
        <item x="35"/>
        <item x="52"/>
        <item x="45"/>
        <item x="79"/>
        <item x="53"/>
        <item x="34"/>
        <item x="31"/>
        <item x="68"/>
        <item x="37"/>
        <item x="36"/>
        <item x="66"/>
        <item x="33"/>
        <item x="48"/>
        <item x="60"/>
        <item x="59"/>
        <item x="20"/>
        <item x="69"/>
        <item x="14"/>
        <item x="16"/>
        <item x="17"/>
        <item x="13"/>
        <item x="73"/>
        <item x="77"/>
        <item x="51"/>
        <item x="47"/>
        <item x="5"/>
        <item x="23"/>
        <item x="83"/>
        <item x="25"/>
        <item x="43"/>
        <item x="9"/>
        <item x="44"/>
        <item x="70"/>
        <item x="26"/>
        <item x="86"/>
        <item x="15"/>
        <item x="21"/>
        <item x="67"/>
        <item x="84"/>
        <item x="18"/>
        <item x="82"/>
        <item x="11"/>
        <item x="12"/>
        <item x="72"/>
        <item x="54"/>
        <item x="38"/>
        <item x="10"/>
        <item x="58"/>
        <item x="6"/>
        <item x="8"/>
        <item x="7"/>
        <item x="28"/>
        <item x="41"/>
        <item x="1"/>
        <item x="61"/>
        <item x="81"/>
        <item x="85"/>
        <item x="4"/>
        <item x="64"/>
        <item x="56"/>
        <item x="24"/>
        <item x="63"/>
        <item x="30"/>
        <item x="32"/>
        <item x="80"/>
        <item x="3"/>
        <item x="22"/>
        <item x="19"/>
        <item x="29"/>
        <item x="78"/>
        <item x="2"/>
        <item x="46"/>
        <item x="71"/>
        <item x="55"/>
        <item x="42"/>
        <item x="0"/>
      </items>
    </pivotField>
    <pivotField compact="0" outline="0" subtotalTop="0" showAll="0" includeNewItemsInFilter="1">
      <items count="4">
        <item x="2"/>
        <item x="1"/>
        <item x="0"/>
        <item t="default"/>
      </items>
    </pivotField>
    <pivotField compact="0" outline="0" subtotalTop="0" showAll="0" includeNewItemsInFilter="1"/>
    <pivotField compact="0" outline="0" subtotalTop="0" showAll="0" includeNewItemsInFilter="1" defaultSubtotal="0"/>
    <pivotField compact="0" outline="0" subtotalTop="0" showAll="0" includeNewItemsInFilter="1"/>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Page" compact="0" outline="0" subtotalTop="0" multipleItemSelectionAllowed="1" showAll="0" includeNewItemsInFilter="1">
      <items count="3">
        <item x="1"/>
        <item x="0"/>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sumSubtotal="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items count="194">
        <item x="7"/>
        <item x="12"/>
        <item x="47"/>
        <item x="37"/>
        <item x="63"/>
        <item x="55"/>
        <item x="132"/>
        <item x="31"/>
        <item x="95"/>
        <item x="86"/>
        <item x="44"/>
        <item x="46"/>
        <item x="79"/>
        <item x="106"/>
        <item x="64"/>
        <item x="30"/>
        <item x="19"/>
        <item x="182"/>
        <item x="6"/>
        <item x="76"/>
        <item x="166"/>
        <item x="52"/>
        <item x="146"/>
        <item x="99"/>
        <item x="18"/>
        <item x="73"/>
        <item x="135"/>
        <item x="110"/>
        <item x="68"/>
        <item x="39"/>
        <item x="87"/>
        <item x="136"/>
        <item x="78"/>
        <item x="25"/>
        <item x="128"/>
        <item x="107"/>
        <item x="38"/>
        <item x="109"/>
        <item x="72"/>
        <item x="50"/>
        <item x="133"/>
        <item x="21"/>
        <item x="22"/>
        <item x="143"/>
        <item x="8"/>
        <item x="163"/>
        <item x="32"/>
        <item x="100"/>
        <item x="70"/>
        <item x="67"/>
        <item x="130"/>
        <item x="59"/>
        <item x="75"/>
        <item x="89"/>
        <item x="102"/>
        <item x="139"/>
        <item x="27"/>
        <item x="153"/>
        <item x="82"/>
        <item x="49"/>
        <item x="61"/>
        <item x="118"/>
        <item x="134"/>
        <item x="104"/>
        <item x="149"/>
        <item x="16"/>
        <item x="113"/>
        <item x="185"/>
        <item x="138"/>
        <item x="90"/>
        <item x="45"/>
        <item x="83"/>
        <item x="120"/>
        <item x="74"/>
        <item x="48"/>
        <item x="160"/>
        <item x="56"/>
        <item x="9"/>
        <item x="117"/>
        <item x="29"/>
        <item x="114"/>
        <item x="85"/>
        <item x="43"/>
        <item x="5"/>
        <item x="124"/>
        <item x="137"/>
        <item x="53"/>
        <item x="101"/>
        <item x="80"/>
        <item x="84"/>
        <item x="93"/>
        <item x="141"/>
        <item x="58"/>
        <item x="26"/>
        <item x="155"/>
        <item x="126"/>
        <item x="60"/>
        <item x="92"/>
        <item x="10"/>
        <item x="176"/>
        <item x="13"/>
        <item x="127"/>
        <item x="192"/>
        <item x="28"/>
        <item x="36"/>
        <item x="177"/>
        <item x="187"/>
        <item x="151"/>
        <item x="112"/>
        <item x="171"/>
        <item x="121"/>
        <item x="14"/>
        <item x="81"/>
        <item x="54"/>
        <item x="33"/>
        <item x="57"/>
        <item x="62"/>
        <item x="181"/>
        <item x="122"/>
        <item x="158"/>
        <item x="88"/>
        <item x="35"/>
        <item x="167"/>
        <item x="148"/>
        <item x="191"/>
        <item x="172"/>
        <item x="125"/>
        <item x="131"/>
        <item x="144"/>
        <item x="91"/>
        <item x="189"/>
        <item x="180"/>
        <item x="165"/>
        <item x="69"/>
        <item x="105"/>
        <item x="65"/>
        <item x="51"/>
        <item x="24"/>
        <item x="71"/>
        <item x="23"/>
        <item x="111"/>
        <item x="94"/>
        <item x="66"/>
        <item x="183"/>
        <item x="108"/>
        <item x="162"/>
        <item x="15"/>
        <item x="34"/>
        <item x="40"/>
        <item x="147"/>
        <item x="119"/>
        <item x="190"/>
        <item x="184"/>
        <item x="145"/>
        <item x="159"/>
        <item x="164"/>
        <item x="175"/>
        <item x="20"/>
        <item x="157"/>
        <item x="168"/>
        <item x="77"/>
        <item x="11"/>
        <item x="142"/>
        <item x="115"/>
        <item x="161"/>
        <item x="154"/>
        <item x="170"/>
        <item x="98"/>
        <item x="116"/>
        <item x="140"/>
        <item x="123"/>
        <item x="169"/>
        <item x="129"/>
        <item x="42"/>
        <item x="17"/>
        <item x="174"/>
        <item x="178"/>
        <item x="41"/>
        <item x="103"/>
        <item x="1"/>
        <item x="179"/>
        <item x="2"/>
        <item x="0"/>
        <item x="4"/>
        <item x="3"/>
        <item x="150"/>
        <item x="96"/>
        <item x="173"/>
        <item x="186"/>
        <item x="97"/>
        <item x="156"/>
        <item x="152"/>
        <item x="188"/>
        <item t="default"/>
      </items>
    </pivotField>
    <pivotField axis="axisPage" compact="0" outline="0" subtotalTop="0" multipleItemSelectionAllowed="1" showAll="0" includeNewItemsInFilter="1">
      <items count="4">
        <item x="2"/>
        <item h="1" x="1"/>
        <item h="1" x="0"/>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1">
    <field x="9"/>
  </rowFields>
  <rowItems count="4">
    <i>
      <x/>
    </i>
    <i>
      <x v="1"/>
    </i>
    <i>
      <x v="2"/>
    </i>
    <i t="grand">
      <x/>
    </i>
  </rowItems>
  <colFields count="1">
    <field x="12"/>
  </colFields>
  <colItems count="8">
    <i>
      <x v="1"/>
    </i>
    <i>
      <x v="2"/>
    </i>
    <i>
      <x v="3"/>
    </i>
    <i>
      <x v="4"/>
    </i>
    <i>
      <x v="7"/>
    </i>
    <i>
      <x v="15"/>
    </i>
    <i>
      <x v="18"/>
    </i>
    <i t="grand">
      <x/>
    </i>
  </colItems>
  <pageFields count="3">
    <pageField fld="58" hier="-1"/>
    <pageField fld="25" hier="-1"/>
    <pageField fld="7" hier="-1"/>
  </pageFields>
  <dataFields count="1">
    <dataField name="Sum of Total Contributions" fld="57" baseField="0" baseItem="0"/>
  </dataFields>
  <formats count="14">
    <format dxfId="162">
      <pivotArea field="57" type="button" dataOnly="0" labelOnly="1" outline="0"/>
    </format>
    <format dxfId="161">
      <pivotArea field="58" type="button" dataOnly="0" labelOnly="1" outline="0" axis="axisPage" fieldPosition="0"/>
    </format>
    <format dxfId="160">
      <pivotArea field="9" type="button" dataOnly="0" labelOnly="1" outline="0" axis="axisRow" fieldPosition="0"/>
    </format>
    <format dxfId="159">
      <pivotArea type="origin" dataOnly="0" labelOnly="1" outline="0" fieldPosition="0"/>
    </format>
    <format dxfId="158">
      <pivotArea dataOnly="0" labelOnly="1" grandRow="1" outline="0" fieldPosition="0"/>
    </format>
    <format dxfId="157">
      <pivotArea field="4" type="button" dataOnly="0" labelOnly="1" outline="0"/>
    </format>
    <format dxfId="156">
      <pivotArea field="12" type="button" dataOnly="0" labelOnly="1" outline="0" axis="axisCol" fieldPosition="0"/>
    </format>
    <format dxfId="155">
      <pivotArea field="2" type="button" dataOnly="0" labelOnly="1" outline="0"/>
    </format>
    <format dxfId="154">
      <pivotArea field="15" type="button" dataOnly="0" labelOnly="1" outline="0"/>
    </format>
    <format dxfId="153">
      <pivotArea field="16" type="button" dataOnly="0" labelOnly="1" outline="0"/>
    </format>
    <format dxfId="152">
      <pivotArea field="25" type="button" dataOnly="0" labelOnly="1" outline="0" axis="axisPage" fieldPosition="1"/>
    </format>
    <format dxfId="151">
      <pivotArea field="15" type="button" dataOnly="0" labelOnly="1" outline="0"/>
    </format>
    <format dxfId="150">
      <pivotArea grandRow="1" outline="0" collapsedLevelsAreSubtotals="1" fieldPosition="0"/>
    </format>
    <format dxfId="149">
      <pivotArea dataOnly="0" grandCol="1" outline="0" axis="axisCol" fieldPosition="0"/>
    </format>
  </formats>
  <chartFormats count="268">
    <chartFormat chart="12" format="22" series="1">
      <pivotArea type="data" outline="0" fieldPosition="0"/>
    </chartFormat>
    <chartFormat chart="11" format="42" series="1">
      <pivotArea type="data" outline="0" fieldPosition="0"/>
    </chartFormat>
    <chartFormat chart="10" format="42" series="1">
      <pivotArea type="data" outline="0" fieldPosition="0"/>
    </chartFormat>
    <chartFormat chart="9" format="44" series="1">
      <pivotArea type="data" outline="0" fieldPosition="0"/>
    </chartFormat>
    <chartFormat chart="8" format="44" series="1">
      <pivotArea type="data" outline="0" fieldPosition="0"/>
    </chartFormat>
    <chartFormat chart="7" format="44" series="1">
      <pivotArea type="data" outline="0" fieldPosition="0"/>
    </chartFormat>
    <chartFormat chart="6" format="44" series="1">
      <pivotArea type="data" outline="0" fieldPosition="0"/>
    </chartFormat>
    <chartFormat chart="5" format="44" series="1">
      <pivotArea type="data" outline="0" fieldPosition="0"/>
    </chartFormat>
    <chartFormat chart="4" format="44" series="1">
      <pivotArea type="data" outline="0" fieldPosition="0"/>
    </chartFormat>
    <chartFormat chart="14" format="28" series="1">
      <pivotArea type="data" outline="0" fieldPosition="0">
        <references count="1">
          <reference field="4294967294" count="1" selected="0">
            <x v="0"/>
          </reference>
        </references>
      </pivotArea>
    </chartFormat>
    <chartFormat chart="13" format="42" series="1">
      <pivotArea type="data" outline="0" fieldPosition="0">
        <references count="1">
          <reference field="4294967294" count="1" selected="0">
            <x v="0"/>
          </reference>
        </references>
      </pivotArea>
    </chartFormat>
    <chartFormat chart="12" format="93" series="1">
      <pivotArea type="data" outline="0" fieldPosition="0">
        <references count="1">
          <reference field="4294967294" count="1" selected="0">
            <x v="0"/>
          </reference>
        </references>
      </pivotArea>
    </chartFormat>
    <chartFormat chart="11" format="113" series="1">
      <pivotArea type="data" outline="0" fieldPosition="0">
        <references count="1">
          <reference field="4294967294" count="1" selected="0">
            <x v="0"/>
          </reference>
        </references>
      </pivotArea>
    </chartFormat>
    <chartFormat chart="10" format="113" series="1">
      <pivotArea type="data" outline="0" fieldPosition="0">
        <references count="1">
          <reference field="4294967294" count="1" selected="0">
            <x v="0"/>
          </reference>
        </references>
      </pivotArea>
    </chartFormat>
    <chartFormat chart="9" format="115" series="1">
      <pivotArea type="data" outline="0" fieldPosition="0">
        <references count="1">
          <reference field="4294967294" count="1" selected="0">
            <x v="0"/>
          </reference>
        </references>
      </pivotArea>
    </chartFormat>
    <chartFormat chart="8" format="115" series="1">
      <pivotArea type="data" outline="0" fieldPosition="0">
        <references count="1">
          <reference field="4294967294" count="1" selected="0">
            <x v="0"/>
          </reference>
        </references>
      </pivotArea>
    </chartFormat>
    <chartFormat chart="7" format="115" series="1">
      <pivotArea type="data" outline="0" fieldPosition="0">
        <references count="1">
          <reference field="4294967294" count="1" selected="0">
            <x v="0"/>
          </reference>
        </references>
      </pivotArea>
    </chartFormat>
    <chartFormat chart="6" format="115" series="1">
      <pivotArea type="data" outline="0" fieldPosition="0">
        <references count="1">
          <reference field="4294967294" count="1" selected="0">
            <x v="0"/>
          </reference>
        </references>
      </pivotArea>
    </chartFormat>
    <chartFormat chart="5" format="115" series="1">
      <pivotArea type="data" outline="0" fieldPosition="0">
        <references count="1">
          <reference field="4294967294" count="1" selected="0">
            <x v="0"/>
          </reference>
        </references>
      </pivotArea>
    </chartFormat>
    <chartFormat chart="4" format="115" series="1">
      <pivotArea type="data" outline="0" fieldPosition="0">
        <references count="1">
          <reference field="4294967294" count="1" selected="0">
            <x v="0"/>
          </reference>
        </references>
      </pivotArea>
    </chartFormat>
    <chartFormat chart="14" format="29" series="1">
      <pivotArea type="data" outline="0" fieldPosition="0">
        <references count="2">
          <reference field="4294967294" count="1" selected="0">
            <x v="0"/>
          </reference>
          <reference field="9" count="1" selected="0">
            <x v="1"/>
          </reference>
        </references>
      </pivotArea>
    </chartFormat>
    <chartFormat chart="14" format="30" series="1">
      <pivotArea type="data" outline="0" fieldPosition="0">
        <references count="2">
          <reference field="4294967294" count="1" selected="0">
            <x v="0"/>
          </reference>
          <reference field="9" count="1" selected="0">
            <x v="2"/>
          </reference>
        </references>
      </pivotArea>
    </chartFormat>
    <chartFormat chart="14" format="31" series="1">
      <pivotArea type="data" outline="0" fieldPosition="0">
        <references count="2">
          <reference field="4294967294" count="1" selected="0">
            <x v="0"/>
          </reference>
          <reference field="9" count="1" selected="0">
            <x v="0"/>
          </reference>
        </references>
      </pivotArea>
    </chartFormat>
    <chartFormat chart="13" format="43" series="1">
      <pivotArea type="data" outline="0" fieldPosition="0">
        <references count="2">
          <reference field="4294967294" count="1" selected="0">
            <x v="0"/>
          </reference>
          <reference field="9" count="1" selected="0">
            <x v="1"/>
          </reference>
        </references>
      </pivotArea>
    </chartFormat>
    <chartFormat chart="13" format="44" series="1">
      <pivotArea type="data" outline="0" fieldPosition="0">
        <references count="2">
          <reference field="4294967294" count="1" selected="0">
            <x v="0"/>
          </reference>
          <reference field="9" count="1" selected="0">
            <x v="2"/>
          </reference>
        </references>
      </pivotArea>
    </chartFormat>
    <chartFormat chart="13" format="45" series="1">
      <pivotArea type="data" outline="0" fieldPosition="0">
        <references count="2">
          <reference field="4294967294" count="1" selected="0">
            <x v="0"/>
          </reference>
          <reference field="9" count="1" selected="0">
            <x v="0"/>
          </reference>
        </references>
      </pivotArea>
    </chartFormat>
    <chartFormat chart="12" format="94" series="1">
      <pivotArea type="data" outline="0" fieldPosition="0">
        <references count="2">
          <reference field="4294967294" count="1" selected="0">
            <x v="0"/>
          </reference>
          <reference field="9" count="1" selected="0">
            <x v="1"/>
          </reference>
        </references>
      </pivotArea>
    </chartFormat>
    <chartFormat chart="12" format="95" series="1">
      <pivotArea type="data" outline="0" fieldPosition="0">
        <references count="2">
          <reference field="4294967294" count="1" selected="0">
            <x v="0"/>
          </reference>
          <reference field="9" count="1" selected="0">
            <x v="2"/>
          </reference>
        </references>
      </pivotArea>
    </chartFormat>
    <chartFormat chart="12" format="96" series="1">
      <pivotArea type="data" outline="0" fieldPosition="0">
        <references count="2">
          <reference field="4294967294" count="1" selected="0">
            <x v="0"/>
          </reference>
          <reference field="9" count="1" selected="0">
            <x v="0"/>
          </reference>
        </references>
      </pivotArea>
    </chartFormat>
    <chartFormat chart="11" format="114" series="1">
      <pivotArea type="data" outline="0" fieldPosition="0">
        <references count="2">
          <reference field="4294967294" count="1" selected="0">
            <x v="0"/>
          </reference>
          <reference field="9" count="1" selected="0">
            <x v="1"/>
          </reference>
        </references>
      </pivotArea>
    </chartFormat>
    <chartFormat chart="11" format="115" series="1">
      <pivotArea type="data" outline="0" fieldPosition="0">
        <references count="2">
          <reference field="4294967294" count="1" selected="0">
            <x v="0"/>
          </reference>
          <reference field="9" count="1" selected="0">
            <x v="2"/>
          </reference>
        </references>
      </pivotArea>
    </chartFormat>
    <chartFormat chart="11" format="116" series="1">
      <pivotArea type="data" outline="0" fieldPosition="0">
        <references count="2">
          <reference field="4294967294" count="1" selected="0">
            <x v="0"/>
          </reference>
          <reference field="9" count="1" selected="0">
            <x v="0"/>
          </reference>
        </references>
      </pivotArea>
    </chartFormat>
    <chartFormat chart="10" format="114" series="1">
      <pivotArea type="data" outline="0" fieldPosition="0">
        <references count="2">
          <reference field="4294967294" count="1" selected="0">
            <x v="0"/>
          </reference>
          <reference field="9" count="1" selected="0">
            <x v="1"/>
          </reference>
        </references>
      </pivotArea>
    </chartFormat>
    <chartFormat chart="10" format="115" series="1">
      <pivotArea type="data" outline="0" fieldPosition="0">
        <references count="2">
          <reference field="4294967294" count="1" selected="0">
            <x v="0"/>
          </reference>
          <reference field="9" count="1" selected="0">
            <x v="2"/>
          </reference>
        </references>
      </pivotArea>
    </chartFormat>
    <chartFormat chart="10" format="116" series="1">
      <pivotArea type="data" outline="0" fieldPosition="0">
        <references count="2">
          <reference field="4294967294" count="1" selected="0">
            <x v="0"/>
          </reference>
          <reference field="9" count="1" selected="0">
            <x v="0"/>
          </reference>
        </references>
      </pivotArea>
    </chartFormat>
    <chartFormat chart="9" format="116" series="1">
      <pivotArea type="data" outline="0" fieldPosition="0">
        <references count="2">
          <reference field="4294967294" count="1" selected="0">
            <x v="0"/>
          </reference>
          <reference field="9" count="1" selected="0">
            <x v="1"/>
          </reference>
        </references>
      </pivotArea>
    </chartFormat>
    <chartFormat chart="9" format="117" series="1">
      <pivotArea type="data" outline="0" fieldPosition="0">
        <references count="2">
          <reference field="4294967294" count="1" selected="0">
            <x v="0"/>
          </reference>
          <reference field="9" count="1" selected="0">
            <x v="2"/>
          </reference>
        </references>
      </pivotArea>
    </chartFormat>
    <chartFormat chart="9" format="118" series="1">
      <pivotArea type="data" outline="0" fieldPosition="0">
        <references count="2">
          <reference field="4294967294" count="1" selected="0">
            <x v="0"/>
          </reference>
          <reference field="9" count="1" selected="0">
            <x v="0"/>
          </reference>
        </references>
      </pivotArea>
    </chartFormat>
    <chartFormat chart="8" format="116" series="1">
      <pivotArea type="data" outline="0" fieldPosition="0">
        <references count="2">
          <reference field="4294967294" count="1" selected="0">
            <x v="0"/>
          </reference>
          <reference field="9" count="1" selected="0">
            <x v="1"/>
          </reference>
        </references>
      </pivotArea>
    </chartFormat>
    <chartFormat chart="8" format="117" series="1">
      <pivotArea type="data" outline="0" fieldPosition="0">
        <references count="2">
          <reference field="4294967294" count="1" selected="0">
            <x v="0"/>
          </reference>
          <reference field="9" count="1" selected="0">
            <x v="2"/>
          </reference>
        </references>
      </pivotArea>
    </chartFormat>
    <chartFormat chart="8" format="118" series="1">
      <pivotArea type="data" outline="0" fieldPosition="0">
        <references count="2">
          <reference field="4294967294" count="1" selected="0">
            <x v="0"/>
          </reference>
          <reference field="9" count="1" selected="0">
            <x v="0"/>
          </reference>
        </references>
      </pivotArea>
    </chartFormat>
    <chartFormat chart="7" format="116" series="1">
      <pivotArea type="data" outline="0" fieldPosition="0">
        <references count="2">
          <reference field="4294967294" count="1" selected="0">
            <x v="0"/>
          </reference>
          <reference field="9" count="1" selected="0">
            <x v="1"/>
          </reference>
        </references>
      </pivotArea>
    </chartFormat>
    <chartFormat chart="7" format="117" series="1">
      <pivotArea type="data" outline="0" fieldPosition="0">
        <references count="2">
          <reference field="4294967294" count="1" selected="0">
            <x v="0"/>
          </reference>
          <reference field="9" count="1" selected="0">
            <x v="2"/>
          </reference>
        </references>
      </pivotArea>
    </chartFormat>
    <chartFormat chart="7" format="118" series="1">
      <pivotArea type="data" outline="0" fieldPosition="0">
        <references count="2">
          <reference field="4294967294" count="1" selected="0">
            <x v="0"/>
          </reference>
          <reference field="9" count="1" selected="0">
            <x v="0"/>
          </reference>
        </references>
      </pivotArea>
    </chartFormat>
    <chartFormat chart="6" format="116" series="1">
      <pivotArea type="data" outline="0" fieldPosition="0">
        <references count="2">
          <reference field="4294967294" count="1" selected="0">
            <x v="0"/>
          </reference>
          <reference field="9" count="1" selected="0">
            <x v="1"/>
          </reference>
        </references>
      </pivotArea>
    </chartFormat>
    <chartFormat chart="6" format="117" series="1">
      <pivotArea type="data" outline="0" fieldPosition="0">
        <references count="2">
          <reference field="4294967294" count="1" selected="0">
            <x v="0"/>
          </reference>
          <reference field="9" count="1" selected="0">
            <x v="2"/>
          </reference>
        </references>
      </pivotArea>
    </chartFormat>
    <chartFormat chart="6" format="118" series="1">
      <pivotArea type="data" outline="0" fieldPosition="0">
        <references count="2">
          <reference field="4294967294" count="1" selected="0">
            <x v="0"/>
          </reference>
          <reference field="9" count="1" selected="0">
            <x v="0"/>
          </reference>
        </references>
      </pivotArea>
    </chartFormat>
    <chartFormat chart="5" format="116" series="1">
      <pivotArea type="data" outline="0" fieldPosition="0">
        <references count="2">
          <reference field="4294967294" count="1" selected="0">
            <x v="0"/>
          </reference>
          <reference field="9" count="1" selected="0">
            <x v="1"/>
          </reference>
        </references>
      </pivotArea>
    </chartFormat>
    <chartFormat chart="5" format="117" series="1">
      <pivotArea type="data" outline="0" fieldPosition="0">
        <references count="2">
          <reference field="4294967294" count="1" selected="0">
            <x v="0"/>
          </reference>
          <reference field="9" count="1" selected="0">
            <x v="2"/>
          </reference>
        </references>
      </pivotArea>
    </chartFormat>
    <chartFormat chart="5" format="118" series="1">
      <pivotArea type="data" outline="0" fieldPosition="0">
        <references count="2">
          <reference field="4294967294" count="1" selected="0">
            <x v="0"/>
          </reference>
          <reference field="9" count="1" selected="0">
            <x v="0"/>
          </reference>
        </references>
      </pivotArea>
    </chartFormat>
    <chartFormat chart="4" format="116" series="1">
      <pivotArea type="data" outline="0" fieldPosition="0">
        <references count="2">
          <reference field="4294967294" count="1" selected="0">
            <x v="0"/>
          </reference>
          <reference field="9" count="1" selected="0">
            <x v="1"/>
          </reference>
        </references>
      </pivotArea>
    </chartFormat>
    <chartFormat chart="4" format="117" series="1">
      <pivotArea type="data" outline="0" fieldPosition="0">
        <references count="2">
          <reference field="4294967294" count="1" selected="0">
            <x v="0"/>
          </reference>
          <reference field="9" count="1" selected="0">
            <x v="2"/>
          </reference>
        </references>
      </pivotArea>
    </chartFormat>
    <chartFormat chart="4" format="118" series="1">
      <pivotArea type="data" outline="0" fieldPosition="0">
        <references count="2">
          <reference field="4294967294" count="1" selected="0">
            <x v="0"/>
          </reference>
          <reference field="9" count="1" selected="0">
            <x v="0"/>
          </reference>
        </references>
      </pivotArea>
    </chartFormat>
    <chartFormat chart="15" format="0" series="1">
      <pivotArea type="data" outline="0" fieldPosition="0">
        <references count="2">
          <reference field="4294967294" count="1" selected="0">
            <x v="0"/>
          </reference>
          <reference field="9" count="1" selected="0">
            <x v="0"/>
          </reference>
        </references>
      </pivotArea>
    </chartFormat>
    <chartFormat chart="15" format="1" series="1">
      <pivotArea type="data" outline="0" fieldPosition="0">
        <references count="2">
          <reference field="4294967294" count="1" selected="0">
            <x v="0"/>
          </reference>
          <reference field="9" count="1" selected="0">
            <x v="1"/>
          </reference>
        </references>
      </pivotArea>
    </chartFormat>
    <chartFormat chart="15" format="2" series="1">
      <pivotArea type="data" outline="0" fieldPosition="0">
        <references count="2">
          <reference field="4294967294" count="1" selected="0">
            <x v="0"/>
          </reference>
          <reference field="9" count="1" selected="0">
            <x v="2"/>
          </reference>
        </references>
      </pivotArea>
    </chartFormat>
    <chartFormat chart="15" format="3" series="1">
      <pivotArea type="data" outline="0" fieldPosition="0">
        <references count="1">
          <reference field="4294967294" count="1" selected="0">
            <x v="0"/>
          </reference>
        </references>
      </pivotArea>
    </chartFormat>
    <chartFormat chart="15" format="4" series="1">
      <pivotArea type="data" outline="0" fieldPosition="0">
        <references count="2">
          <reference field="4294967294" count="1" selected="0">
            <x v="0"/>
          </reference>
          <reference field="12" count="1" selected="0">
            <x v="1"/>
          </reference>
        </references>
      </pivotArea>
    </chartFormat>
    <chartFormat chart="15" format="5" series="1">
      <pivotArea type="data" outline="0" fieldPosition="0">
        <references count="2">
          <reference field="4294967294" count="1" selected="0">
            <x v="0"/>
          </reference>
          <reference field="12" count="1" selected="0">
            <x v="2"/>
          </reference>
        </references>
      </pivotArea>
    </chartFormat>
    <chartFormat chart="15" format="6" series="1">
      <pivotArea type="data" outline="0" fieldPosition="0">
        <references count="2">
          <reference field="4294967294" count="1" selected="0">
            <x v="0"/>
          </reference>
          <reference field="12" count="1" selected="0">
            <x v="3"/>
          </reference>
        </references>
      </pivotArea>
    </chartFormat>
    <chartFormat chart="15" format="7" series="1">
      <pivotArea type="data" outline="0" fieldPosition="0">
        <references count="2">
          <reference field="4294967294" count="1" selected="0">
            <x v="0"/>
          </reference>
          <reference field="12" count="1" selected="0">
            <x v="4"/>
          </reference>
        </references>
      </pivotArea>
    </chartFormat>
    <chartFormat chart="15" format="8" series="1">
      <pivotArea type="data" outline="0" fieldPosition="0">
        <references count="2">
          <reference field="4294967294" count="1" selected="0">
            <x v="0"/>
          </reference>
          <reference field="12" count="1" selected="0">
            <x v="6"/>
          </reference>
        </references>
      </pivotArea>
    </chartFormat>
    <chartFormat chart="15" format="9" series="1">
      <pivotArea type="data" outline="0" fieldPosition="0">
        <references count="2">
          <reference field="4294967294" count="1" selected="0">
            <x v="0"/>
          </reference>
          <reference field="12" count="1" selected="0">
            <x v="7"/>
          </reference>
        </references>
      </pivotArea>
    </chartFormat>
    <chartFormat chart="15" format="10" series="1">
      <pivotArea type="data" outline="0" fieldPosition="0">
        <references count="2">
          <reference field="4294967294" count="1" selected="0">
            <x v="0"/>
          </reference>
          <reference field="12" count="1" selected="0">
            <x v="9"/>
          </reference>
        </references>
      </pivotArea>
    </chartFormat>
    <chartFormat chart="15" format="11" series="1">
      <pivotArea type="data" outline="0" fieldPosition="0">
        <references count="2">
          <reference field="4294967294" count="1" selected="0">
            <x v="0"/>
          </reference>
          <reference field="12" count="1" selected="0">
            <x v="14"/>
          </reference>
        </references>
      </pivotArea>
    </chartFormat>
    <chartFormat chart="15" format="12" series="1">
      <pivotArea type="data" outline="0" fieldPosition="0">
        <references count="2">
          <reference field="4294967294" count="1" selected="0">
            <x v="0"/>
          </reference>
          <reference field="12" count="1" selected="0">
            <x v="15"/>
          </reference>
        </references>
      </pivotArea>
    </chartFormat>
    <chartFormat chart="15" format="13" series="1">
      <pivotArea type="data" outline="0" fieldPosition="0">
        <references count="2">
          <reference field="4294967294" count="1" selected="0">
            <x v="0"/>
          </reference>
          <reference field="12" count="1" selected="0">
            <x v="18"/>
          </reference>
        </references>
      </pivotArea>
    </chartFormat>
    <chartFormat chart="15" format="14" series="1">
      <pivotArea type="data" outline="0" fieldPosition="0">
        <references count="2">
          <reference field="4294967294" count="1" selected="0">
            <x v="0"/>
          </reference>
          <reference field="12" count="1" selected="0">
            <x v="19"/>
          </reference>
        </references>
      </pivotArea>
    </chartFormat>
    <chartFormat chart="15" format="15" series="1">
      <pivotArea type="data" outline="0" fieldPosition="0">
        <references count="2">
          <reference field="4294967294" count="1" selected="0">
            <x v="0"/>
          </reference>
          <reference field="12" count="1" selected="0">
            <x v="20"/>
          </reference>
        </references>
      </pivotArea>
    </chartFormat>
    <chartFormat chart="15" format="16" series="1">
      <pivotArea type="data" outline="0" fieldPosition="0">
        <references count="2">
          <reference field="4294967294" count="1" selected="0">
            <x v="0"/>
          </reference>
          <reference field="12" count="1" selected="0">
            <x v="22"/>
          </reference>
        </references>
      </pivotArea>
    </chartFormat>
    <chartFormat chart="15" format="17" series="1">
      <pivotArea type="data" outline="0" fieldPosition="0">
        <references count="2">
          <reference field="4294967294" count="1" selected="0">
            <x v="0"/>
          </reference>
          <reference field="12" count="1" selected="0">
            <x v="0"/>
          </reference>
        </references>
      </pivotArea>
    </chartFormat>
    <chartFormat chart="14" format="32" series="1">
      <pivotArea type="data" outline="0" fieldPosition="0">
        <references count="2">
          <reference field="4294967294" count="1" selected="0">
            <x v="0"/>
          </reference>
          <reference field="12" count="1" selected="0">
            <x v="1"/>
          </reference>
        </references>
      </pivotArea>
    </chartFormat>
    <chartFormat chart="14" format="33" series="1">
      <pivotArea type="data" outline="0" fieldPosition="0">
        <references count="2">
          <reference field="4294967294" count="1" selected="0">
            <x v="0"/>
          </reference>
          <reference field="12" count="1" selected="0">
            <x v="2"/>
          </reference>
        </references>
      </pivotArea>
    </chartFormat>
    <chartFormat chart="14" format="34" series="1">
      <pivotArea type="data" outline="0" fieldPosition="0">
        <references count="2">
          <reference field="4294967294" count="1" selected="0">
            <x v="0"/>
          </reference>
          <reference field="12" count="1" selected="0">
            <x v="3"/>
          </reference>
        </references>
      </pivotArea>
    </chartFormat>
    <chartFormat chart="14" format="35" series="1">
      <pivotArea type="data" outline="0" fieldPosition="0">
        <references count="2">
          <reference field="4294967294" count="1" selected="0">
            <x v="0"/>
          </reference>
          <reference field="12" count="1" selected="0">
            <x v="4"/>
          </reference>
        </references>
      </pivotArea>
    </chartFormat>
    <chartFormat chart="14" format="36" series="1">
      <pivotArea type="data" outline="0" fieldPosition="0">
        <references count="2">
          <reference field="4294967294" count="1" selected="0">
            <x v="0"/>
          </reference>
          <reference field="12" count="1" selected="0">
            <x v="6"/>
          </reference>
        </references>
      </pivotArea>
    </chartFormat>
    <chartFormat chart="14" format="37" series="1">
      <pivotArea type="data" outline="0" fieldPosition="0">
        <references count="2">
          <reference field="4294967294" count="1" selected="0">
            <x v="0"/>
          </reference>
          <reference field="12" count="1" selected="0">
            <x v="7"/>
          </reference>
        </references>
      </pivotArea>
    </chartFormat>
    <chartFormat chart="14" format="38" series="1">
      <pivotArea type="data" outline="0" fieldPosition="0">
        <references count="2">
          <reference field="4294967294" count="1" selected="0">
            <x v="0"/>
          </reference>
          <reference field="12" count="1" selected="0">
            <x v="9"/>
          </reference>
        </references>
      </pivotArea>
    </chartFormat>
    <chartFormat chart="14" format="39" series="1">
      <pivotArea type="data" outline="0" fieldPosition="0">
        <references count="2">
          <reference field="4294967294" count="1" selected="0">
            <x v="0"/>
          </reference>
          <reference field="12" count="1" selected="0">
            <x v="14"/>
          </reference>
        </references>
      </pivotArea>
    </chartFormat>
    <chartFormat chart="14" format="40" series="1">
      <pivotArea type="data" outline="0" fieldPosition="0">
        <references count="2">
          <reference field="4294967294" count="1" selected="0">
            <x v="0"/>
          </reference>
          <reference field="12" count="1" selected="0">
            <x v="15"/>
          </reference>
        </references>
      </pivotArea>
    </chartFormat>
    <chartFormat chart="14" format="41" series="1">
      <pivotArea type="data" outline="0" fieldPosition="0">
        <references count="2">
          <reference field="4294967294" count="1" selected="0">
            <x v="0"/>
          </reference>
          <reference field="12" count="1" selected="0">
            <x v="18"/>
          </reference>
        </references>
      </pivotArea>
    </chartFormat>
    <chartFormat chart="14" format="42" series="1">
      <pivotArea type="data" outline="0" fieldPosition="0">
        <references count="2">
          <reference field="4294967294" count="1" selected="0">
            <x v="0"/>
          </reference>
          <reference field="12" count="1" selected="0">
            <x v="19"/>
          </reference>
        </references>
      </pivotArea>
    </chartFormat>
    <chartFormat chart="14" format="43" series="1">
      <pivotArea type="data" outline="0" fieldPosition="0">
        <references count="2">
          <reference field="4294967294" count="1" selected="0">
            <x v="0"/>
          </reference>
          <reference field="12" count="1" selected="0">
            <x v="20"/>
          </reference>
        </references>
      </pivotArea>
    </chartFormat>
    <chartFormat chart="14" format="44" series="1">
      <pivotArea type="data" outline="0" fieldPosition="0">
        <references count="2">
          <reference field="4294967294" count="1" selected="0">
            <x v="0"/>
          </reference>
          <reference field="12" count="1" selected="0">
            <x v="22"/>
          </reference>
        </references>
      </pivotArea>
    </chartFormat>
    <chartFormat chart="14" format="45" series="1">
      <pivotArea type="data" outline="0" fieldPosition="0">
        <references count="2">
          <reference field="4294967294" count="1" selected="0">
            <x v="0"/>
          </reference>
          <reference field="12" count="1" selected="0">
            <x v="0"/>
          </reference>
        </references>
      </pivotArea>
    </chartFormat>
    <chartFormat chart="13" format="46" series="1">
      <pivotArea type="data" outline="0" fieldPosition="0">
        <references count="2">
          <reference field="4294967294" count="1" selected="0">
            <x v="0"/>
          </reference>
          <reference field="12" count="1" selected="0">
            <x v="1"/>
          </reference>
        </references>
      </pivotArea>
    </chartFormat>
    <chartFormat chart="13" format="47" series="1">
      <pivotArea type="data" outline="0" fieldPosition="0">
        <references count="2">
          <reference field="4294967294" count="1" selected="0">
            <x v="0"/>
          </reference>
          <reference field="12" count="1" selected="0">
            <x v="2"/>
          </reference>
        </references>
      </pivotArea>
    </chartFormat>
    <chartFormat chart="13" format="48" series="1">
      <pivotArea type="data" outline="0" fieldPosition="0">
        <references count="2">
          <reference field="4294967294" count="1" selected="0">
            <x v="0"/>
          </reference>
          <reference field="12" count="1" selected="0">
            <x v="3"/>
          </reference>
        </references>
      </pivotArea>
    </chartFormat>
    <chartFormat chart="13" format="49" series="1">
      <pivotArea type="data" outline="0" fieldPosition="0">
        <references count="2">
          <reference field="4294967294" count="1" selected="0">
            <x v="0"/>
          </reference>
          <reference field="12" count="1" selected="0">
            <x v="4"/>
          </reference>
        </references>
      </pivotArea>
    </chartFormat>
    <chartFormat chart="13" format="50" series="1">
      <pivotArea type="data" outline="0" fieldPosition="0">
        <references count="2">
          <reference field="4294967294" count="1" selected="0">
            <x v="0"/>
          </reference>
          <reference field="12" count="1" selected="0">
            <x v="6"/>
          </reference>
        </references>
      </pivotArea>
    </chartFormat>
    <chartFormat chart="13" format="51" series="1">
      <pivotArea type="data" outline="0" fieldPosition="0">
        <references count="2">
          <reference field="4294967294" count="1" selected="0">
            <x v="0"/>
          </reference>
          <reference field="12" count="1" selected="0">
            <x v="7"/>
          </reference>
        </references>
      </pivotArea>
    </chartFormat>
    <chartFormat chart="13" format="52" series="1">
      <pivotArea type="data" outline="0" fieldPosition="0">
        <references count="2">
          <reference field="4294967294" count="1" selected="0">
            <x v="0"/>
          </reference>
          <reference field="12" count="1" selected="0">
            <x v="9"/>
          </reference>
        </references>
      </pivotArea>
    </chartFormat>
    <chartFormat chart="13" format="53" series="1">
      <pivotArea type="data" outline="0" fieldPosition="0">
        <references count="2">
          <reference field="4294967294" count="1" selected="0">
            <x v="0"/>
          </reference>
          <reference field="12" count="1" selected="0">
            <x v="14"/>
          </reference>
        </references>
      </pivotArea>
    </chartFormat>
    <chartFormat chart="13" format="54" series="1">
      <pivotArea type="data" outline="0" fieldPosition="0">
        <references count="2">
          <reference field="4294967294" count="1" selected="0">
            <x v="0"/>
          </reference>
          <reference field="12" count="1" selected="0">
            <x v="15"/>
          </reference>
        </references>
      </pivotArea>
    </chartFormat>
    <chartFormat chart="13" format="55" series="1">
      <pivotArea type="data" outline="0" fieldPosition="0">
        <references count="2">
          <reference field="4294967294" count="1" selected="0">
            <x v="0"/>
          </reference>
          <reference field="12" count="1" selected="0">
            <x v="18"/>
          </reference>
        </references>
      </pivotArea>
    </chartFormat>
    <chartFormat chart="13" format="56" series="1">
      <pivotArea type="data" outline="0" fieldPosition="0">
        <references count="2">
          <reference field="4294967294" count="1" selected="0">
            <x v="0"/>
          </reference>
          <reference field="12" count="1" selected="0">
            <x v="19"/>
          </reference>
        </references>
      </pivotArea>
    </chartFormat>
    <chartFormat chart="13" format="57" series="1">
      <pivotArea type="data" outline="0" fieldPosition="0">
        <references count="2">
          <reference field="4294967294" count="1" selected="0">
            <x v="0"/>
          </reference>
          <reference field="12" count="1" selected="0">
            <x v="20"/>
          </reference>
        </references>
      </pivotArea>
    </chartFormat>
    <chartFormat chart="13" format="58" series="1">
      <pivotArea type="data" outline="0" fieldPosition="0">
        <references count="2">
          <reference field="4294967294" count="1" selected="0">
            <x v="0"/>
          </reference>
          <reference field="12" count="1" selected="0">
            <x v="22"/>
          </reference>
        </references>
      </pivotArea>
    </chartFormat>
    <chartFormat chart="13" format="59" series="1">
      <pivotArea type="data" outline="0" fieldPosition="0">
        <references count="2">
          <reference field="4294967294" count="1" selected="0">
            <x v="0"/>
          </reference>
          <reference field="12" count="1" selected="0">
            <x v="0"/>
          </reference>
        </references>
      </pivotArea>
    </chartFormat>
    <chartFormat chart="12" format="97" series="1">
      <pivotArea type="data" outline="0" fieldPosition="0">
        <references count="2">
          <reference field="4294967294" count="1" selected="0">
            <x v="0"/>
          </reference>
          <reference field="12" count="1" selected="0">
            <x v="1"/>
          </reference>
        </references>
      </pivotArea>
    </chartFormat>
    <chartFormat chart="12" format="98" series="1">
      <pivotArea type="data" outline="0" fieldPosition="0">
        <references count="2">
          <reference field="4294967294" count="1" selected="0">
            <x v="0"/>
          </reference>
          <reference field="12" count="1" selected="0">
            <x v="2"/>
          </reference>
        </references>
      </pivotArea>
    </chartFormat>
    <chartFormat chart="12" format="99" series="1">
      <pivotArea type="data" outline="0" fieldPosition="0">
        <references count="2">
          <reference field="4294967294" count="1" selected="0">
            <x v="0"/>
          </reference>
          <reference field="12" count="1" selected="0">
            <x v="3"/>
          </reference>
        </references>
      </pivotArea>
    </chartFormat>
    <chartFormat chart="12" format="100" series="1">
      <pivotArea type="data" outline="0" fieldPosition="0">
        <references count="2">
          <reference field="4294967294" count="1" selected="0">
            <x v="0"/>
          </reference>
          <reference field="12" count="1" selected="0">
            <x v="4"/>
          </reference>
        </references>
      </pivotArea>
    </chartFormat>
    <chartFormat chart="12" format="101" series="1">
      <pivotArea type="data" outline="0" fieldPosition="0">
        <references count="2">
          <reference field="4294967294" count="1" selected="0">
            <x v="0"/>
          </reference>
          <reference field="12" count="1" selected="0">
            <x v="6"/>
          </reference>
        </references>
      </pivotArea>
    </chartFormat>
    <chartFormat chart="12" format="102" series="1">
      <pivotArea type="data" outline="0" fieldPosition="0">
        <references count="2">
          <reference field="4294967294" count="1" selected="0">
            <x v="0"/>
          </reference>
          <reference field="12" count="1" selected="0">
            <x v="7"/>
          </reference>
        </references>
      </pivotArea>
    </chartFormat>
    <chartFormat chart="12" format="103" series="1">
      <pivotArea type="data" outline="0" fieldPosition="0">
        <references count="2">
          <reference field="4294967294" count="1" selected="0">
            <x v="0"/>
          </reference>
          <reference field="12" count="1" selected="0">
            <x v="9"/>
          </reference>
        </references>
      </pivotArea>
    </chartFormat>
    <chartFormat chart="12" format="104" series="1">
      <pivotArea type="data" outline="0" fieldPosition="0">
        <references count="2">
          <reference field="4294967294" count="1" selected="0">
            <x v="0"/>
          </reference>
          <reference field="12" count="1" selected="0">
            <x v="14"/>
          </reference>
        </references>
      </pivotArea>
    </chartFormat>
    <chartFormat chart="12" format="105" series="1">
      <pivotArea type="data" outline="0" fieldPosition="0">
        <references count="2">
          <reference field="4294967294" count="1" selected="0">
            <x v="0"/>
          </reference>
          <reference field="12" count="1" selected="0">
            <x v="15"/>
          </reference>
        </references>
      </pivotArea>
    </chartFormat>
    <chartFormat chart="12" format="106" series="1">
      <pivotArea type="data" outline="0" fieldPosition="0">
        <references count="2">
          <reference field="4294967294" count="1" selected="0">
            <x v="0"/>
          </reference>
          <reference field="12" count="1" selected="0">
            <x v="18"/>
          </reference>
        </references>
      </pivotArea>
    </chartFormat>
    <chartFormat chart="12" format="107" series="1">
      <pivotArea type="data" outline="0" fieldPosition="0">
        <references count="2">
          <reference field="4294967294" count="1" selected="0">
            <x v="0"/>
          </reference>
          <reference field="12" count="1" selected="0">
            <x v="19"/>
          </reference>
        </references>
      </pivotArea>
    </chartFormat>
    <chartFormat chart="12" format="108" series="1">
      <pivotArea type="data" outline="0" fieldPosition="0">
        <references count="2">
          <reference field="4294967294" count="1" selected="0">
            <x v="0"/>
          </reference>
          <reference field="12" count="1" selected="0">
            <x v="20"/>
          </reference>
        </references>
      </pivotArea>
    </chartFormat>
    <chartFormat chart="12" format="109" series="1">
      <pivotArea type="data" outline="0" fieldPosition="0">
        <references count="2">
          <reference field="4294967294" count="1" selected="0">
            <x v="0"/>
          </reference>
          <reference field="12" count="1" selected="0">
            <x v="22"/>
          </reference>
        </references>
      </pivotArea>
    </chartFormat>
    <chartFormat chart="12" format="110" series="1">
      <pivotArea type="data" outline="0" fieldPosition="0">
        <references count="2">
          <reference field="4294967294" count="1" selected="0">
            <x v="0"/>
          </reference>
          <reference field="12" count="1" selected="0">
            <x v="0"/>
          </reference>
        </references>
      </pivotArea>
    </chartFormat>
    <chartFormat chart="11" format="117" series="1">
      <pivotArea type="data" outline="0" fieldPosition="0">
        <references count="2">
          <reference field="4294967294" count="1" selected="0">
            <x v="0"/>
          </reference>
          <reference field="12" count="1" selected="0">
            <x v="1"/>
          </reference>
        </references>
      </pivotArea>
    </chartFormat>
    <chartFormat chart="11" format="118" series="1">
      <pivotArea type="data" outline="0" fieldPosition="0">
        <references count="2">
          <reference field="4294967294" count="1" selected="0">
            <x v="0"/>
          </reference>
          <reference field="12" count="1" selected="0">
            <x v="2"/>
          </reference>
        </references>
      </pivotArea>
    </chartFormat>
    <chartFormat chart="11" format="119" series="1">
      <pivotArea type="data" outline="0" fieldPosition="0">
        <references count="2">
          <reference field="4294967294" count="1" selected="0">
            <x v="0"/>
          </reference>
          <reference field="12" count="1" selected="0">
            <x v="3"/>
          </reference>
        </references>
      </pivotArea>
    </chartFormat>
    <chartFormat chart="11" format="120" series="1">
      <pivotArea type="data" outline="0" fieldPosition="0">
        <references count="2">
          <reference field="4294967294" count="1" selected="0">
            <x v="0"/>
          </reference>
          <reference field="12" count="1" selected="0">
            <x v="4"/>
          </reference>
        </references>
      </pivotArea>
    </chartFormat>
    <chartFormat chart="11" format="121" series="1">
      <pivotArea type="data" outline="0" fieldPosition="0">
        <references count="2">
          <reference field="4294967294" count="1" selected="0">
            <x v="0"/>
          </reference>
          <reference field="12" count="1" selected="0">
            <x v="6"/>
          </reference>
        </references>
      </pivotArea>
    </chartFormat>
    <chartFormat chart="11" format="122" series="1">
      <pivotArea type="data" outline="0" fieldPosition="0">
        <references count="2">
          <reference field="4294967294" count="1" selected="0">
            <x v="0"/>
          </reference>
          <reference field="12" count="1" selected="0">
            <x v="7"/>
          </reference>
        </references>
      </pivotArea>
    </chartFormat>
    <chartFormat chart="11" format="123" series="1">
      <pivotArea type="data" outline="0" fieldPosition="0">
        <references count="2">
          <reference field="4294967294" count="1" selected="0">
            <x v="0"/>
          </reference>
          <reference field="12" count="1" selected="0">
            <x v="9"/>
          </reference>
        </references>
      </pivotArea>
    </chartFormat>
    <chartFormat chart="11" format="124" series="1">
      <pivotArea type="data" outline="0" fieldPosition="0">
        <references count="2">
          <reference field="4294967294" count="1" selected="0">
            <x v="0"/>
          </reference>
          <reference field="12" count="1" selected="0">
            <x v="14"/>
          </reference>
        </references>
      </pivotArea>
    </chartFormat>
    <chartFormat chart="11" format="125" series="1">
      <pivotArea type="data" outline="0" fieldPosition="0">
        <references count="2">
          <reference field="4294967294" count="1" selected="0">
            <x v="0"/>
          </reference>
          <reference field="12" count="1" selected="0">
            <x v="15"/>
          </reference>
        </references>
      </pivotArea>
    </chartFormat>
    <chartFormat chart="11" format="126" series="1">
      <pivotArea type="data" outline="0" fieldPosition="0">
        <references count="2">
          <reference field="4294967294" count="1" selected="0">
            <x v="0"/>
          </reference>
          <reference field="12" count="1" selected="0">
            <x v="18"/>
          </reference>
        </references>
      </pivotArea>
    </chartFormat>
    <chartFormat chart="11" format="127" series="1">
      <pivotArea type="data" outline="0" fieldPosition="0">
        <references count="2">
          <reference field="4294967294" count="1" selected="0">
            <x v="0"/>
          </reference>
          <reference field="12" count="1" selected="0">
            <x v="19"/>
          </reference>
        </references>
      </pivotArea>
    </chartFormat>
    <chartFormat chart="11" format="128" series="1">
      <pivotArea type="data" outline="0" fieldPosition="0">
        <references count="2">
          <reference field="4294967294" count="1" selected="0">
            <x v="0"/>
          </reference>
          <reference field="12" count="1" selected="0">
            <x v="20"/>
          </reference>
        </references>
      </pivotArea>
    </chartFormat>
    <chartFormat chart="11" format="129" series="1">
      <pivotArea type="data" outline="0" fieldPosition="0">
        <references count="2">
          <reference field="4294967294" count="1" selected="0">
            <x v="0"/>
          </reference>
          <reference field="12" count="1" selected="0">
            <x v="22"/>
          </reference>
        </references>
      </pivotArea>
    </chartFormat>
    <chartFormat chart="11" format="130" series="1">
      <pivotArea type="data" outline="0" fieldPosition="0">
        <references count="2">
          <reference field="4294967294" count="1" selected="0">
            <x v="0"/>
          </reference>
          <reference field="12" count="1" selected="0">
            <x v="0"/>
          </reference>
        </references>
      </pivotArea>
    </chartFormat>
    <chartFormat chart="10" format="117" series="1">
      <pivotArea type="data" outline="0" fieldPosition="0">
        <references count="2">
          <reference field="4294967294" count="1" selected="0">
            <x v="0"/>
          </reference>
          <reference field="12" count="1" selected="0">
            <x v="1"/>
          </reference>
        </references>
      </pivotArea>
    </chartFormat>
    <chartFormat chart="10" format="118" series="1">
      <pivotArea type="data" outline="0" fieldPosition="0">
        <references count="2">
          <reference field="4294967294" count="1" selected="0">
            <x v="0"/>
          </reference>
          <reference field="12" count="1" selected="0">
            <x v="2"/>
          </reference>
        </references>
      </pivotArea>
    </chartFormat>
    <chartFormat chart="10" format="119" series="1">
      <pivotArea type="data" outline="0" fieldPosition="0">
        <references count="2">
          <reference field="4294967294" count="1" selected="0">
            <x v="0"/>
          </reference>
          <reference field="12" count="1" selected="0">
            <x v="3"/>
          </reference>
        </references>
      </pivotArea>
    </chartFormat>
    <chartFormat chart="10" format="120" series="1">
      <pivotArea type="data" outline="0" fieldPosition="0">
        <references count="2">
          <reference field="4294967294" count="1" selected="0">
            <x v="0"/>
          </reference>
          <reference field="12" count="1" selected="0">
            <x v="4"/>
          </reference>
        </references>
      </pivotArea>
    </chartFormat>
    <chartFormat chart="10" format="121" series="1">
      <pivotArea type="data" outline="0" fieldPosition="0">
        <references count="2">
          <reference field="4294967294" count="1" selected="0">
            <x v="0"/>
          </reference>
          <reference field="12" count="1" selected="0">
            <x v="6"/>
          </reference>
        </references>
      </pivotArea>
    </chartFormat>
    <chartFormat chart="10" format="122" series="1">
      <pivotArea type="data" outline="0" fieldPosition="0">
        <references count="2">
          <reference field="4294967294" count="1" selected="0">
            <x v="0"/>
          </reference>
          <reference field="12" count="1" selected="0">
            <x v="7"/>
          </reference>
        </references>
      </pivotArea>
    </chartFormat>
    <chartFormat chart="10" format="123" series="1">
      <pivotArea type="data" outline="0" fieldPosition="0">
        <references count="2">
          <reference field="4294967294" count="1" selected="0">
            <x v="0"/>
          </reference>
          <reference field="12" count="1" selected="0">
            <x v="9"/>
          </reference>
        </references>
      </pivotArea>
    </chartFormat>
    <chartFormat chart="10" format="124" series="1">
      <pivotArea type="data" outline="0" fieldPosition="0">
        <references count="2">
          <reference field="4294967294" count="1" selected="0">
            <x v="0"/>
          </reference>
          <reference field="12" count="1" selected="0">
            <x v="14"/>
          </reference>
        </references>
      </pivotArea>
    </chartFormat>
    <chartFormat chart="10" format="125" series="1">
      <pivotArea type="data" outline="0" fieldPosition="0">
        <references count="2">
          <reference field="4294967294" count="1" selected="0">
            <x v="0"/>
          </reference>
          <reference field="12" count="1" selected="0">
            <x v="15"/>
          </reference>
        </references>
      </pivotArea>
    </chartFormat>
    <chartFormat chart="10" format="126" series="1">
      <pivotArea type="data" outline="0" fieldPosition="0">
        <references count="2">
          <reference field="4294967294" count="1" selected="0">
            <x v="0"/>
          </reference>
          <reference field="12" count="1" selected="0">
            <x v="18"/>
          </reference>
        </references>
      </pivotArea>
    </chartFormat>
    <chartFormat chart="10" format="127" series="1">
      <pivotArea type="data" outline="0" fieldPosition="0">
        <references count="2">
          <reference field="4294967294" count="1" selected="0">
            <x v="0"/>
          </reference>
          <reference field="12" count="1" selected="0">
            <x v="19"/>
          </reference>
        </references>
      </pivotArea>
    </chartFormat>
    <chartFormat chart="10" format="128" series="1">
      <pivotArea type="data" outline="0" fieldPosition="0">
        <references count="2">
          <reference field="4294967294" count="1" selected="0">
            <x v="0"/>
          </reference>
          <reference field="12" count="1" selected="0">
            <x v="20"/>
          </reference>
        </references>
      </pivotArea>
    </chartFormat>
    <chartFormat chart="10" format="129" series="1">
      <pivotArea type="data" outline="0" fieldPosition="0">
        <references count="2">
          <reference field="4294967294" count="1" selected="0">
            <x v="0"/>
          </reference>
          <reference field="12" count="1" selected="0">
            <x v="22"/>
          </reference>
        </references>
      </pivotArea>
    </chartFormat>
    <chartFormat chart="10" format="130" series="1">
      <pivotArea type="data" outline="0" fieldPosition="0">
        <references count="2">
          <reference field="4294967294" count="1" selected="0">
            <x v="0"/>
          </reference>
          <reference field="12" count="1" selected="0">
            <x v="0"/>
          </reference>
        </references>
      </pivotArea>
    </chartFormat>
    <chartFormat chart="9" format="119" series="1">
      <pivotArea type="data" outline="0" fieldPosition="0">
        <references count="2">
          <reference field="4294967294" count="1" selected="0">
            <x v="0"/>
          </reference>
          <reference field="12" count="1" selected="0">
            <x v="1"/>
          </reference>
        </references>
      </pivotArea>
    </chartFormat>
    <chartFormat chart="9" format="120" series="1">
      <pivotArea type="data" outline="0" fieldPosition="0">
        <references count="2">
          <reference field="4294967294" count="1" selected="0">
            <x v="0"/>
          </reference>
          <reference field="12" count="1" selected="0">
            <x v="2"/>
          </reference>
        </references>
      </pivotArea>
    </chartFormat>
    <chartFormat chart="9" format="121" series="1">
      <pivotArea type="data" outline="0" fieldPosition="0">
        <references count="2">
          <reference field="4294967294" count="1" selected="0">
            <x v="0"/>
          </reference>
          <reference field="12" count="1" selected="0">
            <x v="3"/>
          </reference>
        </references>
      </pivotArea>
    </chartFormat>
    <chartFormat chart="9" format="122" series="1">
      <pivotArea type="data" outline="0" fieldPosition="0">
        <references count="2">
          <reference field="4294967294" count="1" selected="0">
            <x v="0"/>
          </reference>
          <reference field="12" count="1" selected="0">
            <x v="4"/>
          </reference>
        </references>
      </pivotArea>
    </chartFormat>
    <chartFormat chart="9" format="123" series="1">
      <pivotArea type="data" outline="0" fieldPosition="0">
        <references count="2">
          <reference field="4294967294" count="1" selected="0">
            <x v="0"/>
          </reference>
          <reference field="12" count="1" selected="0">
            <x v="6"/>
          </reference>
        </references>
      </pivotArea>
    </chartFormat>
    <chartFormat chart="9" format="124" series="1">
      <pivotArea type="data" outline="0" fieldPosition="0">
        <references count="2">
          <reference field="4294967294" count="1" selected="0">
            <x v="0"/>
          </reference>
          <reference field="12" count="1" selected="0">
            <x v="7"/>
          </reference>
        </references>
      </pivotArea>
    </chartFormat>
    <chartFormat chart="9" format="125" series="1">
      <pivotArea type="data" outline="0" fieldPosition="0">
        <references count="2">
          <reference field="4294967294" count="1" selected="0">
            <x v="0"/>
          </reference>
          <reference field="12" count="1" selected="0">
            <x v="9"/>
          </reference>
        </references>
      </pivotArea>
    </chartFormat>
    <chartFormat chart="9" format="126" series="1">
      <pivotArea type="data" outline="0" fieldPosition="0">
        <references count="2">
          <reference field="4294967294" count="1" selected="0">
            <x v="0"/>
          </reference>
          <reference field="12" count="1" selected="0">
            <x v="14"/>
          </reference>
        </references>
      </pivotArea>
    </chartFormat>
    <chartFormat chart="9" format="127" series="1">
      <pivotArea type="data" outline="0" fieldPosition="0">
        <references count="2">
          <reference field="4294967294" count="1" selected="0">
            <x v="0"/>
          </reference>
          <reference field="12" count="1" selected="0">
            <x v="15"/>
          </reference>
        </references>
      </pivotArea>
    </chartFormat>
    <chartFormat chart="9" format="128" series="1">
      <pivotArea type="data" outline="0" fieldPosition="0">
        <references count="2">
          <reference field="4294967294" count="1" selected="0">
            <x v="0"/>
          </reference>
          <reference field="12" count="1" selected="0">
            <x v="18"/>
          </reference>
        </references>
      </pivotArea>
    </chartFormat>
    <chartFormat chart="9" format="129" series="1">
      <pivotArea type="data" outline="0" fieldPosition="0">
        <references count="2">
          <reference field="4294967294" count="1" selected="0">
            <x v="0"/>
          </reference>
          <reference field="12" count="1" selected="0">
            <x v="19"/>
          </reference>
        </references>
      </pivotArea>
    </chartFormat>
    <chartFormat chart="9" format="130" series="1">
      <pivotArea type="data" outline="0" fieldPosition="0">
        <references count="2">
          <reference field="4294967294" count="1" selected="0">
            <x v="0"/>
          </reference>
          <reference field="12" count="1" selected="0">
            <x v="20"/>
          </reference>
        </references>
      </pivotArea>
    </chartFormat>
    <chartFormat chart="9" format="131" series="1">
      <pivotArea type="data" outline="0" fieldPosition="0">
        <references count="2">
          <reference field="4294967294" count="1" selected="0">
            <x v="0"/>
          </reference>
          <reference field="12" count="1" selected="0">
            <x v="22"/>
          </reference>
        </references>
      </pivotArea>
    </chartFormat>
    <chartFormat chart="9" format="132" series="1">
      <pivotArea type="data" outline="0" fieldPosition="0">
        <references count="2">
          <reference field="4294967294" count="1" selected="0">
            <x v="0"/>
          </reference>
          <reference field="12" count="1" selected="0">
            <x v="0"/>
          </reference>
        </references>
      </pivotArea>
    </chartFormat>
    <chartFormat chart="8" format="119" series="1">
      <pivotArea type="data" outline="0" fieldPosition="0">
        <references count="2">
          <reference field="4294967294" count="1" selected="0">
            <x v="0"/>
          </reference>
          <reference field="12" count="1" selected="0">
            <x v="1"/>
          </reference>
        </references>
      </pivotArea>
    </chartFormat>
    <chartFormat chart="8" format="120" series="1">
      <pivotArea type="data" outline="0" fieldPosition="0">
        <references count="2">
          <reference field="4294967294" count="1" selected="0">
            <x v="0"/>
          </reference>
          <reference field="12" count="1" selected="0">
            <x v="2"/>
          </reference>
        </references>
      </pivotArea>
    </chartFormat>
    <chartFormat chart="8" format="121" series="1">
      <pivotArea type="data" outline="0" fieldPosition="0">
        <references count="2">
          <reference field="4294967294" count="1" selected="0">
            <x v="0"/>
          </reference>
          <reference field="12" count="1" selected="0">
            <x v="3"/>
          </reference>
        </references>
      </pivotArea>
    </chartFormat>
    <chartFormat chart="8" format="122" series="1">
      <pivotArea type="data" outline="0" fieldPosition="0">
        <references count="2">
          <reference field="4294967294" count="1" selected="0">
            <x v="0"/>
          </reference>
          <reference field="12" count="1" selected="0">
            <x v="4"/>
          </reference>
        </references>
      </pivotArea>
    </chartFormat>
    <chartFormat chart="8" format="123" series="1">
      <pivotArea type="data" outline="0" fieldPosition="0">
        <references count="2">
          <reference field="4294967294" count="1" selected="0">
            <x v="0"/>
          </reference>
          <reference field="12" count="1" selected="0">
            <x v="6"/>
          </reference>
        </references>
      </pivotArea>
    </chartFormat>
    <chartFormat chart="8" format="124" series="1">
      <pivotArea type="data" outline="0" fieldPosition="0">
        <references count="2">
          <reference field="4294967294" count="1" selected="0">
            <x v="0"/>
          </reference>
          <reference field="12" count="1" selected="0">
            <x v="7"/>
          </reference>
        </references>
      </pivotArea>
    </chartFormat>
    <chartFormat chart="8" format="125" series="1">
      <pivotArea type="data" outline="0" fieldPosition="0">
        <references count="2">
          <reference field="4294967294" count="1" selected="0">
            <x v="0"/>
          </reference>
          <reference field="12" count="1" selected="0">
            <x v="9"/>
          </reference>
        </references>
      </pivotArea>
    </chartFormat>
    <chartFormat chart="8" format="126" series="1">
      <pivotArea type="data" outline="0" fieldPosition="0">
        <references count="2">
          <reference field="4294967294" count="1" selected="0">
            <x v="0"/>
          </reference>
          <reference field="12" count="1" selected="0">
            <x v="14"/>
          </reference>
        </references>
      </pivotArea>
    </chartFormat>
    <chartFormat chart="8" format="127" series="1">
      <pivotArea type="data" outline="0" fieldPosition="0">
        <references count="2">
          <reference field="4294967294" count="1" selected="0">
            <x v="0"/>
          </reference>
          <reference field="12" count="1" selected="0">
            <x v="15"/>
          </reference>
        </references>
      </pivotArea>
    </chartFormat>
    <chartFormat chart="8" format="128" series="1">
      <pivotArea type="data" outline="0" fieldPosition="0">
        <references count="2">
          <reference field="4294967294" count="1" selected="0">
            <x v="0"/>
          </reference>
          <reference field="12" count="1" selected="0">
            <x v="18"/>
          </reference>
        </references>
      </pivotArea>
    </chartFormat>
    <chartFormat chart="8" format="129" series="1">
      <pivotArea type="data" outline="0" fieldPosition="0">
        <references count="2">
          <reference field="4294967294" count="1" selected="0">
            <x v="0"/>
          </reference>
          <reference field="12" count="1" selected="0">
            <x v="19"/>
          </reference>
        </references>
      </pivotArea>
    </chartFormat>
    <chartFormat chart="8" format="130" series="1">
      <pivotArea type="data" outline="0" fieldPosition="0">
        <references count="2">
          <reference field="4294967294" count="1" selected="0">
            <x v="0"/>
          </reference>
          <reference field="12" count="1" selected="0">
            <x v="20"/>
          </reference>
        </references>
      </pivotArea>
    </chartFormat>
    <chartFormat chart="8" format="131" series="1">
      <pivotArea type="data" outline="0" fieldPosition="0">
        <references count="2">
          <reference field="4294967294" count="1" selected="0">
            <x v="0"/>
          </reference>
          <reference field="12" count="1" selected="0">
            <x v="22"/>
          </reference>
        </references>
      </pivotArea>
    </chartFormat>
    <chartFormat chart="8" format="132" series="1">
      <pivotArea type="data" outline="0" fieldPosition="0">
        <references count="2">
          <reference field="4294967294" count="1" selected="0">
            <x v="0"/>
          </reference>
          <reference field="12" count="1" selected="0">
            <x v="0"/>
          </reference>
        </references>
      </pivotArea>
    </chartFormat>
    <chartFormat chart="7" format="119" series="1">
      <pivotArea type="data" outline="0" fieldPosition="0">
        <references count="2">
          <reference field="4294967294" count="1" selected="0">
            <x v="0"/>
          </reference>
          <reference field="12" count="1" selected="0">
            <x v="1"/>
          </reference>
        </references>
      </pivotArea>
    </chartFormat>
    <chartFormat chart="7" format="120" series="1">
      <pivotArea type="data" outline="0" fieldPosition="0">
        <references count="2">
          <reference field="4294967294" count="1" selected="0">
            <x v="0"/>
          </reference>
          <reference field="12" count="1" selected="0">
            <x v="2"/>
          </reference>
        </references>
      </pivotArea>
    </chartFormat>
    <chartFormat chart="7" format="121" series="1">
      <pivotArea type="data" outline="0" fieldPosition="0">
        <references count="2">
          <reference field="4294967294" count="1" selected="0">
            <x v="0"/>
          </reference>
          <reference field="12" count="1" selected="0">
            <x v="3"/>
          </reference>
        </references>
      </pivotArea>
    </chartFormat>
    <chartFormat chart="7" format="122" series="1">
      <pivotArea type="data" outline="0" fieldPosition="0">
        <references count="2">
          <reference field="4294967294" count="1" selected="0">
            <x v="0"/>
          </reference>
          <reference field="12" count="1" selected="0">
            <x v="4"/>
          </reference>
        </references>
      </pivotArea>
    </chartFormat>
    <chartFormat chart="7" format="123" series="1">
      <pivotArea type="data" outline="0" fieldPosition="0">
        <references count="2">
          <reference field="4294967294" count="1" selected="0">
            <x v="0"/>
          </reference>
          <reference field="12" count="1" selected="0">
            <x v="6"/>
          </reference>
        </references>
      </pivotArea>
    </chartFormat>
    <chartFormat chart="7" format="124" series="1">
      <pivotArea type="data" outline="0" fieldPosition="0">
        <references count="2">
          <reference field="4294967294" count="1" selected="0">
            <x v="0"/>
          </reference>
          <reference field="12" count="1" selected="0">
            <x v="7"/>
          </reference>
        </references>
      </pivotArea>
    </chartFormat>
    <chartFormat chart="7" format="125" series="1">
      <pivotArea type="data" outline="0" fieldPosition="0">
        <references count="2">
          <reference field="4294967294" count="1" selected="0">
            <x v="0"/>
          </reference>
          <reference field="12" count="1" selected="0">
            <x v="9"/>
          </reference>
        </references>
      </pivotArea>
    </chartFormat>
    <chartFormat chart="7" format="126" series="1">
      <pivotArea type="data" outline="0" fieldPosition="0">
        <references count="2">
          <reference field="4294967294" count="1" selected="0">
            <x v="0"/>
          </reference>
          <reference field="12" count="1" selected="0">
            <x v="14"/>
          </reference>
        </references>
      </pivotArea>
    </chartFormat>
    <chartFormat chart="7" format="127" series="1">
      <pivotArea type="data" outline="0" fieldPosition="0">
        <references count="2">
          <reference field="4294967294" count="1" selected="0">
            <x v="0"/>
          </reference>
          <reference field="12" count="1" selected="0">
            <x v="15"/>
          </reference>
        </references>
      </pivotArea>
    </chartFormat>
    <chartFormat chart="7" format="128" series="1">
      <pivotArea type="data" outline="0" fieldPosition="0">
        <references count="2">
          <reference field="4294967294" count="1" selected="0">
            <x v="0"/>
          </reference>
          <reference field="12" count="1" selected="0">
            <x v="18"/>
          </reference>
        </references>
      </pivotArea>
    </chartFormat>
    <chartFormat chart="7" format="129" series="1">
      <pivotArea type="data" outline="0" fieldPosition="0">
        <references count="2">
          <reference field="4294967294" count="1" selected="0">
            <x v="0"/>
          </reference>
          <reference field="12" count="1" selected="0">
            <x v="19"/>
          </reference>
        </references>
      </pivotArea>
    </chartFormat>
    <chartFormat chart="7" format="130" series="1">
      <pivotArea type="data" outline="0" fieldPosition="0">
        <references count="2">
          <reference field="4294967294" count="1" selected="0">
            <x v="0"/>
          </reference>
          <reference field="12" count="1" selected="0">
            <x v="20"/>
          </reference>
        </references>
      </pivotArea>
    </chartFormat>
    <chartFormat chart="7" format="131" series="1">
      <pivotArea type="data" outline="0" fieldPosition="0">
        <references count="2">
          <reference field="4294967294" count="1" selected="0">
            <x v="0"/>
          </reference>
          <reference field="12" count="1" selected="0">
            <x v="22"/>
          </reference>
        </references>
      </pivotArea>
    </chartFormat>
    <chartFormat chart="7" format="132" series="1">
      <pivotArea type="data" outline="0" fieldPosition="0">
        <references count="2">
          <reference field="4294967294" count="1" selected="0">
            <x v="0"/>
          </reference>
          <reference field="12" count="1" selected="0">
            <x v="0"/>
          </reference>
        </references>
      </pivotArea>
    </chartFormat>
    <chartFormat chart="6" format="119" series="1">
      <pivotArea type="data" outline="0" fieldPosition="0">
        <references count="2">
          <reference field="4294967294" count="1" selected="0">
            <x v="0"/>
          </reference>
          <reference field="12" count="1" selected="0">
            <x v="1"/>
          </reference>
        </references>
      </pivotArea>
    </chartFormat>
    <chartFormat chart="6" format="120" series="1">
      <pivotArea type="data" outline="0" fieldPosition="0">
        <references count="2">
          <reference field="4294967294" count="1" selected="0">
            <x v="0"/>
          </reference>
          <reference field="12" count="1" selected="0">
            <x v="2"/>
          </reference>
        </references>
      </pivotArea>
    </chartFormat>
    <chartFormat chart="6" format="121" series="1">
      <pivotArea type="data" outline="0" fieldPosition="0">
        <references count="2">
          <reference field="4294967294" count="1" selected="0">
            <x v="0"/>
          </reference>
          <reference field="12" count="1" selected="0">
            <x v="3"/>
          </reference>
        </references>
      </pivotArea>
    </chartFormat>
    <chartFormat chart="6" format="122" series="1">
      <pivotArea type="data" outline="0" fieldPosition="0">
        <references count="2">
          <reference field="4294967294" count="1" selected="0">
            <x v="0"/>
          </reference>
          <reference field="12" count="1" selected="0">
            <x v="4"/>
          </reference>
        </references>
      </pivotArea>
    </chartFormat>
    <chartFormat chart="6" format="123" series="1">
      <pivotArea type="data" outline="0" fieldPosition="0">
        <references count="2">
          <reference field="4294967294" count="1" selected="0">
            <x v="0"/>
          </reference>
          <reference field="12" count="1" selected="0">
            <x v="6"/>
          </reference>
        </references>
      </pivotArea>
    </chartFormat>
    <chartFormat chart="6" format="124" series="1">
      <pivotArea type="data" outline="0" fieldPosition="0">
        <references count="2">
          <reference field="4294967294" count="1" selected="0">
            <x v="0"/>
          </reference>
          <reference field="12" count="1" selected="0">
            <x v="7"/>
          </reference>
        </references>
      </pivotArea>
    </chartFormat>
    <chartFormat chart="6" format="125" series="1">
      <pivotArea type="data" outline="0" fieldPosition="0">
        <references count="2">
          <reference field="4294967294" count="1" selected="0">
            <x v="0"/>
          </reference>
          <reference field="12" count="1" selected="0">
            <x v="9"/>
          </reference>
        </references>
      </pivotArea>
    </chartFormat>
    <chartFormat chart="6" format="126" series="1">
      <pivotArea type="data" outline="0" fieldPosition="0">
        <references count="2">
          <reference field="4294967294" count="1" selected="0">
            <x v="0"/>
          </reference>
          <reference field="12" count="1" selected="0">
            <x v="14"/>
          </reference>
        </references>
      </pivotArea>
    </chartFormat>
    <chartFormat chart="6" format="127" series="1">
      <pivotArea type="data" outline="0" fieldPosition="0">
        <references count="2">
          <reference field="4294967294" count="1" selected="0">
            <x v="0"/>
          </reference>
          <reference field="12" count="1" selected="0">
            <x v="15"/>
          </reference>
        </references>
      </pivotArea>
    </chartFormat>
    <chartFormat chart="6" format="128" series="1">
      <pivotArea type="data" outline="0" fieldPosition="0">
        <references count="2">
          <reference field="4294967294" count="1" selected="0">
            <x v="0"/>
          </reference>
          <reference field="12" count="1" selected="0">
            <x v="18"/>
          </reference>
        </references>
      </pivotArea>
    </chartFormat>
    <chartFormat chart="6" format="129" series="1">
      <pivotArea type="data" outline="0" fieldPosition="0">
        <references count="2">
          <reference field="4294967294" count="1" selected="0">
            <x v="0"/>
          </reference>
          <reference field="12" count="1" selected="0">
            <x v="19"/>
          </reference>
        </references>
      </pivotArea>
    </chartFormat>
    <chartFormat chart="6" format="130" series="1">
      <pivotArea type="data" outline="0" fieldPosition="0">
        <references count="2">
          <reference field="4294967294" count="1" selected="0">
            <x v="0"/>
          </reference>
          <reference field="12" count="1" selected="0">
            <x v="20"/>
          </reference>
        </references>
      </pivotArea>
    </chartFormat>
    <chartFormat chart="6" format="131" series="1">
      <pivotArea type="data" outline="0" fieldPosition="0">
        <references count="2">
          <reference field="4294967294" count="1" selected="0">
            <x v="0"/>
          </reference>
          <reference field="12" count="1" selected="0">
            <x v="22"/>
          </reference>
        </references>
      </pivotArea>
    </chartFormat>
    <chartFormat chart="6" format="132" series="1">
      <pivotArea type="data" outline="0" fieldPosition="0">
        <references count="2">
          <reference field="4294967294" count="1" selected="0">
            <x v="0"/>
          </reference>
          <reference field="12" count="1" selected="0">
            <x v="0"/>
          </reference>
        </references>
      </pivotArea>
    </chartFormat>
    <chartFormat chart="5" format="119" series="1">
      <pivotArea type="data" outline="0" fieldPosition="0">
        <references count="2">
          <reference field="4294967294" count="1" selected="0">
            <x v="0"/>
          </reference>
          <reference field="12" count="1" selected="0">
            <x v="1"/>
          </reference>
        </references>
      </pivotArea>
    </chartFormat>
    <chartFormat chart="5" format="120" series="1">
      <pivotArea type="data" outline="0" fieldPosition="0">
        <references count="2">
          <reference field="4294967294" count="1" selected="0">
            <x v="0"/>
          </reference>
          <reference field="12" count="1" selected="0">
            <x v="2"/>
          </reference>
        </references>
      </pivotArea>
    </chartFormat>
    <chartFormat chart="5" format="121" series="1">
      <pivotArea type="data" outline="0" fieldPosition="0">
        <references count="2">
          <reference field="4294967294" count="1" selected="0">
            <x v="0"/>
          </reference>
          <reference field="12" count="1" selected="0">
            <x v="3"/>
          </reference>
        </references>
      </pivotArea>
    </chartFormat>
    <chartFormat chart="5" format="122" series="1">
      <pivotArea type="data" outline="0" fieldPosition="0">
        <references count="2">
          <reference field="4294967294" count="1" selected="0">
            <x v="0"/>
          </reference>
          <reference field="12" count="1" selected="0">
            <x v="4"/>
          </reference>
        </references>
      </pivotArea>
    </chartFormat>
    <chartFormat chart="5" format="123" series="1">
      <pivotArea type="data" outline="0" fieldPosition="0">
        <references count="2">
          <reference field="4294967294" count="1" selected="0">
            <x v="0"/>
          </reference>
          <reference field="12" count="1" selected="0">
            <x v="6"/>
          </reference>
        </references>
      </pivotArea>
    </chartFormat>
    <chartFormat chart="5" format="124" series="1">
      <pivotArea type="data" outline="0" fieldPosition="0">
        <references count="2">
          <reference field="4294967294" count="1" selected="0">
            <x v="0"/>
          </reference>
          <reference field="12" count="1" selected="0">
            <x v="7"/>
          </reference>
        </references>
      </pivotArea>
    </chartFormat>
    <chartFormat chart="5" format="125" series="1">
      <pivotArea type="data" outline="0" fieldPosition="0">
        <references count="2">
          <reference field="4294967294" count="1" selected="0">
            <x v="0"/>
          </reference>
          <reference field="12" count="1" selected="0">
            <x v="9"/>
          </reference>
        </references>
      </pivotArea>
    </chartFormat>
    <chartFormat chart="5" format="126" series="1">
      <pivotArea type="data" outline="0" fieldPosition="0">
        <references count="2">
          <reference field="4294967294" count="1" selected="0">
            <x v="0"/>
          </reference>
          <reference field="12" count="1" selected="0">
            <x v="14"/>
          </reference>
        </references>
      </pivotArea>
    </chartFormat>
    <chartFormat chart="5" format="127" series="1">
      <pivotArea type="data" outline="0" fieldPosition="0">
        <references count="2">
          <reference field="4294967294" count="1" selected="0">
            <x v="0"/>
          </reference>
          <reference field="12" count="1" selected="0">
            <x v="15"/>
          </reference>
        </references>
      </pivotArea>
    </chartFormat>
    <chartFormat chart="5" format="128" series="1">
      <pivotArea type="data" outline="0" fieldPosition="0">
        <references count="2">
          <reference field="4294967294" count="1" selected="0">
            <x v="0"/>
          </reference>
          <reference field="12" count="1" selected="0">
            <x v="18"/>
          </reference>
        </references>
      </pivotArea>
    </chartFormat>
    <chartFormat chart="5" format="129" series="1">
      <pivotArea type="data" outline="0" fieldPosition="0">
        <references count="2">
          <reference field="4294967294" count="1" selected="0">
            <x v="0"/>
          </reference>
          <reference field="12" count="1" selected="0">
            <x v="19"/>
          </reference>
        </references>
      </pivotArea>
    </chartFormat>
    <chartFormat chart="5" format="130" series="1">
      <pivotArea type="data" outline="0" fieldPosition="0">
        <references count="2">
          <reference field="4294967294" count="1" selected="0">
            <x v="0"/>
          </reference>
          <reference field="12" count="1" selected="0">
            <x v="20"/>
          </reference>
        </references>
      </pivotArea>
    </chartFormat>
    <chartFormat chart="5" format="131" series="1">
      <pivotArea type="data" outline="0" fieldPosition="0">
        <references count="2">
          <reference field="4294967294" count="1" selected="0">
            <x v="0"/>
          </reference>
          <reference field="12" count="1" selected="0">
            <x v="22"/>
          </reference>
        </references>
      </pivotArea>
    </chartFormat>
    <chartFormat chart="5" format="132" series="1">
      <pivotArea type="data" outline="0" fieldPosition="0">
        <references count="2">
          <reference field="4294967294" count="1" selected="0">
            <x v="0"/>
          </reference>
          <reference field="12" count="1" selected="0">
            <x v="0"/>
          </reference>
        </references>
      </pivotArea>
    </chartFormat>
    <chartFormat chart="4" format="119" series="1">
      <pivotArea type="data" outline="0" fieldPosition="0">
        <references count="2">
          <reference field="4294967294" count="1" selected="0">
            <x v="0"/>
          </reference>
          <reference field="12" count="1" selected="0">
            <x v="1"/>
          </reference>
        </references>
      </pivotArea>
    </chartFormat>
    <chartFormat chart="4" format="120" series="1">
      <pivotArea type="data" outline="0" fieldPosition="0">
        <references count="2">
          <reference field="4294967294" count="1" selected="0">
            <x v="0"/>
          </reference>
          <reference field="12" count="1" selected="0">
            <x v="2"/>
          </reference>
        </references>
      </pivotArea>
    </chartFormat>
    <chartFormat chart="4" format="121" series="1">
      <pivotArea type="data" outline="0" fieldPosition="0">
        <references count="2">
          <reference field="4294967294" count="1" selected="0">
            <x v="0"/>
          </reference>
          <reference field="12" count="1" selected="0">
            <x v="3"/>
          </reference>
        </references>
      </pivotArea>
    </chartFormat>
    <chartFormat chart="4" format="122" series="1">
      <pivotArea type="data" outline="0" fieldPosition="0">
        <references count="2">
          <reference field="4294967294" count="1" selected="0">
            <x v="0"/>
          </reference>
          <reference field="12" count="1" selected="0">
            <x v="4"/>
          </reference>
        </references>
      </pivotArea>
    </chartFormat>
    <chartFormat chart="4" format="123" series="1">
      <pivotArea type="data" outline="0" fieldPosition="0">
        <references count="2">
          <reference field="4294967294" count="1" selected="0">
            <x v="0"/>
          </reference>
          <reference field="12" count="1" selected="0">
            <x v="6"/>
          </reference>
        </references>
      </pivotArea>
    </chartFormat>
    <chartFormat chart="4" format="124" series="1">
      <pivotArea type="data" outline="0" fieldPosition="0">
        <references count="2">
          <reference field="4294967294" count="1" selected="0">
            <x v="0"/>
          </reference>
          <reference field="12" count="1" selected="0">
            <x v="7"/>
          </reference>
        </references>
      </pivotArea>
    </chartFormat>
    <chartFormat chart="4" format="125" series="1">
      <pivotArea type="data" outline="0" fieldPosition="0">
        <references count="2">
          <reference field="4294967294" count="1" selected="0">
            <x v="0"/>
          </reference>
          <reference field="12" count="1" selected="0">
            <x v="9"/>
          </reference>
        </references>
      </pivotArea>
    </chartFormat>
    <chartFormat chart="4" format="126" series="1">
      <pivotArea type="data" outline="0" fieldPosition="0">
        <references count="2">
          <reference field="4294967294" count="1" selected="0">
            <x v="0"/>
          </reference>
          <reference field="12" count="1" selected="0">
            <x v="14"/>
          </reference>
        </references>
      </pivotArea>
    </chartFormat>
    <chartFormat chart="4" format="127" series="1">
      <pivotArea type="data" outline="0" fieldPosition="0">
        <references count="2">
          <reference field="4294967294" count="1" selected="0">
            <x v="0"/>
          </reference>
          <reference field="12" count="1" selected="0">
            <x v="15"/>
          </reference>
        </references>
      </pivotArea>
    </chartFormat>
    <chartFormat chart="4" format="128" series="1">
      <pivotArea type="data" outline="0" fieldPosition="0">
        <references count="2">
          <reference field="4294967294" count="1" selected="0">
            <x v="0"/>
          </reference>
          <reference field="12" count="1" selected="0">
            <x v="18"/>
          </reference>
        </references>
      </pivotArea>
    </chartFormat>
    <chartFormat chart="4" format="129" series="1">
      <pivotArea type="data" outline="0" fieldPosition="0">
        <references count="2">
          <reference field="4294967294" count="1" selected="0">
            <x v="0"/>
          </reference>
          <reference field="12" count="1" selected="0">
            <x v="19"/>
          </reference>
        </references>
      </pivotArea>
    </chartFormat>
    <chartFormat chart="4" format="130" series="1">
      <pivotArea type="data" outline="0" fieldPosition="0">
        <references count="2">
          <reference field="4294967294" count="1" selected="0">
            <x v="0"/>
          </reference>
          <reference field="12" count="1" selected="0">
            <x v="20"/>
          </reference>
        </references>
      </pivotArea>
    </chartFormat>
    <chartFormat chart="4" format="131" series="1">
      <pivotArea type="data" outline="0" fieldPosition="0">
        <references count="2">
          <reference field="4294967294" count="1" selected="0">
            <x v="0"/>
          </reference>
          <reference field="12" count="1" selected="0">
            <x v="22"/>
          </reference>
        </references>
      </pivotArea>
    </chartFormat>
    <chartFormat chart="4" format="132" series="1">
      <pivotArea type="data" outline="0" fieldPosition="0">
        <references count="2">
          <reference field="4294967294" count="1" selected="0">
            <x v="0"/>
          </reference>
          <reference field="12" count="1" selected="0">
            <x v="0"/>
          </reference>
        </references>
      </pivotArea>
    </chartFormat>
    <chartFormat chart="16" format="0" series="1">
      <pivotArea type="data" outline="0" fieldPosition="0">
        <references count="2">
          <reference field="4294967294" count="1" selected="0">
            <x v="0"/>
          </reference>
          <reference field="12" count="1" selected="0">
            <x v="0"/>
          </reference>
        </references>
      </pivotArea>
    </chartFormat>
    <chartFormat chart="16" format="1" series="1">
      <pivotArea type="data" outline="0" fieldPosition="0">
        <references count="2">
          <reference field="4294967294" count="1" selected="0">
            <x v="0"/>
          </reference>
          <reference field="12" count="1" selected="0">
            <x v="1"/>
          </reference>
        </references>
      </pivotArea>
    </chartFormat>
    <chartFormat chart="16" format="2" series="1">
      <pivotArea type="data" outline="0" fieldPosition="0">
        <references count="2">
          <reference field="4294967294" count="1" selected="0">
            <x v="0"/>
          </reference>
          <reference field="12" count="1" selected="0">
            <x v="2"/>
          </reference>
        </references>
      </pivotArea>
    </chartFormat>
    <chartFormat chart="16" format="3" series="1">
      <pivotArea type="data" outline="0" fieldPosition="0">
        <references count="2">
          <reference field="4294967294" count="1" selected="0">
            <x v="0"/>
          </reference>
          <reference field="12" count="1" selected="0">
            <x v="3"/>
          </reference>
        </references>
      </pivotArea>
    </chartFormat>
    <chartFormat chart="16" format="4" series="1">
      <pivotArea type="data" outline="0" fieldPosition="0">
        <references count="2">
          <reference field="4294967294" count="1" selected="0">
            <x v="0"/>
          </reference>
          <reference field="12" count="1" selected="0">
            <x v="4"/>
          </reference>
        </references>
      </pivotArea>
    </chartFormat>
    <chartFormat chart="16" format="5" series="1">
      <pivotArea type="data" outline="0" fieldPosition="0">
        <references count="2">
          <reference field="4294967294" count="1" selected="0">
            <x v="0"/>
          </reference>
          <reference field="12" count="1" selected="0">
            <x v="6"/>
          </reference>
        </references>
      </pivotArea>
    </chartFormat>
    <chartFormat chart="16" format="6" series="1">
      <pivotArea type="data" outline="0" fieldPosition="0">
        <references count="2">
          <reference field="4294967294" count="1" selected="0">
            <x v="0"/>
          </reference>
          <reference field="12" count="1" selected="0">
            <x v="7"/>
          </reference>
        </references>
      </pivotArea>
    </chartFormat>
    <chartFormat chart="16" format="7" series="1">
      <pivotArea type="data" outline="0" fieldPosition="0">
        <references count="2">
          <reference field="4294967294" count="1" selected="0">
            <x v="0"/>
          </reference>
          <reference field="12" count="1" selected="0">
            <x v="9"/>
          </reference>
        </references>
      </pivotArea>
    </chartFormat>
    <chartFormat chart="16" format="8" series="1">
      <pivotArea type="data" outline="0" fieldPosition="0">
        <references count="2">
          <reference field="4294967294" count="1" selected="0">
            <x v="0"/>
          </reference>
          <reference field="12" count="1" selected="0">
            <x v="14"/>
          </reference>
        </references>
      </pivotArea>
    </chartFormat>
    <chartFormat chart="16" format="9" series="1">
      <pivotArea type="data" outline="0" fieldPosition="0">
        <references count="2">
          <reference field="4294967294" count="1" selected="0">
            <x v="0"/>
          </reference>
          <reference field="12" count="1" selected="0">
            <x v="15"/>
          </reference>
        </references>
      </pivotArea>
    </chartFormat>
    <chartFormat chart="16" format="10" series="1">
      <pivotArea type="data" outline="0" fieldPosition="0">
        <references count="2">
          <reference field="4294967294" count="1" selected="0">
            <x v="0"/>
          </reference>
          <reference field="12" count="1" selected="0">
            <x v="18"/>
          </reference>
        </references>
      </pivotArea>
    </chartFormat>
    <chartFormat chart="16" format="11" series="1">
      <pivotArea type="data" outline="0" fieldPosition="0">
        <references count="2">
          <reference field="4294967294" count="1" selected="0">
            <x v="0"/>
          </reference>
          <reference field="12" count="1" selected="0">
            <x v="19"/>
          </reference>
        </references>
      </pivotArea>
    </chartFormat>
    <chartFormat chart="16" format="12" series="1">
      <pivotArea type="data" outline="0" fieldPosition="0">
        <references count="2">
          <reference field="4294967294" count="1" selected="0">
            <x v="0"/>
          </reference>
          <reference field="12" count="1" selected="0">
            <x v="20"/>
          </reference>
        </references>
      </pivotArea>
    </chartFormat>
    <chartFormat chart="16" format="13" series="1">
      <pivotArea type="data" outline="0" fieldPosition="0">
        <references count="2">
          <reference field="4294967294" count="1" selected="0">
            <x v="0"/>
          </reference>
          <reference field="12" count="1" selected="0">
            <x v="22"/>
          </reference>
        </references>
      </pivotArea>
    </chartFormat>
    <chartFormat chart="17" format="0" series="1">
      <pivotArea type="data" outline="0" fieldPosition="0">
        <references count="2">
          <reference field="4294967294" count="1" selected="0">
            <x v="0"/>
          </reference>
          <reference field="12" count="1" selected="0">
            <x v="0"/>
          </reference>
        </references>
      </pivotArea>
    </chartFormat>
    <chartFormat chart="17" format="1" series="1">
      <pivotArea type="data" outline="0" fieldPosition="0">
        <references count="2">
          <reference field="4294967294" count="1" selected="0">
            <x v="0"/>
          </reference>
          <reference field="12" count="1" selected="0">
            <x v="1"/>
          </reference>
        </references>
      </pivotArea>
    </chartFormat>
    <chartFormat chart="17" format="2" series="1">
      <pivotArea type="data" outline="0" fieldPosition="0">
        <references count="2">
          <reference field="4294967294" count="1" selected="0">
            <x v="0"/>
          </reference>
          <reference field="12" count="1" selected="0">
            <x v="2"/>
          </reference>
        </references>
      </pivotArea>
    </chartFormat>
    <chartFormat chart="17" format="3" series="1">
      <pivotArea type="data" outline="0" fieldPosition="0">
        <references count="2">
          <reference field="4294967294" count="1" selected="0">
            <x v="0"/>
          </reference>
          <reference field="12" count="1" selected="0">
            <x v="3"/>
          </reference>
        </references>
      </pivotArea>
    </chartFormat>
    <chartFormat chart="17" format="4" series="1">
      <pivotArea type="data" outline="0" fieldPosition="0">
        <references count="2">
          <reference field="4294967294" count="1" selected="0">
            <x v="0"/>
          </reference>
          <reference field="12" count="1" selected="0">
            <x v="4"/>
          </reference>
        </references>
      </pivotArea>
    </chartFormat>
    <chartFormat chart="17" format="5" series="1">
      <pivotArea type="data" outline="0" fieldPosition="0">
        <references count="2">
          <reference field="4294967294" count="1" selected="0">
            <x v="0"/>
          </reference>
          <reference field="12" count="1" selected="0">
            <x v="6"/>
          </reference>
        </references>
      </pivotArea>
    </chartFormat>
    <chartFormat chart="17" format="6" series="1">
      <pivotArea type="data" outline="0" fieldPosition="0">
        <references count="2">
          <reference field="4294967294" count="1" selected="0">
            <x v="0"/>
          </reference>
          <reference field="12" count="1" selected="0">
            <x v="7"/>
          </reference>
        </references>
      </pivotArea>
    </chartFormat>
    <chartFormat chart="17" format="7" series="1">
      <pivotArea type="data" outline="0" fieldPosition="0">
        <references count="2">
          <reference field="4294967294" count="1" selected="0">
            <x v="0"/>
          </reference>
          <reference field="12" count="1" selected="0">
            <x v="9"/>
          </reference>
        </references>
      </pivotArea>
    </chartFormat>
    <chartFormat chart="17" format="8" series="1">
      <pivotArea type="data" outline="0" fieldPosition="0">
        <references count="2">
          <reference field="4294967294" count="1" selected="0">
            <x v="0"/>
          </reference>
          <reference field="12" count="1" selected="0">
            <x v="14"/>
          </reference>
        </references>
      </pivotArea>
    </chartFormat>
    <chartFormat chart="17" format="9" series="1">
      <pivotArea type="data" outline="0" fieldPosition="0">
        <references count="2">
          <reference field="4294967294" count="1" selected="0">
            <x v="0"/>
          </reference>
          <reference field="12" count="1" selected="0">
            <x v="15"/>
          </reference>
        </references>
      </pivotArea>
    </chartFormat>
    <chartFormat chart="17" format="10" series="1">
      <pivotArea type="data" outline="0" fieldPosition="0">
        <references count="2">
          <reference field="4294967294" count="1" selected="0">
            <x v="0"/>
          </reference>
          <reference field="12" count="1" selected="0">
            <x v="18"/>
          </reference>
        </references>
      </pivotArea>
    </chartFormat>
    <chartFormat chart="17" format="11" series="1">
      <pivotArea type="data" outline="0" fieldPosition="0">
        <references count="2">
          <reference field="4294967294" count="1" selected="0">
            <x v="0"/>
          </reference>
          <reference field="12" count="1" selected="0">
            <x v="19"/>
          </reference>
        </references>
      </pivotArea>
    </chartFormat>
    <chartFormat chart="17" format="12" series="1">
      <pivotArea type="data" outline="0" fieldPosition="0">
        <references count="2">
          <reference field="4294967294" count="1" selected="0">
            <x v="0"/>
          </reference>
          <reference field="12" count="1" selected="0">
            <x v="20"/>
          </reference>
        </references>
      </pivotArea>
    </chartFormat>
    <chartFormat chart="17" format="13" series="1">
      <pivotArea type="data" outline="0" fieldPosition="0">
        <references count="2">
          <reference field="4294967294" count="1" selected="0">
            <x v="0"/>
          </reference>
          <reference field="12" count="1" selected="0">
            <x v="22"/>
          </reference>
        </references>
      </pivotArea>
    </chartFormat>
    <chartFormat chart="18" format="14" series="1">
      <pivotArea type="data" outline="0" fieldPosition="0">
        <references count="2">
          <reference field="4294967294" count="1" selected="0">
            <x v="0"/>
          </reference>
          <reference field="12" count="1" selected="0">
            <x v="0"/>
          </reference>
        </references>
      </pivotArea>
    </chartFormat>
    <chartFormat chart="18" format="15" series="1">
      <pivotArea type="data" outline="0" fieldPosition="0">
        <references count="2">
          <reference field="4294967294" count="1" selected="0">
            <x v="0"/>
          </reference>
          <reference field="12" count="1" selected="0">
            <x v="1"/>
          </reference>
        </references>
      </pivotArea>
    </chartFormat>
    <chartFormat chart="18" format="16" series="1">
      <pivotArea type="data" outline="0" fieldPosition="0">
        <references count="2">
          <reference field="4294967294" count="1" selected="0">
            <x v="0"/>
          </reference>
          <reference field="12" count="1" selected="0">
            <x v="2"/>
          </reference>
        </references>
      </pivotArea>
    </chartFormat>
    <chartFormat chart="18" format="17" series="1">
      <pivotArea type="data" outline="0" fieldPosition="0">
        <references count="2">
          <reference field="4294967294" count="1" selected="0">
            <x v="0"/>
          </reference>
          <reference field="12" count="1" selected="0">
            <x v="3"/>
          </reference>
        </references>
      </pivotArea>
    </chartFormat>
    <chartFormat chart="18" format="18" series="1">
      <pivotArea type="data" outline="0" fieldPosition="0">
        <references count="2">
          <reference field="4294967294" count="1" selected="0">
            <x v="0"/>
          </reference>
          <reference field="12" count="1" selected="0">
            <x v="4"/>
          </reference>
        </references>
      </pivotArea>
    </chartFormat>
    <chartFormat chart="18" format="19" series="1">
      <pivotArea type="data" outline="0" fieldPosition="0">
        <references count="2">
          <reference field="4294967294" count="1" selected="0">
            <x v="0"/>
          </reference>
          <reference field="12" count="1" selected="0">
            <x v="6"/>
          </reference>
        </references>
      </pivotArea>
    </chartFormat>
    <chartFormat chart="18" format="20" series="1">
      <pivotArea type="data" outline="0" fieldPosition="0">
        <references count="2">
          <reference field="4294967294" count="1" selected="0">
            <x v="0"/>
          </reference>
          <reference field="12" count="1" selected="0">
            <x v="7"/>
          </reference>
        </references>
      </pivotArea>
    </chartFormat>
    <chartFormat chart="18" format="21" series="1">
      <pivotArea type="data" outline="0" fieldPosition="0">
        <references count="2">
          <reference field="4294967294" count="1" selected="0">
            <x v="0"/>
          </reference>
          <reference field="12" count="1" selected="0">
            <x v="9"/>
          </reference>
        </references>
      </pivotArea>
    </chartFormat>
    <chartFormat chart="18" format="22" series="1">
      <pivotArea type="data" outline="0" fieldPosition="0">
        <references count="2">
          <reference field="4294967294" count="1" selected="0">
            <x v="0"/>
          </reference>
          <reference field="12" count="1" selected="0">
            <x v="14"/>
          </reference>
        </references>
      </pivotArea>
    </chartFormat>
    <chartFormat chart="18" format="23" series="1">
      <pivotArea type="data" outline="0" fieldPosition="0">
        <references count="2">
          <reference field="4294967294" count="1" selected="0">
            <x v="0"/>
          </reference>
          <reference field="12" count="1" selected="0">
            <x v="15"/>
          </reference>
        </references>
      </pivotArea>
    </chartFormat>
    <chartFormat chart="18" format="24" series="1">
      <pivotArea type="data" outline="0" fieldPosition="0">
        <references count="2">
          <reference field="4294967294" count="1" selected="0">
            <x v="0"/>
          </reference>
          <reference field="12" count="1" selected="0">
            <x v="18"/>
          </reference>
        </references>
      </pivotArea>
    </chartFormat>
    <chartFormat chart="18" format="25" series="1">
      <pivotArea type="data" outline="0" fieldPosition="0">
        <references count="2">
          <reference field="4294967294" count="1" selected="0">
            <x v="0"/>
          </reference>
          <reference field="12" count="1" selected="0">
            <x v="19"/>
          </reference>
        </references>
      </pivotArea>
    </chartFormat>
    <chartFormat chart="18" format="26" series="1">
      <pivotArea type="data" outline="0" fieldPosition="0">
        <references count="2">
          <reference field="4294967294" count="1" selected="0">
            <x v="0"/>
          </reference>
          <reference field="12" count="1" selected="0">
            <x v="20"/>
          </reference>
        </references>
      </pivotArea>
    </chartFormat>
    <chartFormat chart="18" format="27" series="1">
      <pivotArea type="data" outline="0" fieldPosition="0">
        <references count="2">
          <reference field="4294967294" count="1" selected="0">
            <x v="0"/>
          </reference>
          <reference field="12" count="1" selected="0">
            <x v="22"/>
          </reference>
        </references>
      </pivotArea>
    </chartFormat>
    <chartFormat chart="17" format="28" series="1">
      <pivotArea type="data" outline="0" fieldPosition="0">
        <references count="2">
          <reference field="4294967294" count="1" selected="0">
            <x v="0"/>
          </reference>
          <reference field="12" count="1" selected="0">
            <x v="21"/>
          </reference>
        </references>
      </pivotArea>
    </chartFormat>
  </chartFormats>
  <pivotTableStyleInfo showRowHeaders="1" showColHeaders="1" showRowStripes="0" showColStripes="0" showLastColumn="1"/>
</pivotTableDefinition>
</file>

<file path=xl/pivotTables/pivotTable13.xml><?xml version="1.0" encoding="utf-8"?>
<pivotTableDefinition xmlns="http://schemas.openxmlformats.org/spreadsheetml/2006/main" name="PivotTable2" cacheId="28" applyNumberFormats="0" applyBorderFormats="0" applyFontFormats="0" applyPatternFormats="0" applyAlignmentFormats="0" applyWidthHeightFormats="1" dataCaption="Values" updatedVersion="3" minRefreshableVersion="3" showCalcMbrs="0" useAutoFormatting="1" itemPrintTitles="1" createdVersion="3" indent="0" compact="0" compactData="0" multipleFieldFilters="0" chartFormat="1">
  <location ref="A109:C220" firstHeaderRow="1" firstDataRow="1" firstDataCol="2" rowPageCount="2" colPageCount="1"/>
  <pivotFields count="78">
    <pivotField compact="0" outline="0" showAll="0"/>
    <pivotField compact="0" outline="0" showAll="0"/>
    <pivotField axis="axisRow" compact="0" outline="0" showAll="0">
      <items count="257">
        <item x="60"/>
        <item x="79"/>
        <item x="216"/>
        <item x="76"/>
        <item x="114"/>
        <item x="154"/>
        <item x="24"/>
        <item x="108"/>
        <item x="1"/>
        <item x="98"/>
        <item x="214"/>
        <item x="93"/>
        <item x="39"/>
        <item x="40"/>
        <item x="13"/>
        <item x="4"/>
        <item x="218"/>
        <item x="183"/>
        <item x="19"/>
        <item x="243"/>
        <item x="68"/>
        <item x="34"/>
        <item x="69"/>
        <item x="48"/>
        <item x="87"/>
        <item x="53"/>
        <item x="29"/>
        <item x="11"/>
        <item x="75"/>
        <item x="132"/>
        <item x="50"/>
        <item x="112"/>
        <item x="242"/>
        <item x="203"/>
        <item x="202"/>
        <item x="127"/>
        <item x="205"/>
        <item x="124"/>
        <item x="233"/>
        <item x="195"/>
        <item x="104"/>
        <item x="109"/>
        <item x="8"/>
        <item x="192"/>
        <item x="186"/>
        <item x="44"/>
        <item x="157"/>
        <item x="170"/>
        <item x="145"/>
        <item x="244"/>
        <item x="213"/>
        <item x="7"/>
        <item x="204"/>
        <item x="72"/>
        <item x="90"/>
        <item x="22"/>
        <item x="113"/>
        <item x="116"/>
        <item x="251"/>
        <item x="77"/>
        <item x="150"/>
        <item x="188"/>
        <item x="160"/>
        <item x="59"/>
        <item x="55"/>
        <item x="43"/>
        <item x="230"/>
        <item x="141"/>
        <item x="5"/>
        <item x="161"/>
        <item x="193"/>
        <item x="85"/>
        <item x="211"/>
        <item x="212"/>
        <item x="200"/>
        <item x="89"/>
        <item x="12"/>
        <item x="176"/>
        <item x="25"/>
        <item x="58"/>
        <item x="187"/>
        <item x="131"/>
        <item x="239"/>
        <item x="231"/>
        <item x="120"/>
        <item x="201"/>
        <item x="56"/>
        <item x="70"/>
        <item x="110"/>
        <item x="250"/>
        <item x="208"/>
        <item x="92"/>
        <item x="175"/>
        <item x="134"/>
        <item x="135"/>
        <item x="133"/>
        <item x="177"/>
        <item x="137"/>
        <item x="3"/>
        <item x="139"/>
        <item x="140"/>
        <item x="142"/>
        <item x="143"/>
        <item x="45"/>
        <item x="33"/>
        <item x="20"/>
        <item x="178"/>
        <item x="32"/>
        <item x="97"/>
        <item x="129"/>
        <item x="241"/>
        <item x="158"/>
        <item x="63"/>
        <item x="117"/>
        <item x="105"/>
        <item x="151"/>
        <item x="35"/>
        <item x="96"/>
        <item x="122"/>
        <item x="73"/>
        <item x="248"/>
        <item x="15"/>
        <item x="224"/>
        <item x="36"/>
        <item x="229"/>
        <item x="185"/>
        <item x="101"/>
        <item x="81"/>
        <item x="237"/>
        <item x="100"/>
        <item x="115"/>
        <item x="52"/>
        <item x="189"/>
        <item x="168"/>
        <item x="31"/>
        <item x="121"/>
        <item x="47"/>
        <item x="82"/>
        <item x="130"/>
        <item x="171"/>
        <item x="0"/>
        <item x="6"/>
        <item x="16"/>
        <item x="223"/>
        <item x="67"/>
        <item x="66"/>
        <item x="159"/>
        <item x="199"/>
        <item x="234"/>
        <item x="46"/>
        <item x="191"/>
        <item x="215"/>
        <item x="235"/>
        <item x="174"/>
        <item x="246"/>
        <item x="83"/>
        <item x="57"/>
        <item x="71"/>
        <item x="10"/>
        <item x="78"/>
        <item x="245"/>
        <item x="119"/>
        <item x="206"/>
        <item x="61"/>
        <item x="172"/>
        <item x="138"/>
        <item x="252"/>
        <item x="217"/>
        <item x="238"/>
        <item x="37"/>
        <item x="207"/>
        <item x="118"/>
        <item x="80"/>
        <item x="184"/>
        <item x="247"/>
        <item x="94"/>
        <item x="123"/>
        <item x="54"/>
        <item x="49"/>
        <item x="86"/>
        <item x="196"/>
        <item x="153"/>
        <item x="240"/>
        <item x="255"/>
        <item x="163"/>
        <item x="88"/>
        <item x="17"/>
        <item x="51"/>
        <item x="2"/>
        <item x="136"/>
        <item x="228"/>
        <item x="91"/>
        <item x="102"/>
        <item x="169"/>
        <item x="165"/>
        <item x="155"/>
        <item x="166"/>
        <item x="194"/>
        <item x="42"/>
        <item x="28"/>
        <item x="95"/>
        <item x="103"/>
        <item x="225"/>
        <item x="226"/>
        <item x="190"/>
        <item x="146"/>
        <item x="147"/>
        <item x="149"/>
        <item x="148"/>
        <item x="156"/>
        <item x="167"/>
        <item x="111"/>
        <item x="41"/>
        <item x="128"/>
        <item x="23"/>
        <item x="26"/>
        <item x="125"/>
        <item x="162"/>
        <item x="198"/>
        <item x="106"/>
        <item x="220"/>
        <item x="84"/>
        <item x="14"/>
        <item x="126"/>
        <item x="38"/>
        <item x="219"/>
        <item x="232"/>
        <item x="254"/>
        <item x="18"/>
        <item x="152"/>
        <item x="180"/>
        <item x="236"/>
        <item x="181"/>
        <item x="253"/>
        <item x="107"/>
        <item x="9"/>
        <item x="64"/>
        <item x="179"/>
        <item x="209"/>
        <item x="173"/>
        <item x="65"/>
        <item x="74"/>
        <item x="62"/>
        <item x="27"/>
        <item x="21"/>
        <item x="99"/>
        <item x="144"/>
        <item x="182"/>
        <item x="164"/>
        <item x="221"/>
        <item x="222"/>
        <item x="249"/>
        <item x="227"/>
        <item x="197"/>
        <item x="210"/>
        <item x="30"/>
        <item t="default"/>
      </items>
    </pivotField>
    <pivotField compact="0" numFmtId="167" outline="0" showAll="0"/>
    <pivotField compact="0" outline="0" showAll="0">
      <items count="18">
        <item x="0"/>
        <item x="1"/>
        <item x="2"/>
        <item x="3"/>
        <item x="4"/>
        <item x="5"/>
        <item x="6"/>
        <item x="7"/>
        <item x="8"/>
        <item x="9"/>
        <item x="10"/>
        <item x="11"/>
        <item x="12"/>
        <item x="13"/>
        <item x="14"/>
        <item x="15"/>
        <item x="16"/>
        <item t="default"/>
      </items>
    </pivotField>
    <pivotField compact="0" outline="0" showAll="0"/>
    <pivotField compact="0" outline="0" showAll="0"/>
    <pivotField axis="axisPage" compact="0" outline="0" multipleItemSelectionAllowed="1" showAll="0">
      <items count="18">
        <item h="1" x="0"/>
        <item h="1" x="1"/>
        <item h="1" x="2"/>
        <item h="1" x="3"/>
        <item h="1" x="4"/>
        <item h="1" x="5"/>
        <item h="1" x="6"/>
        <item h="1" x="7"/>
        <item h="1" x="8"/>
        <item h="1" x="9"/>
        <item h="1" x="10"/>
        <item h="1" x="11"/>
        <item x="12"/>
        <item x="13"/>
        <item x="14"/>
        <item x="15"/>
        <item x="16"/>
        <item t="default"/>
      </items>
    </pivotField>
    <pivotField compact="0" outline="0" showAll="0"/>
    <pivotField axis="axisPage" compact="0" outline="0" showAll="0">
      <items count="6">
        <item x="1"/>
        <item x="3"/>
        <item x="2"/>
        <item x="4"/>
        <item x="0"/>
        <item t="default"/>
      </items>
    </pivotField>
    <pivotField compact="0" outline="0" showAll="0"/>
    <pivotField compact="0" outline="0" showAll="0"/>
    <pivotField axis="axisRow" compact="0" outline="0" showAll="0" defaultSubtotal="0">
      <items count="25">
        <item x="19"/>
        <item x="8"/>
        <item x="20"/>
        <item x="1"/>
        <item x="3"/>
        <item x="23"/>
        <item x="11"/>
        <item x="2"/>
        <item x="7"/>
        <item x="14"/>
        <item x="6"/>
        <item x="18"/>
        <item x="13"/>
        <item x="10"/>
        <item x="24"/>
        <item x="5"/>
        <item x="12"/>
        <item x="9"/>
        <item x="17"/>
        <item x="16"/>
        <item x="22"/>
        <item x="4"/>
        <item x="15"/>
        <item x="21"/>
        <item x="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s>
  <rowFields count="2">
    <field x="12"/>
    <field x="2"/>
  </rowFields>
  <rowItems count="111">
    <i>
      <x/>
      <x v="80"/>
    </i>
    <i r="1">
      <x v="125"/>
    </i>
    <i r="1">
      <x v="160"/>
    </i>
    <i r="1">
      <x v="197"/>
    </i>
    <i>
      <x v="1"/>
      <x v="72"/>
    </i>
    <i r="1">
      <x v="73"/>
    </i>
    <i r="1">
      <x v="74"/>
    </i>
    <i r="1">
      <x v="114"/>
    </i>
    <i r="1">
      <x v="128"/>
    </i>
    <i r="1">
      <x v="167"/>
    </i>
    <i r="1">
      <x v="194"/>
    </i>
    <i r="1">
      <x v="210"/>
    </i>
    <i r="1">
      <x v="216"/>
    </i>
    <i r="1">
      <x v="238"/>
    </i>
    <i r="1">
      <x v="253"/>
    </i>
    <i>
      <x v="2"/>
      <x v="143"/>
    </i>
    <i r="1">
      <x v="202"/>
    </i>
    <i r="1">
      <x v="203"/>
    </i>
    <i>
      <x v="3"/>
      <x v="89"/>
    </i>
    <i r="1">
      <x v="124"/>
    </i>
    <i r="1">
      <x v="220"/>
    </i>
    <i>
      <x v="4"/>
      <x v="38"/>
    </i>
    <i r="1">
      <x v="40"/>
    </i>
    <i r="1">
      <x v="43"/>
    </i>
    <i r="1">
      <x v="50"/>
    </i>
    <i r="1">
      <x v="83"/>
    </i>
    <i r="1">
      <x v="106"/>
    </i>
    <i r="1">
      <x v="117"/>
    </i>
    <i r="1">
      <x v="122"/>
    </i>
    <i r="1">
      <x v="154"/>
    </i>
    <i r="1">
      <x v="162"/>
    </i>
    <i r="1">
      <x v="177"/>
    </i>
    <i r="1">
      <x v="193"/>
    </i>
    <i r="1">
      <x v="233"/>
    </i>
    <i r="1">
      <x v="252"/>
    </i>
    <i>
      <x v="5"/>
      <x v="120"/>
    </i>
    <i>
      <x v="6"/>
      <x v="2"/>
    </i>
    <i r="1">
      <x v="82"/>
    </i>
    <i r="1">
      <x v="152"/>
    </i>
    <i r="1">
      <x v="174"/>
    </i>
    <i r="1">
      <x v="254"/>
    </i>
    <i>
      <x v="7"/>
      <x v="18"/>
    </i>
    <i r="1">
      <x v="23"/>
    </i>
    <i r="1">
      <x v="36"/>
    </i>
    <i r="1">
      <x v="39"/>
    </i>
    <i r="1">
      <x v="46"/>
    </i>
    <i r="1">
      <x v="47"/>
    </i>
    <i r="1">
      <x v="49"/>
    </i>
    <i r="1">
      <x v="51"/>
    </i>
    <i r="1">
      <x v="58"/>
    </i>
    <i r="1">
      <x v="61"/>
    </i>
    <i r="1">
      <x v="66"/>
    </i>
    <i r="1">
      <x v="84"/>
    </i>
    <i r="1">
      <x v="104"/>
    </i>
    <i r="1">
      <x v="141"/>
    </i>
    <i r="1">
      <x v="147"/>
    </i>
    <i r="1">
      <x v="149"/>
    </i>
    <i r="1">
      <x v="151"/>
    </i>
    <i r="1">
      <x v="153"/>
    </i>
    <i r="1">
      <x v="166"/>
    </i>
    <i r="1">
      <x v="168"/>
    </i>
    <i r="1">
      <x v="170"/>
    </i>
    <i r="1">
      <x v="172"/>
    </i>
    <i r="1">
      <x v="204"/>
    </i>
    <i r="1">
      <x v="217"/>
    </i>
    <i r="1">
      <x v="218"/>
    </i>
    <i r="1">
      <x v="225"/>
    </i>
    <i r="1">
      <x v="226"/>
    </i>
    <i r="1">
      <x v="227"/>
    </i>
    <i r="1">
      <x v="230"/>
    </i>
    <i r="1">
      <x v="237"/>
    </i>
    <i r="1">
      <x v="239"/>
    </i>
    <i r="1">
      <x v="244"/>
    </i>
    <i r="1">
      <x v="249"/>
    </i>
    <i r="1">
      <x v="250"/>
    </i>
    <i>
      <x v="9"/>
      <x v="70"/>
    </i>
    <i r="1">
      <x v="90"/>
    </i>
    <i>
      <x v="14"/>
      <x v="251"/>
    </i>
    <i>
      <x v="15"/>
      <x v="16"/>
    </i>
    <i r="1">
      <x v="17"/>
    </i>
    <i r="1">
      <x v="33"/>
    </i>
    <i r="1">
      <x v="34"/>
    </i>
    <i r="1">
      <x v="44"/>
    </i>
    <i r="1">
      <x v="52"/>
    </i>
    <i r="1">
      <x v="85"/>
    </i>
    <i r="1">
      <x v="92"/>
    </i>
    <i r="1">
      <x v="96"/>
    </i>
    <i r="1">
      <x v="132"/>
    </i>
    <i r="1">
      <x v="133"/>
    </i>
    <i r="1">
      <x v="139"/>
    </i>
    <i r="1">
      <x v="150"/>
    </i>
    <i r="1">
      <x v="164"/>
    </i>
    <i r="1">
      <x v="173"/>
    </i>
    <i r="1">
      <x v="180"/>
    </i>
    <i r="1">
      <x v="232"/>
    </i>
    <i r="1">
      <x v="247"/>
    </i>
    <i>
      <x v="18"/>
      <x v="19"/>
    </i>
    <i r="1">
      <x v="32"/>
    </i>
    <i r="1">
      <x v="182"/>
    </i>
    <i r="1">
      <x v="183"/>
    </i>
    <i r="1">
      <x v="184"/>
    </i>
    <i r="1">
      <x v="231"/>
    </i>
    <i>
      <x v="19"/>
      <x v="190"/>
    </i>
    <i>
      <x v="20"/>
      <x v="110"/>
    </i>
    <i>
      <x v="22"/>
      <x v="10"/>
    </i>
    <i r="1">
      <x v="77"/>
    </i>
    <i>
      <x v="23"/>
      <x v="148"/>
    </i>
    <i>
      <x v="24"/>
      <x v="36"/>
    </i>
    <i r="1">
      <x v="82"/>
    </i>
    <i r="1">
      <x v="89"/>
    </i>
    <i t="grand">
      <x/>
    </i>
  </rowItems>
  <colItems count="1">
    <i/>
  </colItems>
  <pageFields count="2">
    <pageField fld="9" hier="-1"/>
    <pageField fld="7" hier="-1"/>
  </pageFields>
  <dataFields count="1">
    <dataField name="Sum of % of Appeal Covered by ARC" fld="20" baseField="0" baseItem="0" numFmtId="10"/>
  </dataFields>
  <formats count="1">
    <format dxfId="163">
      <pivotArea outline="0" collapsedLevelsAreSubtotals="1" fieldPosition="0"/>
    </format>
  </formats>
  <pivotTableStyleInfo name="PivotStyleLight13" showRowHeaders="1" showColHeaders="1" showRowStripes="0" showColStripes="0" showLastColumn="1"/>
</pivotTableDefinition>
</file>

<file path=xl/pivotTables/pivotTable14.xml><?xml version="1.0" encoding="utf-8"?>
<pivotTableDefinition xmlns="http://schemas.openxmlformats.org/spreadsheetml/2006/main" name="PivotTable1" cacheId="26"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chartFormat="9">
  <location ref="A45:D67" firstHeaderRow="1" firstDataRow="2" firstDataCol="1" rowPageCount="3" colPageCount="1"/>
  <pivotFields count="77">
    <pivotField showAll="0">
      <items count="105">
        <item x="4"/>
        <item x="68"/>
        <item x="32"/>
        <item x="77"/>
        <item x="38"/>
        <item x="70"/>
        <item x="60"/>
        <item x="95"/>
        <item x="52"/>
        <item x="82"/>
        <item x="6"/>
        <item x="21"/>
        <item x="25"/>
        <item x="37"/>
        <item x="47"/>
        <item x="53"/>
        <item x="56"/>
        <item x="64"/>
        <item x="73"/>
        <item x="75"/>
        <item x="76"/>
        <item x="84"/>
        <item x="86"/>
        <item x="90"/>
        <item x="91"/>
        <item x="101"/>
        <item x="17"/>
        <item x="16"/>
        <item x="20"/>
        <item x="48"/>
        <item x="8"/>
        <item x="9"/>
        <item x="12"/>
        <item x="13"/>
        <item x="14"/>
        <item x="19"/>
        <item x="26"/>
        <item x="27"/>
        <item x="29"/>
        <item x="31"/>
        <item x="18"/>
        <item x="33"/>
        <item x="39"/>
        <item x="41"/>
        <item x="43"/>
        <item x="42"/>
        <item x="50"/>
        <item x="46"/>
        <item x="49"/>
        <item x="55"/>
        <item x="57"/>
        <item x="59"/>
        <item x="62"/>
        <item x="61"/>
        <item x="71"/>
        <item x="66"/>
        <item x="69"/>
        <item x="72"/>
        <item x="74"/>
        <item x="87"/>
        <item x="88"/>
        <item x="80"/>
        <item x="81"/>
        <item x="94"/>
        <item x="92"/>
        <item x="97"/>
        <item x="96"/>
        <item x="98"/>
        <item x="103"/>
        <item x="102"/>
        <item x="5"/>
        <item x="51"/>
        <item x="79"/>
        <item x="93"/>
        <item x="89"/>
        <item x="28"/>
        <item x="1"/>
        <item x="2"/>
        <item x="3"/>
        <item x="11"/>
        <item x="10"/>
        <item x="22"/>
        <item x="24"/>
        <item x="30"/>
        <item x="34"/>
        <item x="35"/>
        <item x="36"/>
        <item x="40"/>
        <item x="45"/>
        <item x="44"/>
        <item x="58"/>
        <item x="63"/>
        <item x="65"/>
        <item x="78"/>
        <item x="83"/>
        <item x="85"/>
        <item x="99"/>
        <item x="100"/>
        <item x="15"/>
        <item x="67"/>
        <item x="7"/>
        <item x="23"/>
        <item x="54"/>
        <item x="0"/>
        <item t="default"/>
      </items>
    </pivotField>
    <pivotField showAll="0"/>
    <pivotField dataField="1" showAll="0">
      <items count="256">
        <item x="60"/>
        <item x="79"/>
        <item x="216"/>
        <item x="76"/>
        <item x="114"/>
        <item x="154"/>
        <item x="24"/>
        <item x="108"/>
        <item x="1"/>
        <item x="98"/>
        <item x="214"/>
        <item x="93"/>
        <item x="39"/>
        <item x="40"/>
        <item x="13"/>
        <item x="4"/>
        <item x="218"/>
        <item x="183"/>
        <item x="19"/>
        <item x="243"/>
        <item x="68"/>
        <item x="34"/>
        <item x="69"/>
        <item x="48"/>
        <item x="87"/>
        <item x="53"/>
        <item x="29"/>
        <item x="11"/>
        <item x="75"/>
        <item x="132"/>
        <item x="50"/>
        <item x="112"/>
        <item x="242"/>
        <item x="203"/>
        <item x="202"/>
        <item x="127"/>
        <item x="205"/>
        <item x="124"/>
        <item x="233"/>
        <item x="195"/>
        <item x="104"/>
        <item x="109"/>
        <item x="8"/>
        <item x="192"/>
        <item x="186"/>
        <item x="44"/>
        <item x="157"/>
        <item x="170"/>
        <item x="145"/>
        <item x="244"/>
        <item x="213"/>
        <item x="7"/>
        <item x="204"/>
        <item x="72"/>
        <item x="90"/>
        <item x="22"/>
        <item x="113"/>
        <item x="116"/>
        <item x="251"/>
        <item x="77"/>
        <item x="150"/>
        <item x="188"/>
        <item x="160"/>
        <item x="59"/>
        <item x="55"/>
        <item x="43"/>
        <item x="230"/>
        <item x="141"/>
        <item x="5"/>
        <item x="161"/>
        <item x="193"/>
        <item x="85"/>
        <item x="211"/>
        <item x="212"/>
        <item x="200"/>
        <item x="89"/>
        <item x="12"/>
        <item x="176"/>
        <item x="25"/>
        <item x="58"/>
        <item x="187"/>
        <item x="131"/>
        <item x="239"/>
        <item x="231"/>
        <item x="120"/>
        <item x="201"/>
        <item x="56"/>
        <item x="70"/>
        <item x="110"/>
        <item x="250"/>
        <item x="208"/>
        <item x="92"/>
        <item x="175"/>
        <item x="134"/>
        <item x="135"/>
        <item x="133"/>
        <item x="177"/>
        <item x="137"/>
        <item x="3"/>
        <item x="139"/>
        <item x="140"/>
        <item x="142"/>
        <item x="143"/>
        <item x="45"/>
        <item x="33"/>
        <item x="20"/>
        <item x="178"/>
        <item x="32"/>
        <item x="97"/>
        <item x="129"/>
        <item x="241"/>
        <item x="158"/>
        <item x="63"/>
        <item x="117"/>
        <item x="105"/>
        <item x="151"/>
        <item x="35"/>
        <item x="96"/>
        <item x="122"/>
        <item x="73"/>
        <item x="248"/>
        <item x="15"/>
        <item x="224"/>
        <item x="36"/>
        <item x="229"/>
        <item x="185"/>
        <item x="101"/>
        <item x="81"/>
        <item x="237"/>
        <item x="100"/>
        <item x="115"/>
        <item x="52"/>
        <item x="189"/>
        <item x="168"/>
        <item x="31"/>
        <item x="121"/>
        <item x="47"/>
        <item x="82"/>
        <item x="130"/>
        <item x="171"/>
        <item x="0"/>
        <item x="6"/>
        <item x="16"/>
        <item x="223"/>
        <item x="67"/>
        <item x="66"/>
        <item x="159"/>
        <item x="199"/>
        <item x="234"/>
        <item x="46"/>
        <item x="191"/>
        <item x="215"/>
        <item x="235"/>
        <item x="174"/>
        <item x="246"/>
        <item x="83"/>
        <item x="57"/>
        <item x="71"/>
        <item x="10"/>
        <item x="78"/>
        <item x="245"/>
        <item x="119"/>
        <item x="206"/>
        <item x="61"/>
        <item x="172"/>
        <item x="138"/>
        <item x="252"/>
        <item x="217"/>
        <item x="238"/>
        <item x="37"/>
        <item x="207"/>
        <item x="118"/>
        <item x="80"/>
        <item x="184"/>
        <item x="247"/>
        <item x="94"/>
        <item x="123"/>
        <item x="54"/>
        <item x="49"/>
        <item x="86"/>
        <item x="196"/>
        <item x="153"/>
        <item x="240"/>
        <item x="163"/>
        <item x="88"/>
        <item x="17"/>
        <item x="51"/>
        <item x="2"/>
        <item x="136"/>
        <item x="228"/>
        <item x="91"/>
        <item x="102"/>
        <item x="169"/>
        <item x="165"/>
        <item x="155"/>
        <item x="166"/>
        <item x="194"/>
        <item x="42"/>
        <item x="28"/>
        <item x="95"/>
        <item x="103"/>
        <item x="225"/>
        <item x="226"/>
        <item x="190"/>
        <item x="146"/>
        <item x="147"/>
        <item x="149"/>
        <item x="148"/>
        <item x="156"/>
        <item x="167"/>
        <item x="111"/>
        <item x="41"/>
        <item x="128"/>
        <item x="23"/>
        <item x="26"/>
        <item x="125"/>
        <item x="162"/>
        <item x="198"/>
        <item x="106"/>
        <item x="220"/>
        <item x="84"/>
        <item x="14"/>
        <item x="126"/>
        <item x="38"/>
        <item x="219"/>
        <item x="232"/>
        <item x="254"/>
        <item x="18"/>
        <item x="152"/>
        <item x="180"/>
        <item x="236"/>
        <item x="181"/>
        <item x="253"/>
        <item x="107"/>
        <item x="9"/>
        <item x="64"/>
        <item x="179"/>
        <item x="209"/>
        <item x="173"/>
        <item x="65"/>
        <item x="74"/>
        <item x="62"/>
        <item x="27"/>
        <item x="21"/>
        <item x="99"/>
        <item x="144"/>
        <item x="182"/>
        <item x="164"/>
        <item x="221"/>
        <item x="222"/>
        <item x="249"/>
        <item x="227"/>
        <item x="197"/>
        <item x="210"/>
        <item x="30"/>
        <item t="default"/>
      </items>
    </pivotField>
    <pivotField numFmtId="167" showAll="0"/>
    <pivotField multipleItemSelectionAllowed="1" showAll="0">
      <items count="18">
        <item h="1" x="0"/>
        <item h="1" x="1"/>
        <item h="1" x="2"/>
        <item h="1" x="3"/>
        <item h="1" x="4"/>
        <item h="1" x="5"/>
        <item h="1" x="6"/>
        <item h="1" x="7"/>
        <item h="1" x="8"/>
        <item h="1" x="9"/>
        <item h="1" x="10"/>
        <item h="1" x="11"/>
        <item x="12"/>
        <item x="13"/>
        <item x="14"/>
        <item x="15"/>
        <item x="16"/>
        <item t="default"/>
      </items>
    </pivotField>
    <pivotField showAll="0"/>
    <pivotField showAll="0"/>
    <pivotField axis="axisPage" multipleItemSelectionAllowed="1" showAll="0">
      <items count="18">
        <item h="1" x="0"/>
        <item h="1" x="1"/>
        <item h="1" x="2"/>
        <item h="1" x="3"/>
        <item h="1" x="4"/>
        <item h="1" x="5"/>
        <item h="1" x="6"/>
        <item h="1" x="7"/>
        <item h="1" x="8"/>
        <item h="1" x="9"/>
        <item h="1" x="10"/>
        <item h="1" x="11"/>
        <item x="12"/>
        <item x="13"/>
        <item x="14"/>
        <item x="15"/>
        <item x="16"/>
        <item t="default"/>
      </items>
    </pivotField>
    <pivotField showAll="0"/>
    <pivotField axis="axisRow" showAll="0">
      <items count="6">
        <item x="1"/>
        <item x="3"/>
        <item x="2"/>
        <item x="4"/>
        <item x="0"/>
        <item t="default"/>
      </items>
    </pivotField>
    <pivotField showAll="0"/>
    <pivotField showAll="0"/>
    <pivotField axis="axisRow" showAll="0">
      <items count="26">
        <item x="19"/>
        <item x="8"/>
        <item x="20"/>
        <item x="1"/>
        <item x="3"/>
        <item x="23"/>
        <item x="11"/>
        <item x="2"/>
        <item x="7"/>
        <item x="14"/>
        <item x="6"/>
        <item x="18"/>
        <item x="13"/>
        <item x="10"/>
        <item x="24"/>
        <item x="5"/>
        <item x="12"/>
        <item x="9"/>
        <item x="17"/>
        <item x="16"/>
        <item x="22"/>
        <item x="4"/>
        <item x="15"/>
        <item x="21"/>
        <item x="0"/>
        <item t="default"/>
      </items>
    </pivotField>
    <pivotField showAll="0"/>
    <pivotField showAll="0"/>
    <pivotField showAll="0"/>
    <pivotField axis="axisPage" showAll="0">
      <items count="4">
        <item x="2"/>
        <item x="1"/>
        <item x="0"/>
        <item t="default"/>
      </items>
    </pivotField>
    <pivotField showAll="0"/>
    <pivotField dataField="1" showAll="0">
      <items count="116">
        <item x="102"/>
        <item x="25"/>
        <item x="10"/>
        <item x="19"/>
        <item x="17"/>
        <item x="104"/>
        <item x="69"/>
        <item x="1"/>
        <item x="100"/>
        <item x="7"/>
        <item x="91"/>
        <item x="45"/>
        <item x="49"/>
        <item x="77"/>
        <item x="58"/>
        <item x="94"/>
        <item x="73"/>
        <item x="90"/>
        <item x="51"/>
        <item x="96"/>
        <item x="4"/>
        <item x="101"/>
        <item x="92"/>
        <item x="12"/>
        <item x="59"/>
        <item x="114"/>
        <item x="38"/>
        <item x="21"/>
        <item x="66"/>
        <item x="28"/>
        <item x="71"/>
        <item x="109"/>
        <item x="41"/>
        <item x="88"/>
        <item x="5"/>
        <item x="63"/>
        <item x="27"/>
        <item x="86"/>
        <item x="42"/>
        <item x="74"/>
        <item x="14"/>
        <item x="6"/>
        <item x="11"/>
        <item x="106"/>
        <item x="75"/>
        <item x="35"/>
        <item x="83"/>
        <item x="79"/>
        <item x="61"/>
        <item x="43"/>
        <item x="99"/>
        <item x="37"/>
        <item x="78"/>
        <item x="84"/>
        <item x="40"/>
        <item x="111"/>
        <item x="68"/>
        <item x="18"/>
        <item x="98"/>
        <item x="105"/>
        <item x="108"/>
        <item x="16"/>
        <item x="32"/>
        <item x="81"/>
        <item x="24"/>
        <item x="97"/>
        <item x="89"/>
        <item x="80"/>
        <item x="34"/>
        <item x="76"/>
        <item x="60"/>
        <item x="62"/>
        <item x="55"/>
        <item x="56"/>
        <item x="52"/>
        <item x="85"/>
        <item x="20"/>
        <item x="65"/>
        <item x="72"/>
        <item x="39"/>
        <item x="36"/>
        <item x="67"/>
        <item x="9"/>
        <item x="113"/>
        <item x="110"/>
        <item x="57"/>
        <item x="46"/>
        <item x="2"/>
        <item x="33"/>
        <item x="31"/>
        <item x="82"/>
        <item x="50"/>
        <item x="22"/>
        <item x="44"/>
        <item x="13"/>
        <item x="26"/>
        <item x="23"/>
        <item x="29"/>
        <item x="103"/>
        <item x="70"/>
        <item x="53"/>
        <item x="15"/>
        <item x="30"/>
        <item x="54"/>
        <item x="48"/>
        <item x="3"/>
        <item x="95"/>
        <item x="87"/>
        <item x="107"/>
        <item x="64"/>
        <item x="8"/>
        <item x="93"/>
        <item x="112"/>
        <item x="47"/>
        <item x="0"/>
        <item t="default"/>
      </items>
    </pivotField>
    <pivotField showAll="0"/>
    <pivotField showAll="0">
      <items count="76">
        <item x="8"/>
        <item x="13"/>
        <item x="6"/>
        <item x="29"/>
        <item x="33"/>
        <item x="72"/>
        <item x="19"/>
        <item x="63"/>
        <item x="26"/>
        <item x="70"/>
        <item x="7"/>
        <item x="43"/>
        <item x="53"/>
        <item x="40"/>
        <item x="31"/>
        <item x="27"/>
        <item x="47"/>
        <item x="2"/>
        <item x="48"/>
        <item x="15"/>
        <item x="64"/>
        <item x="25"/>
        <item x="35"/>
        <item x="9"/>
        <item x="10"/>
        <item x="16"/>
        <item x="20"/>
        <item x="32"/>
        <item x="69"/>
        <item x="4"/>
        <item x="14"/>
        <item x="44"/>
        <item x="60"/>
        <item x="61"/>
        <item x="71"/>
        <item x="17"/>
        <item x="1"/>
        <item x="46"/>
        <item x="68"/>
        <item x="42"/>
        <item x="24"/>
        <item x="28"/>
        <item x="34"/>
        <item x="36"/>
        <item x="18"/>
        <item x="74"/>
        <item x="52"/>
        <item x="22"/>
        <item x="12"/>
        <item x="51"/>
        <item x="23"/>
        <item x="73"/>
        <item x="66"/>
        <item x="37"/>
        <item x="50"/>
        <item x="49"/>
        <item x="5"/>
        <item x="56"/>
        <item x="58"/>
        <item x="45"/>
        <item x="11"/>
        <item x="21"/>
        <item x="3"/>
        <item x="30"/>
        <item x="59"/>
        <item x="38"/>
        <item x="54"/>
        <item x="41"/>
        <item x="39"/>
        <item x="65"/>
        <item x="67"/>
        <item x="57"/>
        <item x="62"/>
        <item x="55"/>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94">
        <item x="7"/>
        <item x="12"/>
        <item x="47"/>
        <item x="37"/>
        <item x="63"/>
        <item x="55"/>
        <item x="132"/>
        <item x="31"/>
        <item x="95"/>
        <item x="86"/>
        <item x="44"/>
        <item x="46"/>
        <item x="79"/>
        <item x="106"/>
        <item x="64"/>
        <item x="30"/>
        <item x="19"/>
        <item x="182"/>
        <item x="6"/>
        <item x="76"/>
        <item x="166"/>
        <item x="52"/>
        <item x="146"/>
        <item x="99"/>
        <item x="18"/>
        <item x="73"/>
        <item x="135"/>
        <item x="110"/>
        <item x="68"/>
        <item x="39"/>
        <item x="87"/>
        <item x="136"/>
        <item x="78"/>
        <item x="25"/>
        <item x="128"/>
        <item x="107"/>
        <item x="38"/>
        <item x="109"/>
        <item x="72"/>
        <item x="50"/>
        <item x="133"/>
        <item x="21"/>
        <item x="22"/>
        <item x="143"/>
        <item x="8"/>
        <item x="163"/>
        <item x="32"/>
        <item x="100"/>
        <item x="70"/>
        <item x="67"/>
        <item x="130"/>
        <item x="59"/>
        <item x="75"/>
        <item x="89"/>
        <item x="102"/>
        <item x="139"/>
        <item x="27"/>
        <item x="153"/>
        <item x="82"/>
        <item x="49"/>
        <item x="61"/>
        <item x="118"/>
        <item x="134"/>
        <item x="104"/>
        <item x="149"/>
        <item x="16"/>
        <item x="113"/>
        <item x="185"/>
        <item x="138"/>
        <item x="90"/>
        <item x="45"/>
        <item x="83"/>
        <item x="120"/>
        <item x="74"/>
        <item x="48"/>
        <item x="160"/>
        <item x="56"/>
        <item x="9"/>
        <item x="117"/>
        <item x="29"/>
        <item x="114"/>
        <item x="85"/>
        <item x="43"/>
        <item x="5"/>
        <item x="124"/>
        <item x="137"/>
        <item x="53"/>
        <item x="101"/>
        <item x="80"/>
        <item x="84"/>
        <item x="93"/>
        <item x="141"/>
        <item x="58"/>
        <item x="26"/>
        <item x="155"/>
        <item x="126"/>
        <item x="60"/>
        <item x="92"/>
        <item x="10"/>
        <item x="176"/>
        <item x="13"/>
        <item x="127"/>
        <item x="192"/>
        <item x="28"/>
        <item x="36"/>
        <item x="177"/>
        <item x="187"/>
        <item x="151"/>
        <item x="112"/>
        <item x="171"/>
        <item x="121"/>
        <item x="14"/>
        <item x="81"/>
        <item x="54"/>
        <item x="33"/>
        <item x="57"/>
        <item x="62"/>
        <item x="181"/>
        <item x="122"/>
        <item x="158"/>
        <item x="88"/>
        <item x="35"/>
        <item x="167"/>
        <item x="148"/>
        <item x="191"/>
        <item x="172"/>
        <item x="125"/>
        <item x="131"/>
        <item x="144"/>
        <item x="91"/>
        <item x="189"/>
        <item x="180"/>
        <item x="165"/>
        <item x="69"/>
        <item x="105"/>
        <item x="65"/>
        <item x="51"/>
        <item x="24"/>
        <item x="71"/>
        <item x="23"/>
        <item x="111"/>
        <item x="94"/>
        <item x="66"/>
        <item x="183"/>
        <item x="108"/>
        <item x="162"/>
        <item x="15"/>
        <item x="34"/>
        <item x="40"/>
        <item x="147"/>
        <item x="119"/>
        <item x="190"/>
        <item x="184"/>
        <item x="145"/>
        <item x="159"/>
        <item x="164"/>
        <item x="175"/>
        <item x="20"/>
        <item x="157"/>
        <item x="168"/>
        <item x="77"/>
        <item x="11"/>
        <item x="142"/>
        <item x="115"/>
        <item x="161"/>
        <item x="154"/>
        <item x="170"/>
        <item x="98"/>
        <item x="116"/>
        <item x="140"/>
        <item x="123"/>
        <item x="169"/>
        <item x="188"/>
        <item x="129"/>
        <item x="42"/>
        <item x="17"/>
        <item x="174"/>
        <item x="178"/>
        <item x="41"/>
        <item x="103"/>
        <item x="1"/>
        <item x="179"/>
        <item x="2"/>
        <item x="0"/>
        <item x="4"/>
        <item x="3"/>
        <item x="150"/>
        <item x="96"/>
        <item x="173"/>
        <item x="186"/>
        <item x="97"/>
        <item x="156"/>
        <item x="152"/>
        <item t="default"/>
      </items>
    </pivotField>
    <pivotField axis="axisPage"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9"/>
    <field x="12"/>
  </rowFields>
  <rowItems count="21">
    <i>
      <x/>
    </i>
    <i r="1">
      <x v="1"/>
    </i>
    <i r="1">
      <x v="3"/>
    </i>
    <i r="1">
      <x v="6"/>
    </i>
    <i r="1">
      <x v="7"/>
    </i>
    <i r="1">
      <x v="9"/>
    </i>
    <i r="1">
      <x v="14"/>
    </i>
    <i r="1">
      <x v="15"/>
    </i>
    <i>
      <x v="1"/>
    </i>
    <i r="1">
      <x v="1"/>
    </i>
    <i r="1">
      <x v="4"/>
    </i>
    <i r="1">
      <x v="6"/>
    </i>
    <i r="1">
      <x v="7"/>
    </i>
    <i r="1">
      <x v="18"/>
    </i>
    <i r="1">
      <x v="19"/>
    </i>
    <i r="1">
      <x v="20"/>
    </i>
    <i>
      <x v="2"/>
    </i>
    <i r="1">
      <x v="7"/>
    </i>
    <i r="1">
      <x v="15"/>
    </i>
    <i r="1">
      <x v="18"/>
    </i>
    <i t="grand">
      <x/>
    </i>
  </rowItems>
  <colFields count="1">
    <field x="-2"/>
  </colFields>
  <colItems count="3">
    <i>
      <x/>
    </i>
    <i i="1">
      <x v="1"/>
    </i>
    <i i="2">
      <x v="2"/>
    </i>
  </colItems>
  <pageFields count="3">
    <pageField fld="16" item="1" hier="-1"/>
    <pageField fld="58" item="0" hier="-1"/>
    <pageField fld="7" hier="-1"/>
  </pageFields>
  <dataFields count="3">
    <dataField name="Sum of Appeal Amount" fld="18" baseField="0" baseItem="0" numFmtId="166"/>
    <dataField name="Sum of Total ARC Contributions" fld="57" baseField="0" baseItem="0"/>
    <dataField name="# = Count of Disasters" fld="2" subtotal="count" baseField="0" baseItem="0"/>
  </dataFields>
  <formats count="3">
    <format dxfId="166">
      <pivotArea dataOnly="0" outline="0" fieldPosition="0">
        <references count="2">
          <reference field="4294967294" count="1">
            <x v="0"/>
          </reference>
          <reference field="16" count="1" selected="0">
            <x v="1"/>
          </reference>
        </references>
      </pivotArea>
    </format>
    <format dxfId="165">
      <pivotArea dataOnly="0" outline="0" fieldPosition="0">
        <references count="2">
          <reference field="4294967294" count="1">
            <x v="1"/>
          </reference>
          <reference field="16" count="1" selected="0">
            <x v="1"/>
          </reference>
        </references>
      </pivotArea>
    </format>
    <format dxfId="164">
      <pivotArea outline="0" fieldPosition="0">
        <references count="1">
          <reference field="4294967294" count="1">
            <x v="0"/>
          </reference>
        </references>
      </pivotArea>
    </format>
  </formats>
  <chartFormats count="4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5" series="1">
      <pivotArea type="data" outline="0" fieldPosition="0">
        <references count="2">
          <reference field="4294967294" count="1" selected="0">
            <x v="0"/>
          </reference>
          <reference field="12" count="1" selected="0">
            <x v="6"/>
          </reference>
        </references>
      </pivotArea>
    </chartFormat>
    <chartFormat chart="2" format="6" series="1">
      <pivotArea type="data" outline="0" fieldPosition="0">
        <references count="2">
          <reference field="4294967294" count="1" selected="0">
            <x v="0"/>
          </reference>
          <reference field="12" count="1" selected="0">
            <x v="7"/>
          </reference>
        </references>
      </pivotArea>
    </chartFormat>
    <chartFormat chart="2" format="7" series="1">
      <pivotArea type="data" outline="0" fieldPosition="0">
        <references count="2">
          <reference field="4294967294" count="1" selected="0">
            <x v="0"/>
          </reference>
          <reference field="12" count="1" selected="0">
            <x v="9"/>
          </reference>
        </references>
      </pivotArea>
    </chartFormat>
    <chartFormat chart="2" format="8" series="1">
      <pivotArea type="data" outline="0" fieldPosition="0">
        <references count="2">
          <reference field="4294967294" count="1" selected="0">
            <x v="0"/>
          </reference>
          <reference field="12" count="1" selected="0">
            <x v="14"/>
          </reference>
        </references>
      </pivotArea>
    </chartFormat>
    <chartFormat chart="2" format="9" series="1">
      <pivotArea type="data" outline="0" fieldPosition="0">
        <references count="2">
          <reference field="4294967294" count="1" selected="0">
            <x v="0"/>
          </reference>
          <reference field="12" count="1" selected="0">
            <x v="15"/>
          </reference>
        </references>
      </pivotArea>
    </chartFormat>
    <chartFormat chart="2" format="10" series="1">
      <pivotArea type="data" outline="0" fieldPosition="0">
        <references count="2">
          <reference field="4294967294" count="1" selected="0">
            <x v="0"/>
          </reference>
          <reference field="12" count="1" selected="0">
            <x v="18"/>
          </reference>
        </references>
      </pivotArea>
    </chartFormat>
    <chartFormat chart="2" format="11" series="1">
      <pivotArea type="data" outline="0" fieldPosition="0">
        <references count="2">
          <reference field="4294967294" count="1" selected="0">
            <x v="0"/>
          </reference>
          <reference field="12" count="1" selected="0">
            <x v="19"/>
          </reference>
        </references>
      </pivotArea>
    </chartFormat>
    <chartFormat chart="2" format="12" series="1">
      <pivotArea type="data" outline="0" fieldPosition="0">
        <references count="2">
          <reference field="4294967294" count="1" selected="0">
            <x v="0"/>
          </reference>
          <reference field="12" count="1" selected="0">
            <x v="20"/>
          </reference>
        </references>
      </pivotArea>
    </chartFormat>
    <chartFormat chart="2" format="13" series="1">
      <pivotArea type="data" outline="0" fieldPosition="0">
        <references count="2">
          <reference field="4294967294" count="1" selected="0">
            <x v="1"/>
          </reference>
          <reference field="12" count="1" selected="0">
            <x v="1"/>
          </reference>
        </references>
      </pivotArea>
    </chartFormat>
    <chartFormat chart="2" format="14" series="1">
      <pivotArea type="data" outline="0" fieldPosition="0">
        <references count="2">
          <reference field="4294967294" count="1" selected="0">
            <x v="1"/>
          </reference>
          <reference field="12" count="1" selected="0">
            <x v="3"/>
          </reference>
        </references>
      </pivotArea>
    </chartFormat>
    <chartFormat chart="2" format="15" series="1">
      <pivotArea type="data" outline="0" fieldPosition="0">
        <references count="2">
          <reference field="4294967294" count="1" selected="0">
            <x v="1"/>
          </reference>
          <reference field="12" count="1" selected="0">
            <x v="4"/>
          </reference>
        </references>
      </pivotArea>
    </chartFormat>
    <chartFormat chart="2" format="16" series="1">
      <pivotArea type="data" outline="0" fieldPosition="0">
        <references count="2">
          <reference field="4294967294" count="1" selected="0">
            <x v="1"/>
          </reference>
          <reference field="12" count="1" selected="0">
            <x v="6"/>
          </reference>
        </references>
      </pivotArea>
    </chartFormat>
    <chartFormat chart="2" format="17" series="1">
      <pivotArea type="data" outline="0" fieldPosition="0">
        <references count="2">
          <reference field="4294967294" count="1" selected="0">
            <x v="1"/>
          </reference>
          <reference field="12" count="1" selected="0">
            <x v="7"/>
          </reference>
        </references>
      </pivotArea>
    </chartFormat>
    <chartFormat chart="2" format="18" series="1">
      <pivotArea type="data" outline="0" fieldPosition="0">
        <references count="2">
          <reference field="4294967294" count="1" selected="0">
            <x v="1"/>
          </reference>
          <reference field="12" count="1" selected="0">
            <x v="9"/>
          </reference>
        </references>
      </pivotArea>
    </chartFormat>
    <chartFormat chart="2" format="19" series="1">
      <pivotArea type="data" outline="0" fieldPosition="0">
        <references count="2">
          <reference field="4294967294" count="1" selected="0">
            <x v="1"/>
          </reference>
          <reference field="12" count="1" selected="0">
            <x v="14"/>
          </reference>
        </references>
      </pivotArea>
    </chartFormat>
    <chartFormat chart="2" format="20" series="1">
      <pivotArea type="data" outline="0" fieldPosition="0">
        <references count="2">
          <reference field="4294967294" count="1" selected="0">
            <x v="1"/>
          </reference>
          <reference field="12" count="1" selected="0">
            <x v="15"/>
          </reference>
        </references>
      </pivotArea>
    </chartFormat>
    <chartFormat chart="2" format="21" series="1">
      <pivotArea type="data" outline="0" fieldPosition="0">
        <references count="2">
          <reference field="4294967294" count="1" selected="0">
            <x v="1"/>
          </reference>
          <reference field="12" count="1" selected="0">
            <x v="18"/>
          </reference>
        </references>
      </pivotArea>
    </chartFormat>
    <chartFormat chart="2" format="22" series="1">
      <pivotArea type="data" outline="0" fieldPosition="0">
        <references count="2">
          <reference field="4294967294" count="1" selected="0">
            <x v="1"/>
          </reference>
          <reference field="12" count="1" selected="0">
            <x v="19"/>
          </reference>
        </references>
      </pivotArea>
    </chartFormat>
    <chartFormat chart="2" format="23" series="1">
      <pivotArea type="data" outline="0" fieldPosition="0">
        <references count="2">
          <reference field="4294967294" count="1" selected="0">
            <x v="1"/>
          </reference>
          <reference field="12" count="1" selected="0">
            <x v="20"/>
          </reference>
        </references>
      </pivotArea>
    </chartFormat>
    <chartFormat chart="2" format="35" series="1">
      <pivotArea type="data" outline="0" fieldPosition="0">
        <references count="2">
          <reference field="4294967294" count="1" selected="0">
            <x v="0"/>
          </reference>
          <reference field="12" count="1" selected="0">
            <x v="1"/>
          </reference>
        </references>
      </pivotArea>
    </chartFormat>
    <chartFormat chart="2" format="36" series="1">
      <pivotArea type="data" outline="0" fieldPosition="0">
        <references count="2">
          <reference field="4294967294" count="1" selected="0">
            <x v="0"/>
          </reference>
          <reference field="12" count="1" selected="0">
            <x v="3"/>
          </reference>
        </references>
      </pivotArea>
    </chartFormat>
    <chartFormat chart="2" format="37" series="1">
      <pivotArea type="data" outline="0" fieldPosition="0">
        <references count="2">
          <reference field="4294967294" count="1" selected="0">
            <x v="0"/>
          </reference>
          <reference field="12" count="1" selected="0">
            <x v="4"/>
          </reference>
        </references>
      </pivotArea>
    </chartFormat>
    <chartFormat chart="2" format="38" series="1">
      <pivotArea type="data" outline="0" fieldPosition="0">
        <references count="1">
          <reference field="4294967294" count="1" selected="0">
            <x v="2"/>
          </reference>
        </references>
      </pivotArea>
    </chartFormat>
    <chartFormat chart="2" format="39">
      <pivotArea type="data" outline="0" fieldPosition="0">
        <references count="3">
          <reference field="4294967294" count="1" selected="0">
            <x v="2"/>
          </reference>
          <reference field="9" count="1" selected="0">
            <x v="1"/>
          </reference>
          <reference field="12" count="1" selected="0">
            <x v="7"/>
          </reference>
        </references>
      </pivotArea>
    </chartFormat>
    <chartFormat chart="2" format="40">
      <pivotArea type="data" outline="0" fieldPosition="0">
        <references count="3">
          <reference field="4294967294" count="1" selected="0">
            <x v="2"/>
          </reference>
          <reference field="9" count="1" selected="0">
            <x v="1"/>
          </reference>
          <reference field="12" count="1" selected="0">
            <x v="18"/>
          </reference>
        </references>
      </pivotArea>
    </chartFormat>
    <chartFormat chart="2" format="41">
      <pivotArea type="data" outline="0" fieldPosition="0">
        <references count="3">
          <reference field="4294967294" count="1" selected="0">
            <x v="2"/>
          </reference>
          <reference field="9" count="1" selected="0">
            <x v="1"/>
          </reference>
          <reference field="12" count="1" selected="0">
            <x v="19"/>
          </reference>
        </references>
      </pivotArea>
    </chartFormat>
    <chartFormat chart="2" format="42">
      <pivotArea type="data" outline="0" fieldPosition="0">
        <references count="3">
          <reference field="4294967294" count="1" selected="0">
            <x v="2"/>
          </reference>
          <reference field="9" count="1" selected="0">
            <x v="1"/>
          </reference>
          <reference field="12" count="1" selected="0">
            <x v="20"/>
          </reference>
        </references>
      </pivotArea>
    </chartFormat>
    <chartFormat chart="2" format="43">
      <pivotArea type="data" outline="0" fieldPosition="0">
        <references count="3">
          <reference field="4294967294" count="1" selected="0">
            <x v="2"/>
          </reference>
          <reference field="9" count="1" selected="0">
            <x v="2"/>
          </reference>
          <reference field="12" count="1" selected="0">
            <x v="7"/>
          </reference>
        </references>
      </pivotArea>
    </chartFormat>
    <chartFormat chart="2" format="44">
      <pivotArea type="data" outline="0" fieldPosition="0">
        <references count="3">
          <reference field="4294967294" count="1" selected="0">
            <x v="2"/>
          </reference>
          <reference field="9" count="1" selected="0">
            <x v="2"/>
          </reference>
          <reference field="12" count="1" selected="0">
            <x v="15"/>
          </reference>
        </references>
      </pivotArea>
    </chartFormat>
    <chartFormat chart="2" format="45">
      <pivotArea type="data" outline="0" fieldPosition="0">
        <references count="3">
          <reference field="4294967294" count="1" selected="0">
            <x v="2"/>
          </reference>
          <reference field="9" count="1" selected="0">
            <x v="2"/>
          </reference>
          <reference field="12" count="1" selected="0">
            <x v="18"/>
          </reference>
        </references>
      </pivotArea>
    </chartFormat>
    <chartFormat chart="2" format="46">
      <pivotArea type="data" outline="0" fieldPosition="0">
        <references count="3">
          <reference field="4294967294" count="1" selected="0">
            <x v="2"/>
          </reference>
          <reference field="9" count="1" selected="0">
            <x v="1"/>
          </reference>
          <reference field="12" count="1" selected="0">
            <x v="6"/>
          </reference>
        </references>
      </pivotArea>
    </chartFormat>
    <chartFormat chart="2" format="47">
      <pivotArea type="data" outline="0" fieldPosition="0">
        <references count="3">
          <reference field="4294967294" count="1" selected="0">
            <x v="2"/>
          </reference>
          <reference field="9" count="1" selected="0">
            <x v="1"/>
          </reference>
          <reference field="12" count="1" selected="0">
            <x v="4"/>
          </reference>
        </references>
      </pivotArea>
    </chartFormat>
    <chartFormat chart="2" format="48">
      <pivotArea type="data" outline="0" fieldPosition="0">
        <references count="3">
          <reference field="4294967294" count="1" selected="0">
            <x v="2"/>
          </reference>
          <reference field="9" count="1" selected="0">
            <x v="1"/>
          </reference>
          <reference field="12" count="1" selected="0">
            <x v="1"/>
          </reference>
        </references>
      </pivotArea>
    </chartFormat>
    <chartFormat chart="2" format="49">
      <pivotArea type="data" outline="0" fieldPosition="0">
        <references count="3">
          <reference field="4294967294" count="1" selected="0">
            <x v="2"/>
          </reference>
          <reference field="9" count="1" selected="0">
            <x v="0"/>
          </reference>
          <reference field="12" count="1" selected="0">
            <x v="15"/>
          </reference>
        </references>
      </pivotArea>
    </chartFormat>
    <chartFormat chart="2" format="50">
      <pivotArea type="data" outline="0" fieldPosition="0">
        <references count="3">
          <reference field="4294967294" count="1" selected="0">
            <x v="2"/>
          </reference>
          <reference field="9" count="1" selected="0">
            <x v="0"/>
          </reference>
          <reference field="12" count="1" selected="0">
            <x v="14"/>
          </reference>
        </references>
      </pivotArea>
    </chartFormat>
    <chartFormat chart="2" format="51">
      <pivotArea type="data" outline="0" fieldPosition="0">
        <references count="3">
          <reference field="4294967294" count="1" selected="0">
            <x v="2"/>
          </reference>
          <reference field="9" count="1" selected="0">
            <x v="0"/>
          </reference>
          <reference field="12" count="1" selected="0">
            <x v="9"/>
          </reference>
        </references>
      </pivotArea>
    </chartFormat>
    <chartFormat chart="2" format="52">
      <pivotArea type="data" outline="0" fieldPosition="0">
        <references count="3">
          <reference field="4294967294" count="1" selected="0">
            <x v="2"/>
          </reference>
          <reference field="9" count="1" selected="0">
            <x v="0"/>
          </reference>
          <reference field="12" count="1" selected="0">
            <x v="7"/>
          </reference>
        </references>
      </pivotArea>
    </chartFormat>
    <chartFormat chart="2" format="53">
      <pivotArea type="data" outline="0" fieldPosition="0">
        <references count="3">
          <reference field="4294967294" count="1" selected="0">
            <x v="2"/>
          </reference>
          <reference field="9" count="1" selected="0">
            <x v="0"/>
          </reference>
          <reference field="12" count="1" selected="0">
            <x v="6"/>
          </reference>
        </references>
      </pivotArea>
    </chartFormat>
    <chartFormat chart="2" format="54">
      <pivotArea type="data" outline="0" fieldPosition="0">
        <references count="3">
          <reference field="4294967294" count="1" selected="0">
            <x v="2"/>
          </reference>
          <reference field="9" count="1" selected="0">
            <x v="0"/>
          </reference>
          <reference field="12" count="1" selected="0">
            <x v="3"/>
          </reference>
        </references>
      </pivotArea>
    </chartFormat>
    <chartFormat chart="2" format="55">
      <pivotArea type="data" outline="0" fieldPosition="0">
        <references count="3">
          <reference field="4294967294" count="1" selected="0">
            <x v="2"/>
          </reference>
          <reference field="9" count="1" selected="0">
            <x v="0"/>
          </reference>
          <reference field="12" count="1" selected="0">
            <x v="1"/>
          </reference>
        </references>
      </pivotArea>
    </chartFormat>
  </chartFormats>
  <pivotTableStyleInfo name="PivotStyleLight16" showRowHeaders="1" showColHeaders="1" showRowStripes="0" showColStripes="0" showLastColumn="1"/>
</pivotTableDefinition>
</file>

<file path=xl/pivotTables/pivotTable15.xml><?xml version="1.0" encoding="utf-8"?>
<pivotTableDefinition xmlns="http://schemas.openxmlformats.org/spreadsheetml/2006/main" name="PivotTable3" cacheId="28"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chartFormat="4">
  <location ref="A50:D57" firstHeaderRow="1" firstDataRow="2" firstDataCol="1" rowPageCount="2" colPageCount="1"/>
  <pivotFields count="78">
    <pivotField showAll="0"/>
    <pivotField showAll="0"/>
    <pivotField dataField="1" showAll="0">
      <items count="257">
        <item x="60"/>
        <item x="79"/>
        <item x="216"/>
        <item x="76"/>
        <item x="114"/>
        <item x="154"/>
        <item x="24"/>
        <item x="108"/>
        <item x="1"/>
        <item x="98"/>
        <item x="214"/>
        <item x="93"/>
        <item x="39"/>
        <item x="40"/>
        <item x="13"/>
        <item x="4"/>
        <item x="218"/>
        <item x="183"/>
        <item x="19"/>
        <item x="243"/>
        <item x="68"/>
        <item x="34"/>
        <item x="69"/>
        <item x="48"/>
        <item x="87"/>
        <item x="53"/>
        <item x="29"/>
        <item x="11"/>
        <item x="75"/>
        <item x="132"/>
        <item x="50"/>
        <item x="112"/>
        <item x="242"/>
        <item x="203"/>
        <item x="202"/>
        <item x="127"/>
        <item x="205"/>
        <item x="124"/>
        <item x="233"/>
        <item x="195"/>
        <item x="104"/>
        <item x="109"/>
        <item x="8"/>
        <item x="192"/>
        <item x="186"/>
        <item x="44"/>
        <item x="157"/>
        <item x="170"/>
        <item x="145"/>
        <item x="244"/>
        <item x="213"/>
        <item x="7"/>
        <item x="204"/>
        <item x="72"/>
        <item x="90"/>
        <item x="22"/>
        <item x="113"/>
        <item x="116"/>
        <item x="251"/>
        <item x="77"/>
        <item x="150"/>
        <item x="188"/>
        <item x="160"/>
        <item x="59"/>
        <item x="55"/>
        <item x="43"/>
        <item x="230"/>
        <item x="141"/>
        <item x="5"/>
        <item x="161"/>
        <item x="193"/>
        <item x="85"/>
        <item x="211"/>
        <item x="212"/>
        <item x="200"/>
        <item x="89"/>
        <item x="12"/>
        <item x="176"/>
        <item x="25"/>
        <item x="58"/>
        <item x="187"/>
        <item x="131"/>
        <item x="239"/>
        <item x="231"/>
        <item x="120"/>
        <item x="201"/>
        <item x="56"/>
        <item x="70"/>
        <item x="110"/>
        <item x="250"/>
        <item x="208"/>
        <item x="92"/>
        <item x="175"/>
        <item x="134"/>
        <item x="135"/>
        <item x="133"/>
        <item x="177"/>
        <item x="137"/>
        <item x="3"/>
        <item x="139"/>
        <item x="140"/>
        <item x="142"/>
        <item x="143"/>
        <item x="45"/>
        <item x="33"/>
        <item x="20"/>
        <item x="178"/>
        <item x="32"/>
        <item x="97"/>
        <item x="129"/>
        <item x="241"/>
        <item x="158"/>
        <item x="63"/>
        <item x="117"/>
        <item x="105"/>
        <item x="151"/>
        <item x="35"/>
        <item x="96"/>
        <item x="122"/>
        <item x="73"/>
        <item x="248"/>
        <item x="15"/>
        <item x="224"/>
        <item x="36"/>
        <item x="229"/>
        <item x="185"/>
        <item x="101"/>
        <item x="81"/>
        <item x="237"/>
        <item x="100"/>
        <item x="115"/>
        <item x="52"/>
        <item x="189"/>
        <item x="168"/>
        <item x="31"/>
        <item x="121"/>
        <item x="47"/>
        <item x="82"/>
        <item x="130"/>
        <item x="171"/>
        <item x="0"/>
        <item x="6"/>
        <item x="16"/>
        <item x="223"/>
        <item x="67"/>
        <item x="66"/>
        <item x="159"/>
        <item x="199"/>
        <item x="234"/>
        <item x="46"/>
        <item x="191"/>
        <item x="215"/>
        <item x="235"/>
        <item x="174"/>
        <item x="246"/>
        <item x="83"/>
        <item x="57"/>
        <item x="71"/>
        <item x="10"/>
        <item x="78"/>
        <item x="245"/>
        <item x="119"/>
        <item x="206"/>
        <item x="61"/>
        <item x="172"/>
        <item x="138"/>
        <item x="252"/>
        <item x="217"/>
        <item x="238"/>
        <item x="37"/>
        <item x="207"/>
        <item x="118"/>
        <item x="80"/>
        <item x="184"/>
        <item x="247"/>
        <item x="94"/>
        <item x="123"/>
        <item x="54"/>
        <item x="49"/>
        <item x="86"/>
        <item x="196"/>
        <item x="153"/>
        <item x="240"/>
        <item x="255"/>
        <item x="163"/>
        <item x="88"/>
        <item x="17"/>
        <item x="51"/>
        <item x="2"/>
        <item x="136"/>
        <item x="228"/>
        <item x="91"/>
        <item x="102"/>
        <item x="169"/>
        <item x="165"/>
        <item x="155"/>
        <item x="166"/>
        <item x="194"/>
        <item x="42"/>
        <item x="28"/>
        <item x="95"/>
        <item x="103"/>
        <item x="225"/>
        <item x="226"/>
        <item x="190"/>
        <item x="146"/>
        <item x="147"/>
        <item x="149"/>
        <item x="148"/>
        <item x="156"/>
        <item x="167"/>
        <item x="111"/>
        <item x="41"/>
        <item x="128"/>
        <item x="23"/>
        <item x="26"/>
        <item x="125"/>
        <item x="162"/>
        <item x="198"/>
        <item x="106"/>
        <item x="220"/>
        <item x="84"/>
        <item x="14"/>
        <item x="126"/>
        <item x="38"/>
        <item x="219"/>
        <item x="232"/>
        <item x="254"/>
        <item x="18"/>
        <item x="152"/>
        <item x="180"/>
        <item x="236"/>
        <item x="181"/>
        <item x="253"/>
        <item x="107"/>
        <item x="9"/>
        <item x="64"/>
        <item x="179"/>
        <item x="209"/>
        <item x="173"/>
        <item x="65"/>
        <item x="74"/>
        <item x="62"/>
        <item x="27"/>
        <item x="21"/>
        <item x="99"/>
        <item x="144"/>
        <item x="182"/>
        <item x="164"/>
        <item x="221"/>
        <item x="222"/>
        <item x="249"/>
        <item x="227"/>
        <item x="197"/>
        <item x="210"/>
        <item x="30"/>
        <item t="default"/>
      </items>
    </pivotField>
    <pivotField numFmtId="167" showAll="0"/>
    <pivotField multipleItemSelectionAllowed="1" showAll="0">
      <items count="18">
        <item h="1" x="0"/>
        <item h="1" x="1"/>
        <item h="1" x="2"/>
        <item h="1" x="3"/>
        <item h="1" x="4"/>
        <item h="1" x="5"/>
        <item h="1" x="6"/>
        <item h="1" x="7"/>
        <item h="1" x="8"/>
        <item h="1" x="9"/>
        <item h="1" x="10"/>
        <item h="1" x="11"/>
        <item x="12"/>
        <item x="13"/>
        <item x="14"/>
        <item x="15"/>
        <item x="16"/>
        <item t="default"/>
      </items>
    </pivotField>
    <pivotField showAll="0"/>
    <pivotField showAll="0"/>
    <pivotField axis="axisRow" multipleItemSelectionAllowed="1" showAll="0">
      <items count="18">
        <item h="1" x="0"/>
        <item h="1" x="1"/>
        <item h="1" x="2"/>
        <item h="1" x="3"/>
        <item h="1" x="4"/>
        <item h="1" x="5"/>
        <item h="1" x="6"/>
        <item h="1" x="7"/>
        <item h="1" x="8"/>
        <item h="1" x="9"/>
        <item h="1" x="10"/>
        <item h="1" x="11"/>
        <item x="12"/>
        <item x="13"/>
        <item x="14"/>
        <item x="15"/>
        <item x="16"/>
        <item t="default"/>
      </items>
    </pivotField>
    <pivotField showAll="0"/>
    <pivotField showAll="0"/>
    <pivotField showAll="0"/>
    <pivotField showAll="0"/>
    <pivotField axis="axisPage" multipleItemSelectionAllowed="1" showAll="0">
      <items count="26">
        <item h="1" x="19"/>
        <item h="1" x="8"/>
        <item h="1" x="20"/>
        <item h="1" x="1"/>
        <item h="1" x="3"/>
        <item h="1" x="23"/>
        <item h="1" x="11"/>
        <item h="1" x="2"/>
        <item h="1" x="7"/>
        <item h="1" x="14"/>
        <item h="1" x="6"/>
        <item h="1" x="18"/>
        <item h="1" x="13"/>
        <item h="1" x="10"/>
        <item h="1" x="24"/>
        <item x="5"/>
        <item h="1" x="12"/>
        <item h="1" x="9"/>
        <item x="17"/>
        <item h="1" x="16"/>
        <item h="1" x="22"/>
        <item h="1" x="4"/>
        <item h="1" x="15"/>
        <item h="1" x="21"/>
        <item h="1" x="0"/>
        <item t="default"/>
      </items>
    </pivotField>
    <pivotField showAll="0"/>
    <pivotField showAll="0"/>
    <pivotField showAll="0"/>
    <pivotField axis="axisPage" multipleItemSelectionAllowed="1" showAll="0">
      <items count="4">
        <item h="1" x="2"/>
        <item x="1"/>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4">
        <item n="Undesignated" x="2"/>
        <item n="Designated"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7"/>
  </rowFields>
  <rowItems count="6">
    <i>
      <x v="12"/>
    </i>
    <i>
      <x v="13"/>
    </i>
    <i>
      <x v="14"/>
    </i>
    <i>
      <x v="15"/>
    </i>
    <i>
      <x v="16"/>
    </i>
    <i t="grand">
      <x/>
    </i>
  </rowItems>
  <colFields count="1">
    <field x="58"/>
  </colFields>
  <colItems count="3">
    <i>
      <x/>
    </i>
    <i>
      <x v="1"/>
    </i>
    <i t="grand">
      <x/>
    </i>
  </colItems>
  <pageFields count="2">
    <pageField fld="16" hier="-1"/>
    <pageField fld="12" hier="-1"/>
  </pageFields>
  <dataFields count="1">
    <dataField name="Count of Disaster Name" fld="2" subtotal="count" baseField="0" baseItem="0"/>
  </dataFields>
  <chartFormats count="2">
    <chartFormat chart="0" format="0" series="1">
      <pivotArea type="data" outline="0" fieldPosition="0">
        <references count="2">
          <reference field="4294967294" count="1" selected="0">
            <x v="0"/>
          </reference>
          <reference field="58" count="1" selected="0">
            <x v="0"/>
          </reference>
        </references>
      </pivotArea>
    </chartFormat>
    <chartFormat chart="0" format="1" series="1">
      <pivotArea type="data" outline="0" fieldPosition="0">
        <references count="2">
          <reference field="4294967294" count="1" selected="0">
            <x v="0"/>
          </reference>
          <reference field="58" count="1" selected="0">
            <x v="1"/>
          </reference>
        </references>
      </pivotArea>
    </chartFormat>
  </chartFormats>
  <pivotTableStyleInfo name="PivotStyleLight16" showRowHeaders="1" showColHeaders="1" showRowStripes="0" showColStripes="0" showLastColumn="1"/>
</pivotTableDefinition>
</file>

<file path=xl/pivotTables/pivotTable16.xml><?xml version="1.0" encoding="utf-8"?>
<pivotTableDefinition xmlns="http://schemas.openxmlformats.org/spreadsheetml/2006/main" name="PivotTable2" cacheId="28"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chartFormat="11">
  <location ref="A33:D40" firstHeaderRow="1" firstDataRow="2" firstDataCol="1" rowPageCount="2" colPageCount="1"/>
  <pivotFields count="78">
    <pivotField showAll="0"/>
    <pivotField showAll="0"/>
    <pivotField dataField="1" showAll="0">
      <items count="257">
        <item x="60"/>
        <item x="79"/>
        <item x="216"/>
        <item x="76"/>
        <item x="114"/>
        <item x="154"/>
        <item x="24"/>
        <item x="108"/>
        <item x="1"/>
        <item x="98"/>
        <item x="214"/>
        <item x="93"/>
        <item x="39"/>
        <item x="40"/>
        <item x="13"/>
        <item x="4"/>
        <item x="218"/>
        <item x="183"/>
        <item x="19"/>
        <item x="243"/>
        <item x="68"/>
        <item x="34"/>
        <item x="69"/>
        <item x="48"/>
        <item x="87"/>
        <item x="53"/>
        <item x="29"/>
        <item x="11"/>
        <item x="75"/>
        <item x="132"/>
        <item x="50"/>
        <item x="112"/>
        <item x="242"/>
        <item x="203"/>
        <item x="202"/>
        <item x="127"/>
        <item x="205"/>
        <item x="124"/>
        <item x="233"/>
        <item x="195"/>
        <item x="104"/>
        <item x="109"/>
        <item x="8"/>
        <item x="192"/>
        <item x="186"/>
        <item x="44"/>
        <item x="157"/>
        <item x="170"/>
        <item x="145"/>
        <item x="244"/>
        <item x="213"/>
        <item x="7"/>
        <item x="204"/>
        <item x="72"/>
        <item x="90"/>
        <item x="22"/>
        <item x="113"/>
        <item x="116"/>
        <item x="251"/>
        <item x="77"/>
        <item x="150"/>
        <item x="188"/>
        <item x="160"/>
        <item x="59"/>
        <item x="55"/>
        <item x="43"/>
        <item x="230"/>
        <item x="141"/>
        <item x="5"/>
        <item x="161"/>
        <item x="193"/>
        <item x="85"/>
        <item x="211"/>
        <item x="212"/>
        <item x="200"/>
        <item x="89"/>
        <item x="12"/>
        <item x="176"/>
        <item x="25"/>
        <item x="58"/>
        <item x="187"/>
        <item x="131"/>
        <item x="239"/>
        <item x="231"/>
        <item x="120"/>
        <item x="201"/>
        <item x="56"/>
        <item x="70"/>
        <item x="110"/>
        <item x="250"/>
        <item x="208"/>
        <item x="92"/>
        <item x="175"/>
        <item x="134"/>
        <item x="135"/>
        <item x="133"/>
        <item x="177"/>
        <item x="137"/>
        <item x="3"/>
        <item x="139"/>
        <item x="140"/>
        <item x="142"/>
        <item x="143"/>
        <item x="45"/>
        <item x="33"/>
        <item x="20"/>
        <item x="178"/>
        <item x="32"/>
        <item x="97"/>
        <item x="129"/>
        <item x="241"/>
        <item x="158"/>
        <item x="63"/>
        <item x="117"/>
        <item x="105"/>
        <item x="151"/>
        <item x="35"/>
        <item x="96"/>
        <item x="122"/>
        <item x="73"/>
        <item x="248"/>
        <item x="15"/>
        <item x="224"/>
        <item x="36"/>
        <item x="229"/>
        <item x="185"/>
        <item x="101"/>
        <item x="81"/>
        <item x="237"/>
        <item x="100"/>
        <item x="115"/>
        <item x="52"/>
        <item x="189"/>
        <item x="168"/>
        <item x="31"/>
        <item x="121"/>
        <item x="47"/>
        <item x="82"/>
        <item x="130"/>
        <item x="171"/>
        <item x="0"/>
        <item x="6"/>
        <item x="16"/>
        <item x="223"/>
        <item x="67"/>
        <item x="66"/>
        <item x="159"/>
        <item x="199"/>
        <item x="234"/>
        <item x="46"/>
        <item x="191"/>
        <item x="215"/>
        <item x="235"/>
        <item x="174"/>
        <item x="246"/>
        <item x="83"/>
        <item x="57"/>
        <item x="71"/>
        <item x="10"/>
        <item x="78"/>
        <item x="245"/>
        <item x="119"/>
        <item x="206"/>
        <item x="61"/>
        <item x="172"/>
        <item x="138"/>
        <item x="252"/>
        <item x="217"/>
        <item x="238"/>
        <item x="37"/>
        <item x="207"/>
        <item x="118"/>
        <item x="80"/>
        <item x="184"/>
        <item x="247"/>
        <item x="94"/>
        <item x="123"/>
        <item x="54"/>
        <item x="49"/>
        <item x="86"/>
        <item x="196"/>
        <item x="153"/>
        <item x="240"/>
        <item x="255"/>
        <item x="163"/>
        <item x="88"/>
        <item x="17"/>
        <item x="51"/>
        <item x="2"/>
        <item x="136"/>
        <item x="228"/>
        <item x="91"/>
        <item x="102"/>
        <item x="169"/>
        <item x="165"/>
        <item x="155"/>
        <item x="166"/>
        <item x="194"/>
        <item x="42"/>
        <item x="28"/>
        <item x="95"/>
        <item x="103"/>
        <item x="225"/>
        <item x="226"/>
        <item x="190"/>
        <item x="146"/>
        <item x="147"/>
        <item x="149"/>
        <item x="148"/>
        <item x="156"/>
        <item x="167"/>
        <item x="111"/>
        <item x="41"/>
        <item x="128"/>
        <item x="23"/>
        <item x="26"/>
        <item x="125"/>
        <item x="162"/>
        <item x="198"/>
        <item x="106"/>
        <item x="220"/>
        <item x="84"/>
        <item x="14"/>
        <item x="126"/>
        <item x="38"/>
        <item x="219"/>
        <item x="232"/>
        <item x="254"/>
        <item x="18"/>
        <item x="152"/>
        <item x="180"/>
        <item x="236"/>
        <item x="181"/>
        <item x="253"/>
        <item x="107"/>
        <item x="9"/>
        <item x="64"/>
        <item x="179"/>
        <item x="209"/>
        <item x="173"/>
        <item x="65"/>
        <item x="74"/>
        <item x="62"/>
        <item x="27"/>
        <item x="21"/>
        <item x="99"/>
        <item x="144"/>
        <item x="182"/>
        <item x="164"/>
        <item x="221"/>
        <item x="222"/>
        <item x="249"/>
        <item x="227"/>
        <item x="197"/>
        <item x="210"/>
        <item x="30"/>
        <item t="default"/>
      </items>
    </pivotField>
    <pivotField numFmtId="167" showAll="0"/>
    <pivotField multipleItemSelectionAllowed="1" showAll="0">
      <items count="18">
        <item h="1" x="0"/>
        <item h="1" x="1"/>
        <item h="1" x="2"/>
        <item h="1" x="3"/>
        <item h="1" x="4"/>
        <item h="1" x="5"/>
        <item h="1" x="6"/>
        <item h="1" x="7"/>
        <item h="1" x="8"/>
        <item h="1" x="9"/>
        <item h="1" x="10"/>
        <item h="1" x="11"/>
        <item x="12"/>
        <item x="13"/>
        <item x="14"/>
        <item x="15"/>
        <item x="16"/>
        <item t="default"/>
      </items>
    </pivotField>
    <pivotField showAll="0"/>
    <pivotField showAll="0"/>
    <pivotField axis="axisRow" multipleItemSelectionAllowed="1" showAll="0">
      <items count="18">
        <item h="1" x="0"/>
        <item h="1" x="1"/>
        <item h="1" x="2"/>
        <item h="1" x="3"/>
        <item h="1" x="4"/>
        <item h="1" x="5"/>
        <item h="1" x="6"/>
        <item h="1" x="7"/>
        <item h="1" x="8"/>
        <item h="1" x="9"/>
        <item h="1" x="10"/>
        <item h="1" x="11"/>
        <item x="12"/>
        <item x="13"/>
        <item x="14"/>
        <item x="15"/>
        <item x="16"/>
        <item t="default"/>
      </items>
    </pivotField>
    <pivotField showAll="0"/>
    <pivotField showAll="0"/>
    <pivotField showAll="0"/>
    <pivotField showAll="0"/>
    <pivotField axis="axisPage" multipleItemSelectionAllowed="1" showAll="0">
      <items count="26">
        <item h="1" x="19"/>
        <item h="1" x="8"/>
        <item h="1" x="20"/>
        <item h="1" x="1"/>
        <item x="3"/>
        <item h="1" x="23"/>
        <item h="1" x="11"/>
        <item h="1" x="2"/>
        <item h="1" x="7"/>
        <item h="1" x="14"/>
        <item h="1" x="6"/>
        <item h="1" x="18"/>
        <item h="1" x="13"/>
        <item h="1" x="10"/>
        <item h="1" x="24"/>
        <item h="1" x="5"/>
        <item h="1" x="12"/>
        <item h="1" x="9"/>
        <item h="1" x="17"/>
        <item h="1" x="16"/>
        <item h="1" x="22"/>
        <item h="1" x="4"/>
        <item h="1" x="15"/>
        <item h="1" x="21"/>
        <item h="1" x="0"/>
        <item t="default"/>
      </items>
    </pivotField>
    <pivotField showAll="0"/>
    <pivotField showAll="0"/>
    <pivotField showAll="0"/>
    <pivotField axis="axisPage" multipleItemSelectionAllowed="1" showAll="0">
      <items count="4">
        <item h="1" x="2"/>
        <item x="1"/>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multipleItemSelectionAllowed="1" showAll="0">
      <items count="4">
        <item n="Undesignated" x="2"/>
        <item n="Designated"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7"/>
  </rowFields>
  <rowItems count="6">
    <i>
      <x v="12"/>
    </i>
    <i>
      <x v="13"/>
    </i>
    <i>
      <x v="14"/>
    </i>
    <i>
      <x v="15"/>
    </i>
    <i>
      <x v="16"/>
    </i>
    <i t="grand">
      <x/>
    </i>
  </rowItems>
  <colFields count="1">
    <field x="58"/>
  </colFields>
  <colItems count="3">
    <i>
      <x/>
    </i>
    <i>
      <x v="1"/>
    </i>
    <i t="grand">
      <x/>
    </i>
  </colItems>
  <pageFields count="2">
    <pageField fld="16" hier="-1"/>
    <pageField fld="12" hier="-1"/>
  </pageFields>
  <dataFields count="1">
    <dataField name="Count of Disaster Name" fld="2" subtotal="count" baseField="0" baseItem="0"/>
  </dataFields>
  <chartFormats count="3">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2">
          <reference field="4294967294" count="1" selected="0">
            <x v="0"/>
          </reference>
          <reference field="58" count="1" selected="0">
            <x v="1"/>
          </reference>
        </references>
      </pivotArea>
    </chartFormat>
    <chartFormat chart="1" format="2" series="1">
      <pivotArea type="data" outline="0" fieldPosition="0">
        <references count="2">
          <reference field="4294967294" count="1" selected="0">
            <x v="0"/>
          </reference>
          <reference field="58" count="1" selected="0">
            <x v="0"/>
          </reference>
        </references>
      </pivotArea>
    </chartFormat>
  </chartFormats>
  <pivotTableStyleInfo name="PivotStyleLight16" showRowHeaders="1" showColHeaders="1" showRowStripes="0" showColStripes="0" showLastColumn="1"/>
</pivotTableDefinition>
</file>

<file path=xl/pivotTables/pivotTable17.xml><?xml version="1.0" encoding="utf-8"?>
<pivotTableDefinition xmlns="http://schemas.openxmlformats.org/spreadsheetml/2006/main" name="PivotTable1" cacheId="28"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chartFormat="9">
  <location ref="A5:D12" firstHeaderRow="1" firstDataRow="2" firstDataCol="1" rowPageCount="2" colPageCount="1"/>
  <pivotFields count="78">
    <pivotField showAll="0"/>
    <pivotField showAll="0"/>
    <pivotField dataField="1" showAll="0">
      <items count="257">
        <item x="60"/>
        <item x="79"/>
        <item x="216"/>
        <item x="76"/>
        <item x="114"/>
        <item x="154"/>
        <item x="24"/>
        <item x="108"/>
        <item x="1"/>
        <item x="98"/>
        <item x="214"/>
        <item x="93"/>
        <item x="39"/>
        <item x="40"/>
        <item x="13"/>
        <item x="4"/>
        <item x="218"/>
        <item x="183"/>
        <item x="19"/>
        <item x="243"/>
        <item x="68"/>
        <item x="34"/>
        <item x="69"/>
        <item x="48"/>
        <item x="87"/>
        <item x="53"/>
        <item x="29"/>
        <item x="11"/>
        <item x="75"/>
        <item x="132"/>
        <item x="50"/>
        <item x="112"/>
        <item x="242"/>
        <item x="203"/>
        <item x="202"/>
        <item x="127"/>
        <item x="205"/>
        <item x="124"/>
        <item x="233"/>
        <item x="195"/>
        <item x="104"/>
        <item x="109"/>
        <item x="8"/>
        <item x="192"/>
        <item x="186"/>
        <item x="44"/>
        <item x="157"/>
        <item x="170"/>
        <item x="145"/>
        <item x="244"/>
        <item x="213"/>
        <item x="7"/>
        <item x="204"/>
        <item x="72"/>
        <item x="90"/>
        <item x="22"/>
        <item x="113"/>
        <item x="116"/>
        <item x="251"/>
        <item x="77"/>
        <item x="150"/>
        <item x="188"/>
        <item x="160"/>
        <item x="59"/>
        <item x="55"/>
        <item x="43"/>
        <item x="230"/>
        <item x="141"/>
        <item x="5"/>
        <item x="161"/>
        <item x="193"/>
        <item x="85"/>
        <item x="211"/>
        <item x="212"/>
        <item x="200"/>
        <item x="89"/>
        <item x="12"/>
        <item x="176"/>
        <item x="25"/>
        <item x="58"/>
        <item x="187"/>
        <item x="131"/>
        <item x="239"/>
        <item x="231"/>
        <item x="120"/>
        <item x="201"/>
        <item x="56"/>
        <item x="70"/>
        <item x="110"/>
        <item x="250"/>
        <item x="208"/>
        <item x="92"/>
        <item x="175"/>
        <item x="134"/>
        <item x="135"/>
        <item x="133"/>
        <item x="177"/>
        <item x="137"/>
        <item x="3"/>
        <item x="139"/>
        <item x="140"/>
        <item x="142"/>
        <item x="143"/>
        <item x="45"/>
        <item x="33"/>
        <item x="20"/>
        <item x="178"/>
        <item x="32"/>
        <item x="97"/>
        <item x="129"/>
        <item x="241"/>
        <item x="158"/>
        <item x="63"/>
        <item x="117"/>
        <item x="105"/>
        <item x="151"/>
        <item x="35"/>
        <item x="96"/>
        <item x="122"/>
        <item x="73"/>
        <item x="248"/>
        <item x="15"/>
        <item x="224"/>
        <item x="36"/>
        <item x="229"/>
        <item x="185"/>
        <item x="101"/>
        <item x="81"/>
        <item x="237"/>
        <item x="100"/>
        <item x="115"/>
        <item x="52"/>
        <item x="189"/>
        <item x="168"/>
        <item x="31"/>
        <item x="121"/>
        <item x="47"/>
        <item x="82"/>
        <item x="130"/>
        <item x="171"/>
        <item x="0"/>
        <item x="6"/>
        <item x="16"/>
        <item x="223"/>
        <item x="67"/>
        <item x="66"/>
        <item x="159"/>
        <item x="199"/>
        <item x="234"/>
        <item x="46"/>
        <item x="191"/>
        <item x="215"/>
        <item x="235"/>
        <item x="174"/>
        <item x="246"/>
        <item x="83"/>
        <item x="57"/>
        <item x="71"/>
        <item x="10"/>
        <item x="78"/>
        <item x="245"/>
        <item x="119"/>
        <item x="206"/>
        <item x="61"/>
        <item x="172"/>
        <item x="138"/>
        <item x="252"/>
        <item x="217"/>
        <item x="238"/>
        <item x="37"/>
        <item x="207"/>
        <item x="118"/>
        <item x="80"/>
        <item x="184"/>
        <item x="247"/>
        <item x="94"/>
        <item x="123"/>
        <item x="54"/>
        <item x="49"/>
        <item x="86"/>
        <item x="196"/>
        <item x="153"/>
        <item x="240"/>
        <item x="255"/>
        <item x="163"/>
        <item x="88"/>
        <item x="17"/>
        <item x="51"/>
        <item x="2"/>
        <item x="136"/>
        <item x="228"/>
        <item x="91"/>
        <item x="102"/>
        <item x="169"/>
        <item x="165"/>
        <item x="155"/>
        <item x="166"/>
        <item x="194"/>
        <item x="42"/>
        <item x="28"/>
        <item x="95"/>
        <item x="103"/>
        <item x="225"/>
        <item x="226"/>
        <item x="190"/>
        <item x="146"/>
        <item x="147"/>
        <item x="149"/>
        <item x="148"/>
        <item x="156"/>
        <item x="167"/>
        <item x="111"/>
        <item x="41"/>
        <item x="128"/>
        <item x="23"/>
        <item x="26"/>
        <item x="125"/>
        <item x="162"/>
        <item x="198"/>
        <item x="106"/>
        <item x="220"/>
        <item x="84"/>
        <item x="14"/>
        <item x="126"/>
        <item x="38"/>
        <item x="219"/>
        <item x="232"/>
        <item x="254"/>
        <item x="18"/>
        <item x="152"/>
        <item x="180"/>
        <item x="236"/>
        <item x="181"/>
        <item x="253"/>
        <item x="107"/>
        <item x="9"/>
        <item x="64"/>
        <item x="179"/>
        <item x="209"/>
        <item x="173"/>
        <item x="65"/>
        <item x="74"/>
        <item x="62"/>
        <item x="27"/>
        <item x="21"/>
        <item x="99"/>
        <item x="144"/>
        <item x="182"/>
        <item x="164"/>
        <item x="221"/>
        <item x="222"/>
        <item x="249"/>
        <item x="227"/>
        <item x="197"/>
        <item x="210"/>
        <item x="30"/>
        <item t="default"/>
      </items>
    </pivotField>
    <pivotField numFmtId="167" showAll="0"/>
    <pivotField multipleItemSelectionAllowed="1" showAll="0">
      <items count="18">
        <item h="1" x="0"/>
        <item h="1" x="1"/>
        <item h="1" x="2"/>
        <item h="1" x="3"/>
        <item h="1" x="4"/>
        <item h="1" x="5"/>
        <item h="1" x="6"/>
        <item h="1" x="7"/>
        <item h="1" x="8"/>
        <item h="1" x="9"/>
        <item h="1" x="10"/>
        <item h="1" x="11"/>
        <item x="12"/>
        <item x="13"/>
        <item x="14"/>
        <item x="15"/>
        <item x="16"/>
        <item t="default"/>
      </items>
    </pivotField>
    <pivotField showAll="0"/>
    <pivotField showAll="0"/>
    <pivotField axis="axisRow" multipleItemSelectionAllowed="1" showAll="0">
      <items count="18">
        <item h="1" x="0"/>
        <item h="1" x="1"/>
        <item h="1" x="2"/>
        <item h="1" x="3"/>
        <item h="1" x="4"/>
        <item h="1" x="5"/>
        <item h="1" x="6"/>
        <item h="1" x="7"/>
        <item h="1" x="8"/>
        <item h="1" x="9"/>
        <item h="1" x="10"/>
        <item h="1" x="11"/>
        <item x="12"/>
        <item x="13"/>
        <item x="14"/>
        <item x="15"/>
        <item x="16"/>
        <item t="default"/>
      </items>
    </pivotField>
    <pivotField showAll="0"/>
    <pivotField showAll="0"/>
    <pivotField showAll="0"/>
    <pivotField showAll="0"/>
    <pivotField axis="axisPage" multipleItemSelectionAllowed="1" showAll="0">
      <items count="26">
        <item h="1" x="19"/>
        <item h="1" x="8"/>
        <item h="1" x="20"/>
        <item h="1" x="1"/>
        <item h="1" x="3"/>
        <item h="1" x="23"/>
        <item h="1" x="11"/>
        <item x="2"/>
        <item x="7"/>
        <item h="1" x="14"/>
        <item h="1" x="6"/>
        <item h="1" x="18"/>
        <item h="1" x="13"/>
        <item h="1" x="10"/>
        <item h="1" x="24"/>
        <item h="1" x="5"/>
        <item h="1" x="12"/>
        <item h="1" x="9"/>
        <item h="1" x="17"/>
        <item h="1" x="16"/>
        <item h="1" x="22"/>
        <item h="1" x="4"/>
        <item h="1" x="15"/>
        <item h="1" x="21"/>
        <item h="1" x="0"/>
        <item t="default"/>
      </items>
    </pivotField>
    <pivotField showAll="0"/>
    <pivotField showAll="0"/>
    <pivotField showAll="0">
      <items count="89">
        <item x="65"/>
        <item x="27"/>
        <item x="49"/>
        <item x="40"/>
        <item x="76"/>
        <item x="74"/>
        <item x="39"/>
        <item x="62"/>
        <item x="57"/>
        <item x="75"/>
        <item x="50"/>
        <item x="35"/>
        <item x="52"/>
        <item x="45"/>
        <item x="79"/>
        <item x="53"/>
        <item x="34"/>
        <item x="31"/>
        <item x="68"/>
        <item x="37"/>
        <item x="36"/>
        <item x="66"/>
        <item x="33"/>
        <item x="48"/>
        <item x="60"/>
        <item x="59"/>
        <item x="20"/>
        <item x="69"/>
        <item x="14"/>
        <item x="16"/>
        <item x="17"/>
        <item x="13"/>
        <item x="73"/>
        <item x="77"/>
        <item x="51"/>
        <item x="47"/>
        <item x="5"/>
        <item x="23"/>
        <item x="83"/>
        <item x="25"/>
        <item x="43"/>
        <item x="9"/>
        <item x="44"/>
        <item x="70"/>
        <item x="26"/>
        <item x="86"/>
        <item x="15"/>
        <item x="21"/>
        <item x="67"/>
        <item x="84"/>
        <item x="18"/>
        <item x="82"/>
        <item x="87"/>
        <item x="11"/>
        <item x="12"/>
        <item x="72"/>
        <item x="54"/>
        <item x="38"/>
        <item x="10"/>
        <item x="58"/>
        <item x="6"/>
        <item x="8"/>
        <item x="7"/>
        <item x="28"/>
        <item x="41"/>
        <item x="1"/>
        <item x="61"/>
        <item x="81"/>
        <item x="85"/>
        <item x="4"/>
        <item x="64"/>
        <item x="56"/>
        <item x="24"/>
        <item x="63"/>
        <item x="30"/>
        <item x="32"/>
        <item x="80"/>
        <item x="3"/>
        <item x="22"/>
        <item x="19"/>
        <item x="29"/>
        <item x="78"/>
        <item x="2"/>
        <item x="46"/>
        <item x="71"/>
        <item x="55"/>
        <item x="42"/>
        <item x="0"/>
        <item t="default"/>
      </items>
    </pivotField>
    <pivotField axis="axisPage" multipleItemSelectionAllowed="1" showAll="0">
      <items count="4">
        <item h="1" x="2"/>
        <item x="1"/>
        <item h="1" x="0"/>
        <item t="default"/>
      </items>
    </pivotField>
    <pivotField showAll="0"/>
    <pivotField showAll="0">
      <items count="118">
        <item x="102"/>
        <item x="25"/>
        <item x="10"/>
        <item x="19"/>
        <item x="17"/>
        <item x="104"/>
        <item x="69"/>
        <item x="1"/>
        <item x="100"/>
        <item x="7"/>
        <item x="91"/>
        <item x="45"/>
        <item x="49"/>
        <item x="77"/>
        <item x="58"/>
        <item x="113"/>
        <item x="94"/>
        <item x="73"/>
        <item x="90"/>
        <item x="51"/>
        <item x="96"/>
        <item x="4"/>
        <item x="101"/>
        <item x="92"/>
        <item x="12"/>
        <item x="59"/>
        <item x="115"/>
        <item x="38"/>
        <item x="21"/>
        <item x="66"/>
        <item x="28"/>
        <item x="71"/>
        <item x="109"/>
        <item x="41"/>
        <item x="88"/>
        <item x="5"/>
        <item x="63"/>
        <item x="27"/>
        <item x="86"/>
        <item x="42"/>
        <item x="74"/>
        <item x="14"/>
        <item x="6"/>
        <item x="11"/>
        <item x="106"/>
        <item x="112"/>
        <item x="75"/>
        <item x="35"/>
        <item x="83"/>
        <item x="79"/>
        <item x="61"/>
        <item x="43"/>
        <item x="116"/>
        <item x="99"/>
        <item x="37"/>
        <item x="78"/>
        <item x="84"/>
        <item x="40"/>
        <item x="111"/>
        <item x="68"/>
        <item x="18"/>
        <item x="98"/>
        <item x="105"/>
        <item x="108"/>
        <item x="16"/>
        <item x="32"/>
        <item x="81"/>
        <item x="24"/>
        <item x="97"/>
        <item x="89"/>
        <item x="80"/>
        <item x="34"/>
        <item x="76"/>
        <item x="60"/>
        <item x="62"/>
        <item x="55"/>
        <item x="56"/>
        <item x="52"/>
        <item x="85"/>
        <item x="20"/>
        <item x="65"/>
        <item x="72"/>
        <item x="39"/>
        <item x="36"/>
        <item x="67"/>
        <item x="93"/>
        <item x="9"/>
        <item x="114"/>
        <item x="110"/>
        <item x="57"/>
        <item x="46"/>
        <item x="2"/>
        <item x="33"/>
        <item x="31"/>
        <item x="82"/>
        <item x="50"/>
        <item x="22"/>
        <item x="44"/>
        <item x="13"/>
        <item x="26"/>
        <item x="23"/>
        <item x="29"/>
        <item x="103"/>
        <item x="70"/>
        <item x="53"/>
        <item x="15"/>
        <item x="30"/>
        <item x="54"/>
        <item x="48"/>
        <item x="3"/>
        <item x="95"/>
        <item x="87"/>
        <item x="107"/>
        <item x="64"/>
        <item x="8"/>
        <item x="47"/>
        <item x="0"/>
        <item t="default"/>
      </items>
    </pivotField>
    <pivotField showAll="0"/>
    <pivotField showAll="0">
      <items count="104">
        <item x="2"/>
        <item x="26"/>
        <item x="25"/>
        <item x="12"/>
        <item x="21"/>
        <item x="45"/>
        <item x="49"/>
        <item x="20"/>
        <item x="96"/>
        <item x="34"/>
        <item x="4"/>
        <item x="85"/>
        <item x="60"/>
        <item x="41"/>
        <item x="89"/>
        <item x="80"/>
        <item x="57"/>
        <item x="14"/>
        <item x="62"/>
        <item x="94"/>
        <item x="72"/>
        <item x="93"/>
        <item x="58"/>
        <item x="47"/>
        <item x="97"/>
        <item x="99"/>
        <item x="51"/>
        <item x="43"/>
        <item x="66"/>
        <item x="7"/>
        <item x="30"/>
        <item x="67"/>
        <item x="29"/>
        <item x="27"/>
        <item x="86"/>
        <item x="52"/>
        <item x="16"/>
        <item x="17"/>
        <item x="40"/>
        <item x="31"/>
        <item x="98"/>
        <item x="35"/>
        <item x="13"/>
        <item x="48"/>
        <item x="92"/>
        <item x="28"/>
        <item x="63"/>
        <item x="102"/>
        <item x="70"/>
        <item x="9"/>
        <item x="82"/>
        <item x="83"/>
        <item x="32"/>
        <item x="95"/>
        <item x="6"/>
        <item x="65"/>
        <item x="91"/>
        <item x="61"/>
        <item x="39"/>
        <item x="24"/>
        <item x="44"/>
        <item x="50"/>
        <item x="53"/>
        <item x="33"/>
        <item x="101"/>
        <item x="71"/>
        <item x="1"/>
        <item x="37"/>
        <item x="11"/>
        <item x="19"/>
        <item x="38"/>
        <item x="23"/>
        <item x="3"/>
        <item x="100"/>
        <item x="54"/>
        <item x="78"/>
        <item x="10"/>
        <item x="79"/>
        <item x="64"/>
        <item x="18"/>
        <item x="15"/>
        <item x="8"/>
        <item x="46"/>
        <item x="81"/>
        <item x="75"/>
        <item x="55"/>
        <item x="73"/>
        <item x="77"/>
        <item x="76"/>
        <item x="68"/>
        <item x="74"/>
        <item x="69"/>
        <item x="59"/>
        <item x="56"/>
        <item x="88"/>
        <item x="87"/>
        <item x="5"/>
        <item x="36"/>
        <item x="22"/>
        <item x="90"/>
        <item x="42"/>
        <item x="8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94">
        <item x="7"/>
        <item x="12"/>
        <item x="47"/>
        <item x="37"/>
        <item x="63"/>
        <item x="55"/>
        <item x="132"/>
        <item x="31"/>
        <item x="95"/>
        <item x="86"/>
        <item x="44"/>
        <item x="46"/>
        <item x="79"/>
        <item x="106"/>
        <item x="64"/>
        <item x="30"/>
        <item x="19"/>
        <item x="182"/>
        <item x="6"/>
        <item x="76"/>
        <item x="166"/>
        <item x="52"/>
        <item x="146"/>
        <item x="99"/>
        <item x="18"/>
        <item x="73"/>
        <item x="135"/>
        <item x="110"/>
        <item x="68"/>
        <item x="39"/>
        <item x="87"/>
        <item x="136"/>
        <item x="78"/>
        <item x="25"/>
        <item x="128"/>
        <item x="107"/>
        <item x="38"/>
        <item x="109"/>
        <item x="72"/>
        <item x="50"/>
        <item x="133"/>
        <item x="21"/>
        <item x="22"/>
        <item x="143"/>
        <item x="8"/>
        <item x="163"/>
        <item x="32"/>
        <item x="100"/>
        <item x="70"/>
        <item x="67"/>
        <item x="130"/>
        <item x="59"/>
        <item x="75"/>
        <item x="89"/>
        <item x="102"/>
        <item x="139"/>
        <item x="27"/>
        <item x="153"/>
        <item x="82"/>
        <item x="49"/>
        <item x="61"/>
        <item x="118"/>
        <item x="134"/>
        <item x="104"/>
        <item x="149"/>
        <item x="16"/>
        <item x="113"/>
        <item x="185"/>
        <item x="138"/>
        <item x="90"/>
        <item x="45"/>
        <item x="83"/>
        <item x="120"/>
        <item x="74"/>
        <item x="48"/>
        <item x="160"/>
        <item x="56"/>
        <item x="9"/>
        <item x="117"/>
        <item x="29"/>
        <item x="114"/>
        <item x="85"/>
        <item x="43"/>
        <item x="5"/>
        <item x="124"/>
        <item x="137"/>
        <item x="53"/>
        <item x="101"/>
        <item x="80"/>
        <item x="84"/>
        <item x="93"/>
        <item x="141"/>
        <item x="58"/>
        <item x="26"/>
        <item x="155"/>
        <item x="126"/>
        <item x="60"/>
        <item x="92"/>
        <item x="10"/>
        <item x="176"/>
        <item x="13"/>
        <item x="127"/>
        <item x="192"/>
        <item x="28"/>
        <item x="36"/>
        <item x="177"/>
        <item x="187"/>
        <item x="151"/>
        <item x="112"/>
        <item x="171"/>
        <item x="121"/>
        <item x="14"/>
        <item x="81"/>
        <item x="54"/>
        <item x="33"/>
        <item x="57"/>
        <item x="62"/>
        <item x="181"/>
        <item x="122"/>
        <item x="158"/>
        <item x="88"/>
        <item x="35"/>
        <item x="167"/>
        <item x="148"/>
        <item x="191"/>
        <item x="172"/>
        <item x="125"/>
        <item x="131"/>
        <item x="144"/>
        <item x="91"/>
        <item x="189"/>
        <item x="180"/>
        <item x="165"/>
        <item x="69"/>
        <item x="105"/>
        <item x="65"/>
        <item x="51"/>
        <item x="24"/>
        <item x="71"/>
        <item x="23"/>
        <item x="111"/>
        <item x="94"/>
        <item x="66"/>
        <item x="183"/>
        <item x="108"/>
        <item x="162"/>
        <item x="15"/>
        <item x="34"/>
        <item x="40"/>
        <item x="147"/>
        <item x="119"/>
        <item x="190"/>
        <item x="184"/>
        <item x="145"/>
        <item x="159"/>
        <item x="164"/>
        <item x="175"/>
        <item x="20"/>
        <item x="157"/>
        <item x="168"/>
        <item x="77"/>
        <item x="11"/>
        <item x="142"/>
        <item x="115"/>
        <item x="161"/>
        <item x="154"/>
        <item x="170"/>
        <item x="98"/>
        <item x="116"/>
        <item x="140"/>
        <item x="123"/>
        <item x="169"/>
        <item x="188"/>
        <item x="129"/>
        <item x="42"/>
        <item x="17"/>
        <item x="174"/>
        <item x="178"/>
        <item x="41"/>
        <item x="103"/>
        <item x="1"/>
        <item x="179"/>
        <item x="2"/>
        <item x="0"/>
        <item x="4"/>
        <item x="3"/>
        <item x="150"/>
        <item x="96"/>
        <item x="173"/>
        <item x="186"/>
        <item x="97"/>
        <item x="156"/>
        <item x="152"/>
        <item t="default"/>
      </items>
    </pivotField>
    <pivotField axis="axisCol" multipleItemSelectionAllowed="1" showAll="0">
      <items count="4">
        <item n="Undesignated" x="2"/>
        <item n="Designated"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7"/>
  </rowFields>
  <rowItems count="6">
    <i>
      <x v="12"/>
    </i>
    <i>
      <x v="13"/>
    </i>
    <i>
      <x v="14"/>
    </i>
    <i>
      <x v="15"/>
    </i>
    <i>
      <x v="16"/>
    </i>
    <i t="grand">
      <x/>
    </i>
  </rowItems>
  <colFields count="1">
    <field x="58"/>
  </colFields>
  <colItems count="3">
    <i>
      <x/>
    </i>
    <i>
      <x v="1"/>
    </i>
    <i t="grand">
      <x/>
    </i>
  </colItems>
  <pageFields count="2">
    <pageField fld="16" hier="-1"/>
    <pageField fld="12" hier="-1"/>
  </pageFields>
  <dataFields count="1">
    <dataField name="Count of Disaster Name" fld="2" subtotal="count" baseField="0" baseItem="0"/>
  </dataFields>
  <chartFormats count="6">
    <chartFormat chart="3"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5" format="2" series="1">
      <pivotArea type="data" outline="0" fieldPosition="0">
        <references count="2">
          <reference field="4294967294" count="1" selected="0">
            <x v="0"/>
          </reference>
          <reference field="58" count="1" selected="0">
            <x v="0"/>
          </reference>
        </references>
      </pivotArea>
    </chartFormat>
    <chartFormat chart="3" format="5" series="1">
      <pivotArea type="data" outline="0" fieldPosition="0">
        <references count="2">
          <reference field="4294967294" count="1" selected="0">
            <x v="0"/>
          </reference>
          <reference field="58" count="1" selected="0">
            <x v="0"/>
          </reference>
        </references>
      </pivotArea>
    </chartFormat>
    <chartFormat chart="5" format="3" series="1">
      <pivotArea type="data" outline="0" fieldPosition="0">
        <references count="2">
          <reference field="4294967294" count="1" selected="0">
            <x v="0"/>
          </reference>
          <reference field="58" count="1" selected="0">
            <x v="1"/>
          </reference>
        </references>
      </pivotArea>
    </chartFormat>
    <chartFormat chart="3" format="6" series="1">
      <pivotArea type="data" outline="0" fieldPosition="0">
        <references count="2">
          <reference field="4294967294" count="1" selected="0">
            <x v="0"/>
          </reference>
          <reference field="58" count="1" selected="0">
            <x v="1"/>
          </reference>
        </references>
      </pivotArea>
    </chartFormat>
  </chartFormats>
  <pivotTableStyleInfo name="PivotStyleLight16" showRowHeaders="1" showColHeaders="1" showRowStripes="0" showColStripes="0" showLastColumn="1"/>
</pivotTableDefinition>
</file>

<file path=xl/pivotTables/pivotTable18.xml><?xml version="1.0" encoding="utf-8"?>
<pivotTableDefinition xmlns="http://schemas.openxmlformats.org/spreadsheetml/2006/main" name="PivotTable5" cacheId="28"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chartFormat="2">
  <location ref="A79:D83" firstHeaderRow="1" firstDataRow="2" firstDataCol="1" rowPageCount="2" colPageCount="1"/>
  <pivotFields count="78">
    <pivotField showAll="0"/>
    <pivotField showAll="0"/>
    <pivotField dataField="1" showAll="0">
      <items count="257">
        <item x="60"/>
        <item x="79"/>
        <item x="216"/>
        <item x="76"/>
        <item x="114"/>
        <item x="154"/>
        <item x="24"/>
        <item x="108"/>
        <item x="1"/>
        <item x="98"/>
        <item x="214"/>
        <item x="93"/>
        <item x="39"/>
        <item x="40"/>
        <item x="13"/>
        <item x="4"/>
        <item x="218"/>
        <item x="183"/>
        <item x="19"/>
        <item x="243"/>
        <item x="68"/>
        <item x="34"/>
        <item x="69"/>
        <item x="48"/>
        <item x="87"/>
        <item x="53"/>
        <item x="29"/>
        <item x="11"/>
        <item x="75"/>
        <item x="132"/>
        <item x="50"/>
        <item x="112"/>
        <item x="242"/>
        <item x="203"/>
        <item x="202"/>
        <item x="127"/>
        <item x="205"/>
        <item x="124"/>
        <item x="233"/>
        <item x="195"/>
        <item x="104"/>
        <item x="109"/>
        <item x="8"/>
        <item x="192"/>
        <item x="186"/>
        <item x="44"/>
        <item x="157"/>
        <item x="170"/>
        <item x="145"/>
        <item x="244"/>
        <item x="213"/>
        <item x="7"/>
        <item x="204"/>
        <item x="72"/>
        <item x="90"/>
        <item x="22"/>
        <item x="113"/>
        <item x="116"/>
        <item x="251"/>
        <item x="77"/>
        <item x="150"/>
        <item x="188"/>
        <item x="160"/>
        <item x="59"/>
        <item x="55"/>
        <item x="43"/>
        <item x="230"/>
        <item x="141"/>
        <item x="5"/>
        <item x="161"/>
        <item x="193"/>
        <item x="85"/>
        <item x="211"/>
        <item x="212"/>
        <item x="200"/>
        <item x="89"/>
        <item x="12"/>
        <item x="176"/>
        <item x="25"/>
        <item x="58"/>
        <item x="187"/>
        <item x="131"/>
        <item x="239"/>
        <item x="231"/>
        <item x="120"/>
        <item x="201"/>
        <item x="56"/>
        <item x="70"/>
        <item x="110"/>
        <item x="250"/>
        <item x="208"/>
        <item x="92"/>
        <item x="175"/>
        <item x="134"/>
        <item x="135"/>
        <item x="133"/>
        <item x="177"/>
        <item x="137"/>
        <item x="3"/>
        <item x="139"/>
        <item x="140"/>
        <item x="142"/>
        <item x="143"/>
        <item x="45"/>
        <item x="33"/>
        <item x="20"/>
        <item x="178"/>
        <item x="32"/>
        <item x="97"/>
        <item x="129"/>
        <item x="241"/>
        <item x="158"/>
        <item x="63"/>
        <item x="117"/>
        <item x="105"/>
        <item x="151"/>
        <item x="35"/>
        <item x="96"/>
        <item x="122"/>
        <item x="73"/>
        <item x="248"/>
        <item x="15"/>
        <item x="224"/>
        <item x="36"/>
        <item x="229"/>
        <item x="185"/>
        <item x="101"/>
        <item x="81"/>
        <item x="237"/>
        <item x="100"/>
        <item x="115"/>
        <item x="52"/>
        <item x="189"/>
        <item x="168"/>
        <item x="31"/>
        <item x="121"/>
        <item x="47"/>
        <item x="82"/>
        <item x="130"/>
        <item x="171"/>
        <item x="0"/>
        <item x="6"/>
        <item x="16"/>
        <item x="223"/>
        <item x="67"/>
        <item x="66"/>
        <item x="159"/>
        <item x="199"/>
        <item x="234"/>
        <item x="46"/>
        <item x="191"/>
        <item x="215"/>
        <item x="235"/>
        <item x="174"/>
        <item x="246"/>
        <item x="83"/>
        <item x="57"/>
        <item x="71"/>
        <item x="10"/>
        <item x="78"/>
        <item x="245"/>
        <item x="119"/>
        <item x="206"/>
        <item x="61"/>
        <item x="172"/>
        <item x="138"/>
        <item x="252"/>
        <item x="217"/>
        <item x="238"/>
        <item x="37"/>
        <item x="207"/>
        <item x="118"/>
        <item x="80"/>
        <item x="184"/>
        <item x="247"/>
        <item x="94"/>
        <item x="123"/>
        <item x="54"/>
        <item x="49"/>
        <item x="86"/>
        <item x="196"/>
        <item x="153"/>
        <item x="240"/>
        <item x="255"/>
        <item x="163"/>
        <item x="88"/>
        <item x="17"/>
        <item x="51"/>
        <item x="2"/>
        <item x="136"/>
        <item x="228"/>
        <item x="91"/>
        <item x="102"/>
        <item x="169"/>
        <item x="165"/>
        <item x="155"/>
        <item x="166"/>
        <item x="194"/>
        <item x="42"/>
        <item x="28"/>
        <item x="95"/>
        <item x="103"/>
        <item x="225"/>
        <item x="226"/>
        <item x="190"/>
        <item x="146"/>
        <item x="147"/>
        <item x="149"/>
        <item x="148"/>
        <item x="156"/>
        <item x="167"/>
        <item x="111"/>
        <item x="41"/>
        <item x="128"/>
        <item x="23"/>
        <item x="26"/>
        <item x="125"/>
        <item x="162"/>
        <item x="198"/>
        <item x="106"/>
        <item x="220"/>
        <item x="84"/>
        <item x="14"/>
        <item x="126"/>
        <item x="38"/>
        <item x="219"/>
        <item x="232"/>
        <item x="254"/>
        <item x="18"/>
        <item x="152"/>
        <item x="180"/>
        <item x="236"/>
        <item x="181"/>
        <item x="253"/>
        <item x="107"/>
        <item x="9"/>
        <item x="64"/>
        <item x="179"/>
        <item x="209"/>
        <item x="173"/>
        <item x="65"/>
        <item x="74"/>
        <item x="62"/>
        <item x="27"/>
        <item x="21"/>
        <item x="99"/>
        <item x="144"/>
        <item x="182"/>
        <item x="164"/>
        <item x="221"/>
        <item x="222"/>
        <item x="249"/>
        <item x="227"/>
        <item x="197"/>
        <item x="210"/>
        <item x="30"/>
        <item t="default"/>
      </items>
    </pivotField>
    <pivotField numFmtId="167" showAll="0"/>
    <pivotField multipleItemSelectionAllowed="1" showAll="0">
      <items count="18">
        <item h="1" x="0"/>
        <item h="1" x="1"/>
        <item h="1" x="2"/>
        <item h="1" x="3"/>
        <item h="1" x="4"/>
        <item h="1" x="5"/>
        <item h="1" x="6"/>
        <item h="1" x="7"/>
        <item h="1" x="8"/>
        <item h="1" x="9"/>
        <item h="1" x="10"/>
        <item h="1" x="11"/>
        <item x="12"/>
        <item x="13"/>
        <item x="14"/>
        <item x="15"/>
        <item x="16"/>
        <item t="default"/>
      </items>
    </pivotField>
    <pivotField showAll="0"/>
    <pivotField showAll="0"/>
    <pivotField axis="axisRow" multipleItemSelectionAllowed="1" showAll="0">
      <items count="18">
        <item h="1" x="0"/>
        <item h="1" x="1"/>
        <item h="1" x="2"/>
        <item h="1" x="3"/>
        <item h="1" x="4"/>
        <item h="1" x="5"/>
        <item h="1" x="6"/>
        <item h="1" x="7"/>
        <item h="1" x="8"/>
        <item h="1" x="9"/>
        <item h="1" x="10"/>
        <item h="1" x="11"/>
        <item x="12"/>
        <item x="13"/>
        <item x="14"/>
        <item x="15"/>
        <item x="16"/>
        <item t="default"/>
      </items>
    </pivotField>
    <pivotField showAll="0"/>
    <pivotField showAll="0"/>
    <pivotField showAll="0"/>
    <pivotField showAll="0"/>
    <pivotField axis="axisPage" multipleItemSelectionAllowed="1" showAll="0">
      <items count="26">
        <item h="1" x="19"/>
        <item h="1" x="8"/>
        <item h="1" x="20"/>
        <item x="1"/>
        <item h="1" x="3"/>
        <item h="1" x="23"/>
        <item h="1" x="11"/>
        <item h="1" x="2"/>
        <item h="1" x="7"/>
        <item h="1" x="14"/>
        <item h="1" x="6"/>
        <item h="1" x="18"/>
        <item h="1" x="13"/>
        <item h="1" x="10"/>
        <item h="1" x="24"/>
        <item h="1" x="5"/>
        <item h="1" x="12"/>
        <item h="1" x="9"/>
        <item h="1" x="17"/>
        <item h="1" x="16"/>
        <item h="1" x="22"/>
        <item h="1" x="4"/>
        <item h="1" x="15"/>
        <item h="1" x="21"/>
        <item h="1" x="0"/>
        <item t="default"/>
      </items>
    </pivotField>
    <pivotField showAll="0"/>
    <pivotField showAll="0"/>
    <pivotField showAll="0"/>
    <pivotField axis="axisPage" multipleItemSelectionAllowed="1" showAll="0">
      <items count="4">
        <item h="1" x="2"/>
        <item x="1"/>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4">
        <item n="Undesignated" x="2"/>
        <item n="Designated"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7"/>
  </rowFields>
  <rowItems count="3">
    <i>
      <x v="14"/>
    </i>
    <i>
      <x v="16"/>
    </i>
    <i t="grand">
      <x/>
    </i>
  </rowItems>
  <colFields count="1">
    <field x="58"/>
  </colFields>
  <colItems count="3">
    <i>
      <x/>
    </i>
    <i>
      <x v="1"/>
    </i>
    <i t="grand">
      <x/>
    </i>
  </colItems>
  <pageFields count="2">
    <pageField fld="16" hier="-1"/>
    <pageField fld="12" hier="-1"/>
  </pageFields>
  <dataFields count="1">
    <dataField name="Count of Disaster Name" fld="2" subtotal="count" baseField="0" baseItem="0"/>
  </dataFields>
  <chartFormats count="2">
    <chartFormat chart="0" format="0" series="1">
      <pivotArea type="data" outline="0" fieldPosition="0">
        <references count="2">
          <reference field="4294967294" count="1" selected="0">
            <x v="0"/>
          </reference>
          <reference field="58" count="1" selected="0">
            <x v="0"/>
          </reference>
        </references>
      </pivotArea>
    </chartFormat>
    <chartFormat chart="0" format="1" series="1">
      <pivotArea type="data" outline="0" fieldPosition="0">
        <references count="2">
          <reference field="4294967294" count="1" selected="0">
            <x v="0"/>
          </reference>
          <reference field="58" count="1" selected="0">
            <x v="1"/>
          </reference>
        </references>
      </pivotArea>
    </chartFormat>
  </chartFormats>
  <pivotTableStyleInfo name="PivotStyleLight16" showRowHeaders="1" showColHeaders="1" showRowStripes="0" showColStripes="0" showLastColumn="1"/>
</pivotTableDefinition>
</file>

<file path=xl/pivotTables/pivotTable19.xml><?xml version="1.0" encoding="utf-8"?>
<pivotTableDefinition xmlns="http://schemas.openxmlformats.org/spreadsheetml/2006/main" name="PivotTable4" cacheId="28"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chartFormat="5">
  <location ref="A66:D73" firstHeaderRow="1" firstDataRow="2" firstDataCol="1" rowPageCount="2" colPageCount="1"/>
  <pivotFields count="78">
    <pivotField showAll="0"/>
    <pivotField showAll="0"/>
    <pivotField dataField="1" showAll="0">
      <items count="257">
        <item x="60"/>
        <item x="79"/>
        <item x="216"/>
        <item x="76"/>
        <item x="114"/>
        <item x="154"/>
        <item x="24"/>
        <item x="108"/>
        <item x="1"/>
        <item x="98"/>
        <item x="214"/>
        <item x="93"/>
        <item x="39"/>
        <item x="40"/>
        <item x="13"/>
        <item x="4"/>
        <item x="218"/>
        <item x="183"/>
        <item x="19"/>
        <item x="243"/>
        <item x="68"/>
        <item x="34"/>
        <item x="69"/>
        <item x="48"/>
        <item x="87"/>
        <item x="53"/>
        <item x="29"/>
        <item x="11"/>
        <item x="75"/>
        <item x="132"/>
        <item x="50"/>
        <item x="112"/>
        <item x="242"/>
        <item x="203"/>
        <item x="202"/>
        <item x="127"/>
        <item x="205"/>
        <item x="124"/>
        <item x="233"/>
        <item x="195"/>
        <item x="104"/>
        <item x="109"/>
        <item x="8"/>
        <item x="192"/>
        <item x="186"/>
        <item x="44"/>
        <item x="157"/>
        <item x="170"/>
        <item x="145"/>
        <item x="244"/>
        <item x="213"/>
        <item x="7"/>
        <item x="204"/>
        <item x="72"/>
        <item x="90"/>
        <item x="22"/>
        <item x="113"/>
        <item x="116"/>
        <item x="251"/>
        <item x="77"/>
        <item x="150"/>
        <item x="188"/>
        <item x="160"/>
        <item x="59"/>
        <item x="55"/>
        <item x="43"/>
        <item x="230"/>
        <item x="141"/>
        <item x="5"/>
        <item x="161"/>
        <item x="193"/>
        <item x="85"/>
        <item x="211"/>
        <item x="212"/>
        <item x="200"/>
        <item x="89"/>
        <item x="12"/>
        <item x="176"/>
        <item x="25"/>
        <item x="58"/>
        <item x="187"/>
        <item x="131"/>
        <item x="239"/>
        <item x="231"/>
        <item x="120"/>
        <item x="201"/>
        <item x="56"/>
        <item x="70"/>
        <item x="110"/>
        <item x="250"/>
        <item x="208"/>
        <item x="92"/>
        <item x="175"/>
        <item x="134"/>
        <item x="135"/>
        <item x="133"/>
        <item x="177"/>
        <item x="137"/>
        <item x="3"/>
        <item x="139"/>
        <item x="140"/>
        <item x="142"/>
        <item x="143"/>
        <item x="45"/>
        <item x="33"/>
        <item x="20"/>
        <item x="178"/>
        <item x="32"/>
        <item x="97"/>
        <item x="129"/>
        <item x="241"/>
        <item x="158"/>
        <item x="63"/>
        <item x="117"/>
        <item x="105"/>
        <item x="151"/>
        <item x="35"/>
        <item x="96"/>
        <item x="122"/>
        <item x="73"/>
        <item x="248"/>
        <item x="15"/>
        <item x="224"/>
        <item x="36"/>
        <item x="229"/>
        <item x="185"/>
        <item x="101"/>
        <item x="81"/>
        <item x="237"/>
        <item x="100"/>
        <item x="115"/>
        <item x="52"/>
        <item x="189"/>
        <item x="168"/>
        <item x="31"/>
        <item x="121"/>
        <item x="47"/>
        <item x="82"/>
        <item x="130"/>
        <item x="171"/>
        <item x="0"/>
        <item x="6"/>
        <item x="16"/>
        <item x="223"/>
        <item x="67"/>
        <item x="66"/>
        <item x="159"/>
        <item x="199"/>
        <item x="234"/>
        <item x="46"/>
        <item x="191"/>
        <item x="215"/>
        <item x="235"/>
        <item x="174"/>
        <item x="246"/>
        <item x="83"/>
        <item x="57"/>
        <item x="71"/>
        <item x="10"/>
        <item x="78"/>
        <item x="245"/>
        <item x="119"/>
        <item x="206"/>
        <item x="61"/>
        <item x="172"/>
        <item x="138"/>
        <item x="252"/>
        <item x="217"/>
        <item x="238"/>
        <item x="37"/>
        <item x="207"/>
        <item x="118"/>
        <item x="80"/>
        <item x="184"/>
        <item x="247"/>
        <item x="94"/>
        <item x="123"/>
        <item x="54"/>
        <item x="49"/>
        <item x="86"/>
        <item x="196"/>
        <item x="153"/>
        <item x="240"/>
        <item x="255"/>
        <item x="163"/>
        <item x="88"/>
        <item x="17"/>
        <item x="51"/>
        <item x="2"/>
        <item x="136"/>
        <item x="228"/>
        <item x="91"/>
        <item x="102"/>
        <item x="169"/>
        <item x="165"/>
        <item x="155"/>
        <item x="166"/>
        <item x="194"/>
        <item x="42"/>
        <item x="28"/>
        <item x="95"/>
        <item x="103"/>
        <item x="225"/>
        <item x="226"/>
        <item x="190"/>
        <item x="146"/>
        <item x="147"/>
        <item x="149"/>
        <item x="148"/>
        <item x="156"/>
        <item x="167"/>
        <item x="111"/>
        <item x="41"/>
        <item x="128"/>
        <item x="23"/>
        <item x="26"/>
        <item x="125"/>
        <item x="162"/>
        <item x="198"/>
        <item x="106"/>
        <item x="220"/>
        <item x="84"/>
        <item x="14"/>
        <item x="126"/>
        <item x="38"/>
        <item x="219"/>
        <item x="232"/>
        <item x="254"/>
        <item x="18"/>
        <item x="152"/>
        <item x="180"/>
        <item x="236"/>
        <item x="181"/>
        <item x="253"/>
        <item x="107"/>
        <item x="9"/>
        <item x="64"/>
        <item x="179"/>
        <item x="209"/>
        <item x="173"/>
        <item x="65"/>
        <item x="74"/>
        <item x="62"/>
        <item x="27"/>
        <item x="21"/>
        <item x="99"/>
        <item x="144"/>
        <item x="182"/>
        <item x="164"/>
        <item x="221"/>
        <item x="222"/>
        <item x="249"/>
        <item x="227"/>
        <item x="197"/>
        <item x="210"/>
        <item x="30"/>
        <item t="default"/>
      </items>
    </pivotField>
    <pivotField numFmtId="167" showAll="0"/>
    <pivotField multipleItemSelectionAllowed="1" showAll="0">
      <items count="18">
        <item h="1" x="0"/>
        <item h="1" x="1"/>
        <item h="1" x="2"/>
        <item h="1" x="3"/>
        <item h="1" x="4"/>
        <item h="1" x="5"/>
        <item h="1" x="6"/>
        <item h="1" x="7"/>
        <item h="1" x="8"/>
        <item h="1" x="9"/>
        <item h="1" x="10"/>
        <item h="1" x="11"/>
        <item x="12"/>
        <item x="13"/>
        <item x="14"/>
        <item x="15"/>
        <item x="16"/>
        <item t="default"/>
      </items>
    </pivotField>
    <pivotField showAll="0"/>
    <pivotField showAll="0"/>
    <pivotField axis="axisRow" multipleItemSelectionAllowed="1" showAll="0">
      <items count="18">
        <item h="1" x="0"/>
        <item h="1" x="1"/>
        <item h="1" x="2"/>
        <item h="1" x="3"/>
        <item h="1" x="4"/>
        <item h="1" x="5"/>
        <item h="1" x="6"/>
        <item h="1" x="7"/>
        <item h="1" x="8"/>
        <item h="1" x="9"/>
        <item h="1" x="10"/>
        <item h="1" x="11"/>
        <item x="12"/>
        <item x="13"/>
        <item x="14"/>
        <item x="15"/>
        <item x="16"/>
        <item t="default"/>
      </items>
    </pivotField>
    <pivotField showAll="0"/>
    <pivotField showAll="0"/>
    <pivotField showAll="0"/>
    <pivotField showAll="0"/>
    <pivotField axis="axisPage" multipleItemSelectionAllowed="1" showAll="0">
      <items count="26">
        <item x="19"/>
        <item x="8"/>
        <item h="1" x="20"/>
        <item h="1" x="1"/>
        <item h="1" x="3"/>
        <item h="1" x="23"/>
        <item h="1" x="11"/>
        <item h="1" x="2"/>
        <item h="1" x="7"/>
        <item h="1" x="14"/>
        <item h="1" x="6"/>
        <item h="1" x="18"/>
        <item h="1" x="13"/>
        <item h="1" x="10"/>
        <item x="24"/>
        <item h="1" x="5"/>
        <item h="1" x="12"/>
        <item h="1" x="9"/>
        <item h="1" x="17"/>
        <item h="1" x="16"/>
        <item h="1" x="22"/>
        <item h="1" x="4"/>
        <item h="1" x="15"/>
        <item h="1" x="21"/>
        <item h="1" x="0"/>
        <item t="default"/>
      </items>
    </pivotField>
    <pivotField showAll="0"/>
    <pivotField showAll="0"/>
    <pivotField showAll="0"/>
    <pivotField axis="axisPage" multipleItemSelectionAllowed="1" showAll="0">
      <items count="4">
        <item h="1" x="2"/>
        <item x="1"/>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4">
        <item n="Undesignated" x="2"/>
        <item n="Designated"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7"/>
  </rowFields>
  <rowItems count="6">
    <i>
      <x v="12"/>
    </i>
    <i>
      <x v="13"/>
    </i>
    <i>
      <x v="14"/>
    </i>
    <i>
      <x v="15"/>
    </i>
    <i>
      <x v="16"/>
    </i>
    <i t="grand">
      <x/>
    </i>
  </rowItems>
  <colFields count="1">
    <field x="58"/>
  </colFields>
  <colItems count="3">
    <i>
      <x/>
    </i>
    <i>
      <x v="1"/>
    </i>
    <i t="grand">
      <x/>
    </i>
  </colItems>
  <pageFields count="2">
    <pageField fld="16" hier="-1"/>
    <pageField fld="12" hier="-1"/>
  </pageFields>
  <dataFields count="1">
    <dataField name="Count of Disaster Name" fld="2" subtotal="count" baseField="0" baseItem="0"/>
  </dataFields>
  <chartFormats count="2">
    <chartFormat chart="0" format="0" series="1">
      <pivotArea type="data" outline="0" fieldPosition="0">
        <references count="2">
          <reference field="4294967294" count="1" selected="0">
            <x v="0"/>
          </reference>
          <reference field="58" count="1" selected="0">
            <x v="0"/>
          </reference>
        </references>
      </pivotArea>
    </chartFormat>
    <chartFormat chart="0" format="1" series="1">
      <pivotArea type="data" outline="0" fieldPosition="0">
        <references count="2">
          <reference field="4294967294" count="1" selected="0">
            <x v="0"/>
          </reference>
          <reference field="58" count="1" selected="0">
            <x v="1"/>
          </reference>
        </references>
      </pivotArea>
    </chartFormat>
  </chartFormats>
  <pivotTableStyleInfo name="PivotStyleLight16" showRowHeaders="1" showColHeaders="1" showRowStripes="0" showColStripes="0" showLastColumn="1"/>
</pivotTableDefinition>
</file>

<file path=xl/pivotTables/pivotTable20.xml><?xml version="1.0" encoding="utf-8"?>
<pivotTableDefinition xmlns="http://schemas.openxmlformats.org/spreadsheetml/2006/main" name="PivotTable1" cacheId="30"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location ref="A8:B127" firstHeaderRow="1" firstDataRow="1" firstDataCol="1"/>
  <pivotFields count="77">
    <pivotField showAll="0"/>
    <pivotField showAll="0"/>
    <pivotField axis="axisRow" multipleItemSelectionAllowed="1" showAll="0">
      <items count="258">
        <item x="60"/>
        <item x="79"/>
        <item x="216"/>
        <item x="76"/>
        <item x="114"/>
        <item x="154"/>
        <item x="24"/>
        <item x="108"/>
        <item x="1"/>
        <item x="98"/>
        <item x="214"/>
        <item x="93"/>
        <item x="39"/>
        <item x="40"/>
        <item x="13"/>
        <item x="4"/>
        <item x="218"/>
        <item x="183"/>
        <item x="19"/>
        <item x="243"/>
        <item x="68"/>
        <item x="34"/>
        <item x="69"/>
        <item x="48"/>
        <item x="87"/>
        <item x="53"/>
        <item x="29"/>
        <item x="11"/>
        <item x="75"/>
        <item x="132"/>
        <item x="50"/>
        <item x="112"/>
        <item x="242"/>
        <item x="203"/>
        <item x="202"/>
        <item x="127"/>
        <item x="205"/>
        <item x="124"/>
        <item x="233"/>
        <item x="195"/>
        <item x="104"/>
        <item x="109"/>
        <item x="8"/>
        <item h="1" x="192"/>
        <item x="186"/>
        <item x="44"/>
        <item x="157"/>
        <item x="170"/>
        <item x="145"/>
        <item x="244"/>
        <item x="213"/>
        <item x="7"/>
        <item x="204"/>
        <item x="72"/>
        <item x="90"/>
        <item x="22"/>
        <item x="113"/>
        <item x="116"/>
        <item x="251"/>
        <item x="77"/>
        <item x="150"/>
        <item x="188"/>
        <item x="160"/>
        <item x="59"/>
        <item x="55"/>
        <item x="43"/>
        <item x="230"/>
        <item x="141"/>
        <item x="5"/>
        <item x="161"/>
        <item x="193"/>
        <item x="85"/>
        <item x="211"/>
        <item x="212"/>
        <item x="200"/>
        <item x="89"/>
        <item x="12"/>
        <item x="176"/>
        <item x="25"/>
        <item x="58"/>
        <item x="187"/>
        <item x="131"/>
        <item h="1" x="239"/>
        <item h="1" x="231"/>
        <item x="120"/>
        <item x="201"/>
        <item x="56"/>
        <item x="70"/>
        <item x="110"/>
        <item x="250"/>
        <item x="208"/>
        <item x="92"/>
        <item x="175"/>
        <item x="134"/>
        <item x="135"/>
        <item x="133"/>
        <item x="177"/>
        <item x="137"/>
        <item x="3"/>
        <item x="139"/>
        <item x="140"/>
        <item x="142"/>
        <item x="143"/>
        <item x="45"/>
        <item x="33"/>
        <item x="20"/>
        <item x="178"/>
        <item x="32"/>
        <item x="97"/>
        <item x="129"/>
        <item x="241"/>
        <item x="158"/>
        <item x="63"/>
        <item x="117"/>
        <item x="105"/>
        <item x="151"/>
        <item x="35"/>
        <item x="96"/>
        <item x="122"/>
        <item x="73"/>
        <item h="1" x="248"/>
        <item x="15"/>
        <item x="224"/>
        <item x="36"/>
        <item x="229"/>
        <item x="185"/>
        <item x="101"/>
        <item x="81"/>
        <item x="237"/>
        <item x="100"/>
        <item x="115"/>
        <item x="52"/>
        <item x="189"/>
        <item x="168"/>
        <item x="31"/>
        <item x="121"/>
        <item x="47"/>
        <item x="82"/>
        <item x="130"/>
        <item x="171"/>
        <item x="0"/>
        <item x="6"/>
        <item x="16"/>
        <item x="223"/>
        <item x="67"/>
        <item x="66"/>
        <item x="159"/>
        <item x="199"/>
        <item x="234"/>
        <item x="46"/>
        <item x="191"/>
        <item x="215"/>
        <item x="235"/>
        <item x="174"/>
        <item x="246"/>
        <item x="83"/>
        <item x="57"/>
        <item x="71"/>
        <item x="10"/>
        <item x="78"/>
        <item x="245"/>
        <item x="119"/>
        <item x="206"/>
        <item x="61"/>
        <item x="172"/>
        <item x="138"/>
        <item x="252"/>
        <item x="217"/>
        <item x="238"/>
        <item x="37"/>
        <item x="207"/>
        <item x="118"/>
        <item x="80"/>
        <item x="184"/>
        <item x="247"/>
        <item x="94"/>
        <item x="123"/>
        <item x="54"/>
        <item x="49"/>
        <item x="86"/>
        <item x="196"/>
        <item x="153"/>
        <item x="240"/>
        <item x="255"/>
        <item x="163"/>
        <item x="88"/>
        <item x="17"/>
        <item x="51"/>
        <item x="2"/>
        <item x="136"/>
        <item x="228"/>
        <item x="91"/>
        <item x="102"/>
        <item x="169"/>
        <item x="165"/>
        <item x="155"/>
        <item x="166"/>
        <item x="194"/>
        <item x="42"/>
        <item x="28"/>
        <item x="95"/>
        <item x="103"/>
        <item x="225"/>
        <item x="226"/>
        <item x="190"/>
        <item x="146"/>
        <item x="147"/>
        <item x="149"/>
        <item x="148"/>
        <item x="156"/>
        <item x="167"/>
        <item x="111"/>
        <item x="41"/>
        <item x="128"/>
        <item x="23"/>
        <item x="26"/>
        <item x="125"/>
        <item x="162"/>
        <item x="198"/>
        <item x="106"/>
        <item x="220"/>
        <item x="84"/>
        <item x="14"/>
        <item x="126"/>
        <item x="38"/>
        <item x="219"/>
        <item x="232"/>
        <item x="254"/>
        <item x="18"/>
        <item x="152"/>
        <item x="180"/>
        <item x="236"/>
        <item x="181"/>
        <item x="253"/>
        <item x="107"/>
        <item x="9"/>
        <item x="64"/>
        <item x="179"/>
        <item x="209"/>
        <item x="173"/>
        <item x="65"/>
        <item x="74"/>
        <item x="62"/>
        <item x="27"/>
        <item x="21"/>
        <item x="99"/>
        <item x="144"/>
        <item x="182"/>
        <item x="164"/>
        <item x="221"/>
        <item x="222"/>
        <item x="249"/>
        <item x="227"/>
        <item x="197"/>
        <item x="210"/>
        <item x="30"/>
        <item x="256"/>
        <item t="default"/>
      </items>
    </pivotField>
    <pivotField showAll="0"/>
    <pivotField axis="axisRow" multipleItemSelectionAllowed="1" showAll="0">
      <items count="19">
        <item h="1" x="0"/>
        <item h="1" x="1"/>
        <item h="1" x="2"/>
        <item h="1" x="3"/>
        <item h="1" x="4"/>
        <item h="1" x="5"/>
        <item h="1" x="6"/>
        <item h="1" x="7"/>
        <item h="1" x="8"/>
        <item h="1" x="9"/>
        <item h="1" x="10"/>
        <item x="11"/>
        <item x="12"/>
        <item x="13"/>
        <item x="14"/>
        <item x="15"/>
        <item h="1" x="16"/>
        <item h="1" x="17"/>
        <item t="default"/>
      </items>
    </pivotField>
    <pivotField showAll="0">
      <items count="35">
        <item x="1"/>
        <item x="2"/>
        <item x="3"/>
        <item x="4"/>
        <item x="5"/>
        <item x="6"/>
        <item x="7"/>
        <item x="8"/>
        <item x="9"/>
        <item x="10"/>
        <item x="11"/>
        <item x="12"/>
        <item x="13"/>
        <item x="14"/>
        <item x="15"/>
        <item x="16"/>
        <item x="17"/>
        <item x="18"/>
        <item x="19"/>
        <item x="23"/>
        <item x="20"/>
        <item x="21"/>
        <item x="22"/>
        <item x="24"/>
        <item x="25"/>
        <item x="26"/>
        <item x="27"/>
        <item x="28"/>
        <item x="29"/>
        <item x="31"/>
        <item x="32"/>
        <item x="30"/>
        <item x="3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94">
        <item x="7"/>
        <item x="12"/>
        <item x="47"/>
        <item x="37"/>
        <item x="63"/>
        <item x="55"/>
        <item x="132"/>
        <item x="31"/>
        <item x="95"/>
        <item x="86"/>
        <item x="44"/>
        <item x="46"/>
        <item x="79"/>
        <item x="106"/>
        <item x="64"/>
        <item x="30"/>
        <item x="19"/>
        <item x="182"/>
        <item x="6"/>
        <item x="76"/>
        <item x="166"/>
        <item x="52"/>
        <item x="146"/>
        <item x="99"/>
        <item x="18"/>
        <item x="73"/>
        <item x="135"/>
        <item x="110"/>
        <item x="68"/>
        <item x="39"/>
        <item x="87"/>
        <item x="136"/>
        <item x="78"/>
        <item x="25"/>
        <item x="128"/>
        <item x="107"/>
        <item x="38"/>
        <item x="109"/>
        <item x="72"/>
        <item x="50"/>
        <item x="133"/>
        <item x="21"/>
        <item x="22"/>
        <item x="143"/>
        <item x="8"/>
        <item x="163"/>
        <item x="32"/>
        <item x="100"/>
        <item x="70"/>
        <item x="67"/>
        <item x="130"/>
        <item x="59"/>
        <item x="75"/>
        <item x="89"/>
        <item x="102"/>
        <item x="139"/>
        <item x="27"/>
        <item x="153"/>
        <item x="82"/>
        <item x="49"/>
        <item x="61"/>
        <item x="118"/>
        <item x="134"/>
        <item x="104"/>
        <item x="149"/>
        <item x="16"/>
        <item x="113"/>
        <item x="185"/>
        <item x="138"/>
        <item x="90"/>
        <item x="45"/>
        <item x="83"/>
        <item x="120"/>
        <item x="74"/>
        <item x="48"/>
        <item x="160"/>
        <item x="56"/>
        <item x="9"/>
        <item x="117"/>
        <item x="29"/>
        <item x="114"/>
        <item x="85"/>
        <item x="43"/>
        <item x="5"/>
        <item x="124"/>
        <item x="137"/>
        <item x="53"/>
        <item x="101"/>
        <item x="80"/>
        <item x="84"/>
        <item x="93"/>
        <item x="141"/>
        <item x="58"/>
        <item x="26"/>
        <item x="155"/>
        <item x="126"/>
        <item x="60"/>
        <item x="92"/>
        <item x="10"/>
        <item x="176"/>
        <item x="13"/>
        <item x="127"/>
        <item x="192"/>
        <item x="28"/>
        <item x="36"/>
        <item x="177"/>
        <item x="187"/>
        <item x="151"/>
        <item x="112"/>
        <item x="171"/>
        <item x="121"/>
        <item x="14"/>
        <item x="81"/>
        <item x="54"/>
        <item x="33"/>
        <item x="57"/>
        <item x="62"/>
        <item x="181"/>
        <item x="122"/>
        <item x="158"/>
        <item x="88"/>
        <item x="35"/>
        <item x="167"/>
        <item x="148"/>
        <item x="191"/>
        <item x="172"/>
        <item x="125"/>
        <item x="131"/>
        <item x="144"/>
        <item x="91"/>
        <item x="189"/>
        <item x="180"/>
        <item x="165"/>
        <item x="69"/>
        <item x="105"/>
        <item x="65"/>
        <item x="51"/>
        <item x="24"/>
        <item x="71"/>
        <item x="23"/>
        <item x="111"/>
        <item x="94"/>
        <item x="66"/>
        <item x="183"/>
        <item x="108"/>
        <item x="162"/>
        <item x="15"/>
        <item x="34"/>
        <item x="40"/>
        <item x="147"/>
        <item x="119"/>
        <item x="184"/>
        <item x="145"/>
        <item x="190"/>
        <item x="159"/>
        <item x="164"/>
        <item x="175"/>
        <item x="20"/>
        <item x="157"/>
        <item x="168"/>
        <item x="77"/>
        <item x="11"/>
        <item x="142"/>
        <item x="115"/>
        <item x="161"/>
        <item x="154"/>
        <item x="170"/>
        <item x="98"/>
        <item x="116"/>
        <item x="140"/>
        <item x="123"/>
        <item x="169"/>
        <item x="188"/>
        <item x="129"/>
        <item x="42"/>
        <item x="17"/>
        <item x="174"/>
        <item x="178"/>
        <item x="41"/>
        <item x="103"/>
        <item x="1"/>
        <item x="179"/>
        <item x="2"/>
        <item x="0"/>
        <item x="4"/>
        <item x="3"/>
        <item x="150"/>
        <item x="96"/>
        <item x="173"/>
        <item x="186"/>
        <item x="97"/>
        <item x="156"/>
        <item x="15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4"/>
    <field x="2"/>
  </rowFields>
  <rowItems count="119">
    <i>
      <x v="11"/>
    </i>
    <i r="1">
      <x v="23"/>
    </i>
    <i r="1">
      <x v="42"/>
    </i>
    <i r="1">
      <x v="47"/>
    </i>
    <i r="1">
      <x v="62"/>
    </i>
    <i r="1">
      <x v="69"/>
    </i>
    <i r="1">
      <x v="127"/>
    </i>
    <i r="1">
      <x v="133"/>
    </i>
    <i r="1">
      <x v="139"/>
    </i>
    <i r="1">
      <x v="146"/>
    </i>
    <i r="1">
      <x v="149"/>
    </i>
    <i r="1">
      <x v="184"/>
    </i>
    <i r="1">
      <x v="185"/>
    </i>
    <i r="1">
      <x v="193"/>
    </i>
    <i r="1">
      <x v="194"/>
    </i>
    <i r="1">
      <x v="196"/>
    </i>
    <i r="1">
      <x v="210"/>
    </i>
    <i r="1">
      <x v="216"/>
    </i>
    <i r="1">
      <x v="217"/>
    </i>
    <i r="1">
      <x v="248"/>
    </i>
    <i>
      <x v="12"/>
    </i>
    <i r="1">
      <x v="17"/>
    </i>
    <i r="1">
      <x v="18"/>
    </i>
    <i r="1">
      <x v="39"/>
    </i>
    <i r="1">
      <x v="44"/>
    </i>
    <i r="1">
      <x v="61"/>
    </i>
    <i r="1">
      <x v="70"/>
    </i>
    <i r="1">
      <x v="77"/>
    </i>
    <i r="1">
      <x v="80"/>
    </i>
    <i r="1">
      <x v="92"/>
    </i>
    <i r="1">
      <x v="96"/>
    </i>
    <i r="1">
      <x v="106"/>
    </i>
    <i r="1">
      <x v="114"/>
    </i>
    <i r="1">
      <x v="125"/>
    </i>
    <i r="1">
      <x v="132"/>
    </i>
    <i r="1">
      <x v="141"/>
    </i>
    <i r="1">
      <x v="150"/>
    </i>
    <i r="1">
      <x v="153"/>
    </i>
    <i r="1">
      <x v="164"/>
    </i>
    <i r="1">
      <x v="173"/>
    </i>
    <i r="1">
      <x v="177"/>
    </i>
    <i r="1">
      <x v="180"/>
    </i>
    <i r="1">
      <x v="197"/>
    </i>
    <i r="1">
      <x v="204"/>
    </i>
    <i r="1">
      <x v="216"/>
    </i>
    <i r="1">
      <x v="217"/>
    </i>
    <i r="1">
      <x v="230"/>
    </i>
    <i r="1">
      <x v="232"/>
    </i>
    <i r="1">
      <x v="237"/>
    </i>
    <i r="1">
      <x v="239"/>
    </i>
    <i r="1">
      <x v="247"/>
    </i>
    <i>
      <x v="13"/>
    </i>
    <i r="1">
      <x v="2"/>
    </i>
    <i r="1">
      <x v="10"/>
    </i>
    <i r="1">
      <x v="16"/>
    </i>
    <i r="1">
      <x v="33"/>
    </i>
    <i r="1">
      <x v="34"/>
    </i>
    <i r="1">
      <x v="36"/>
    </i>
    <i r="1">
      <x v="46"/>
    </i>
    <i r="1">
      <x v="50"/>
    </i>
    <i r="1">
      <x v="52"/>
    </i>
    <i r="1">
      <x v="72"/>
    </i>
    <i r="1">
      <x v="73"/>
    </i>
    <i r="1">
      <x v="74"/>
    </i>
    <i r="1">
      <x v="85"/>
    </i>
    <i r="1">
      <x v="90"/>
    </i>
    <i r="1">
      <x v="117"/>
    </i>
    <i r="1">
      <x v="147"/>
    </i>
    <i r="1">
      <x v="151"/>
    </i>
    <i r="1">
      <x v="153"/>
    </i>
    <i r="1">
      <x v="162"/>
    </i>
    <i r="1">
      <x v="167"/>
    </i>
    <i r="1">
      <x v="170"/>
    </i>
    <i r="1">
      <x v="210"/>
    </i>
    <i r="1">
      <x v="218"/>
    </i>
    <i r="1">
      <x v="238"/>
    </i>
    <i r="1">
      <x v="244"/>
    </i>
    <i r="1">
      <x v="253"/>
    </i>
    <i r="1">
      <x v="254"/>
    </i>
    <i>
      <x v="14"/>
    </i>
    <i r="1">
      <x v="38"/>
    </i>
    <i r="1">
      <x v="40"/>
    </i>
    <i r="1">
      <x v="66"/>
    </i>
    <i r="1">
      <x v="84"/>
    </i>
    <i r="1">
      <x v="104"/>
    </i>
    <i r="1">
      <x v="122"/>
    </i>
    <i r="1">
      <x v="124"/>
    </i>
    <i r="1">
      <x v="128"/>
    </i>
    <i r="1">
      <x v="143"/>
    </i>
    <i r="1">
      <x v="148"/>
    </i>
    <i r="1">
      <x v="152"/>
    </i>
    <i r="1">
      <x v="190"/>
    </i>
    <i r="1">
      <x v="202"/>
    </i>
    <i r="1">
      <x v="203"/>
    </i>
    <i r="1">
      <x v="220"/>
    </i>
    <i r="1">
      <x v="225"/>
    </i>
    <i r="1">
      <x v="226"/>
    </i>
    <i r="1">
      <x v="231"/>
    </i>
    <i r="1">
      <x v="249"/>
    </i>
    <i r="1">
      <x v="250"/>
    </i>
    <i r="1">
      <x v="252"/>
    </i>
    <i>
      <x v="15"/>
    </i>
    <i r="1">
      <x v="19"/>
    </i>
    <i r="1">
      <x v="23"/>
    </i>
    <i r="1">
      <x v="32"/>
    </i>
    <i r="1">
      <x v="49"/>
    </i>
    <i r="1">
      <x v="51"/>
    </i>
    <i r="1">
      <x v="110"/>
    </i>
    <i r="1">
      <x v="141"/>
    </i>
    <i r="1">
      <x v="151"/>
    </i>
    <i r="1">
      <x v="154"/>
    </i>
    <i r="1">
      <x v="160"/>
    </i>
    <i r="1">
      <x v="168"/>
    </i>
    <i r="1">
      <x v="172"/>
    </i>
    <i r="1">
      <x v="174"/>
    </i>
    <i r="1">
      <x v="182"/>
    </i>
    <i r="1">
      <x v="244"/>
    </i>
    <i r="1">
      <x v="251"/>
    </i>
    <i t="grand">
      <x/>
    </i>
  </rowItems>
  <colItems count="1">
    <i/>
  </colItems>
  <dataFields count="1">
    <dataField name="Sum of Total Contributions" fld="57" baseField="0" baseItem="0" numFmtId="166"/>
  </dataFields>
  <pivotTableStyleInfo name="PivotStyleLight16" showRowHeaders="1" showColHeaders="1" showRowStripes="0" showColStripes="0" showLastColumn="1"/>
</pivotTableDefinition>
</file>

<file path=xl/pivotTables/pivotTable21.xml><?xml version="1.0" encoding="utf-8"?>
<pivotTableDefinition xmlns="http://schemas.openxmlformats.org/spreadsheetml/2006/main" name="PivotTable2" cacheId="31"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chartFormat="10">
  <location ref="A43:C48" firstHeaderRow="1" firstDataRow="2" firstDataCol="1" rowPageCount="3" colPageCount="1"/>
  <pivotFields count="77">
    <pivotField showAll="0"/>
    <pivotField showAll="0"/>
    <pivotField showAll="0"/>
    <pivotField showAll="0"/>
    <pivotField multipleItemSelectionAllowed="1" showAll="0">
      <items count="19">
        <item h="1" x="0"/>
        <item h="1" x="1"/>
        <item h="1" x="2"/>
        <item h="1" x="3"/>
        <item h="1" x="4"/>
        <item h="1" x="5"/>
        <item h="1" x="6"/>
        <item h="1" x="7"/>
        <item h="1" x="8"/>
        <item h="1" x="9"/>
        <item h="1" x="10"/>
        <item x="11"/>
        <item x="12"/>
        <item x="13"/>
        <item x="14"/>
        <item x="15"/>
        <item h="1" x="16"/>
        <item h="1" x="17"/>
        <item t="default"/>
      </items>
    </pivotField>
    <pivotField showAll="0"/>
    <pivotField showAll="0"/>
    <pivotField axis="axisPage" multipleItemSelectionAllowed="1" showAll="0">
      <items count="20">
        <item h="1" x="0"/>
        <item h="1" x="1"/>
        <item h="1" x="2"/>
        <item h="1" x="3"/>
        <item h="1" x="4"/>
        <item h="1" x="5"/>
        <item h="1" x="6"/>
        <item h="1" x="7"/>
        <item h="1" x="8"/>
        <item h="1" x="9"/>
        <item h="1" x="10"/>
        <item h="1" x="11"/>
        <item x="12"/>
        <item x="13"/>
        <item x="14"/>
        <item x="15"/>
        <item x="16"/>
        <item h="1" x="18"/>
        <item h="1" x="17"/>
        <item t="default"/>
      </items>
    </pivotField>
    <pivotField showAll="0"/>
    <pivotField axis="axisRow" showAll="0">
      <items count="6">
        <item x="1"/>
        <item x="3"/>
        <item x="2"/>
        <item x="4"/>
        <item x="0"/>
        <item t="default"/>
      </items>
    </pivotField>
    <pivotField showAll="0"/>
    <pivotField showAll="0"/>
    <pivotField showAll="0"/>
    <pivotField showAll="0"/>
    <pivotField showAll="0"/>
    <pivotField showAll="0"/>
    <pivotField axis="axisPage" multipleItemSelectionAllowed="1" showAll="0">
      <items count="4">
        <item h="1" x="2"/>
        <item x="1"/>
        <item h="1" x="0"/>
        <item t="default"/>
      </items>
    </pivotField>
    <pivotField showAll="0"/>
    <pivotField showAll="0"/>
    <pivotField showAll="0"/>
    <pivotField dataField="1" showAll="0">
      <items count="106">
        <item x="2"/>
        <item x="26"/>
        <item x="25"/>
        <item x="12"/>
        <item x="21"/>
        <item x="45"/>
        <item x="49"/>
        <item x="20"/>
        <item x="96"/>
        <item x="34"/>
        <item x="4"/>
        <item x="85"/>
        <item x="60"/>
        <item x="41"/>
        <item x="80"/>
        <item x="57"/>
        <item x="14"/>
        <item x="62"/>
        <item x="89"/>
        <item x="94"/>
        <item x="72"/>
        <item x="93"/>
        <item x="58"/>
        <item x="47"/>
        <item x="97"/>
        <item x="99"/>
        <item x="51"/>
        <item x="43"/>
        <item x="66"/>
        <item x="7"/>
        <item x="30"/>
        <item x="67"/>
        <item x="29"/>
        <item x="27"/>
        <item x="86"/>
        <item x="52"/>
        <item x="16"/>
        <item x="17"/>
        <item x="40"/>
        <item x="31"/>
        <item x="98"/>
        <item x="35"/>
        <item x="13"/>
        <item x="48"/>
        <item x="92"/>
        <item x="28"/>
        <item x="63"/>
        <item x="102"/>
        <item x="70"/>
        <item x="9"/>
        <item x="82"/>
        <item x="83"/>
        <item x="32"/>
        <item x="95"/>
        <item x="6"/>
        <item x="65"/>
        <item x="91"/>
        <item x="61"/>
        <item x="39"/>
        <item x="24"/>
        <item x="44"/>
        <item x="50"/>
        <item x="53"/>
        <item x="33"/>
        <item x="101"/>
        <item x="71"/>
        <item x="1"/>
        <item x="37"/>
        <item x="11"/>
        <item x="19"/>
        <item x="38"/>
        <item x="23"/>
        <item x="3"/>
        <item x="54"/>
        <item x="78"/>
        <item x="100"/>
        <item x="10"/>
        <item x="79"/>
        <item x="64"/>
        <item x="18"/>
        <item x="15"/>
        <item x="8"/>
        <item x="46"/>
        <item x="81"/>
        <item x="75"/>
        <item x="55"/>
        <item x="104"/>
        <item x="73"/>
        <item x="77"/>
        <item x="76"/>
        <item x="68"/>
        <item x="74"/>
        <item x="69"/>
        <item x="59"/>
        <item x="56"/>
        <item x="88"/>
        <item x="87"/>
        <item x="5"/>
        <item x="36"/>
        <item x="22"/>
        <item x="90"/>
        <item x="42"/>
        <item x="84"/>
        <item x="0"/>
        <item x="103"/>
        <item t="default"/>
      </items>
    </pivotField>
    <pivotField dataField="1" showAll="0">
      <items count="34">
        <item x="27"/>
        <item x="16"/>
        <item x="26"/>
        <item x="24"/>
        <item x="23"/>
        <item x="32"/>
        <item x="15"/>
        <item x="21"/>
        <item x="14"/>
        <item x="25"/>
        <item x="10"/>
        <item x="22"/>
        <item x="17"/>
        <item x="4"/>
        <item x="9"/>
        <item x="6"/>
        <item x="13"/>
        <item x="11"/>
        <item x="7"/>
        <item x="5"/>
        <item x="31"/>
        <item x="30"/>
        <item x="8"/>
        <item x="19"/>
        <item x="28"/>
        <item x="3"/>
        <item x="29"/>
        <item x="2"/>
        <item x="18"/>
        <item x="1"/>
        <item x="12"/>
        <item x="20"/>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4">
        <item h="1" x="2"/>
        <item x="1"/>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4">
    <i>
      <x/>
    </i>
    <i>
      <x v="1"/>
    </i>
    <i>
      <x v="2"/>
    </i>
    <i t="grand">
      <x/>
    </i>
  </rowItems>
  <colFields count="1">
    <field x="-2"/>
  </colFields>
  <colItems count="2">
    <i>
      <x/>
    </i>
    <i i="1">
      <x v="1"/>
    </i>
  </colItems>
  <pageFields count="3">
    <pageField fld="16" hier="-1"/>
    <pageField fld="58" hier="-1"/>
    <pageField fld="7" hier="-1"/>
  </pageFields>
  <dataFields count="2">
    <dataField name="Average of % of Appeal Covered by ARC" fld="20" subtotal="average" baseField="0" baseItem="0" numFmtId="10"/>
    <dataField name="Average of Overall Appeal Coverage" fld="21" subtotal="average" baseField="0" baseItem="0" numFmtId="1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pivotTableDefinition>
</file>

<file path=xl/pivotTables/pivotTable22.xml><?xml version="1.0" encoding="utf-8"?>
<pivotTableDefinition xmlns="http://schemas.openxmlformats.org/spreadsheetml/2006/main" name="PivotTable1" cacheId="31"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chartFormat="13">
  <location ref="A6:C11" firstHeaderRow="1" firstDataRow="2" firstDataCol="1" rowPageCount="3" colPageCount="1"/>
  <pivotFields count="77">
    <pivotField showAll="0"/>
    <pivotField showAll="0"/>
    <pivotField showAll="0">
      <items count="258">
        <item x="60"/>
        <item x="79"/>
        <item x="216"/>
        <item x="76"/>
        <item x="114"/>
        <item x="154"/>
        <item x="24"/>
        <item x="108"/>
        <item x="1"/>
        <item x="98"/>
        <item x="214"/>
        <item x="93"/>
        <item x="39"/>
        <item x="40"/>
        <item x="13"/>
        <item x="4"/>
        <item x="218"/>
        <item x="183"/>
        <item x="19"/>
        <item x="243"/>
        <item x="68"/>
        <item x="34"/>
        <item x="69"/>
        <item x="48"/>
        <item x="87"/>
        <item x="53"/>
        <item x="29"/>
        <item x="11"/>
        <item x="75"/>
        <item x="132"/>
        <item x="50"/>
        <item x="112"/>
        <item x="242"/>
        <item x="203"/>
        <item x="202"/>
        <item x="127"/>
        <item x="205"/>
        <item x="124"/>
        <item x="233"/>
        <item x="195"/>
        <item x="104"/>
        <item x="109"/>
        <item x="8"/>
        <item x="192"/>
        <item x="186"/>
        <item x="44"/>
        <item x="157"/>
        <item x="170"/>
        <item x="145"/>
        <item x="244"/>
        <item x="213"/>
        <item x="7"/>
        <item x="204"/>
        <item x="72"/>
        <item x="90"/>
        <item x="22"/>
        <item x="113"/>
        <item x="116"/>
        <item x="251"/>
        <item x="77"/>
        <item x="150"/>
        <item x="188"/>
        <item x="160"/>
        <item x="59"/>
        <item x="55"/>
        <item x="43"/>
        <item x="230"/>
        <item x="141"/>
        <item x="5"/>
        <item x="161"/>
        <item x="193"/>
        <item x="85"/>
        <item x="211"/>
        <item x="212"/>
        <item x="200"/>
        <item x="89"/>
        <item x="12"/>
        <item x="176"/>
        <item x="25"/>
        <item x="58"/>
        <item x="187"/>
        <item x="131"/>
        <item x="239"/>
        <item x="231"/>
        <item x="120"/>
        <item x="201"/>
        <item x="56"/>
        <item x="70"/>
        <item x="110"/>
        <item x="250"/>
        <item x="208"/>
        <item x="92"/>
        <item x="175"/>
        <item x="134"/>
        <item x="135"/>
        <item x="133"/>
        <item x="177"/>
        <item x="137"/>
        <item x="3"/>
        <item x="139"/>
        <item x="140"/>
        <item x="142"/>
        <item x="143"/>
        <item x="45"/>
        <item x="33"/>
        <item x="20"/>
        <item x="178"/>
        <item x="32"/>
        <item x="97"/>
        <item x="129"/>
        <item x="241"/>
        <item x="158"/>
        <item x="63"/>
        <item x="117"/>
        <item x="105"/>
        <item x="151"/>
        <item x="35"/>
        <item x="96"/>
        <item x="122"/>
        <item x="73"/>
        <item x="248"/>
        <item x="15"/>
        <item x="224"/>
        <item x="36"/>
        <item x="229"/>
        <item x="185"/>
        <item x="101"/>
        <item x="81"/>
        <item x="237"/>
        <item x="100"/>
        <item x="115"/>
        <item x="52"/>
        <item x="189"/>
        <item x="168"/>
        <item x="31"/>
        <item x="121"/>
        <item x="47"/>
        <item x="82"/>
        <item x="130"/>
        <item x="171"/>
        <item x="256"/>
        <item x="0"/>
        <item x="6"/>
        <item x="16"/>
        <item x="223"/>
        <item x="67"/>
        <item x="66"/>
        <item x="159"/>
        <item x="199"/>
        <item x="234"/>
        <item x="46"/>
        <item x="191"/>
        <item x="215"/>
        <item x="235"/>
        <item x="174"/>
        <item x="246"/>
        <item x="83"/>
        <item x="57"/>
        <item x="71"/>
        <item x="10"/>
        <item x="78"/>
        <item x="245"/>
        <item x="119"/>
        <item x="206"/>
        <item x="61"/>
        <item x="172"/>
        <item x="138"/>
        <item x="252"/>
        <item x="217"/>
        <item x="238"/>
        <item x="37"/>
        <item x="207"/>
        <item x="118"/>
        <item x="80"/>
        <item x="184"/>
        <item x="247"/>
        <item x="94"/>
        <item x="123"/>
        <item x="54"/>
        <item x="49"/>
        <item x="86"/>
        <item x="196"/>
        <item x="153"/>
        <item x="240"/>
        <item x="255"/>
        <item x="163"/>
        <item x="88"/>
        <item x="17"/>
        <item x="51"/>
        <item x="2"/>
        <item x="136"/>
        <item x="228"/>
        <item x="91"/>
        <item x="102"/>
        <item x="169"/>
        <item x="165"/>
        <item x="155"/>
        <item x="166"/>
        <item x="194"/>
        <item x="42"/>
        <item x="28"/>
        <item x="95"/>
        <item x="103"/>
        <item x="225"/>
        <item x="226"/>
        <item x="190"/>
        <item x="146"/>
        <item x="147"/>
        <item x="149"/>
        <item x="148"/>
        <item x="156"/>
        <item x="167"/>
        <item x="111"/>
        <item x="41"/>
        <item x="128"/>
        <item x="23"/>
        <item x="26"/>
        <item x="125"/>
        <item x="162"/>
        <item x="198"/>
        <item x="106"/>
        <item x="220"/>
        <item x="84"/>
        <item x="14"/>
        <item x="126"/>
        <item x="38"/>
        <item x="219"/>
        <item x="232"/>
        <item x="254"/>
        <item x="18"/>
        <item x="152"/>
        <item x="180"/>
        <item x="236"/>
        <item x="181"/>
        <item x="253"/>
        <item x="107"/>
        <item x="9"/>
        <item x="64"/>
        <item x="179"/>
        <item x="209"/>
        <item x="173"/>
        <item x="65"/>
        <item x="74"/>
        <item x="62"/>
        <item x="27"/>
        <item x="21"/>
        <item x="99"/>
        <item x="144"/>
        <item x="182"/>
        <item x="164"/>
        <item x="221"/>
        <item x="222"/>
        <item x="249"/>
        <item x="227"/>
        <item x="197"/>
        <item x="210"/>
        <item x="30"/>
        <item t="default"/>
      </items>
    </pivotField>
    <pivotField showAll="0"/>
    <pivotField multipleItemSelectionAllowed="1" showAll="0">
      <items count="19">
        <item h="1" x="0"/>
        <item h="1" x="1"/>
        <item h="1" x="2"/>
        <item h="1" x="3"/>
        <item h="1" x="4"/>
        <item h="1" x="5"/>
        <item h="1" x="6"/>
        <item h="1" x="7"/>
        <item h="1" x="8"/>
        <item h="1" x="9"/>
        <item h="1" x="10"/>
        <item x="11"/>
        <item x="12"/>
        <item x="13"/>
        <item x="14"/>
        <item x="15"/>
        <item h="1" x="16"/>
        <item h="1" x="17"/>
        <item t="default"/>
      </items>
    </pivotField>
    <pivotField showAll="0">
      <items count="35">
        <item x="1"/>
        <item x="2"/>
        <item x="3"/>
        <item x="4"/>
        <item x="5"/>
        <item x="6"/>
        <item x="7"/>
        <item x="8"/>
        <item x="9"/>
        <item x="10"/>
        <item x="11"/>
        <item x="12"/>
        <item x="13"/>
        <item x="14"/>
        <item x="15"/>
        <item x="16"/>
        <item x="17"/>
        <item x="18"/>
        <item x="19"/>
        <item x="23"/>
        <item x="20"/>
        <item x="21"/>
        <item x="22"/>
        <item x="24"/>
        <item x="25"/>
        <item x="26"/>
        <item x="27"/>
        <item x="28"/>
        <item x="29"/>
        <item x="31"/>
        <item x="32"/>
        <item x="30"/>
        <item x="33"/>
        <item x="0"/>
        <item t="default"/>
      </items>
    </pivotField>
    <pivotField showAll="0"/>
    <pivotField axis="axisPage" multipleItemSelectionAllowed="1" showAll="0">
      <items count="20">
        <item h="1" x="0"/>
        <item h="1" x="1"/>
        <item h="1" x="2"/>
        <item h="1" x="3"/>
        <item h="1" x="4"/>
        <item h="1" x="5"/>
        <item h="1" x="6"/>
        <item h="1" x="7"/>
        <item h="1" x="8"/>
        <item h="1" x="9"/>
        <item h="1" x="10"/>
        <item h="1" x="11"/>
        <item x="12"/>
        <item x="13"/>
        <item x="14"/>
        <item x="15"/>
        <item x="16"/>
        <item h="1" x="18"/>
        <item h="1" x="17"/>
        <item t="default"/>
      </items>
    </pivotField>
    <pivotField showAll="0"/>
    <pivotField axis="axisRow" showAll="0">
      <items count="6">
        <item x="1"/>
        <item x="3"/>
        <item x="2"/>
        <item x="4"/>
        <item x="0"/>
        <item t="default"/>
      </items>
    </pivotField>
    <pivotField showAll="0"/>
    <pivotField showAll="0"/>
    <pivotField showAll="0"/>
    <pivotField showAll="0"/>
    <pivotField showAll="0"/>
    <pivotField showAll="0"/>
    <pivotField axis="axisPage" multipleItemSelectionAllowed="1" showAll="0">
      <items count="4">
        <item h="1" x="2"/>
        <item x="1"/>
        <item h="1" x="0"/>
        <item t="default"/>
      </items>
    </pivotField>
    <pivotField showAll="0"/>
    <pivotField showAll="0"/>
    <pivotField showAll="0"/>
    <pivotField dataField="1" showAll="0">
      <items count="106">
        <item x="2"/>
        <item x="26"/>
        <item x="25"/>
        <item x="12"/>
        <item x="21"/>
        <item x="45"/>
        <item x="49"/>
        <item x="20"/>
        <item x="96"/>
        <item x="34"/>
        <item x="4"/>
        <item x="85"/>
        <item x="60"/>
        <item x="41"/>
        <item x="80"/>
        <item x="57"/>
        <item x="14"/>
        <item x="62"/>
        <item x="89"/>
        <item x="94"/>
        <item x="72"/>
        <item x="93"/>
        <item x="58"/>
        <item x="47"/>
        <item x="97"/>
        <item x="99"/>
        <item x="51"/>
        <item x="43"/>
        <item x="66"/>
        <item x="7"/>
        <item x="30"/>
        <item x="67"/>
        <item x="29"/>
        <item x="27"/>
        <item x="86"/>
        <item x="52"/>
        <item x="16"/>
        <item x="17"/>
        <item x="40"/>
        <item x="31"/>
        <item x="98"/>
        <item x="35"/>
        <item x="13"/>
        <item x="48"/>
        <item x="92"/>
        <item x="28"/>
        <item x="63"/>
        <item x="102"/>
        <item x="70"/>
        <item x="9"/>
        <item x="82"/>
        <item x="83"/>
        <item x="32"/>
        <item x="95"/>
        <item x="6"/>
        <item x="65"/>
        <item x="91"/>
        <item x="61"/>
        <item x="39"/>
        <item x="24"/>
        <item x="44"/>
        <item x="50"/>
        <item x="53"/>
        <item x="33"/>
        <item x="101"/>
        <item x="71"/>
        <item x="1"/>
        <item x="37"/>
        <item x="11"/>
        <item x="19"/>
        <item x="38"/>
        <item x="23"/>
        <item x="3"/>
        <item x="54"/>
        <item x="78"/>
        <item x="100"/>
        <item x="10"/>
        <item x="79"/>
        <item x="64"/>
        <item x="18"/>
        <item x="15"/>
        <item x="8"/>
        <item x="46"/>
        <item x="81"/>
        <item x="75"/>
        <item x="55"/>
        <item x="104"/>
        <item x="73"/>
        <item x="77"/>
        <item x="76"/>
        <item x="68"/>
        <item x="74"/>
        <item x="69"/>
        <item x="59"/>
        <item x="56"/>
        <item x="88"/>
        <item x="87"/>
        <item x="5"/>
        <item x="36"/>
        <item x="22"/>
        <item x="90"/>
        <item x="42"/>
        <item x="84"/>
        <item x="0"/>
        <item x="103"/>
        <item t="default"/>
      </items>
    </pivotField>
    <pivotField dataField="1" showAll="0">
      <items count="34">
        <item x="27"/>
        <item x="16"/>
        <item x="26"/>
        <item x="24"/>
        <item x="23"/>
        <item x="32"/>
        <item x="15"/>
        <item x="21"/>
        <item x="14"/>
        <item x="25"/>
        <item x="10"/>
        <item x="22"/>
        <item x="17"/>
        <item x="4"/>
        <item x="9"/>
        <item x="6"/>
        <item x="13"/>
        <item x="11"/>
        <item x="7"/>
        <item x="5"/>
        <item x="31"/>
        <item x="30"/>
        <item x="8"/>
        <item x="19"/>
        <item x="28"/>
        <item x="3"/>
        <item x="29"/>
        <item x="2"/>
        <item x="18"/>
        <item x="1"/>
        <item x="12"/>
        <item x="20"/>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93">
        <item x="7"/>
        <item x="12"/>
        <item x="47"/>
        <item x="37"/>
        <item x="63"/>
        <item x="55"/>
        <item x="132"/>
        <item x="31"/>
        <item x="95"/>
        <item x="86"/>
        <item x="44"/>
        <item x="46"/>
        <item x="79"/>
        <item x="106"/>
        <item x="64"/>
        <item x="30"/>
        <item x="19"/>
        <item x="181"/>
        <item x="6"/>
        <item x="76"/>
        <item x="166"/>
        <item x="52"/>
        <item x="146"/>
        <item x="99"/>
        <item x="18"/>
        <item x="73"/>
        <item x="135"/>
        <item x="110"/>
        <item x="68"/>
        <item x="39"/>
        <item x="87"/>
        <item x="136"/>
        <item x="78"/>
        <item x="25"/>
        <item x="128"/>
        <item x="107"/>
        <item x="38"/>
        <item x="109"/>
        <item x="72"/>
        <item x="50"/>
        <item x="133"/>
        <item x="21"/>
        <item x="22"/>
        <item x="143"/>
        <item x="8"/>
        <item x="163"/>
        <item x="32"/>
        <item x="100"/>
        <item x="70"/>
        <item x="67"/>
        <item x="130"/>
        <item x="59"/>
        <item x="75"/>
        <item x="89"/>
        <item x="102"/>
        <item x="139"/>
        <item x="27"/>
        <item x="153"/>
        <item x="82"/>
        <item x="49"/>
        <item x="61"/>
        <item x="118"/>
        <item x="134"/>
        <item x="104"/>
        <item x="149"/>
        <item x="16"/>
        <item x="113"/>
        <item x="184"/>
        <item x="138"/>
        <item x="90"/>
        <item x="45"/>
        <item x="83"/>
        <item x="120"/>
        <item x="74"/>
        <item x="48"/>
        <item x="160"/>
        <item x="56"/>
        <item x="9"/>
        <item x="117"/>
        <item x="29"/>
        <item x="114"/>
        <item x="85"/>
        <item x="43"/>
        <item x="5"/>
        <item x="124"/>
        <item x="137"/>
        <item x="53"/>
        <item x="101"/>
        <item x="80"/>
        <item x="84"/>
        <item x="93"/>
        <item x="141"/>
        <item x="58"/>
        <item x="26"/>
        <item x="155"/>
        <item x="126"/>
        <item x="60"/>
        <item x="92"/>
        <item x="10"/>
        <item x="175"/>
        <item x="13"/>
        <item x="127"/>
        <item x="191"/>
        <item x="28"/>
        <item x="36"/>
        <item x="176"/>
        <item x="186"/>
        <item x="151"/>
        <item x="112"/>
        <item x="171"/>
        <item x="121"/>
        <item x="14"/>
        <item x="81"/>
        <item x="54"/>
        <item x="33"/>
        <item x="57"/>
        <item x="62"/>
        <item x="180"/>
        <item x="122"/>
        <item x="158"/>
        <item x="88"/>
        <item x="35"/>
        <item x="167"/>
        <item x="148"/>
        <item x="190"/>
        <item x="172"/>
        <item x="125"/>
        <item x="131"/>
        <item x="144"/>
        <item x="91"/>
        <item x="188"/>
        <item x="179"/>
        <item x="165"/>
        <item x="69"/>
        <item x="105"/>
        <item x="65"/>
        <item x="51"/>
        <item x="24"/>
        <item x="71"/>
        <item x="23"/>
        <item x="111"/>
        <item x="94"/>
        <item x="66"/>
        <item x="108"/>
        <item x="162"/>
        <item x="182"/>
        <item x="15"/>
        <item x="34"/>
        <item x="40"/>
        <item x="147"/>
        <item x="119"/>
        <item x="183"/>
        <item x="145"/>
        <item x="189"/>
        <item x="159"/>
        <item x="164"/>
        <item x="20"/>
        <item x="157"/>
        <item x="168"/>
        <item x="77"/>
        <item x="11"/>
        <item x="142"/>
        <item x="115"/>
        <item x="161"/>
        <item x="154"/>
        <item x="170"/>
        <item x="98"/>
        <item x="116"/>
        <item x="140"/>
        <item x="123"/>
        <item x="169"/>
        <item x="187"/>
        <item x="129"/>
        <item x="42"/>
        <item x="17"/>
        <item x="174"/>
        <item x="177"/>
        <item x="41"/>
        <item x="103"/>
        <item x="1"/>
        <item x="178"/>
        <item x="2"/>
        <item x="0"/>
        <item x="4"/>
        <item x="3"/>
        <item x="150"/>
        <item x="96"/>
        <item x="173"/>
        <item x="185"/>
        <item x="97"/>
        <item x="156"/>
        <item x="152"/>
        <item t="default"/>
      </items>
    </pivotField>
    <pivotField axis="axisPage" multipleItemSelectionAllowed="1" showAll="0">
      <items count="4">
        <item x="2"/>
        <item h="1" x="1"/>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4">
    <i>
      <x/>
    </i>
    <i>
      <x v="1"/>
    </i>
    <i>
      <x v="2"/>
    </i>
    <i t="grand">
      <x/>
    </i>
  </rowItems>
  <colFields count="1">
    <field x="-2"/>
  </colFields>
  <colItems count="2">
    <i>
      <x/>
    </i>
    <i i="1">
      <x v="1"/>
    </i>
  </colItems>
  <pageFields count="3">
    <pageField fld="16" hier="-1"/>
    <pageField fld="58" hier="-1"/>
    <pageField fld="7" hier="-1"/>
  </pageFields>
  <dataFields count="2">
    <dataField name="Average of % of Appeal Covered by ARC" fld="20" subtotal="average" baseField="0" baseItem="0" numFmtId="10"/>
    <dataField name="Average of Overall Appeal Coverage" fld="21" subtotal="average" baseField="0" baseItem="0" numFmtId="1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1"/>
          </reference>
          <reference field="9" count="1" selected="0">
            <x v="2"/>
          </reference>
        </references>
      </pivotArea>
    </chartFormat>
    <chartFormat chart="0" format="3">
      <pivotArea type="data" outline="0" fieldPosition="0">
        <references count="2">
          <reference field="4294967294" count="1" selected="0">
            <x v="1"/>
          </reference>
          <reference field="9" count="1" selected="0">
            <x v="1"/>
          </reference>
        </references>
      </pivotArea>
    </chartFormat>
    <chartFormat chart="0" format="4">
      <pivotArea type="data" outline="0" fieldPosition="0">
        <references count="2">
          <reference field="4294967294" count="1" selected="0">
            <x v="1"/>
          </reference>
          <reference field="9" count="1" selected="0">
            <x v="0"/>
          </reference>
        </references>
      </pivotArea>
    </chartFormat>
    <chartFormat chart="0" format="5">
      <pivotArea type="data" outline="0" fieldPosition="0">
        <references count="2">
          <reference field="4294967294" count="1" selected="0">
            <x v="0"/>
          </reference>
          <reference field="9" count="1" selected="0">
            <x v="0"/>
          </reference>
        </references>
      </pivotArea>
    </chartFormat>
    <chartFormat chart="0" format="6">
      <pivotArea type="data" outline="0" fieldPosition="0">
        <references count="2">
          <reference field="4294967294" count="1" selected="0">
            <x v="0"/>
          </reference>
          <reference field="9" count="1" selected="0">
            <x v="1"/>
          </reference>
        </references>
      </pivotArea>
    </chartFormat>
    <chartFormat chart="0" format="7">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pivotTableDefinition>
</file>

<file path=xl/pivotTables/pivotTable23.xml><?xml version="1.0" encoding="utf-8"?>
<pivotTableDefinition xmlns="http://schemas.openxmlformats.org/spreadsheetml/2006/main" name="PivotTable10" cacheId="20" dataOnRows="1" applyNumberFormats="0" applyBorderFormats="0" applyFontFormats="0" applyPatternFormats="0" applyAlignmentFormats="0" applyWidthHeightFormats="1" dataCaption="Data" updatedVersion="3" showMemberPropertyTips="0" useAutoFormatting="1" itemPrintTitles="1" createdVersion="1" indent="0" compact="0" compactData="0" gridDropZones="1">
  <location ref="C386:H726" firstHeaderRow="2" firstDataRow="2" firstDataCol="5"/>
  <pivotFields count="16">
    <pivotField compact="0" outline="0" subtotalTop="0" showAll="0" includeNewItemsInFilter="1"/>
    <pivotField axis="axisRow" compact="0" outline="0" subtotalTop="0" showAll="0" includeNewItemsInFilter="1">
      <items count="30">
        <item x="12"/>
        <item x="26"/>
        <item x="5"/>
        <item x="15"/>
        <item x="16"/>
        <item x="24"/>
        <item x="21"/>
        <item x="13"/>
        <item x="2"/>
        <item x="1"/>
        <item x="11"/>
        <item x="3"/>
        <item x="6"/>
        <item x="9"/>
        <item x="20"/>
        <item x="0"/>
        <item x="22"/>
        <item x="25"/>
        <item x="7"/>
        <item x="8"/>
        <item x="18"/>
        <item x="17"/>
        <item x="4"/>
        <item x="10"/>
        <item x="14"/>
        <item x="19"/>
        <item x="23"/>
        <item x="27"/>
        <item x="28"/>
        <item t="default"/>
      </items>
    </pivotField>
    <pivotField axis="axisRow" compact="0" outline="0" subtotalTop="0" showAll="0" includeNewItemsInFilter="1">
      <items count="23">
        <item m="1" x="20"/>
        <item m="1" x="21"/>
        <item x="3"/>
        <item x="0"/>
        <item x="4"/>
        <item x="8"/>
        <item x="16"/>
        <item x="5"/>
        <item x="1"/>
        <item x="10"/>
        <item x="7"/>
        <item x="9"/>
        <item x="17"/>
        <item x="6"/>
        <item x="14"/>
        <item x="13"/>
        <item x="11"/>
        <item x="12"/>
        <item x="15"/>
        <item x="2"/>
        <item x="18"/>
        <item x="19"/>
        <item t="default"/>
      </items>
    </pivotField>
    <pivotField compact="0" outline="0" subtotalTop="0" showAll="0" includeNewItemsInFilter="1"/>
    <pivotField axis="axisRow" compact="0" outline="0" subtotalTop="0" showAll="0" includeNewItemsInFilter="1">
      <items count="94">
        <item x="59"/>
        <item x="57"/>
        <item x="58"/>
        <item x="61"/>
        <item x="60"/>
        <item x="73"/>
        <item x="76"/>
        <item x="75"/>
        <item x="72"/>
        <item x="64"/>
        <item x="62"/>
        <item x="74"/>
        <item x="63"/>
        <item x="68"/>
        <item x="66"/>
        <item x="8"/>
        <item x="71"/>
        <item x="45"/>
        <item x="17"/>
        <item x="70"/>
        <item x="67"/>
        <item x="12"/>
        <item x="31"/>
        <item x="33"/>
        <item x="29"/>
        <item x="32"/>
        <item x="36"/>
        <item x="34"/>
        <item x="69"/>
        <item x="1"/>
        <item x="19"/>
        <item x="51"/>
        <item x="65"/>
        <item x="52"/>
        <item x="44"/>
        <item x="14"/>
        <item x="83"/>
        <item x="4"/>
        <item x="46"/>
        <item x="41"/>
        <item x="54"/>
        <item x="53"/>
        <item x="43"/>
        <item x="48"/>
        <item x="55"/>
        <item x="47"/>
        <item x="81"/>
        <item x="85"/>
        <item x="9"/>
        <item x="13"/>
        <item x="3"/>
        <item x="42"/>
        <item x="18"/>
        <item x="23"/>
        <item x="82"/>
        <item x="6"/>
        <item x="0"/>
        <item x="56"/>
        <item x="49"/>
        <item x="50"/>
        <item x="7"/>
        <item x="39"/>
        <item x="77"/>
        <item x="86"/>
        <item x="20"/>
        <item x="22"/>
        <item x="16"/>
        <item x="21"/>
        <item x="38"/>
        <item x="26"/>
        <item x="40"/>
        <item x="27"/>
        <item x="25"/>
        <item x="2"/>
        <item x="5"/>
        <item x="15"/>
        <item x="30"/>
        <item x="28"/>
        <item x="11"/>
        <item x="10"/>
        <item x="35"/>
        <item x="24"/>
        <item x="80"/>
        <item x="87"/>
        <item x="78"/>
        <item x="84"/>
        <item x="37"/>
        <item x="79"/>
        <item x="88"/>
        <item x="89"/>
        <item x="90"/>
        <item x="91"/>
        <item x="92"/>
        <item t="default"/>
      </items>
    </pivotField>
    <pivotField axis="axisRow" dataField="1" compact="0" outline="0" subtotalTop="0" showAll="0" includeNewItemsInFilter="1" countASubtotal="1">
      <items count="25">
        <item m="1" x="23"/>
        <item x="12"/>
        <item x="0"/>
        <item x="7"/>
        <item x="6"/>
        <item x="3"/>
        <item x="9"/>
        <item x="13"/>
        <item x="17"/>
        <item x="8"/>
        <item x="4"/>
        <item x="2"/>
        <item x="10"/>
        <item x="5"/>
        <item x="11"/>
        <item x="1"/>
        <item x="14"/>
        <item x="15"/>
        <item x="16"/>
        <item x="18"/>
        <item x="19"/>
        <item x="20"/>
        <item x="21"/>
        <item x="22"/>
        <item t="countA"/>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Row" compact="0" outline="0" subtotalTop="0" showAll="0" includeNewItemsInFilter="1">
      <items count="6">
        <item sd="0" x="0"/>
        <item x="1"/>
        <item x="2"/>
        <item x="4"/>
        <item sd="0" x="3"/>
        <item t="default" sd="0"/>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s>
  <rowFields count="5">
    <field x="5"/>
    <field x="11"/>
    <field x="4"/>
    <field x="1"/>
    <field x="2"/>
  </rowFields>
  <rowItems count="339">
    <i>
      <x v="1"/>
      <x v="2"/>
      <x v="16"/>
      <x v="10"/>
      <x v="5"/>
    </i>
    <i t="default" r="3">
      <x v="10"/>
    </i>
    <i t="default" r="2">
      <x v="16"/>
    </i>
    <i r="2">
      <x v="17"/>
      <x v="10"/>
      <x v="5"/>
    </i>
    <i t="default" r="3">
      <x v="10"/>
    </i>
    <i t="default" r="2">
      <x v="17"/>
    </i>
    <i t="default" r="1">
      <x v="2"/>
    </i>
    <i r="1">
      <x v="3"/>
      <x v="63"/>
      <x v="3"/>
      <x v="12"/>
    </i>
    <i t="default" r="3">
      <x v="3"/>
    </i>
    <i t="default" r="2">
      <x v="63"/>
    </i>
    <i t="default" r="1">
      <x v="3"/>
    </i>
    <i t="countA">
      <x v="1"/>
    </i>
    <i>
      <x v="2"/>
      <x/>
    </i>
    <i r="1">
      <x v="1"/>
      <x v="15"/>
      <x v="19"/>
      <x v="19"/>
    </i>
    <i t="default" r="3">
      <x v="19"/>
    </i>
    <i t="default" r="2">
      <x v="15"/>
    </i>
    <i r="2">
      <x v="18"/>
      <x v="7"/>
      <x v="5"/>
    </i>
    <i t="default" r="3">
      <x v="7"/>
    </i>
    <i t="default" r="2">
      <x v="18"/>
    </i>
    <i r="2">
      <x v="21"/>
      <x v="13"/>
      <x v="19"/>
    </i>
    <i t="default" r="3">
      <x v="13"/>
    </i>
    <i t="default" r="2">
      <x v="21"/>
    </i>
    <i r="2">
      <x v="29"/>
      <x v="9"/>
      <x v="8"/>
    </i>
    <i t="default" r="3">
      <x v="9"/>
    </i>
    <i t="default" r="2">
      <x v="29"/>
    </i>
    <i r="2">
      <x v="30"/>
      <x v="3"/>
      <x v="19"/>
    </i>
    <i t="default" r="3">
      <x v="3"/>
    </i>
    <i t="default" r="2">
      <x v="30"/>
    </i>
    <i r="2">
      <x v="48"/>
      <x v="19"/>
      <x v="19"/>
    </i>
    <i t="default" r="3">
      <x v="19"/>
    </i>
    <i t="default" r="2">
      <x v="48"/>
    </i>
    <i r="2">
      <x v="50"/>
      <x v="11"/>
      <x v="19"/>
    </i>
    <i t="default" r="3">
      <x v="11"/>
    </i>
    <i t="default" r="2">
      <x v="50"/>
    </i>
    <i r="2">
      <x v="52"/>
      <x v="24"/>
      <x v="11"/>
    </i>
    <i t="default" r="3">
      <x v="24"/>
    </i>
    <i t="default" r="2">
      <x v="52"/>
    </i>
    <i t="default" r="1">
      <x v="1"/>
    </i>
    <i r="1">
      <x v="2"/>
      <x v="22"/>
      <x v="25"/>
      <x v="15"/>
    </i>
    <i t="default" r="3">
      <x v="25"/>
    </i>
    <i t="default" r="2">
      <x v="22"/>
    </i>
    <i r="2">
      <x v="25"/>
      <x v="14"/>
      <x v="14"/>
    </i>
    <i t="default" r="3">
      <x v="14"/>
    </i>
    <i t="default" r="2">
      <x v="25"/>
    </i>
    <i r="2">
      <x v="26"/>
      <x v="16"/>
      <x v="19"/>
    </i>
    <i t="default" r="3">
      <x v="16"/>
    </i>
    <i t="default" r="2">
      <x v="26"/>
    </i>
    <i t="default" r="1">
      <x v="2"/>
    </i>
    <i r="1">
      <x v="3"/>
      <x v="36"/>
      <x v="10"/>
      <x v="6"/>
    </i>
    <i t="default" r="3">
      <x v="10"/>
    </i>
    <i t="default" r="2">
      <x v="36"/>
    </i>
    <i r="2">
      <x v="46"/>
      <x v="10"/>
      <x v="6"/>
    </i>
    <i t="default" r="3">
      <x v="10"/>
    </i>
    <i t="default" r="2">
      <x v="46"/>
    </i>
    <i r="2">
      <x v="47"/>
      <x v="10"/>
      <x v="6"/>
    </i>
    <i t="default" r="3">
      <x v="10"/>
    </i>
    <i t="default" r="2">
      <x v="47"/>
    </i>
    <i r="2">
      <x v="54"/>
      <x v="10"/>
      <x v="6"/>
    </i>
    <i t="default" r="3">
      <x v="10"/>
    </i>
    <i t="default" r="2">
      <x v="54"/>
    </i>
    <i r="2">
      <x v="82"/>
      <x v="10"/>
      <x v="6"/>
    </i>
    <i t="default" r="3">
      <x v="10"/>
    </i>
    <i t="default" r="2">
      <x v="82"/>
    </i>
    <i r="2">
      <x v="85"/>
      <x v="10"/>
      <x v="6"/>
    </i>
    <i t="default" r="3">
      <x v="10"/>
    </i>
    <i t="default" r="2">
      <x v="85"/>
    </i>
    <i t="default" r="1">
      <x v="3"/>
    </i>
    <i t="countA">
      <x v="2"/>
    </i>
    <i>
      <x v="3"/>
      <x v="1"/>
      <x v="35"/>
      <x v="10"/>
      <x v="13"/>
    </i>
    <i t="default" r="3">
      <x v="10"/>
    </i>
    <i t="default" r="2">
      <x v="35"/>
    </i>
    <i t="default" r="1">
      <x v="1"/>
    </i>
    <i r="1">
      <x v="2"/>
      <x v="33"/>
      <x v="10"/>
      <x v="5"/>
    </i>
    <i t="default" r="3">
      <x v="10"/>
    </i>
    <i t="default" r="2">
      <x v="33"/>
    </i>
    <i r="2">
      <x v="34"/>
      <x v="10"/>
      <x v="5"/>
    </i>
    <i t="default" r="3">
      <x v="10"/>
    </i>
    <i t="default" r="2">
      <x v="34"/>
    </i>
    <i r="2">
      <x v="72"/>
      <x v="4"/>
      <x v="16"/>
    </i>
    <i t="default" r="3">
      <x v="4"/>
    </i>
    <i t="default" r="2">
      <x v="72"/>
    </i>
    <i t="default" r="1">
      <x v="2"/>
    </i>
    <i t="countA">
      <x v="3"/>
    </i>
    <i>
      <x v="4"/>
      <x v="1"/>
      <x v="49"/>
      <x v="23"/>
      <x v="7"/>
    </i>
    <i t="default" r="3">
      <x v="23"/>
    </i>
    <i t="default" r="2">
      <x v="49"/>
    </i>
    <i t="default" r="1">
      <x v="1"/>
    </i>
    <i r="1">
      <x v="2"/>
      <x v="51"/>
      <x v="10"/>
      <x v="5"/>
    </i>
    <i t="default" r="3">
      <x v="10"/>
    </i>
    <i t="default" r="2">
      <x v="51"/>
    </i>
    <i t="default" r="1">
      <x v="2"/>
    </i>
    <i t="countA">
      <x v="4"/>
    </i>
    <i>
      <x v="5"/>
      <x v="1"/>
      <x v="53"/>
      <x v="24"/>
      <x v="19"/>
    </i>
    <i t="default" r="3">
      <x v="24"/>
    </i>
    <i t="default" r="2">
      <x v="53"/>
    </i>
    <i r="2">
      <x v="55"/>
      <x v="12"/>
      <x v="19"/>
    </i>
    <i t="default" r="3">
      <x v="12"/>
    </i>
    <i t="default" r="2">
      <x v="55"/>
    </i>
    <i t="default" r="1">
      <x v="1"/>
    </i>
    <i r="1">
      <x v="2"/>
      <x v="39"/>
      <x v="10"/>
      <x v="5"/>
    </i>
    <i t="default" r="3">
      <x v="10"/>
    </i>
    <i t="default" r="2">
      <x v="39"/>
    </i>
    <i r="2">
      <x v="40"/>
      <x v="10"/>
      <x v="5"/>
    </i>
    <i t="default" r="3">
      <x v="10"/>
    </i>
    <i t="default" r="2">
      <x v="40"/>
    </i>
    <i r="2">
      <x v="41"/>
      <x v="10"/>
      <x v="5"/>
    </i>
    <i t="default" r="3">
      <x v="10"/>
    </i>
    <i t="default" r="2">
      <x v="41"/>
    </i>
    <i t="default" r="1">
      <x v="2"/>
    </i>
    <i t="countA">
      <x v="5"/>
    </i>
    <i>
      <x v="6"/>
      <x v="1"/>
      <x v="81"/>
      <x v="24"/>
      <x v="9"/>
    </i>
    <i t="default" r="3">
      <x v="24"/>
    </i>
    <i t="default" r="2">
      <x v="81"/>
    </i>
    <i t="default" r="1">
      <x v="1"/>
    </i>
    <i r="1">
      <x v="2"/>
      <x v="13"/>
      <x v="10"/>
      <x v="5"/>
    </i>
    <i t="default" r="3">
      <x v="10"/>
    </i>
    <i t="default" r="2">
      <x v="13"/>
    </i>
    <i r="2">
      <x v="23"/>
      <x v="11"/>
      <x v="5"/>
    </i>
    <i t="default" r="3">
      <x v="11"/>
    </i>
    <i t="default" r="2">
      <x v="23"/>
    </i>
    <i r="2">
      <x v="24"/>
      <x v="20"/>
      <x v="15"/>
    </i>
    <i t="default" r="3">
      <x v="20"/>
    </i>
    <i t="default" r="2">
      <x v="24"/>
    </i>
    <i r="2">
      <x v="28"/>
      <x v="10"/>
      <x v="5"/>
    </i>
    <i t="default" r="3">
      <x v="10"/>
    </i>
    <i t="default" r="2">
      <x v="28"/>
    </i>
    <i r="2">
      <x v="32"/>
      <x v="10"/>
      <x v="5"/>
    </i>
    <i t="default" r="3">
      <x v="10"/>
    </i>
    <i t="default" r="2">
      <x v="32"/>
    </i>
    <i r="2">
      <x v="38"/>
      <x v="10"/>
      <x v="5"/>
    </i>
    <i t="default" r="3">
      <x v="10"/>
    </i>
    <i t="default" r="2">
      <x v="38"/>
    </i>
    <i r="2">
      <x v="42"/>
      <x v="10"/>
      <x v="5"/>
    </i>
    <i t="default" r="3">
      <x v="10"/>
    </i>
    <i t="default" r="2">
      <x v="42"/>
    </i>
    <i r="2">
      <x v="43"/>
      <x v="10"/>
      <x v="5"/>
    </i>
    <i t="default" r="3">
      <x v="10"/>
    </i>
    <i t="default" r="2">
      <x v="43"/>
    </i>
    <i r="2">
      <x v="44"/>
      <x v="10"/>
      <x v="5"/>
    </i>
    <i t="default" r="3">
      <x v="10"/>
    </i>
    <i t="default" r="2">
      <x v="44"/>
    </i>
    <i r="2">
      <x v="45"/>
      <x v="10"/>
      <x v="5"/>
    </i>
    <i t="default" r="3">
      <x v="10"/>
    </i>
    <i t="default" r="2">
      <x v="45"/>
    </i>
    <i r="2">
      <x v="84"/>
      <x v="5"/>
      <x v="5"/>
    </i>
    <i t="default" r="3">
      <x v="5"/>
    </i>
    <i t="default" r="2">
      <x v="84"/>
    </i>
    <i t="default" r="1">
      <x v="2"/>
    </i>
    <i t="countA">
      <x v="6"/>
    </i>
    <i>
      <x v="7"/>
      <x v="2"/>
      <x v="31"/>
      <x v="10"/>
      <x v="5"/>
    </i>
    <i t="default" r="3">
      <x v="10"/>
    </i>
    <i t="default" r="2">
      <x v="31"/>
    </i>
    <i r="2">
      <x v="58"/>
      <x v="10"/>
      <x v="5"/>
    </i>
    <i t="default" r="3">
      <x v="10"/>
    </i>
    <i t="default" r="2">
      <x v="58"/>
    </i>
    <i r="2">
      <x v="59"/>
      <x v="10"/>
      <x v="5"/>
    </i>
    <i t="default" r="3">
      <x v="10"/>
    </i>
    <i t="default" r="2">
      <x v="59"/>
    </i>
    <i t="default" r="1">
      <x v="2"/>
    </i>
    <i t="countA">
      <x v="7"/>
    </i>
    <i>
      <x v="8"/>
      <x v="2"/>
      <x v="62"/>
      <x v="5"/>
      <x v="5"/>
    </i>
    <i t="default" r="3">
      <x v="5"/>
    </i>
    <i t="default" r="2">
      <x v="62"/>
    </i>
    <i r="2">
      <x v="87"/>
      <x v="17"/>
      <x v="7"/>
    </i>
    <i t="default" r="3">
      <x v="17"/>
    </i>
    <i t="default" r="2">
      <x v="87"/>
    </i>
    <i t="default" r="1">
      <x v="2"/>
    </i>
    <i r="1">
      <x v="3"/>
      <x v="62"/>
      <x v="17"/>
      <x v="7"/>
    </i>
    <i t="default" r="3">
      <x v="17"/>
    </i>
    <i t="default" r="2">
      <x v="62"/>
    </i>
    <i t="default" r="1">
      <x v="3"/>
    </i>
    <i t="countA">
      <x v="8"/>
    </i>
    <i>
      <x v="9"/>
      <x v="1"/>
      <x v="64"/>
      <x v="10"/>
      <x v="13"/>
    </i>
    <i t="default" r="3">
      <x v="10"/>
    </i>
    <i t="default" r="2">
      <x v="64"/>
    </i>
    <i r="2">
      <x v="65"/>
      <x v="10"/>
      <x v="13"/>
    </i>
    <i t="default" r="3">
      <x v="10"/>
    </i>
    <i t="default" r="2">
      <x v="65"/>
    </i>
    <i r="2">
      <x v="66"/>
      <x v="10"/>
      <x v="13"/>
    </i>
    <i t="default" r="3">
      <x v="10"/>
    </i>
    <i t="default" r="2">
      <x v="66"/>
    </i>
    <i r="2">
      <x v="67"/>
      <x v="10"/>
      <x v="13"/>
    </i>
    <i t="default" r="3">
      <x v="10"/>
    </i>
    <i t="default" r="2">
      <x v="67"/>
    </i>
    <i t="default" r="1">
      <x v="1"/>
    </i>
    <i r="1">
      <x v="2"/>
      <x v="61"/>
      <x v="10"/>
      <x v="5"/>
    </i>
    <i t="default" r="3">
      <x v="10"/>
    </i>
    <i t="default" r="2">
      <x v="61"/>
    </i>
    <i r="2">
      <x v="68"/>
      <x v="10"/>
      <x v="5"/>
    </i>
    <i t="default" r="3">
      <x v="10"/>
    </i>
    <i t="default" r="2">
      <x v="68"/>
    </i>
    <i r="2">
      <x v="69"/>
      <x v="21"/>
      <x v="16"/>
    </i>
    <i t="default" r="3">
      <x v="21"/>
    </i>
    <i t="default" r="2">
      <x v="69"/>
    </i>
    <i r="2">
      <x v="70"/>
      <x v="10"/>
      <x v="5"/>
    </i>
    <i t="default" r="3">
      <x v="10"/>
    </i>
    <i t="default" r="2">
      <x v="70"/>
    </i>
    <i r="2">
      <x v="71"/>
      <x v="21"/>
      <x v="16"/>
    </i>
    <i t="default" r="3">
      <x v="21"/>
    </i>
    <i t="default" r="2">
      <x v="71"/>
    </i>
    <i t="default" r="1">
      <x v="2"/>
    </i>
    <i t="countA">
      <x v="9"/>
    </i>
    <i>
      <x v="10"/>
      <x v="1"/>
      <x v="60"/>
      <x v="18"/>
      <x v="19"/>
    </i>
    <i t="default" r="3">
      <x v="18"/>
    </i>
    <i t="default" r="2">
      <x v="60"/>
    </i>
    <i r="2">
      <x v="75"/>
      <x/>
      <x v="10"/>
    </i>
    <i t="default" r="3">
      <x/>
    </i>
    <i t="default" r="2">
      <x v="75"/>
    </i>
    <i t="default" r="1">
      <x v="1"/>
    </i>
    <i r="1">
      <x v="2"/>
      <x v="27"/>
      <x v="10"/>
      <x v="7"/>
    </i>
    <i t="default" r="3">
      <x v="10"/>
    </i>
    <i t="default" r="2">
      <x v="27"/>
    </i>
    <i t="default" r="1">
      <x v="2"/>
    </i>
    <i t="countA">
      <x v="10"/>
    </i>
    <i>
      <x v="11"/>
      <x v="1"/>
      <x v="37"/>
      <x v="22"/>
      <x v="2"/>
    </i>
    <i t="default" r="3">
      <x v="22"/>
    </i>
    <i t="default" r="2">
      <x v="37"/>
    </i>
    <i r="2">
      <x v="74"/>
      <x v="2"/>
      <x v="4"/>
    </i>
    <i t="default" r="3">
      <x v="2"/>
    </i>
    <i t="default" r="2">
      <x v="74"/>
    </i>
    <i t="default" r="1">
      <x v="1"/>
    </i>
    <i t="countA">
      <x v="11"/>
    </i>
    <i>
      <x v="12"/>
      <x v="2"/>
      <x v="76"/>
      <x v="20"/>
      <x v="15"/>
    </i>
    <i t="default" r="3">
      <x v="20"/>
    </i>
    <i t="default" r="2">
      <x v="76"/>
    </i>
    <i r="2">
      <x v="77"/>
      <x v="11"/>
      <x v="17"/>
    </i>
    <i t="default" r="3">
      <x v="11"/>
    </i>
    <i t="default" r="2">
      <x v="77"/>
    </i>
    <i t="default" r="1">
      <x v="2"/>
    </i>
    <i t="countA">
      <x v="12"/>
    </i>
    <i>
      <x v="13"/>
      <x v="1"/>
      <x v="78"/>
      <x v="12"/>
      <x v="19"/>
    </i>
    <i t="default" r="3">
      <x v="12"/>
    </i>
    <i t="default" r="2">
      <x v="78"/>
    </i>
    <i r="2">
      <x v="79"/>
      <x v="12"/>
      <x v="19"/>
    </i>
    <i t="default" r="3">
      <x v="12"/>
    </i>
    <i t="default" r="2">
      <x v="79"/>
    </i>
    <i t="default" r="1">
      <x v="1"/>
    </i>
    <i r="1">
      <x v="2"/>
      <x v="80"/>
      <x v="6"/>
      <x v="19"/>
    </i>
    <i t="default" r="3">
      <x v="6"/>
    </i>
    <i t="default" r="2">
      <x v="80"/>
    </i>
    <i t="default" r="1">
      <x v="2"/>
    </i>
    <i t="countA">
      <x v="13"/>
    </i>
    <i>
      <x v="14"/>
      <x v="3"/>
      <x v="83"/>
      <x v="1"/>
      <x v="19"/>
    </i>
    <i t="default" r="3">
      <x v="1"/>
    </i>
    <i t="default" r="2">
      <x v="83"/>
    </i>
    <i t="default" r="1">
      <x v="3"/>
    </i>
    <i r="1">
      <x v="4"/>
    </i>
    <i t="countA">
      <x v="14"/>
    </i>
    <i>
      <x v="15"/>
      <x v="1"/>
      <x v="73"/>
      <x v="8"/>
      <x v="8"/>
    </i>
    <i t="default" r="3">
      <x v="8"/>
    </i>
    <i t="default" r="2">
      <x v="73"/>
    </i>
    <i t="default" r="1">
      <x v="1"/>
    </i>
    <i t="countA">
      <x v="15"/>
    </i>
    <i>
      <x v="16"/>
      <x v="2"/>
      <x v="32"/>
      <x v="10"/>
      <x v="5"/>
    </i>
    <i t="default" r="3">
      <x v="10"/>
    </i>
    <i t="default" r="2">
      <x v="32"/>
    </i>
    <i r="2">
      <x v="57"/>
      <x v="10"/>
      <x v="5"/>
    </i>
    <i t="default" r="3">
      <x v="10"/>
    </i>
    <i t="default" r="2">
      <x v="57"/>
    </i>
    <i t="default" r="1">
      <x v="2"/>
    </i>
    <i t="countA">
      <x v="16"/>
    </i>
    <i>
      <x v="17"/>
      <x v="2"/>
      <x/>
      <x v="10"/>
      <x v="5"/>
    </i>
    <i t="default" r="3">
      <x v="10"/>
    </i>
    <i t="default" r="2">
      <x/>
    </i>
    <i r="2">
      <x v="1"/>
      <x v="10"/>
      <x v="5"/>
    </i>
    <i t="default" r="3">
      <x v="10"/>
    </i>
    <i t="default" r="2">
      <x v="1"/>
    </i>
    <i r="2">
      <x v="2"/>
      <x v="10"/>
      <x v="5"/>
    </i>
    <i t="default" r="3">
      <x v="10"/>
    </i>
    <i t="default" r="2">
      <x v="2"/>
    </i>
    <i r="2">
      <x v="3"/>
      <x v="10"/>
      <x v="5"/>
    </i>
    <i t="default" r="3">
      <x v="10"/>
    </i>
    <i t="default" r="2">
      <x v="3"/>
    </i>
    <i r="2">
      <x v="4"/>
      <x v="10"/>
      <x v="5"/>
    </i>
    <i t="default" r="3">
      <x v="10"/>
    </i>
    <i t="default" r="2">
      <x v="4"/>
    </i>
    <i r="2">
      <x v="5"/>
      <x v="10"/>
      <x v="5"/>
    </i>
    <i t="default" r="3">
      <x v="10"/>
    </i>
    <i t="default" r="2">
      <x v="5"/>
    </i>
    <i r="2">
      <x v="6"/>
      <x v="10"/>
      <x v="5"/>
    </i>
    <i t="default" r="3">
      <x v="10"/>
    </i>
    <i t="default" r="2">
      <x v="6"/>
    </i>
    <i r="2">
      <x v="7"/>
      <x v="10"/>
      <x v="5"/>
    </i>
    <i t="default" r="3">
      <x v="10"/>
    </i>
    <i t="default" r="2">
      <x v="7"/>
    </i>
    <i r="2">
      <x v="8"/>
      <x v="10"/>
      <x v="5"/>
    </i>
    <i t="default" r="3">
      <x v="10"/>
    </i>
    <i t="default" r="2">
      <x v="8"/>
    </i>
    <i r="2">
      <x v="9"/>
      <x v="10"/>
      <x v="5"/>
    </i>
    <i t="default" r="3">
      <x v="10"/>
    </i>
    <i t="default" r="2">
      <x v="9"/>
    </i>
    <i r="2">
      <x v="10"/>
      <x v="10"/>
      <x v="5"/>
    </i>
    <i t="default" r="3">
      <x v="10"/>
    </i>
    <i t="default" r="2">
      <x v="10"/>
    </i>
    <i r="2">
      <x v="11"/>
      <x v="10"/>
      <x v="5"/>
    </i>
    <i t="default" r="3">
      <x v="10"/>
    </i>
    <i t="default" r="2">
      <x v="11"/>
    </i>
    <i r="2">
      <x v="12"/>
      <x v="10"/>
      <x v="5"/>
    </i>
    <i t="default" r="3">
      <x v="10"/>
    </i>
    <i t="default" r="2">
      <x v="12"/>
    </i>
    <i r="2">
      <x v="14"/>
      <x v="10"/>
      <x v="5"/>
    </i>
    <i t="default" r="3">
      <x v="10"/>
    </i>
    <i t="default" r="2">
      <x v="14"/>
    </i>
    <i t="default" r="1">
      <x v="2"/>
    </i>
    <i t="countA">
      <x v="17"/>
    </i>
    <i>
      <x v="18"/>
      <x v="2"/>
      <x v="19"/>
      <x v="10"/>
      <x v="5"/>
    </i>
    <i t="default" r="3">
      <x v="10"/>
    </i>
    <i t="default" r="2">
      <x v="19"/>
    </i>
    <i r="2">
      <x v="20"/>
      <x v="10"/>
      <x v="5"/>
    </i>
    <i t="default" r="3">
      <x v="10"/>
    </i>
    <i t="default" r="2">
      <x v="20"/>
    </i>
    <i t="default" r="1">
      <x v="2"/>
    </i>
    <i t="countA">
      <x v="18"/>
    </i>
    <i>
      <x v="19"/>
      <x v="3"/>
      <x v="88"/>
      <x v="27"/>
      <x v="20"/>
    </i>
    <i t="default" r="3">
      <x v="27"/>
    </i>
    <i t="default" r="2">
      <x v="88"/>
    </i>
    <i t="default" r="1">
      <x v="3"/>
    </i>
    <i t="countA">
      <x v="19"/>
    </i>
    <i>
      <x v="20"/>
      <x v="3"/>
      <x v="89"/>
      <x v="27"/>
      <x v="20"/>
    </i>
    <i t="default" r="3">
      <x v="27"/>
    </i>
    <i t="default" r="2">
      <x v="89"/>
    </i>
    <i t="default" r="1">
      <x v="3"/>
    </i>
    <i t="countA">
      <x v="20"/>
    </i>
    <i>
      <x v="21"/>
      <x v="3"/>
      <x v="90"/>
      <x v="27"/>
      <x v="20"/>
    </i>
    <i t="default" r="3">
      <x v="27"/>
    </i>
    <i t="default" r="2">
      <x v="90"/>
    </i>
    <i t="default" r="1">
      <x v="3"/>
    </i>
    <i t="countA">
      <x v="21"/>
    </i>
    <i>
      <x v="22"/>
      <x v="3"/>
      <x v="91"/>
      <x v="28"/>
      <x v="21"/>
    </i>
    <i t="default" r="3">
      <x v="28"/>
    </i>
    <i t="default" r="2">
      <x v="91"/>
    </i>
    <i t="default" r="1">
      <x v="3"/>
    </i>
    <i t="countA">
      <x v="22"/>
    </i>
    <i>
      <x v="23"/>
      <x v="3"/>
      <x v="92"/>
      <x v="28"/>
      <x v="21"/>
    </i>
    <i t="default" r="3">
      <x v="28"/>
    </i>
    <i t="default" r="2">
      <x v="92"/>
    </i>
    <i t="default" r="1">
      <x v="3"/>
    </i>
    <i t="countA">
      <x v="23"/>
    </i>
    <i t="grand">
      <x/>
    </i>
  </rowItems>
  <colItems count="1">
    <i/>
  </colItems>
  <dataFields count="1">
    <dataField name="Count of Fed Team Role?" fld="5" subtotal="count" baseField="0" baseItem="0"/>
  </dataFields>
  <formats count="3">
    <format dxfId="148">
      <pivotArea outline="0" fieldPosition="0">
        <references count="4">
          <reference field="1" count="1" selected="0" defaultSubtotal="1">
            <x v="10"/>
          </reference>
          <reference field="4" count="1" selected="0">
            <x v="44"/>
          </reference>
          <reference field="5" count="1" selected="0">
            <x v="6"/>
          </reference>
          <reference field="11" count="1" selected="0">
            <x v="2"/>
          </reference>
        </references>
      </pivotArea>
    </format>
    <format dxfId="147">
      <pivotArea outline="0" fieldPosition="0">
        <references count="3">
          <reference field="4" count="1" selected="0" defaultSubtotal="1">
            <x v="44"/>
          </reference>
          <reference field="5" count="1" selected="0">
            <x v="6"/>
          </reference>
          <reference field="11" count="1" selected="0">
            <x v="2"/>
          </reference>
        </references>
      </pivotArea>
    </format>
    <format dxfId="146">
      <pivotArea outline="0" fieldPosition="0">
        <references count="3">
          <reference field="4" count="1" selected="0">
            <x v="45"/>
          </reference>
          <reference field="5" count="1" selected="0">
            <x v="6"/>
          </reference>
          <reference field="11" count="1" selected="0">
            <x v="2"/>
          </reference>
        </references>
      </pivotArea>
    </format>
  </formats>
  <pivotTableStyleInfo showRowHeaders="1" showColHeaders="1" showRowStripes="0" showColStripes="0" showLastColumn="1"/>
</pivotTableDefinition>
</file>

<file path=xl/pivotTables/pivotTable24.xml><?xml version="1.0" encoding="utf-8"?>
<pivotTableDefinition xmlns="http://schemas.openxmlformats.org/spreadsheetml/2006/main" name="PivotTable6" cacheId="22" dataOnRows="1" applyNumberFormats="0" applyBorderFormats="0" applyFontFormats="0" applyPatternFormats="0" applyAlignmentFormats="0" applyWidthHeightFormats="1" dataCaption="Data" updatedVersion="3" showMemberPropertyTips="0" useAutoFormatting="1" itemPrintTitles="1" createdVersion="1" indent="0" compact="0" compactData="0" gridDropZones="1">
  <location ref="K173:O313" firstHeaderRow="2" firstDataRow="2" firstDataCol="4"/>
  <pivotFields count="16">
    <pivotField compact="0" outline="0" subtotalTop="0" showAll="0" includeNewItemsInFilter="1" defaultSubtotal="0"/>
    <pivotField name="Country" axis="axisRow" compact="0" outline="0" subtotalTop="0" showAll="0" includeNewItemsInFilter="1" defaultSubtotal="0">
      <items count="27">
        <item x="12"/>
        <item x="26"/>
        <item x="5"/>
        <item x="15"/>
        <item x="16"/>
        <item x="24"/>
        <item x="21"/>
        <item x="13"/>
        <item x="2"/>
        <item x="1"/>
        <item x="11"/>
        <item x="3"/>
        <item x="6"/>
        <item x="9"/>
        <item x="20"/>
        <item x="0"/>
        <item x="22"/>
        <item x="25"/>
        <item x="7"/>
        <item x="8"/>
        <item x="18"/>
        <item x="17"/>
        <item x="4"/>
        <item x="10"/>
        <item x="14"/>
        <item x="19"/>
        <item x="23"/>
      </items>
    </pivotField>
    <pivotField compact="0" outline="0" subtotalTop="0" showAll="0" includeNewItemsInFilter="1"/>
    <pivotField axis="axisRow" compact="0" outline="0" subtotalTop="0" showAll="0" includeNewItemsInFilter="1">
      <items count="97">
        <item x="21"/>
        <item x="90"/>
        <item x="11"/>
        <item x="84"/>
        <item x="88"/>
        <item x="29"/>
        <item x="82"/>
        <item x="78"/>
        <item x="12"/>
        <item x="91"/>
        <item x="58"/>
        <item x="1"/>
        <item x="14"/>
        <item x="80"/>
        <item x="9"/>
        <item x="8"/>
        <item x="39"/>
        <item x="15"/>
        <item x="38"/>
        <item x="0"/>
        <item x="22"/>
        <item x="18"/>
        <item x="7"/>
        <item x="49"/>
        <item x="83"/>
        <item x="81"/>
        <item x="31"/>
        <item x="93"/>
        <item x="32"/>
        <item x="87"/>
        <item x="5"/>
        <item x="4"/>
        <item x="89"/>
        <item x="20"/>
        <item x="41"/>
        <item x="45"/>
        <item x="63"/>
        <item x="77"/>
        <item x="79"/>
        <item x="34"/>
        <item x="16"/>
        <item x="28"/>
        <item x="53"/>
        <item x="62"/>
        <item x="54"/>
        <item x="76"/>
        <item x="42"/>
        <item x="48"/>
        <item x="95"/>
        <item x="75"/>
        <item x="85"/>
        <item x="55"/>
        <item x="64"/>
        <item x="37"/>
        <item x="92"/>
        <item x="25"/>
        <item x="74"/>
        <item x="72"/>
        <item x="94"/>
        <item x="26"/>
        <item x="13"/>
        <item x="36"/>
        <item x="66"/>
        <item x="19"/>
        <item x="52"/>
        <item x="68"/>
        <item x="27"/>
        <item x="60"/>
        <item x="35"/>
        <item x="69"/>
        <item x="43"/>
        <item x="40"/>
        <item x="70"/>
        <item x="65"/>
        <item x="56"/>
        <item x="47"/>
        <item x="46"/>
        <item x="3"/>
        <item x="50"/>
        <item x="33"/>
        <item x="17"/>
        <item x="44"/>
        <item x="67"/>
        <item x="24"/>
        <item x="51"/>
        <item x="10"/>
        <item x="23"/>
        <item x="59"/>
        <item x="73"/>
        <item x="71"/>
        <item x="61"/>
        <item x="2"/>
        <item x="6"/>
        <item x="86"/>
        <item x="57"/>
        <item x="30"/>
        <item t="default"/>
      </items>
    </pivotField>
    <pivotField compact="0" outline="0" subtotalTop="0" showAll="0" includeNewItemsInFilter="1"/>
    <pivotField compact="0" outline="0" subtotalTop="0" showAll="0" includeNewItemsInFilter="1" defaultSubtotal="0"/>
    <pivotField compact="0" outline="0" subtotalTop="0" showAll="0" includeNewItemsInFilter="1"/>
    <pivotField compact="0" numFmtId="14" outline="0" subtotalTop="0" showAll="0" includeNewItemsInFilter="1"/>
    <pivotField compact="0" outline="0" subtotalTop="0" showAll="0" includeNewItemsInFilter="1"/>
    <pivotField axis="axisRow" compact="0" outline="0" subtotalTop="0" showAll="0" includeNewItemsInFilter="1">
      <items count="4">
        <item x="0"/>
        <item x="1"/>
        <item h="1" x="2"/>
        <item t="default"/>
      </items>
    </pivotField>
    <pivotField compact="0" outline="0" subtotalTop="0" showAll="0" includeNewItemsInFilter="1"/>
    <pivotField axis="axisRow" compact="0" outline="0" subtotalTop="0" showAll="0" includeNewItemsInFilter="1">
      <items count="6">
        <item h="1" x="0"/>
        <item x="1"/>
        <item x="2"/>
        <item x="3"/>
        <item x="4"/>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s>
  <rowFields count="4">
    <field x="11"/>
    <field x="9"/>
    <field x="1"/>
    <field x="3"/>
  </rowFields>
  <rowItems count="139">
    <i>
      <x v="1"/>
      <x/>
      <x/>
      <x v="17"/>
    </i>
    <i r="2">
      <x v="2"/>
      <x v="92"/>
    </i>
    <i r="2">
      <x v="7"/>
      <x/>
    </i>
    <i r="3">
      <x v="80"/>
    </i>
    <i r="2">
      <x v="8"/>
      <x v="91"/>
    </i>
    <i r="2">
      <x v="9"/>
      <x v="11"/>
    </i>
    <i r="2">
      <x v="10"/>
      <x v="12"/>
    </i>
    <i r="3">
      <x v="19"/>
    </i>
    <i r="3">
      <x v="33"/>
    </i>
    <i r="3">
      <x v="40"/>
    </i>
    <i r="3">
      <x v="63"/>
    </i>
    <i r="2">
      <x v="22"/>
      <x v="30"/>
    </i>
    <i r="2">
      <x v="23"/>
      <x v="60"/>
    </i>
    <i r="3">
      <x v="77"/>
    </i>
    <i t="default" r="1">
      <x/>
    </i>
    <i r="1">
      <x v="1"/>
      <x v="3"/>
      <x v="11"/>
    </i>
    <i r="2">
      <x v="11"/>
      <x v="31"/>
    </i>
    <i r="3">
      <x v="77"/>
    </i>
    <i r="2">
      <x v="12"/>
      <x v="2"/>
    </i>
    <i r="3">
      <x v="22"/>
    </i>
    <i r="3">
      <x v="85"/>
    </i>
    <i r="2">
      <x v="13"/>
      <x v="8"/>
    </i>
    <i r="2">
      <x v="18"/>
      <x v="15"/>
    </i>
    <i r="2">
      <x v="19"/>
      <x v="14"/>
    </i>
    <i r="3">
      <x v="92"/>
    </i>
    <i r="2">
      <x v="24"/>
      <x v="20"/>
    </i>
    <i r="3">
      <x v="21"/>
    </i>
    <i r="3">
      <x v="22"/>
    </i>
    <i t="default" r="1">
      <x v="1"/>
    </i>
    <i t="default">
      <x v="1"/>
    </i>
    <i>
      <x v="2"/>
      <x/>
      <x v="4"/>
      <x v="40"/>
    </i>
    <i r="2">
      <x v="5"/>
      <x v="4"/>
    </i>
    <i r="3">
      <x v="32"/>
    </i>
    <i r="2">
      <x v="10"/>
      <x v="2"/>
    </i>
    <i r="3">
      <x v="3"/>
    </i>
    <i r="3">
      <x v="5"/>
    </i>
    <i r="3">
      <x v="6"/>
    </i>
    <i r="3">
      <x v="7"/>
    </i>
    <i r="3">
      <x v="10"/>
    </i>
    <i r="3">
      <x v="12"/>
    </i>
    <i r="3">
      <x v="13"/>
    </i>
    <i r="3">
      <x v="14"/>
    </i>
    <i r="3">
      <x v="15"/>
    </i>
    <i r="3">
      <x v="16"/>
    </i>
    <i r="3">
      <x v="18"/>
    </i>
    <i r="3">
      <x v="19"/>
    </i>
    <i r="3">
      <x v="20"/>
    </i>
    <i r="3">
      <x v="21"/>
    </i>
    <i r="3">
      <x v="23"/>
    </i>
    <i r="3">
      <x v="24"/>
    </i>
    <i r="3">
      <x v="25"/>
    </i>
    <i r="3">
      <x v="26"/>
    </i>
    <i r="3">
      <x v="28"/>
    </i>
    <i r="3">
      <x v="29"/>
    </i>
    <i r="3">
      <x v="30"/>
    </i>
    <i r="3">
      <x v="31"/>
    </i>
    <i r="3">
      <x v="33"/>
    </i>
    <i r="3">
      <x v="34"/>
    </i>
    <i r="3">
      <x v="35"/>
    </i>
    <i r="3">
      <x v="36"/>
    </i>
    <i r="3">
      <x v="37"/>
    </i>
    <i r="3">
      <x v="38"/>
    </i>
    <i r="3">
      <x v="39"/>
    </i>
    <i r="3">
      <x v="40"/>
    </i>
    <i r="3">
      <x v="42"/>
    </i>
    <i r="3">
      <x v="43"/>
    </i>
    <i r="3">
      <x v="44"/>
    </i>
    <i r="3">
      <x v="45"/>
    </i>
    <i r="3">
      <x v="46"/>
    </i>
    <i r="3">
      <x v="47"/>
    </i>
    <i r="3">
      <x v="49"/>
    </i>
    <i r="3">
      <x v="50"/>
    </i>
    <i r="3">
      <x v="51"/>
    </i>
    <i r="3">
      <x v="52"/>
    </i>
    <i r="3">
      <x v="53"/>
    </i>
    <i r="3">
      <x v="55"/>
    </i>
    <i r="3">
      <x v="56"/>
    </i>
    <i r="3">
      <x v="57"/>
    </i>
    <i r="3">
      <x v="60"/>
    </i>
    <i r="3">
      <x v="61"/>
    </i>
    <i r="3">
      <x v="62"/>
    </i>
    <i r="3">
      <x v="64"/>
    </i>
    <i r="3">
      <x v="65"/>
    </i>
    <i r="3">
      <x v="66"/>
    </i>
    <i r="3">
      <x v="67"/>
    </i>
    <i r="3">
      <x v="68"/>
    </i>
    <i r="3">
      <x v="69"/>
    </i>
    <i r="3">
      <x v="70"/>
    </i>
    <i r="3">
      <x v="71"/>
    </i>
    <i r="3">
      <x v="72"/>
    </i>
    <i r="3">
      <x v="73"/>
    </i>
    <i r="3">
      <x v="74"/>
    </i>
    <i r="3">
      <x v="75"/>
    </i>
    <i r="3">
      <x v="76"/>
    </i>
    <i r="3">
      <x v="77"/>
    </i>
    <i r="3">
      <x v="78"/>
    </i>
    <i r="3">
      <x v="79"/>
    </i>
    <i r="3">
      <x v="80"/>
    </i>
    <i r="3">
      <x v="81"/>
    </i>
    <i r="3">
      <x v="82"/>
    </i>
    <i r="3">
      <x v="84"/>
    </i>
    <i r="3">
      <x v="85"/>
    </i>
    <i r="3">
      <x v="86"/>
    </i>
    <i r="3">
      <x v="87"/>
    </i>
    <i r="3">
      <x v="88"/>
    </i>
    <i r="3">
      <x v="89"/>
    </i>
    <i r="3">
      <x v="90"/>
    </i>
    <i r="3">
      <x v="91"/>
    </i>
    <i r="3">
      <x v="93"/>
    </i>
    <i r="3">
      <x v="94"/>
    </i>
    <i r="2">
      <x v="11"/>
      <x v="2"/>
    </i>
    <i r="3">
      <x v="20"/>
    </i>
    <i r="2">
      <x v="14"/>
      <x v="41"/>
    </i>
    <i r="2">
      <x v="17"/>
      <x v="72"/>
    </i>
    <i r="2">
      <x v="20"/>
      <x v="20"/>
    </i>
    <i r="3">
      <x v="59"/>
    </i>
    <i r="2">
      <x v="21"/>
      <x v="55"/>
    </i>
    <i r="3">
      <x v="83"/>
    </i>
    <i r="3">
      <x v="86"/>
    </i>
    <i r="2">
      <x v="25"/>
      <x v="66"/>
    </i>
    <i t="default" r="1">
      <x/>
    </i>
    <i r="1">
      <x v="1"/>
      <x v="6"/>
      <x v="5"/>
    </i>
    <i r="2">
      <x v="16"/>
      <x v="91"/>
    </i>
    <i t="default" r="1">
      <x v="1"/>
    </i>
    <i t="default">
      <x v="2"/>
    </i>
    <i>
      <x v="4"/>
      <x/>
      <x v="3"/>
      <x v="48"/>
    </i>
    <i r="2">
      <x v="10"/>
      <x v="1"/>
    </i>
    <i r="3">
      <x v="9"/>
    </i>
    <i r="3">
      <x v="27"/>
    </i>
    <i r="3">
      <x v="29"/>
    </i>
    <i r="3">
      <x v="54"/>
    </i>
    <i r="3">
      <x v="58"/>
    </i>
    <i r="2">
      <x v="17"/>
      <x v="18"/>
    </i>
    <i r="3">
      <x v="74"/>
    </i>
    <i t="default" r="1">
      <x/>
    </i>
    <i r="1">
      <x v="1"/>
      <x v="1"/>
      <x v="77"/>
    </i>
    <i t="default" r="1">
      <x v="1"/>
    </i>
    <i t="default">
      <x v="4"/>
    </i>
    <i t="grand">
      <x/>
    </i>
  </rowItems>
  <colItems count="1">
    <i/>
  </colItems>
  <pivotTableStyleInfo showRowHeaders="1" showColHeaders="1" showRowStripes="0" showColStripes="0" showLastColumn="1"/>
</pivotTableDefinition>
</file>

<file path=xl/pivotTables/pivotTable25.xml><?xml version="1.0" encoding="utf-8"?>
<pivotTableDefinition xmlns="http://schemas.openxmlformats.org/spreadsheetml/2006/main" name="PivotTable5" cacheId="5" dataOnRows="1" applyNumberFormats="0" applyBorderFormats="0" applyFontFormats="0" applyPatternFormats="0" applyAlignmentFormats="0" applyWidthHeightFormats="1" dataCaption="Data" updatedVersion="2" showMemberPropertyTips="0" useAutoFormatting="1" itemPrintTitles="1" createdVersion="1" indent="0" compact="0" compactData="0" gridDropZones="1">
  <location ref="H14:K37" firstHeaderRow="2" firstDataRow="2" firstDataCol="3" rowPageCount="2" colPageCount="1"/>
  <pivotFields count="61">
    <pivotField compact="0" outline="0" subtotalTop="0" showAll="0" includeNewItemsInFilter="1"/>
    <pivotField compact="0" outline="0" subtotalTop="0" showAll="0" includeNewItemsInFilter="1"/>
    <pivotField axis="axisRow" compact="0" outline="0" subtotalTop="0" showAll="0" includeNewItemsInFilter="1" defaultSubtotal="0">
      <items count="257">
        <item m="1" x="245"/>
        <item x="60"/>
        <item x="79"/>
        <item x="216"/>
        <item x="76"/>
        <item x="114"/>
        <item x="154"/>
        <item x="24"/>
        <item x="108"/>
        <item x="1"/>
        <item x="98"/>
        <item x="214"/>
        <item x="93"/>
        <item x="39"/>
        <item x="40"/>
        <item x="13"/>
        <item x="4"/>
        <item x="218"/>
        <item x="183"/>
        <item x="19"/>
        <item x="68"/>
        <item x="34"/>
        <item x="69"/>
        <item x="48"/>
        <item x="87"/>
        <item x="53"/>
        <item x="29"/>
        <item x="11"/>
        <item x="75"/>
        <item x="132"/>
        <item x="50"/>
        <item x="112"/>
        <item x="203"/>
        <item x="202"/>
        <item x="127"/>
        <item x="205"/>
        <item x="124"/>
        <item x="195"/>
        <item x="104"/>
        <item x="109"/>
        <item x="8"/>
        <item x="192"/>
        <item x="186"/>
        <item x="44"/>
        <item x="157"/>
        <item x="170"/>
        <item x="145"/>
        <item x="213"/>
        <item x="7"/>
        <item x="204"/>
        <item x="72"/>
        <item x="90"/>
        <item x="22"/>
        <item x="113"/>
        <item x="116"/>
        <item x="77"/>
        <item x="150"/>
        <item x="188"/>
        <item x="160"/>
        <item x="59"/>
        <item x="55"/>
        <item x="43"/>
        <item x="230"/>
        <item x="141"/>
        <item x="5"/>
        <item x="161"/>
        <item x="193"/>
        <item x="85"/>
        <item m="1" x="246"/>
        <item x="211"/>
        <item x="212"/>
        <item x="200"/>
        <item x="89"/>
        <item x="12"/>
        <item x="176"/>
        <item x="25"/>
        <item x="58"/>
        <item m="1" x="247"/>
        <item x="187"/>
        <item x="131"/>
        <item x="120"/>
        <item x="201"/>
        <item m="1" x="248"/>
        <item x="56"/>
        <item x="70"/>
        <item x="110"/>
        <item x="208"/>
        <item x="92"/>
        <item x="175"/>
        <item x="177"/>
        <item x="3"/>
        <item x="142"/>
        <item x="143"/>
        <item x="45"/>
        <item x="33"/>
        <item x="20"/>
        <item x="178"/>
        <item x="32"/>
        <item x="97"/>
        <item x="129"/>
        <item x="158"/>
        <item x="63"/>
        <item x="117"/>
        <item x="105"/>
        <item x="35"/>
        <item x="96"/>
        <item x="122"/>
        <item x="73"/>
        <item x="15"/>
        <item x="224"/>
        <item x="36"/>
        <item x="229"/>
        <item x="185"/>
        <item x="101"/>
        <item x="81"/>
        <item m="1" x="250"/>
        <item m="1" x="251"/>
        <item x="100"/>
        <item x="115"/>
        <item x="52"/>
        <item x="189"/>
        <item x="168"/>
        <item x="31"/>
        <item m="1" x="252"/>
        <item x="121"/>
        <item x="47"/>
        <item x="82"/>
        <item x="130"/>
        <item x="171"/>
        <item x="0"/>
        <item x="6"/>
        <item x="16"/>
        <item x="223"/>
        <item x="67"/>
        <item x="66"/>
        <item x="199"/>
        <item x="46"/>
        <item x="191"/>
        <item x="215"/>
        <item x="174"/>
        <item x="83"/>
        <item x="57"/>
        <item x="71"/>
        <item x="10"/>
        <item x="78"/>
        <item x="119"/>
        <item x="206"/>
        <item x="61"/>
        <item x="172"/>
        <item x="138"/>
        <item x="217"/>
        <item x="37"/>
        <item x="207"/>
        <item x="118"/>
        <item x="80"/>
        <item x="184"/>
        <item x="94"/>
        <item x="123"/>
        <item x="54"/>
        <item x="49"/>
        <item x="86"/>
        <item x="196"/>
        <item x="153"/>
        <item x="163"/>
        <item x="88"/>
        <item x="17"/>
        <item x="51"/>
        <item x="2"/>
        <item x="136"/>
        <item x="228"/>
        <item x="91"/>
        <item x="102"/>
        <item x="169"/>
        <item x="165"/>
        <item x="155"/>
        <item x="166"/>
        <item x="194"/>
        <item x="42"/>
        <item x="28"/>
        <item x="95"/>
        <item x="103"/>
        <item x="225"/>
        <item x="226"/>
        <item x="190"/>
        <item x="156"/>
        <item x="167"/>
        <item x="111"/>
        <item x="41"/>
        <item x="128"/>
        <item x="23"/>
        <item x="26"/>
        <item x="125"/>
        <item x="162"/>
        <item x="198"/>
        <item x="106"/>
        <item x="220"/>
        <item x="84"/>
        <item x="14"/>
        <item x="126"/>
        <item x="38"/>
        <item x="219"/>
        <item x="18"/>
        <item x="152"/>
        <item x="180"/>
        <item x="181"/>
        <item x="107"/>
        <item x="9"/>
        <item x="64"/>
        <item x="179"/>
        <item x="209"/>
        <item x="173"/>
        <item m="1" x="253"/>
        <item x="65"/>
        <item x="74"/>
        <item x="62"/>
        <item x="27"/>
        <item x="21"/>
        <item x="99"/>
        <item x="144"/>
        <item x="182"/>
        <item x="164"/>
        <item x="221"/>
        <item x="222"/>
        <item x="227"/>
        <item x="197"/>
        <item m="1" x="254"/>
        <item x="210"/>
        <item m="1" x="255"/>
        <item x="30"/>
        <item m="1" x="256"/>
        <item h="1" x="231"/>
        <item x="232"/>
        <item x="233"/>
        <item x="234"/>
        <item x="235"/>
        <item x="236"/>
        <item m="1" x="249"/>
        <item x="133"/>
        <item x="134"/>
        <item x="135"/>
        <item x="137"/>
        <item x="139"/>
        <item x="140"/>
        <item x="146"/>
        <item x="147"/>
        <item x="148"/>
        <item x="149"/>
        <item x="151"/>
        <item x="159"/>
        <item x="237"/>
        <item x="238"/>
        <item x="239"/>
        <item x="240"/>
        <item x="241"/>
        <item x="242"/>
        <item x="243"/>
        <item x="244"/>
      </items>
    </pivotField>
    <pivotField compact="0" outline="0" subtotalTop="0" showAll="0" includeNewItemsInFilter="1"/>
    <pivotField axis="axisPage" compact="0" outline="0" subtotalTop="0" showAll="0" includeNewItemsInFilter="1">
      <items count="17">
        <item x="0"/>
        <item x="1"/>
        <item x="2"/>
        <item x="3"/>
        <item x="4"/>
        <item x="5"/>
        <item x="6"/>
        <item x="7"/>
        <item x="8"/>
        <item x="9"/>
        <item x="10"/>
        <item x="11"/>
        <item x="12"/>
        <item x="13"/>
        <item x="14"/>
        <item x="15"/>
        <item t="default"/>
      </items>
    </pivotField>
    <pivotField compact="0" outline="0" subtotalTop="0" showAll="0" includeNewItemsInFilter="1"/>
    <pivotField axis="axisPage" compact="0" outline="0" subtotalTop="0" showAll="0" includeNewItemsInFilter="1">
      <items count="6">
        <item x="3"/>
        <item x="4"/>
        <item x="0"/>
        <item x="1"/>
        <item x="2"/>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Row" compact="0" outline="0" subtotalTop="0" showAll="0" includeNewItemsInFilter="1">
      <items count="57">
        <item x="26"/>
        <item x="27"/>
        <item x="20"/>
        <item x="45"/>
        <item x="42"/>
        <item x="43"/>
        <item x="18"/>
        <item x="10"/>
        <item x="2"/>
        <item x="32"/>
        <item x="19"/>
        <item x="9"/>
        <item x="33"/>
        <item x="37"/>
        <item x="40"/>
        <item x="16"/>
        <item x="3"/>
        <item x="12"/>
        <item x="39"/>
        <item x="29"/>
        <item x="22"/>
        <item x="13"/>
        <item x="24"/>
        <item x="47"/>
        <item x="7"/>
        <item x="34"/>
        <item x="31"/>
        <item x="49"/>
        <item x="15"/>
        <item x="6"/>
        <item x="14"/>
        <item x="21"/>
        <item x="1"/>
        <item x="23"/>
        <item x="4"/>
        <item x="5"/>
        <item x="25"/>
        <item x="46"/>
        <item m="1" x="55"/>
        <item x="41"/>
        <item x="28"/>
        <item x="11"/>
        <item x="38"/>
        <item x="30"/>
        <item x="52"/>
        <item x="48"/>
        <item x="44"/>
        <item x="51"/>
        <item x="8"/>
        <item x="50"/>
        <item x="17"/>
        <item x="0"/>
        <item x="35"/>
        <item x="36"/>
        <item x="53"/>
        <item x="54"/>
        <item t="default"/>
      </items>
    </pivotField>
    <pivotField compact="0" outline="0" subtotalTop="0" showAll="0" includeNewItemsInFilter="1"/>
    <pivotField axis="axisRow" compact="0" outline="0" subtotalTop="0" showAll="0" includeNewItemsInFilter="1" defaultSubtotal="0">
      <items count="19">
        <item x="1"/>
        <item x="2"/>
        <item x="4"/>
        <item x="5"/>
        <item x="6"/>
        <item x="10"/>
        <item x="16"/>
        <item x="15"/>
        <item x="13"/>
        <item x="9"/>
        <item x="7"/>
        <item x="11"/>
        <item x="17"/>
        <item x="12"/>
        <item x="3"/>
        <item x="8"/>
        <item x="14"/>
        <item x="18"/>
        <item x="0"/>
      </items>
    </pivotField>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3">
    <field x="2"/>
    <field x="31"/>
    <field x="29"/>
  </rowFields>
  <rowItems count="22">
    <i>
      <x v="38"/>
      <x v="18"/>
      <x v="51"/>
    </i>
    <i>
      <x v="62"/>
      <x v="18"/>
      <x v="51"/>
    </i>
    <i>
      <x v="80"/>
      <x v="1"/>
      <x v="51"/>
    </i>
    <i>
      <x v="94"/>
      <x v="18"/>
      <x v="51"/>
    </i>
    <i>
      <x v="109"/>
      <x v="1"/>
      <x v="51"/>
    </i>
    <i>
      <x v="111"/>
      <x v="18"/>
      <x v="51"/>
    </i>
    <i>
      <x v="132"/>
      <x v="1"/>
      <x v="51"/>
    </i>
    <i>
      <x v="169"/>
      <x v="18"/>
      <x v="51"/>
    </i>
    <i>
      <x v="181"/>
      <x v="2"/>
      <x v="44"/>
    </i>
    <i>
      <x v="182"/>
      <x v="1"/>
      <x v="44"/>
    </i>
    <i>
      <x v="195"/>
      <x v="18"/>
      <x v="51"/>
    </i>
    <i>
      <x v="200"/>
      <x v="18"/>
      <x v="51"/>
    </i>
    <i>
      <x v="221"/>
      <x v="1"/>
      <x v="51"/>
    </i>
    <i>
      <x v="222"/>
      <x v="3"/>
      <x v="51"/>
    </i>
    <i>
      <x v="223"/>
      <x v="1"/>
      <x v="44"/>
    </i>
    <i>
      <x v="231"/>
      <x v="18"/>
      <x v="51"/>
    </i>
    <i>
      <x v="232"/>
      <x v="2"/>
      <x v="44"/>
    </i>
    <i>
      <x v="233"/>
      <x v="18"/>
      <x v="51"/>
    </i>
    <i>
      <x v="234"/>
      <x v="18"/>
      <x v="51"/>
    </i>
    <i>
      <x v="235"/>
      <x v="18"/>
      <x v="51"/>
    </i>
    <i>
      <x v="249"/>
      <x v="18"/>
      <x v="51"/>
    </i>
    <i t="grand">
      <x/>
    </i>
  </rowItems>
  <colItems count="1">
    <i/>
  </colItems>
  <pageFields count="2">
    <pageField fld="4" item="14" hier="0"/>
    <pageField fld="6" hier="0"/>
  </pageFields>
  <dataFields count="1">
    <dataField name="Sum of Total ARC Items Supplied" fld="34" baseField="0" baseItem="0"/>
  </dataFields>
  <formats count="4">
    <format dxfId="77">
      <pivotArea outline="0" fieldPosition="0"/>
    </format>
    <format dxfId="76">
      <pivotArea type="topRight" dataOnly="0" labelOnly="1" outline="0" fieldPosition="0"/>
    </format>
    <format dxfId="75">
      <pivotArea dataOnly="0" labelOnly="1" outline="0" fieldPosition="0">
        <references count="1">
          <reference field="4" count="1">
            <x v="14"/>
          </reference>
        </references>
      </pivotArea>
    </format>
    <format dxfId="74">
      <pivotArea dataOnly="0" labelOnly="1" outline="0" fieldPosition="0">
        <references count="2">
          <reference field="4" count="1" selected="0">
            <x v="14"/>
          </reference>
          <reference field="6" count="0"/>
        </references>
      </pivotArea>
    </format>
  </formats>
  <pivotTableStyleInfo showRowHeaders="1" showColHeaders="1" showRowStripes="0" showColStripes="0" showLastColumn="1"/>
</pivotTableDefinition>
</file>

<file path=xl/pivotTables/pivotTable26.xml><?xml version="1.0" encoding="utf-8"?>
<pivotTableDefinition xmlns="http://schemas.openxmlformats.org/spreadsheetml/2006/main" name="PivotTable1" cacheId="7" dataOnRows="1" applyNumberFormats="0" applyBorderFormats="0" applyFontFormats="0" applyPatternFormats="0" applyAlignmentFormats="0" applyWidthHeightFormats="1" dataCaption="Data" updatedVersion="2" showMemberPropertyTips="0" useAutoFormatting="1" itemPrintTitles="1" createdVersion="1" indent="0" compact="0" compactData="0" gridDropZones="1">
  <location ref="B43:X45" firstHeaderRow="1" firstDataRow="2" firstDataCol="1" rowPageCount="2" colPageCount="1"/>
  <pivotFields count="58">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Page" compact="0" outline="0" subtotalTop="0" showAll="0" includeNewItemsInFilter="1">
      <items count="18">
        <item x="0"/>
        <item x="1"/>
        <item x="2"/>
        <item x="3"/>
        <item x="4"/>
        <item x="5"/>
        <item x="6"/>
        <item x="7"/>
        <item x="8"/>
        <item x="9"/>
        <item x="10"/>
        <item x="11"/>
        <item x="12"/>
        <item x="13"/>
        <item x="14"/>
        <item x="15"/>
        <item x="16"/>
        <item t="default"/>
      </items>
    </pivotField>
    <pivotField compact="0" outline="0" subtotalTop="0" showAll="0" includeNewItemsInFilter="1">
      <items count="35">
        <item x="1"/>
        <item x="2"/>
        <item x="3"/>
        <item x="4"/>
        <item x="5"/>
        <item x="6"/>
        <item x="7"/>
        <item x="8"/>
        <item x="9"/>
        <item x="10"/>
        <item x="11"/>
        <item x="12"/>
        <item x="13"/>
        <item x="14"/>
        <item x="15"/>
        <item x="16"/>
        <item x="17"/>
        <item x="18"/>
        <item x="19"/>
        <item x="23"/>
        <item x="20"/>
        <item x="21"/>
        <item x="22"/>
        <item x="24"/>
        <item x="25"/>
        <item x="26"/>
        <item x="27"/>
        <item x="28"/>
        <item x="29"/>
        <item x="31"/>
        <item x="32"/>
        <item x="30"/>
        <item x="33"/>
        <item x="0"/>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Col" dataField="1" compact="0" outline="0" subtotalTop="0" showAll="0" includeNewItemsInFilter="1">
      <items count="116">
        <item x="106"/>
        <item x="46"/>
        <item x="54"/>
        <item x="76"/>
        <item x="90"/>
        <item x="19"/>
        <item x="73"/>
        <item x="69"/>
        <item x="32"/>
        <item x="33"/>
        <item x="9"/>
        <item x="83"/>
        <item x="14"/>
        <item x="28"/>
        <item x="38"/>
        <item x="42"/>
        <item x="24"/>
        <item x="110"/>
        <item x="7"/>
        <item x="40"/>
        <item x="82"/>
        <item x="80"/>
        <item x="101"/>
        <item x="4"/>
        <item x="87"/>
        <item x="3"/>
        <item x="52"/>
        <item x="63"/>
        <item x="107"/>
        <item x="17"/>
        <item x="75"/>
        <item x="55"/>
        <item x="45"/>
        <item x="35"/>
        <item x="1"/>
        <item x="60"/>
        <item x="105"/>
        <item x="62"/>
        <item x="8"/>
        <item x="20"/>
        <item x="44"/>
        <item x="85"/>
        <item x="79"/>
        <item x="43"/>
        <item x="74"/>
        <item x="65"/>
        <item x="15"/>
        <item x="27"/>
        <item x="49"/>
        <item x="72"/>
        <item x="29"/>
        <item x="68"/>
        <item x="53"/>
        <item x="11"/>
        <item x="30"/>
        <item x="58"/>
        <item x="114"/>
        <item x="93"/>
        <item x="70"/>
        <item x="77"/>
        <item x="41"/>
        <item x="26"/>
        <item x="37"/>
        <item x="84"/>
        <item x="2"/>
        <item x="113"/>
        <item x="36"/>
        <item x="100"/>
        <item x="108"/>
        <item x="95"/>
        <item x="6"/>
        <item x="86"/>
        <item x="56"/>
        <item x="78"/>
        <item x="47"/>
        <item x="31"/>
        <item x="57"/>
        <item x="98"/>
        <item x="66"/>
        <item x="39"/>
        <item x="89"/>
        <item x="61"/>
        <item x="12"/>
        <item x="112"/>
        <item x="111"/>
        <item x="64"/>
        <item x="71"/>
        <item x="91"/>
        <item x="23"/>
        <item x="67"/>
        <item x="92"/>
        <item x="34"/>
        <item x="18"/>
        <item x="21"/>
        <item x="81"/>
        <item x="103"/>
        <item x="59"/>
        <item x="10"/>
        <item x="109"/>
        <item x="99"/>
        <item x="13"/>
        <item x="97"/>
        <item x="5"/>
        <item x="50"/>
        <item x="96"/>
        <item x="104"/>
        <item x="94"/>
        <item x="51"/>
        <item x="48"/>
        <item x="22"/>
        <item x="16"/>
        <item x="102"/>
        <item x="88"/>
        <item x="25"/>
        <item x="0"/>
        <item t="default"/>
      </items>
    </pivotField>
    <pivotField compact="0" outline="0" subtotalTop="0" showAll="0" includeNewItemsInFilter="1"/>
    <pivotField axis="axisPage" compact="0" outline="0" subtotalTop="0" showAll="0" includeNewItemsInFilter="1">
      <items count="23">
        <item x="19"/>
        <item x="8"/>
        <item x="20"/>
        <item x="1"/>
        <item x="3"/>
        <item x="11"/>
        <item x="2"/>
        <item x="7"/>
        <item x="14"/>
        <item x="6"/>
        <item x="18"/>
        <item x="13"/>
        <item x="10"/>
        <item x="5"/>
        <item x="12"/>
        <item x="9"/>
        <item x="17"/>
        <item x="16"/>
        <item x="4"/>
        <item x="15"/>
        <item x="21"/>
        <item x="0"/>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items count="20">
        <item x="1"/>
        <item x="2"/>
        <item x="4"/>
        <item x="5"/>
        <item x="6"/>
        <item x="10"/>
        <item x="16"/>
        <item x="15"/>
        <item x="13"/>
        <item x="9"/>
        <item x="7"/>
        <item x="11"/>
        <item x="17"/>
        <item x="12"/>
        <item x="3"/>
        <item x="8"/>
        <item x="14"/>
        <item x="18"/>
        <item x="0"/>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Items count="1">
    <i/>
  </rowItems>
  <colFields count="1">
    <field x="10"/>
  </colFields>
  <colItems count="22">
    <i>
      <x v="17"/>
    </i>
    <i>
      <x v="22"/>
    </i>
    <i>
      <x v="23"/>
    </i>
    <i>
      <x v="33"/>
    </i>
    <i>
      <x v="40"/>
    </i>
    <i>
      <x v="42"/>
    </i>
    <i>
      <x v="46"/>
    </i>
    <i>
      <x v="47"/>
    </i>
    <i>
      <x v="55"/>
    </i>
    <i>
      <x v="56"/>
    </i>
    <i>
      <x v="64"/>
    </i>
    <i>
      <x v="65"/>
    </i>
    <i>
      <x v="69"/>
    </i>
    <i>
      <x v="80"/>
    </i>
    <i>
      <x v="83"/>
    </i>
    <i>
      <x v="84"/>
    </i>
    <i>
      <x v="96"/>
    </i>
    <i>
      <x v="98"/>
    </i>
    <i>
      <x v="99"/>
    </i>
    <i>
      <x v="108"/>
    </i>
    <i>
      <x v="110"/>
    </i>
    <i t="grand">
      <x/>
    </i>
  </colItems>
  <pageFields count="2">
    <pageField fld="4" item="14" hier="0"/>
    <pageField fld="12" hier="0"/>
  </pageFields>
  <dataFields count="1">
    <dataField name="Count of Country" fld="10" subtotal="count" baseField="0" baseItem="0"/>
  </dataFields>
  <pivotTableStyleInfo showRowHeaders="1" showColHeaders="1" showRowStripes="0" showColStripes="0" showLastColumn="1"/>
</pivotTableDefinition>
</file>

<file path=xl/pivotTables/pivotTable27.xml><?xml version="1.0" encoding="utf-8"?>
<pivotTableDefinition xmlns="http://schemas.openxmlformats.org/spreadsheetml/2006/main" name="PivotTable3" cacheId="4" dataOnRows="1" applyNumberFormats="0" applyBorderFormats="0" applyFontFormats="0" applyPatternFormats="0" applyAlignmentFormats="0" applyWidthHeightFormats="1" dataCaption="Data" updatedVersion="2" asteriskTotals="1" showMemberPropertyTips="0" useAutoFormatting="1" itemPrintTitles="1" createdVersion="1" indent="0" compact="0" compactData="0" gridDropZones="1">
  <location ref="E15:F22" firstHeaderRow="1" firstDataRow="1" firstDataCol="1" rowPageCount="2" colPageCount="1"/>
  <pivotFields count="6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Page" compact="0" outline="0" subtotalTop="0" showAll="0" includeNewItemsInFilter="1">
      <items count="17">
        <item x="0"/>
        <item x="1"/>
        <item x="2"/>
        <item x="3"/>
        <item x="4"/>
        <item x="5"/>
        <item x="6"/>
        <item x="7"/>
        <item x="8"/>
        <item x="9"/>
        <item x="10"/>
        <item x="11"/>
        <item x="12"/>
        <item x="13"/>
        <item x="14"/>
        <item x="15"/>
        <item t="default"/>
      </items>
    </pivotField>
    <pivotField compact="0" outline="0" subtotalTop="0" showAll="0" includeNewItemsInFilter="1"/>
    <pivotField axis="axisPage" compact="0" outline="0" subtotalTop="0" showAll="0" includeNewItemsInFilter="1">
      <items count="6">
        <item x="3"/>
        <item x="4"/>
        <item x="0"/>
        <item x="1"/>
        <item x="2"/>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1">
    <field x="-2"/>
  </rowFields>
  <rowItems count="7">
    <i>
      <x/>
    </i>
    <i i="1">
      <x v="1"/>
    </i>
    <i i="2">
      <x v="2"/>
    </i>
    <i i="3">
      <x v="3"/>
    </i>
    <i i="4">
      <x v="4"/>
    </i>
    <i i="5">
      <x v="5"/>
    </i>
    <i i="6">
      <x v="6"/>
    </i>
  </rowItems>
  <colItems count="1">
    <i/>
  </colItems>
  <pageFields count="2">
    <pageField fld="4" item="14" hier="0"/>
    <pageField fld="6" hier="0"/>
  </pageFields>
  <dataFields count="7">
    <dataField name="Sum of Total Cash" fld="30" baseField="0" baseItem="0" numFmtId="166"/>
    <dataField name="Sum of Cash to NS" fld="29" baseField="0" baseItem="0" numFmtId="166"/>
    <dataField name="Sum of Cash to ICRC" fld="28" baseField="0" baseItem="0" numFmtId="166"/>
    <dataField name="Sum of Cash to IFRC" fld="27" baseField="0" baseItem="0" numFmtId="166"/>
    <dataField name="Sum of Value of Supplies" fld="49" baseField="0" baseItem="0" numFmtId="166"/>
    <dataField name="Sum of Total $ Response Phase" fld="51" baseField="0" baseItem="0" numFmtId="166"/>
    <dataField name="Sum of Total Contributions" fld="55" baseField="0" baseItem="0" numFmtId="166"/>
  </dataFields>
  <formats count="7">
    <format dxfId="84">
      <pivotArea outline="0" fieldPosition="0">
        <references count="1">
          <reference field="4294967294" count="4" selected="0">
            <x v="0"/>
            <x v="1"/>
            <x v="2"/>
            <x v="3"/>
          </reference>
        </references>
      </pivotArea>
    </format>
    <format dxfId="83">
      <pivotArea outline="0" fieldPosition="0">
        <references count="1">
          <reference field="4294967294" count="3" selected="0">
            <x v="4"/>
            <x v="5"/>
            <x v="6"/>
          </reference>
        </references>
      </pivotArea>
    </format>
    <format dxfId="82">
      <pivotArea outline="0" fieldPosition="0">
        <references count="1">
          <reference field="4294967294" count="1" selected="0">
            <x v="0"/>
          </reference>
        </references>
      </pivotArea>
    </format>
    <format dxfId="81">
      <pivotArea dataOnly="0" labelOnly="1" outline="0" fieldPosition="0">
        <references count="1">
          <reference field="4294967294" count="1">
            <x v="0"/>
          </reference>
        </references>
      </pivotArea>
    </format>
    <format dxfId="80">
      <pivotArea type="all" dataOnly="0" outline="0" fieldPosition="0"/>
    </format>
    <format dxfId="79">
      <pivotArea outline="0" fieldPosition="0">
        <references count="1">
          <reference field="4294967294" count="1" selected="0">
            <x v="6"/>
          </reference>
        </references>
      </pivotArea>
    </format>
    <format dxfId="78">
      <pivotArea dataOnly="0" labelOnly="1" outline="0" fieldPosition="0">
        <references count="1">
          <reference field="4294967294" count="1">
            <x v="6"/>
          </reference>
        </references>
      </pivotArea>
    </format>
  </formats>
  <pivotTableStyleInfo showRowHeaders="1" showColHeaders="1" showRowStripes="0" showColStripes="0" showLastColumn="1"/>
</pivotTableDefinition>
</file>

<file path=xl/pivotTables/pivotTable28.xml><?xml version="1.0" encoding="utf-8"?>
<pivotTableDefinition xmlns="http://schemas.openxmlformats.org/spreadsheetml/2006/main" name="PivotTable2" cacheId="2" dataOnRows="1" applyNumberFormats="0" applyBorderFormats="0" applyFontFormats="0" applyPatternFormats="0" applyAlignmentFormats="0" applyWidthHeightFormats="1" dataCaption="Data" missingCaption="-" updatedVersion="2" asteriskTotals="1" showMemberPropertyTips="0" itemPrintTitles="1" createdVersion="1" indent="0" compact="0" compactData="0" gridDropZones="1">
  <location ref="B66:V92" firstHeaderRow="2" firstDataRow="2" firstDataCol="15" rowPageCount="2" colPageCount="1"/>
  <pivotFields count="56">
    <pivotField compact="0" outline="0" subtotalTop="0" showAll="0" includeNewItemsInFilter="1"/>
    <pivotField compact="0" outline="0" subtotalTop="0" showAll="0" includeNewItemsInFilter="1"/>
    <pivotField axis="axisRow" compact="0" outline="0" subtotalTop="0" showAll="0" includeNewItemsInFilter="1">
      <items count="239">
        <item x="138"/>
        <item x="61"/>
        <item x="80"/>
        <item x="214"/>
        <item x="77"/>
        <item x="115"/>
        <item x="152"/>
        <item x="24"/>
        <item x="109"/>
        <item x="99"/>
        <item x="212"/>
        <item x="94"/>
        <item x="40"/>
        <item x="41"/>
        <item x="13"/>
        <item x="216"/>
        <item x="181"/>
        <item x="19"/>
        <item x="69"/>
        <item x="35"/>
        <item x="70"/>
        <item x="49"/>
        <item x="88"/>
        <item x="54"/>
        <item x="29"/>
        <item x="11"/>
        <item x="76"/>
        <item x="133"/>
        <item x="51"/>
        <item x="113"/>
        <item m="1" x="229"/>
        <item x="128"/>
        <item x="203"/>
        <item x="125"/>
        <item x="193"/>
        <item x="105"/>
        <item x="110"/>
        <item x="8"/>
        <item x="190"/>
        <item x="184"/>
        <item x="45"/>
        <item x="155"/>
        <item m="1" x="233"/>
        <item x="168"/>
        <item x="144"/>
        <item x="211"/>
        <item x="7"/>
        <item x="202"/>
        <item x="73"/>
        <item x="91"/>
        <item x="22"/>
        <item x="114"/>
        <item x="117"/>
        <item m="1" x="231"/>
        <item x="78"/>
        <item x="149"/>
        <item x="186"/>
        <item x="158"/>
        <item x="60"/>
        <item x="56"/>
        <item x="44"/>
        <item x="140"/>
        <item x="5"/>
        <item x="159"/>
        <item x="191"/>
        <item x="86"/>
        <item m="1" x="234"/>
        <item x="198"/>
        <item x="90"/>
        <item x="12"/>
        <item x="174"/>
        <item x="25"/>
        <item x="59"/>
        <item x="139"/>
        <item x="185"/>
        <item x="132"/>
        <item x="121"/>
        <item x="199"/>
        <item x="134"/>
        <item x="57"/>
        <item x="71"/>
        <item x="111"/>
        <item x="206"/>
        <item x="93"/>
        <item x="173"/>
        <item x="175"/>
        <item x="141"/>
        <item x="142"/>
        <item x="46"/>
        <item x="34"/>
        <item x="20"/>
        <item x="176"/>
        <item x="33"/>
        <item x="98"/>
        <item x="156"/>
        <item x="64"/>
        <item x="118"/>
        <item x="106"/>
        <item x="36"/>
        <item x="97"/>
        <item x="123"/>
        <item x="74"/>
        <item x="15"/>
        <item x="37"/>
        <item x="183"/>
        <item x="102"/>
        <item x="82"/>
        <item x="157"/>
        <item x="145"/>
        <item x="101"/>
        <item x="116"/>
        <item x="53"/>
        <item x="187"/>
        <item x="166"/>
        <item x="32"/>
        <item x="146"/>
        <item x="122"/>
        <item x="48"/>
        <item x="83"/>
        <item m="1" x="232"/>
        <item x="169"/>
        <item x="4"/>
        <item x="6"/>
        <item x="16"/>
        <item x="68"/>
        <item x="67"/>
        <item x="197"/>
        <item x="47"/>
        <item x="189"/>
        <item x="213"/>
        <item x="172"/>
        <item x="84"/>
        <item x="58"/>
        <item x="72"/>
        <item x="10"/>
        <item m="1" x="237"/>
        <item x="79"/>
        <item x="204"/>
        <item x="62"/>
        <item x="170"/>
        <item x="137"/>
        <item x="215"/>
        <item x="38"/>
        <item x="205"/>
        <item x="119"/>
        <item x="81"/>
        <item x="182"/>
        <item x="95"/>
        <item x="124"/>
        <item x="55"/>
        <item x="50"/>
        <item x="87"/>
        <item x="194"/>
        <item x="151"/>
        <item x="161"/>
        <item x="89"/>
        <item x="17"/>
        <item x="52"/>
        <item x="92"/>
        <item x="103"/>
        <item x="167"/>
        <item x="163"/>
        <item x="153"/>
        <item x="164"/>
        <item x="192"/>
        <item x="43"/>
        <item x="28"/>
        <item x="96"/>
        <item x="104"/>
        <item x="188"/>
        <item x="154"/>
        <item x="165"/>
        <item m="1" x="230"/>
        <item x="112"/>
        <item x="42"/>
        <item x="23"/>
        <item x="26"/>
        <item x="126"/>
        <item x="160"/>
        <item x="196"/>
        <item x="107"/>
        <item x="85"/>
        <item x="14"/>
        <item x="127"/>
        <item x="39"/>
        <item x="217"/>
        <item x="18"/>
        <item x="150"/>
        <item x="178"/>
        <item x="179"/>
        <item x="108"/>
        <item x="9"/>
        <item x="65"/>
        <item x="177"/>
        <item x="207"/>
        <item x="171"/>
        <item x="136"/>
        <item x="66"/>
        <item x="75"/>
        <item x="63"/>
        <item x="27"/>
        <item x="21"/>
        <item x="100"/>
        <item x="143"/>
        <item x="180"/>
        <item x="162"/>
        <item x="195"/>
        <item x="148"/>
        <item x="208"/>
        <item x="147"/>
        <item x="30"/>
        <item x="227"/>
        <item x="3"/>
        <item x="2"/>
        <item x="1"/>
        <item x="0"/>
        <item x="31"/>
        <item x="120"/>
        <item x="129"/>
        <item x="130"/>
        <item x="131"/>
        <item x="135"/>
        <item x="218"/>
        <item m="1" x="236"/>
        <item x="221"/>
        <item x="222"/>
        <item m="1" x="235"/>
        <item x="225"/>
        <item x="200"/>
        <item x="201"/>
        <item x="209"/>
        <item x="210"/>
        <item x="219"/>
        <item x="220"/>
        <item x="223"/>
        <item x="224"/>
        <item x="226"/>
        <item x="228"/>
        <item t="default"/>
      </items>
    </pivotField>
    <pivotField axis="axisRow" compact="0" outline="0" subtotalTop="0" showAll="0" includeNewItemsInFilter="1" defaultSubtotal="0">
      <items count="122">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9"/>
        <item x="47"/>
        <item x="48"/>
        <item x="50"/>
        <item x="51"/>
        <item x="52"/>
        <item x="53"/>
        <item x="54"/>
        <item x="55"/>
        <item x="56"/>
        <item x="57"/>
        <item x="58"/>
        <item x="59"/>
        <item x="60"/>
        <item x="61"/>
        <item x="62"/>
        <item x="63"/>
        <item x="64"/>
        <item x="65"/>
        <item x="67"/>
        <item x="66"/>
        <item x="69"/>
        <item x="68"/>
        <item x="70"/>
        <item x="72"/>
        <item x="73"/>
        <item x="74"/>
        <item x="75"/>
        <item x="76"/>
        <item x="71"/>
        <item x="77"/>
        <item x="78"/>
        <item x="79"/>
        <item x="80"/>
        <item x="81"/>
        <item x="82"/>
        <item x="83"/>
        <item x="84"/>
        <item x="85"/>
        <item x="86"/>
        <item x="87"/>
        <item x="88"/>
        <item x="89"/>
        <item x="91"/>
        <item x="90"/>
        <item x="92"/>
        <item x="93"/>
        <item x="94"/>
        <item x="95"/>
        <item x="96"/>
        <item x="97"/>
        <item x="98"/>
        <item x="99"/>
        <item x="100"/>
        <item x="101"/>
        <item x="102"/>
        <item m="1" x="121"/>
        <item m="1" x="120"/>
        <item x="103"/>
        <item x="104"/>
        <item x="105"/>
        <item x="118"/>
        <item x="106"/>
        <item x="107"/>
        <item x="108"/>
        <item x="109"/>
        <item x="110"/>
        <item x="111"/>
        <item x="4"/>
        <item x="3"/>
        <item x="2"/>
        <item x="1"/>
        <item x="0"/>
        <item x="112"/>
        <item x="113"/>
        <item x="114"/>
        <item x="115"/>
        <item x="116"/>
        <item x="117"/>
        <item x="119"/>
      </items>
    </pivotField>
    <pivotField axis="axisPage" compact="0" outline="0" subtotalTop="0" showAll="0" includeNewItemsInFilter="1">
      <items count="17">
        <item x="0"/>
        <item x="4"/>
        <item x="5"/>
        <item x="6"/>
        <item x="7"/>
        <item x="8"/>
        <item x="9"/>
        <item x="10"/>
        <item x="11"/>
        <item x="12"/>
        <item x="13"/>
        <item x="15"/>
        <item x="14"/>
        <item x="3"/>
        <item x="2"/>
        <item x="1"/>
        <item t="default"/>
      </items>
    </pivotField>
    <pivotField compact="0" outline="0" subtotalTop="0" showAll="0" includeNewItemsInFilter="1"/>
    <pivotField axis="axisPage" compact="0" outline="0" subtotalTop="0" showAll="0" includeNewItemsInFilter="1">
      <items count="14">
        <item x="1"/>
        <item x="2"/>
        <item x="4"/>
        <item x="5"/>
        <item x="6"/>
        <item x="7"/>
        <item x="8"/>
        <item x="9"/>
        <item x="10"/>
        <item x="11"/>
        <item x="12"/>
        <item x="0"/>
        <item x="3"/>
        <item t="default"/>
      </items>
    </pivotField>
    <pivotField compact="0" outline="0" subtotalTop="0" showAll="0" includeNewItemsInFilter="1"/>
    <pivotField compact="0" outline="0" subtotalTop="0" showAll="0" includeNewItemsInFilter="1"/>
    <pivotField axis="axisRow" compact="0" outline="0" subtotalTop="0" showAll="0" includeNewItemsInFilter="1" defaultSubtotal="0">
      <items count="118">
        <item x="47"/>
        <item x="55"/>
        <item x="78"/>
        <item x="92"/>
        <item x="19"/>
        <item x="75"/>
        <item x="71"/>
        <item x="33"/>
        <item x="34"/>
        <item x="9"/>
        <item x="85"/>
        <item x="14"/>
        <item x="29"/>
        <item x="39"/>
        <item x="43"/>
        <item x="24"/>
        <item m="1" x="115"/>
        <item x="7"/>
        <item x="41"/>
        <item x="84"/>
        <item x="82"/>
        <item x="103"/>
        <item x="4"/>
        <item x="89"/>
        <item x="3"/>
        <item x="53"/>
        <item x="65"/>
        <item x="109"/>
        <item x="17"/>
        <item x="77"/>
        <item m="1" x="117"/>
        <item x="56"/>
        <item x="46"/>
        <item x="36"/>
        <item x="1"/>
        <item x="62"/>
        <item x="107"/>
        <item x="64"/>
        <item x="8"/>
        <item x="20"/>
        <item x="45"/>
        <item x="87"/>
        <item x="81"/>
        <item x="44"/>
        <item x="76"/>
        <item x="67"/>
        <item x="15"/>
        <item x="28"/>
        <item x="50"/>
        <item x="74"/>
        <item x="30"/>
        <item x="70"/>
        <item x="54"/>
        <item x="11"/>
        <item x="31"/>
        <item x="59"/>
        <item x="95"/>
        <item x="72"/>
        <item x="79"/>
        <item x="42"/>
        <item x="27"/>
        <item x="38"/>
        <item x="86"/>
        <item x="2"/>
        <item x="37"/>
        <item x="102"/>
        <item x="97"/>
        <item x="6"/>
        <item x="60"/>
        <item x="88"/>
        <item x="57"/>
        <item x="48"/>
        <item x="32"/>
        <item x="58"/>
        <item x="100"/>
        <item x="68"/>
        <item x="40"/>
        <item x="91"/>
        <item x="63"/>
        <item x="12"/>
        <item m="1" x="116"/>
        <item x="66"/>
        <item x="73"/>
        <item x="93"/>
        <item x="23"/>
        <item x="69"/>
        <item x="94"/>
        <item x="35"/>
        <item x="18"/>
        <item x="21"/>
        <item x="83"/>
        <item x="105"/>
        <item x="61"/>
        <item x="10"/>
        <item x="101"/>
        <item x="13"/>
        <item x="99"/>
        <item x="5"/>
        <item x="51"/>
        <item x="98"/>
        <item x="106"/>
        <item x="96"/>
        <item x="52"/>
        <item x="49"/>
        <item x="22"/>
        <item x="16"/>
        <item x="104"/>
        <item x="90"/>
        <item x="25"/>
        <item x="0"/>
        <item x="108"/>
        <item x="110"/>
        <item x="111"/>
        <item x="26"/>
        <item x="80"/>
        <item x="113"/>
        <item x="112"/>
        <item x="114"/>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Row" compact="0" outline="0" subtotalTop="0" showAll="0" includeNewItemsInFilter="1" defaultSubtotal="0">
      <items count="65">
        <item x="22"/>
        <item m="1" x="60"/>
        <item x="35"/>
        <item x="30"/>
        <item x="29"/>
        <item x="26"/>
        <item x="32"/>
        <item x="31"/>
        <item x="28"/>
        <item m="1" x="61"/>
        <item x="15"/>
        <item x="9"/>
        <item x="11"/>
        <item x="12"/>
        <item x="8"/>
        <item x="42"/>
        <item x="18"/>
        <item x="20"/>
        <item m="1" x="64"/>
        <item x="4"/>
        <item x="39"/>
        <item x="21"/>
        <item x="10"/>
        <item x="16"/>
        <item x="13"/>
        <item x="6"/>
        <item x="7"/>
        <item x="33"/>
        <item x="5"/>
        <item x="3"/>
        <item x="2"/>
        <item x="23"/>
        <item x="36"/>
        <item x="19"/>
        <item x="25"/>
        <item x="27"/>
        <item x="17"/>
        <item x="14"/>
        <item x="24"/>
        <item x="41"/>
        <item x="38"/>
        <item x="0"/>
        <item x="55"/>
        <item x="34"/>
        <item x="37"/>
        <item x="40"/>
        <item m="1" x="62"/>
        <item x="44"/>
        <item x="45"/>
        <item x="46"/>
        <item x="47"/>
        <item m="1" x="63"/>
        <item x="49"/>
        <item x="50"/>
        <item x="51"/>
        <item x="52"/>
        <item x="43"/>
        <item x="48"/>
        <item x="1"/>
        <item x="53"/>
        <item x="54"/>
        <item x="56"/>
        <item x="57"/>
        <item x="58"/>
        <item x="59"/>
      </items>
    </pivotField>
    <pivotField compact="0" outline="0" subtotalTop="0" showAll="0" includeNewItemsInFilter="1"/>
    <pivotField axis="axisRow" compact="0" outline="0" subtotalTop="0" showAll="0" includeNewItemsInFilter="1" defaultSubtotal="0">
      <items count="7">
        <item x="3"/>
        <item x="2"/>
        <item x="1"/>
        <item x="0"/>
        <item x="4"/>
        <item x="5"/>
        <item x="6"/>
      </items>
    </pivotField>
    <pivotField compact="0" outline="0" subtotalTop="0" showAll="0" includeNewItemsInFilter="1"/>
    <pivotField axis="axisRow" compact="0" outline="0" subtotalTop="0" showAll="0" includeNewItemsInFilter="1" defaultSubtotal="0">
      <items count="41">
        <item x="18"/>
        <item x="26"/>
        <item x="24"/>
        <item m="1" x="35"/>
        <item x="6"/>
        <item x="20"/>
        <item x="15"/>
        <item x="23"/>
        <item x="31"/>
        <item x="7"/>
        <item x="27"/>
        <item x="8"/>
        <item m="1" x="36"/>
        <item x="5"/>
        <item x="22"/>
        <item x="11"/>
        <item x="12"/>
        <item m="1" x="38"/>
        <item x="25"/>
        <item m="1" x="33"/>
        <item x="10"/>
        <item x="9"/>
        <item x="4"/>
        <item m="1" x="39"/>
        <item x="3"/>
        <item x="2"/>
        <item m="1" x="40"/>
        <item x="16"/>
        <item x="19"/>
        <item x="21"/>
        <item x="1"/>
        <item x="14"/>
        <item m="1" x="34"/>
        <item m="1" x="37"/>
        <item x="28"/>
        <item x="17"/>
        <item x="0"/>
        <item x="13"/>
        <item x="30"/>
        <item x="32"/>
        <item x="29"/>
      </items>
    </pivotField>
    <pivotField axis="axisRow" compact="0" outline="0" subtotalTop="0" showAll="0" includeNewItemsInFilter="1" defaultSubtotal="0">
      <items count="78">
        <item x="56"/>
        <item x="32"/>
        <item x="36"/>
        <item x="45"/>
        <item x="38"/>
        <item x="46"/>
        <item x="25"/>
        <item x="53"/>
        <item x="58"/>
        <item x="28"/>
        <item x="50"/>
        <item x="29"/>
        <item x="22"/>
        <item x="48"/>
        <item x="30"/>
        <item x="24"/>
        <item x="27"/>
        <item x="55"/>
        <item m="1" x="77"/>
        <item x="21"/>
        <item x="47"/>
        <item x="49"/>
        <item m="1" x="76"/>
        <item x="42"/>
        <item x="43"/>
        <item x="39"/>
        <item x="52"/>
        <item x="59"/>
        <item x="26"/>
        <item x="23"/>
        <item x="44"/>
        <item x="33"/>
        <item x="20"/>
        <item x="37"/>
        <item x="31"/>
        <item x="40"/>
        <item x="41"/>
        <item x="35"/>
        <item m="1" x="75"/>
        <item x="51"/>
        <item x="34"/>
        <item x="0"/>
        <item x="19"/>
        <item x="1"/>
        <item x="2"/>
        <item x="3"/>
        <item x="4"/>
        <item x="5"/>
        <item x="6"/>
        <item x="7"/>
        <item x="8"/>
        <item x="9"/>
        <item x="10"/>
        <item x="11"/>
        <item x="12"/>
        <item x="13"/>
        <item x="14"/>
        <item x="15"/>
        <item x="16"/>
        <item x="17"/>
        <item x="18"/>
        <item x="54"/>
        <item x="57"/>
        <item x="60"/>
        <item x="61"/>
        <item x="62"/>
        <item x="63"/>
        <item x="64"/>
        <item x="65"/>
        <item m="1" x="74"/>
        <item x="66"/>
        <item x="67"/>
        <item x="68"/>
        <item x="69"/>
        <item x="70"/>
        <item x="71"/>
        <item x="72"/>
        <item x="73"/>
      </items>
    </pivotField>
    <pivotField compact="0" outline="0" subtotalTop="0" showAll="0" includeNewItemsInFilter="1"/>
    <pivotField axis="axisRow" compact="0" outline="0" subtotalTop="0" showAll="0" includeNewItemsInFilter="1" defaultSubtotal="0">
      <items count="60">
        <item x="9"/>
        <item x="29"/>
        <item x="33"/>
        <item m="1" x="53"/>
        <item m="1" x="54"/>
        <item x="19"/>
        <item x="26"/>
        <item x="22"/>
        <item x="43"/>
        <item x="40"/>
        <item x="31"/>
        <item x="27"/>
        <item x="16"/>
        <item x="25"/>
        <item x="35"/>
        <item x="17"/>
        <item x="20"/>
        <item x="32"/>
        <item x="4"/>
        <item m="1" x="55"/>
        <item x="42"/>
        <item x="24"/>
        <item x="28"/>
        <item x="34"/>
        <item x="18"/>
        <item x="23"/>
        <item m="1" x="58"/>
        <item m="1" x="56"/>
        <item x="21"/>
        <item x="30"/>
        <item m="1" x="57"/>
        <item x="41"/>
        <item x="0"/>
        <item x="15"/>
        <item x="1"/>
        <item x="2"/>
        <item x="3"/>
        <item x="5"/>
        <item x="6"/>
        <item x="7"/>
        <item x="8"/>
        <item x="10"/>
        <item x="11"/>
        <item x="12"/>
        <item x="13"/>
        <item x="14"/>
        <item x="36"/>
        <item x="37"/>
        <item x="38"/>
        <item x="39"/>
        <item m="1" x="59"/>
        <item x="44"/>
        <item x="45"/>
        <item x="46"/>
        <item x="47"/>
        <item x="48"/>
        <item x="49"/>
        <item x="50"/>
        <item x="51"/>
        <item x="52"/>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Row" compact="0" outline="0" subtotalTop="0" showAll="0" includeNewItemsInFilter="1" defaultSubtotal="0">
      <items count="69">
        <item x="57"/>
        <item x="12"/>
        <item x="32"/>
        <item x="14"/>
        <item x="2"/>
        <item x="15"/>
        <item x="49"/>
        <item x="19"/>
        <item x="34"/>
        <item x="16"/>
        <item x="11"/>
        <item x="47"/>
        <item x="8"/>
        <item x="9"/>
        <item x="54"/>
        <item x="46"/>
        <item x="3"/>
        <item x="33"/>
        <item x="10"/>
        <item x="50"/>
        <item x="17"/>
        <item x="20"/>
        <item x="43"/>
        <item x="59"/>
        <item x="48"/>
        <item x="28"/>
        <item x="29"/>
        <item x="6"/>
        <item x="13"/>
        <item x="25"/>
        <item x="4"/>
        <item x="30"/>
        <item x="41"/>
        <item x="37"/>
        <item x="52"/>
        <item x="38"/>
        <item x="45"/>
        <item x="1"/>
        <item x="31"/>
        <item x="35"/>
        <item x="51"/>
        <item x="58"/>
        <item x="44"/>
        <item x="18"/>
        <item x="36"/>
        <item m="1" x="67"/>
        <item x="55"/>
        <item x="21"/>
        <item x="22"/>
        <item x="40"/>
        <item m="1" x="66"/>
        <item x="42"/>
        <item m="1" x="68"/>
        <item x="53"/>
        <item x="5"/>
        <item x="39"/>
        <item x="24"/>
        <item x="23"/>
        <item x="7"/>
        <item x="27"/>
        <item x="26"/>
        <item x="56"/>
        <item x="0"/>
        <item x="60"/>
        <item x="61"/>
        <item x="62"/>
        <item x="63"/>
        <item x="64"/>
        <item x="65"/>
      </items>
    </pivotField>
    <pivotField axis="axisRow" compact="0" outline="0" subtotalTop="0" showAll="0" includeNewItemsInFilter="1" defaultSubtotal="0">
      <items count="16">
        <item x="10"/>
        <item x="8"/>
        <item x="2"/>
        <item x="1"/>
        <item x="7"/>
        <item x="11"/>
        <item x="3"/>
        <item x="5"/>
        <item x="12"/>
        <item x="6"/>
        <item x="4"/>
        <item x="9"/>
        <item x="0"/>
        <item x="13"/>
        <item x="14"/>
        <item x="15"/>
      </items>
    </pivotField>
    <pivotField axis="axisRow" compact="0" outline="0" subtotalTop="0" showAll="0" includeNewItemsInFilter="1" defaultSubtotal="0">
      <items count="52">
        <item x="26"/>
        <item x="27"/>
        <item x="20"/>
        <item x="44"/>
        <item x="41"/>
        <item x="42"/>
        <item x="18"/>
        <item x="10"/>
        <item x="2"/>
        <item x="32"/>
        <item x="19"/>
        <item x="9"/>
        <item x="33"/>
        <item x="36"/>
        <item x="39"/>
        <item x="16"/>
        <item x="3"/>
        <item x="12"/>
        <item x="38"/>
        <item x="29"/>
        <item x="22"/>
        <item x="13"/>
        <item x="24"/>
        <item x="46"/>
        <item x="7"/>
        <item x="34"/>
        <item x="31"/>
        <item x="15"/>
        <item x="6"/>
        <item x="14"/>
        <item x="21"/>
        <item x="1"/>
        <item x="23"/>
        <item x="4"/>
        <item x="5"/>
        <item x="25"/>
        <item x="45"/>
        <item x="35"/>
        <item x="40"/>
        <item x="28"/>
        <item x="11"/>
        <item x="37"/>
        <item x="30"/>
        <item x="43"/>
        <item x="8"/>
        <item x="17"/>
        <item x="0"/>
        <item x="47"/>
        <item x="48"/>
        <item x="49"/>
        <item x="50"/>
        <item x="51"/>
      </items>
    </pivotField>
    <pivotField axis="axisRow" compact="0" outline="0" subtotalTop="0" showAll="0" includeNewItemsInFilter="1" defaultSubtotal="0">
      <items count="117">
        <item x="3"/>
        <item x="37"/>
        <item x="38"/>
        <item x="30"/>
        <item x="93"/>
        <item x="84"/>
        <item x="87"/>
        <item x="25"/>
        <item x="62"/>
        <item x="39"/>
        <item x="13"/>
        <item x="2"/>
        <item x="46"/>
        <item x="27"/>
        <item x="12"/>
        <item x="48"/>
        <item x="88"/>
        <item x="69"/>
        <item x="47"/>
        <item x="82"/>
        <item x="78"/>
        <item x="65"/>
        <item x="44"/>
        <item x="26"/>
        <item x="85"/>
        <item x="14"/>
        <item x="15"/>
        <item x="91"/>
        <item x="23"/>
        <item x="81"/>
        <item x="4"/>
        <item x="18"/>
        <item x="64"/>
        <item x="16"/>
        <item x="41"/>
        <item x="33"/>
        <item x="45"/>
        <item x="50"/>
        <item x="76"/>
        <item x="19"/>
        <item x="101"/>
        <item x="35"/>
        <item x="86"/>
        <item x="58"/>
        <item x="97"/>
        <item x="59"/>
        <item x="10"/>
        <item x="67"/>
        <item x="51"/>
        <item x="43"/>
        <item m="1" x="114"/>
        <item x="22"/>
        <item x="9"/>
        <item x="20"/>
        <item x="5"/>
        <item x="60"/>
        <item x="74"/>
        <item x="32"/>
        <item x="68"/>
        <item x="80"/>
        <item x="1"/>
        <item x="28"/>
        <item x="34"/>
        <item x="61"/>
        <item x="21"/>
        <item x="7"/>
        <item x="99"/>
        <item x="66"/>
        <item x="79"/>
        <item x="8"/>
        <item x="29"/>
        <item x="36"/>
        <item x="49"/>
        <item x="95"/>
        <item x="63"/>
        <item m="1" x="115"/>
        <item x="96"/>
        <item x="83"/>
        <item x="52"/>
        <item x="40"/>
        <item x="17"/>
        <item x="73"/>
        <item x="42"/>
        <item x="53"/>
        <item x="109"/>
        <item x="89"/>
        <item x="75"/>
        <item x="72"/>
        <item x="94"/>
        <item x="71"/>
        <item x="92"/>
        <item m="1" x="116"/>
        <item x="90"/>
        <item x="6"/>
        <item x="70"/>
        <item x="55"/>
        <item x="54"/>
        <item x="77"/>
        <item x="24"/>
        <item x="11"/>
        <item x="57"/>
        <item x="56"/>
        <item x="98"/>
        <item x="100"/>
        <item x="0"/>
        <item x="102"/>
        <item x="103"/>
        <item x="104"/>
        <item x="105"/>
        <item x="106"/>
        <item x="107"/>
        <item x="110"/>
        <item x="111"/>
        <item x="31"/>
        <item x="108"/>
        <item x="112"/>
        <item x="113"/>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Row" compact="0" outline="0" subtotalTop="0" showAll="0" includeNewItemsInFilter="1" defaultSubtotal="0">
      <items count="45">
        <item x="1"/>
        <item x="41"/>
        <item x="20"/>
        <item x="12"/>
        <item x="8"/>
        <item x="32"/>
        <item x="17"/>
        <item x="18"/>
        <item x="3"/>
        <item x="30"/>
        <item x="9"/>
        <item x="35"/>
        <item x="40"/>
        <item x="7"/>
        <item x="29"/>
        <item x="38"/>
        <item x="2"/>
        <item x="24"/>
        <item x="42"/>
        <item x="23"/>
        <item x="28"/>
        <item x="16"/>
        <item x="39"/>
        <item x="25"/>
        <item x="37"/>
        <item x="26"/>
        <item x="33"/>
        <item x="22"/>
        <item x="36"/>
        <item x="19"/>
        <item x="34"/>
        <item x="21"/>
        <item x="27"/>
        <item x="6"/>
        <item x="14"/>
        <item x="11"/>
        <item x="15"/>
        <item x="13"/>
        <item x="10"/>
        <item x="4"/>
        <item x="5"/>
        <item x="31"/>
        <item x="43"/>
        <item x="0"/>
        <item x="44"/>
      </items>
    </pivotField>
    <pivotField axis="axisRow" compact="0" outline="0" subtotalTop="0" showAll="0" includeNewItemsInFilter="1" defaultSubtotal="0">
      <items count="183">
        <item x="3"/>
        <item x="8"/>
        <item x="45"/>
        <item x="35"/>
        <item x="61"/>
        <item x="53"/>
        <item x="139"/>
        <item x="28"/>
        <item x="92"/>
        <item x="83"/>
        <item x="42"/>
        <item x="44"/>
        <item x="77"/>
        <item x="107"/>
        <item x="62"/>
        <item x="27"/>
        <item x="15"/>
        <item x="2"/>
        <item x="74"/>
        <item x="50"/>
        <item x="152"/>
        <item x="96"/>
        <item x="14"/>
        <item x="71"/>
        <item x="142"/>
        <item x="112"/>
        <item x="66"/>
        <item x="37"/>
        <item x="84"/>
        <item x="143"/>
        <item x="76"/>
        <item x="22"/>
        <item x="135"/>
        <item x="128"/>
        <item x="108"/>
        <item x="36"/>
        <item x="111"/>
        <item x="70"/>
        <item x="48"/>
        <item x="140"/>
        <item x="17"/>
        <item x="18"/>
        <item x="149"/>
        <item x="133"/>
        <item x="4"/>
        <item x="129"/>
        <item x="110"/>
        <item x="29"/>
        <item x="97"/>
        <item x="68"/>
        <item x="65"/>
        <item x="137"/>
        <item x="57"/>
        <item x="73"/>
        <item x="86"/>
        <item x="99"/>
        <item x="146"/>
        <item x="125"/>
        <item x="24"/>
        <item x="109"/>
        <item x="160"/>
        <item x="79"/>
        <item x="47"/>
        <item x="59"/>
        <item x="122"/>
        <item x="141"/>
        <item x="103"/>
        <item x="156"/>
        <item x="104"/>
        <item x="12"/>
        <item m="1" x="182"/>
        <item x="134"/>
        <item x="115"/>
        <item x="145"/>
        <item x="87"/>
        <item x="43"/>
        <item x="80"/>
        <item x="72"/>
        <item x="46"/>
        <item x="130"/>
        <item x="54"/>
        <item x="5"/>
        <item x="105"/>
        <item x="121"/>
        <item x="26"/>
        <item x="116"/>
        <item x="82"/>
        <item x="41"/>
        <item x="1"/>
        <item x="144"/>
        <item x="51"/>
        <item x="132"/>
        <item x="98"/>
        <item x="81"/>
        <item x="90"/>
        <item x="56"/>
        <item x="23"/>
        <item x="126"/>
        <item x="106"/>
        <item x="58"/>
        <item x="89"/>
        <item x="6"/>
        <item x="9"/>
        <item x="25"/>
        <item x="34"/>
        <item x="159"/>
        <item x="114"/>
        <item x="131"/>
        <item x="124"/>
        <item x="10"/>
        <item x="78"/>
        <item x="52"/>
        <item x="30"/>
        <item x="55"/>
        <item x="60"/>
        <item x="154"/>
        <item x="85"/>
        <item x="33"/>
        <item x="155"/>
        <item x="138"/>
        <item x="150"/>
        <item x="88"/>
        <item x="67"/>
        <item x="19"/>
        <item x="63"/>
        <item x="49"/>
        <item x="21"/>
        <item x="120"/>
        <item x="69"/>
        <item x="20"/>
        <item x="113"/>
        <item x="91"/>
        <item x="64"/>
        <item x="169"/>
        <item x="136"/>
        <item x="123"/>
        <item m="1" x="179"/>
        <item x="11"/>
        <item x="147"/>
        <item x="119"/>
        <item x="32"/>
        <item x="38"/>
        <item x="153"/>
        <item x="118"/>
        <item x="151"/>
        <item m="1" x="181"/>
        <item x="16"/>
        <item x="157"/>
        <item x="75"/>
        <item x="7"/>
        <item x="148"/>
        <item x="117"/>
        <item x="95"/>
        <item x="31"/>
        <item x="101"/>
        <item x="127"/>
        <item x="39"/>
        <item x="40"/>
        <item x="94"/>
        <item x="102"/>
        <item x="13"/>
        <item x="100"/>
        <item x="158"/>
        <item x="93"/>
        <item x="163"/>
        <item x="0"/>
        <item m="1" x="180"/>
        <item x="162"/>
        <item x="164"/>
        <item x="165"/>
        <item x="166"/>
        <item x="167"/>
        <item x="170"/>
        <item x="171"/>
        <item x="172"/>
        <item x="173"/>
        <item x="168"/>
        <item x="174"/>
        <item x="161"/>
        <item x="175"/>
        <item x="176"/>
        <item x="177"/>
        <item x="178"/>
      </items>
    </pivotField>
    <pivotField compact="0" outline="0" subtotalTop="0" showAll="0" includeNewItemsInFilter="1"/>
    <pivotField compact="0" outline="0" subtotalTop="0" showAll="0" includeNewItemsInFilter="1"/>
    <pivotField compact="0" outline="0" subtotalTop="0" showAll="0" includeNewItemsInFilter="1"/>
    <pivotField axis="axisRow" compact="0" outline="0" subtotalTop="0" showAll="0" includeNewItemsInFilter="1">
      <items count="193">
        <item x="7"/>
        <item x="12"/>
        <item x="48"/>
        <item x="38"/>
        <item x="64"/>
        <item x="56"/>
        <item x="141"/>
        <item x="32"/>
        <item x="95"/>
        <item x="86"/>
        <item x="45"/>
        <item x="47"/>
        <item x="80"/>
        <item x="110"/>
        <item x="65"/>
        <item x="31"/>
        <item x="19"/>
        <item x="6"/>
        <item x="77"/>
        <item x="53"/>
        <item x="154"/>
        <item x="99"/>
        <item x="18"/>
        <item x="74"/>
        <item x="144"/>
        <item x="115"/>
        <item x="69"/>
        <item x="40"/>
        <item x="87"/>
        <item x="145"/>
        <item x="79"/>
        <item x="26"/>
        <item x="137"/>
        <item x="130"/>
        <item x="111"/>
        <item x="39"/>
        <item x="114"/>
        <item x="73"/>
        <item x="51"/>
        <item x="142"/>
        <item x="21"/>
        <item x="22"/>
        <item x="151"/>
        <item x="135"/>
        <item x="8"/>
        <item x="131"/>
        <item x="113"/>
        <item x="33"/>
        <item x="100"/>
        <item x="71"/>
        <item x="68"/>
        <item x="139"/>
        <item x="60"/>
        <item x="76"/>
        <item x="89"/>
        <item m="1" x="185"/>
        <item x="148"/>
        <item x="128"/>
        <item x="28"/>
        <item x="112"/>
        <item x="161"/>
        <item x="82"/>
        <item x="50"/>
        <item x="62"/>
        <item x="125"/>
        <item x="143"/>
        <item x="106"/>
        <item x="158"/>
        <item x="107"/>
        <item x="16"/>
        <item m="1" x="190"/>
        <item x="136"/>
        <item x="118"/>
        <item x="147"/>
        <item x="90"/>
        <item x="46"/>
        <item x="83"/>
        <item x="75"/>
        <item x="49"/>
        <item x="132"/>
        <item x="57"/>
        <item x="9"/>
        <item x="108"/>
        <item x="124"/>
        <item x="30"/>
        <item x="119"/>
        <item x="85"/>
        <item x="44"/>
        <item x="5"/>
        <item x="146"/>
        <item x="54"/>
        <item x="134"/>
        <item x="101"/>
        <item x="84"/>
        <item x="93"/>
        <item x="59"/>
        <item x="27"/>
        <item x="129"/>
        <item x="109"/>
        <item x="61"/>
        <item x="92"/>
        <item x="10"/>
        <item x="13"/>
        <item x="29"/>
        <item x="37"/>
        <item x="160"/>
        <item x="117"/>
        <item x="133"/>
        <item x="127"/>
        <item x="14"/>
        <item x="81"/>
        <item x="55"/>
        <item x="34"/>
        <item x="58"/>
        <item x="63"/>
        <item x="156"/>
        <item x="88"/>
        <item x="36"/>
        <item x="157"/>
        <item x="140"/>
        <item x="152"/>
        <item x="91"/>
        <item x="70"/>
        <item x="23"/>
        <item x="66"/>
        <item x="52"/>
        <item x="25"/>
        <item x="123"/>
        <item x="72"/>
        <item x="24"/>
        <item x="116"/>
        <item x="94"/>
        <item x="67"/>
        <item x="170"/>
        <item m="1" x="181"/>
        <item x="126"/>
        <item m="1" x="182"/>
        <item x="15"/>
        <item m="1" x="186"/>
        <item x="122"/>
        <item x="35"/>
        <item x="41"/>
        <item x="155"/>
        <item x="121"/>
        <item x="153"/>
        <item m="1" x="187"/>
        <item x="20"/>
        <item m="1" x="191"/>
        <item x="78"/>
        <item x="11"/>
        <item x="150"/>
        <item x="120"/>
        <item x="98"/>
        <item m="1" x="188"/>
        <item x="104"/>
        <item x="42"/>
        <item x="43"/>
        <item m="1" x="184"/>
        <item x="105"/>
        <item x="17"/>
        <item x="103"/>
        <item m="1" x="189"/>
        <item x="96"/>
        <item x="164"/>
        <item x="180"/>
        <item m="1" x="183"/>
        <item x="163"/>
        <item x="165"/>
        <item x="166"/>
        <item x="167"/>
        <item x="168"/>
        <item x="171"/>
        <item x="172"/>
        <item x="173"/>
        <item x="174"/>
        <item x="4"/>
        <item x="3"/>
        <item x="2"/>
        <item x="1"/>
        <item x="0"/>
        <item x="97"/>
        <item x="102"/>
        <item x="138"/>
        <item x="149"/>
        <item x="159"/>
        <item x="162"/>
        <item x="169"/>
        <item x="175"/>
        <item x="176"/>
        <item x="177"/>
        <item x="178"/>
        <item x="179"/>
        <item t="default"/>
      </items>
    </pivotField>
    <pivotField compact="0" outline="0" subtotalTop="0" showAll="0" includeNewItemsInFilter="1"/>
    <pivotField compact="0" outline="0" subtotalTop="0" showAll="0" includeNewItemsInFilter="1"/>
    <pivotField compact="0" outline="0" subtotalTop="0" showAll="0" includeNewItemsInFilter="1"/>
  </pivotFields>
  <rowFields count="15">
    <field x="2"/>
    <field x="9"/>
    <field x="3"/>
    <field x="14"/>
    <field x="18"/>
    <field x="16"/>
    <field x="19"/>
    <field x="21"/>
    <field x="26"/>
    <field x="27"/>
    <field x="28"/>
    <field x="29"/>
    <field x="47"/>
    <field x="48"/>
    <field x="52"/>
  </rowFields>
  <rowItems count="25">
    <i>
      <x v="89"/>
      <x v="46"/>
      <x v="120"/>
      <x v="64"/>
      <x v="36"/>
      <x v="6"/>
      <x v="76"/>
      <x v="32"/>
      <x v="62"/>
      <x v="12"/>
      <x v="46"/>
      <x/>
      <x v="43"/>
      <x v="182"/>
      <x v="191"/>
    </i>
    <i t="default">
      <x v="89"/>
    </i>
    <i>
      <x v="185"/>
      <x v="112"/>
      <x v="109"/>
      <x v="55"/>
      <x v="39"/>
      <x v="2"/>
      <x v="67"/>
      <x v="54"/>
      <x v="67"/>
      <x v="12"/>
      <x v="46"/>
      <x v="112"/>
      <x v="43"/>
      <x v="175"/>
      <x v="174"/>
    </i>
    <i t="default">
      <x v="185"/>
    </i>
    <i>
      <x v="222"/>
      <x v="92"/>
      <x v="115"/>
      <x v="59"/>
      <x v="36"/>
      <x v="2"/>
      <x v="68"/>
      <x v="55"/>
      <x v="27"/>
      <x v="12"/>
      <x v="46"/>
      <x v="46"/>
      <x v="43"/>
      <x v="69"/>
      <x v="69"/>
    </i>
    <i t="default">
      <x v="222"/>
    </i>
    <i>
      <x v="224"/>
      <x v="63"/>
      <x v="117"/>
      <x v="42"/>
      <x v="7"/>
      <x v="3"/>
      <x v="41"/>
      <x v="32"/>
      <x v="62"/>
      <x v="12"/>
      <x v="46"/>
      <x/>
      <x v="43"/>
      <x v="177"/>
      <x v="187"/>
    </i>
    <i t="default">
      <x v="224"/>
    </i>
    <i>
      <x v="225"/>
      <x v="47"/>
      <x v="118"/>
      <x v="56"/>
      <x v="36"/>
      <x v="3"/>
      <x v="41"/>
      <x v="32"/>
      <x v="62"/>
      <x v="12"/>
      <x v="46"/>
      <x/>
      <x v="43"/>
      <x/>
      <x/>
    </i>
    <i t="default">
      <x v="225"/>
    </i>
    <i>
      <x v="227"/>
      <x v="47"/>
      <x v="118"/>
      <x v="41"/>
      <x v="36"/>
      <x v="2"/>
      <x v="74"/>
      <x/>
      <x v="62"/>
      <x v="12"/>
      <x v="51"/>
      <x v="84"/>
      <x v="43"/>
      <x v="181"/>
      <x v="190"/>
    </i>
    <i t="default">
      <x v="227"/>
    </i>
    <i>
      <x v="232"/>
      <x v="116"/>
      <x v="116"/>
      <x v="60"/>
      <x v="36"/>
      <x v="2"/>
      <x v="70"/>
      <x v="32"/>
      <x v="62"/>
      <x v="12"/>
      <x v="46"/>
      <x/>
      <x v="43"/>
      <x/>
      <x/>
    </i>
    <i t="default">
      <x v="232"/>
    </i>
    <i>
      <x v="233"/>
      <x v="115"/>
      <x v="116"/>
      <x v="24"/>
      <x v="36"/>
      <x v="2"/>
      <x v="71"/>
      <x v="32"/>
      <x v="62"/>
      <x v="12"/>
      <x v="46"/>
      <x/>
      <x v="43"/>
      <x/>
      <x/>
    </i>
    <i t="default">
      <x v="233"/>
    </i>
    <i>
      <x v="234"/>
      <x v="77"/>
      <x v="118"/>
      <x v="61"/>
      <x v="36"/>
      <x v="2"/>
      <x v="72"/>
      <x v="56"/>
      <x v="47"/>
      <x v="12"/>
      <x v="51"/>
      <x v="115"/>
      <x v="43"/>
      <x v="179"/>
      <x v="188"/>
    </i>
    <i t="default">
      <x v="234"/>
    </i>
    <i>
      <x v="235"/>
      <x v="105"/>
      <x v="118"/>
      <x v="62"/>
      <x v="36"/>
      <x v="2"/>
      <x v="73"/>
      <x v="57"/>
      <x v="68"/>
      <x v="12"/>
      <x v="51"/>
      <x v="116"/>
      <x v="43"/>
      <x v="180"/>
      <x v="189"/>
    </i>
    <i t="default">
      <x v="235"/>
    </i>
    <i>
      <x v="236"/>
      <x v="117"/>
      <x v="119"/>
      <x v="63"/>
      <x v="36"/>
      <x v="2"/>
      <x v="75"/>
      <x v="58"/>
      <x v="37"/>
      <x v="12"/>
      <x v="46"/>
      <x v="60"/>
      <x v="43"/>
      <x v="88"/>
      <x v="88"/>
    </i>
    <i t="default">
      <x v="236"/>
    </i>
    <i>
      <x v="237"/>
      <x v="55"/>
      <x v="121"/>
      <x v="41"/>
      <x v="36"/>
      <x v="2"/>
      <x v="77"/>
      <x v="59"/>
      <x v="37"/>
      <x v="12"/>
      <x v="46"/>
      <x v="60"/>
      <x v="43"/>
      <x v="88"/>
      <x v="88"/>
    </i>
    <i t="default">
      <x v="237"/>
    </i>
    <i t="grand">
      <x/>
    </i>
  </rowItems>
  <colItems count="1">
    <i/>
  </colItems>
  <pageFields count="2">
    <pageField fld="4" item="12" hier="0"/>
    <pageField fld="6" hier="0"/>
  </pageFields>
  <formats count="54">
    <format dxfId="138">
      <pivotArea field="14" type="button" dataOnly="0" labelOnly="1" outline="0" axis="axisRow" fieldPosition="3"/>
    </format>
    <format dxfId="137">
      <pivotArea field="18" type="button" dataOnly="0" labelOnly="1" outline="0" axis="axisRow" fieldPosition="4"/>
    </format>
    <format dxfId="136">
      <pivotArea field="52" type="button" dataOnly="0" labelOnly="1" outline="0" axis="axisRow" fieldPosition="14"/>
    </format>
    <format dxfId="135">
      <pivotArea field="9" type="button" dataOnly="0" labelOnly="1" outline="0" axis="axisRow" fieldPosition="1"/>
    </format>
    <format dxfId="134">
      <pivotArea field="3" type="button" dataOnly="0" labelOnly="1" outline="0" axis="axisRow" fieldPosition="2"/>
    </format>
    <format dxfId="133">
      <pivotArea field="14" type="button" dataOnly="0" labelOnly="1" outline="0" axis="axisRow" fieldPosition="3"/>
    </format>
    <format dxfId="132">
      <pivotArea field="18" type="button" dataOnly="0" labelOnly="1" outline="0" axis="axisRow" fieldPosition="4"/>
    </format>
    <format dxfId="131">
      <pivotArea field="16" type="button" dataOnly="0" labelOnly="1" outline="0" axis="axisRow" fieldPosition="5"/>
    </format>
    <format dxfId="130">
      <pivotArea field="19" type="button" dataOnly="0" labelOnly="1" outline="0" axis="axisRow" fieldPosition="6"/>
    </format>
    <format dxfId="129">
      <pivotArea field="21" type="button" dataOnly="0" labelOnly="1" outline="0" axis="axisRow" fieldPosition="7"/>
    </format>
    <format dxfId="128">
      <pivotArea field="26" type="button" dataOnly="0" labelOnly="1" outline="0" axis="axisRow" fieldPosition="8"/>
    </format>
    <format dxfId="127">
      <pivotArea field="27" type="button" dataOnly="0" labelOnly="1" outline="0" axis="axisRow" fieldPosition="9"/>
    </format>
    <format dxfId="126">
      <pivotArea field="28" type="button" dataOnly="0" labelOnly="1" outline="0" axis="axisRow" fieldPosition="10"/>
    </format>
    <format dxfId="125">
      <pivotArea field="29" type="button" dataOnly="0" labelOnly="1" outline="0" axis="axisRow" fieldPosition="11"/>
    </format>
    <format dxfId="124">
      <pivotArea field="47" type="button" dataOnly="0" labelOnly="1" outline="0" axis="axisRow" fieldPosition="12"/>
    </format>
    <format dxfId="123">
      <pivotArea field="48" type="button" dataOnly="0" labelOnly="1" outline="0" axis="axisRow" fieldPosition="13"/>
    </format>
    <format dxfId="122">
      <pivotArea field="52" type="button" dataOnly="0" labelOnly="1" outline="0" axis="axisRow" fieldPosition="14"/>
    </format>
    <format dxfId="121">
      <pivotArea field="48" type="button" dataOnly="0" labelOnly="1" outline="0" axis="axisRow" fieldPosition="13"/>
    </format>
    <format dxfId="120">
      <pivotArea field="19" type="button" dataOnly="0" labelOnly="1" outline="0" axis="axisRow" fieldPosition="6"/>
    </format>
    <format dxfId="119">
      <pivotArea field="26" type="button" dataOnly="0" labelOnly="1" outline="0" axis="axisRow" fieldPosition="8"/>
    </format>
    <format dxfId="118">
      <pivotArea field="27" type="button" dataOnly="0" labelOnly="1" outline="0" axis="axisRow" fieldPosition="9"/>
    </format>
    <format dxfId="117">
      <pivotArea field="28" type="button" dataOnly="0" labelOnly="1" outline="0" axis="axisRow" fieldPosition="10"/>
    </format>
    <format dxfId="116">
      <pivotArea field="29" type="button" dataOnly="0" labelOnly="1" outline="0" axis="axisRow" fieldPosition="11"/>
    </format>
    <format dxfId="115">
      <pivotArea field="4" type="button" dataOnly="0" labelOnly="1" outline="0" axis="axisPage" fieldPosition="0"/>
    </format>
    <format dxfId="114">
      <pivotArea type="origin" dataOnly="0" labelOnly="1" outline="0" fieldPosition="0"/>
    </format>
    <format dxfId="113">
      <pivotArea field="9" type="button" dataOnly="0" labelOnly="1" outline="0" axis="axisRow" fieldPosition="1"/>
    </format>
    <format dxfId="112">
      <pivotArea field="3" type="button" dataOnly="0" labelOnly="1" outline="0" axis="axisRow" fieldPosition="2"/>
    </format>
    <format dxfId="111">
      <pivotArea field="14" type="button" dataOnly="0" labelOnly="1" outline="0" axis="axisRow" fieldPosition="3"/>
    </format>
    <format dxfId="110">
      <pivotArea field="18" type="button" dataOnly="0" labelOnly="1" outline="0" axis="axisRow" fieldPosition="4"/>
    </format>
    <format dxfId="109">
      <pivotArea field="16" type="button" dataOnly="0" labelOnly="1" outline="0" axis="axisRow" fieldPosition="5"/>
    </format>
    <format dxfId="108">
      <pivotArea field="19" type="button" dataOnly="0" labelOnly="1" outline="0" axis="axisRow" fieldPosition="6"/>
    </format>
    <format dxfId="107">
      <pivotArea field="21" type="button" dataOnly="0" labelOnly="1" outline="0" axis="axisRow" fieldPosition="7"/>
    </format>
    <format dxfId="106">
      <pivotArea field="26" type="button" dataOnly="0" labelOnly="1" outline="0" axis="axisRow" fieldPosition="8"/>
    </format>
    <format dxfId="105">
      <pivotArea field="27" type="button" dataOnly="0" labelOnly="1" outline="0" axis="axisRow" fieldPosition="9"/>
    </format>
    <format dxfId="104">
      <pivotArea field="28" type="button" dataOnly="0" labelOnly="1" outline="0" axis="axisRow" fieldPosition="10"/>
    </format>
    <format dxfId="103">
      <pivotArea field="29" type="button" dataOnly="0" labelOnly="1" outline="0" axis="axisRow" fieldPosition="11"/>
    </format>
    <format dxfId="102">
      <pivotArea field="47" type="button" dataOnly="0" labelOnly="1" outline="0" axis="axisRow" fieldPosition="12"/>
    </format>
    <format dxfId="101">
      <pivotArea field="48" type="button" dataOnly="0" labelOnly="1" outline="0" axis="axisRow" fieldPosition="13"/>
    </format>
    <format dxfId="100">
      <pivotArea field="52" type="button" dataOnly="0" labelOnly="1" outline="0" axis="axisRow" fieldPosition="14"/>
    </format>
    <format dxfId="99">
      <pivotArea field="3" type="button" dataOnly="0" labelOnly="1" outline="0" axis="axisRow" fieldPosition="2"/>
    </format>
    <format dxfId="98">
      <pivotArea field="3" type="button" dataOnly="0" labelOnly="1" outline="0" axis="axisRow" fieldPosition="2"/>
    </format>
    <format dxfId="97">
      <pivotArea field="14" type="button" dataOnly="0" labelOnly="1" outline="0" axis="axisRow" fieldPosition="3"/>
    </format>
    <format dxfId="96">
      <pivotArea field="18" type="button" dataOnly="0" labelOnly="1" outline="0" axis="axisRow" fieldPosition="4"/>
    </format>
    <format dxfId="95">
      <pivotArea field="16" type="button" dataOnly="0" labelOnly="1" outline="0" axis="axisRow" fieldPosition="5"/>
    </format>
    <format dxfId="94">
      <pivotArea field="19" type="button" dataOnly="0" labelOnly="1" outline="0" axis="axisRow" fieldPosition="6"/>
    </format>
    <format dxfId="93">
      <pivotArea field="26" type="button" dataOnly="0" labelOnly="1" outline="0" axis="axisRow" fieldPosition="8"/>
    </format>
    <format dxfId="92">
      <pivotArea field="27" type="button" dataOnly="0" labelOnly="1" outline="0" axis="axisRow" fieldPosition="9"/>
    </format>
    <format dxfId="91">
      <pivotArea field="28" type="button" dataOnly="0" labelOnly="1" outline="0" axis="axisRow" fieldPosition="10"/>
    </format>
    <format dxfId="90">
      <pivotArea field="29" type="button" dataOnly="0" labelOnly="1" outline="0" axis="axisRow" fieldPosition="11"/>
    </format>
    <format dxfId="89">
      <pivotArea field="47" type="button" dataOnly="0" labelOnly="1" outline="0" axis="axisRow" fieldPosition="12"/>
    </format>
    <format dxfId="88">
      <pivotArea field="48" type="button" dataOnly="0" labelOnly="1" outline="0" axis="axisRow" fieldPosition="13"/>
    </format>
    <format dxfId="87">
      <pivotArea field="52" type="button" dataOnly="0" labelOnly="1" outline="0" axis="axisRow" fieldPosition="14"/>
    </format>
    <format dxfId="86">
      <pivotArea field="21" type="button" dataOnly="0" labelOnly="1" outline="0" axis="axisRow" fieldPosition="7"/>
    </format>
    <format dxfId="85">
      <pivotArea field="21" type="button" dataOnly="0" labelOnly="1" outline="0" axis="axisRow" fieldPosition="7"/>
    </format>
  </formats>
  <pivotTableStyleInfo showRowHeaders="1" showColHeaders="1" showRowStripes="0" showColStripes="0" showLastColumn="1"/>
</pivotTableDefinition>
</file>

<file path=xl/pivotTables/pivotTable29.xml><?xml version="1.0" encoding="utf-8"?>
<pivotTableDefinition xmlns="http://schemas.openxmlformats.org/spreadsheetml/2006/main" name="PivotTable7" cacheId="3" dataOnRows="1" applyNumberFormats="0" applyBorderFormats="0" applyFontFormats="0" applyPatternFormats="0" applyAlignmentFormats="0" applyWidthHeightFormats="1" dataCaption="Data" updatedVersion="2" showMemberPropertyTips="0" useAutoFormatting="1" itemPrintTitles="1" createdVersion="1" indent="0" compact="0" compactData="0" gridDropZones="1">
  <location ref="B15:C22" firstHeaderRow="1" firstDataRow="1" firstDataCol="1" rowPageCount="1" colPageCount="1"/>
  <pivotFields count="6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Page" compact="0" outline="0" subtotalTop="0" showAll="0" includeNewItemsInFilter="1">
      <items count="16">
        <item x="0"/>
        <item x="1"/>
        <item x="2"/>
        <item x="3"/>
        <item x="4"/>
        <item x="5"/>
        <item x="6"/>
        <item x="7"/>
        <item x="8"/>
        <item x="9"/>
        <item x="10"/>
        <item x="11"/>
        <item x="12"/>
        <item x="13"/>
        <item x="14"/>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1">
    <field x="-2"/>
  </rowFields>
  <rowItems count="7">
    <i>
      <x/>
    </i>
    <i i="1">
      <x v="1"/>
    </i>
    <i i="2">
      <x v="2"/>
    </i>
    <i i="3">
      <x v="3"/>
    </i>
    <i i="4">
      <x v="4"/>
    </i>
    <i i="5">
      <x v="5"/>
    </i>
    <i i="6">
      <x v="6"/>
    </i>
  </rowItems>
  <colItems count="1">
    <i/>
  </colItems>
  <pageFields count="1">
    <pageField fld="4" item="13" hier="0"/>
  </pageFields>
  <dataFields count="7">
    <dataField name="Sum of Total Cash" fld="30" baseField="0" baseItem="0" numFmtId="166"/>
    <dataField name="Sum of Cash to NS" fld="29" baseField="0" baseItem="0" numFmtId="166"/>
    <dataField name="Sum of Cash to ICRC" fld="28" baseField="0" baseItem="0" numFmtId="166"/>
    <dataField name="Sum of Cash to IFRC" fld="27" baseField="0" baseItem="0" numFmtId="166"/>
    <dataField name="Sum of Value of Supplies" fld="49" baseField="0" baseItem="0" numFmtId="166"/>
    <dataField name="Sum of Total $ Response Phase" fld="51" baseField="0" baseItem="0" numFmtId="166"/>
    <dataField name="Sum of Total Contributions" fld="55" baseField="0" baseItem="0" numFmtId="166"/>
  </dataFields>
  <formats count="7">
    <format dxfId="145">
      <pivotArea outline="0" fieldPosition="0">
        <references count="1">
          <reference field="4294967294" count="4" selected="0">
            <x v="0"/>
            <x v="1"/>
            <x v="2"/>
            <x v="3"/>
          </reference>
        </references>
      </pivotArea>
    </format>
    <format dxfId="144">
      <pivotArea outline="0" fieldPosition="0">
        <references count="1">
          <reference field="4294967294" count="3" selected="0">
            <x v="4"/>
            <x v="5"/>
            <x v="6"/>
          </reference>
        </references>
      </pivotArea>
    </format>
    <format dxfId="143">
      <pivotArea outline="0" fieldPosition="0">
        <references count="1">
          <reference field="4294967294" count="1" selected="0">
            <x v="0"/>
          </reference>
        </references>
      </pivotArea>
    </format>
    <format dxfId="142">
      <pivotArea dataOnly="0" labelOnly="1" outline="0" fieldPosition="0">
        <references count="1">
          <reference field="4294967294" count="1">
            <x v="0"/>
          </reference>
        </references>
      </pivotArea>
    </format>
    <format dxfId="141">
      <pivotArea type="all" dataOnly="0" outline="0" fieldPosition="0"/>
    </format>
    <format dxfId="140">
      <pivotArea outline="0" fieldPosition="0">
        <references count="1">
          <reference field="4294967294" count="1" selected="0">
            <x v="6"/>
          </reference>
        </references>
      </pivotArea>
    </format>
    <format dxfId="139">
      <pivotArea dataOnly="0" labelOnly="1" outline="0" fieldPosition="0">
        <references count="1">
          <reference field="4294967294" count="1">
            <x v="6"/>
          </reference>
        </references>
      </pivotArea>
    </format>
  </formats>
  <pivotTableStyleInfo showRowHeaders="1" showColHeaders="1" showRowStripes="0" showColStripes="0" showLastColumn="1"/>
</pivotTableDefinition>
</file>

<file path=xl/pivotTables/pivotTable30.xml><?xml version="1.0" encoding="utf-8"?>
<pivotTableDefinition xmlns="http://schemas.openxmlformats.org/spreadsheetml/2006/main" name="PivotTable3" cacheId="8" dataOnRows="1" applyNumberFormats="0" applyBorderFormats="0" applyFontFormats="0" applyPatternFormats="0" applyAlignmentFormats="0" applyWidthHeightFormats="1" dataCaption="Data" updatedVersion="2" asteriskTotals="1" showMemberPropertyTips="0" useAutoFormatting="1" itemPrintTitles="1" createdVersion="1" indent="0" compact="0" compactData="0" gridDropZones="1">
  <location ref="A3:C117" firstHeaderRow="2" firstDataRow="2" firstDataCol="2"/>
  <pivotFields count="59">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Row" compact="0" outline="0" subtotalTop="0" showAll="0" includeNewItemsInFilter="1">
      <items count="19">
        <item x="0"/>
        <item x="1"/>
        <item x="2"/>
        <item x="3"/>
        <item x="4"/>
        <item x="5"/>
        <item x="6"/>
        <item x="7"/>
        <item x="8"/>
        <item x="9"/>
        <item x="10"/>
        <item x="12"/>
        <item x="13"/>
        <item x="14"/>
        <item x="15"/>
        <item x="16"/>
        <item x="11"/>
        <item x="17"/>
        <item t="default"/>
      </items>
    </pivotField>
    <pivotField compact="0" outline="0" subtotalTop="0" showAll="0" includeNewItemsInFilter="1">
      <items count="35">
        <item x="1"/>
        <item x="2"/>
        <item x="3"/>
        <item x="4"/>
        <item x="5"/>
        <item x="6"/>
        <item x="7"/>
        <item x="8"/>
        <item x="9"/>
        <item x="10"/>
        <item x="11"/>
        <item x="12"/>
        <item x="13"/>
        <item x="14"/>
        <item x="15"/>
        <item x="16"/>
        <item x="17"/>
        <item x="18"/>
        <item x="19"/>
        <item x="23"/>
        <item x="20"/>
        <item x="21"/>
        <item x="22"/>
        <item x="24"/>
        <item x="25"/>
        <item x="26"/>
        <item x="27"/>
        <item x="28"/>
        <item x="29"/>
        <item x="31"/>
        <item x="32"/>
        <item x="30"/>
        <item x="33"/>
        <item x="0"/>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Row" dataField="1" compact="0" outline="0" subtotalTop="0" showAll="0" autoShow="1" includeNewItemsInFilter="1" rankBy="0">
      <items count="117">
        <item x="106"/>
        <item x="46"/>
        <item x="54"/>
        <item x="76"/>
        <item x="90"/>
        <item x="19"/>
        <item x="73"/>
        <item x="69"/>
        <item x="32"/>
        <item x="33"/>
        <item x="9"/>
        <item x="83"/>
        <item x="14"/>
        <item x="28"/>
        <item x="38"/>
        <item x="42"/>
        <item x="24"/>
        <item x="110"/>
        <item x="7"/>
        <item x="40"/>
        <item x="82"/>
        <item x="80"/>
        <item x="101"/>
        <item x="4"/>
        <item x="87"/>
        <item x="3"/>
        <item x="52"/>
        <item x="63"/>
        <item x="107"/>
        <item x="17"/>
        <item x="75"/>
        <item x="55"/>
        <item x="45"/>
        <item x="35"/>
        <item x="1"/>
        <item x="60"/>
        <item x="105"/>
        <item x="62"/>
        <item x="8"/>
        <item x="20"/>
        <item x="44"/>
        <item x="85"/>
        <item x="79"/>
        <item x="43"/>
        <item x="74"/>
        <item x="65"/>
        <item x="15"/>
        <item x="27"/>
        <item x="49"/>
        <item x="72"/>
        <item x="29"/>
        <item x="68"/>
        <item x="53"/>
        <item x="11"/>
        <item x="30"/>
        <item x="58"/>
        <item x="114"/>
        <item x="93"/>
        <item x="70"/>
        <item x="77"/>
        <item x="41"/>
        <item x="26"/>
        <item x="37"/>
        <item x="84"/>
        <item x="2"/>
        <item x="113"/>
        <item x="36"/>
        <item x="100"/>
        <item x="108"/>
        <item x="95"/>
        <item x="6"/>
        <item x="86"/>
        <item x="56"/>
        <item x="78"/>
        <item x="47"/>
        <item x="31"/>
        <item x="57"/>
        <item x="98"/>
        <item x="66"/>
        <item x="39"/>
        <item x="89"/>
        <item x="61"/>
        <item x="12"/>
        <item x="115"/>
        <item x="112"/>
        <item x="111"/>
        <item x="64"/>
        <item x="71"/>
        <item x="91"/>
        <item x="23"/>
        <item x="67"/>
        <item x="92"/>
        <item x="34"/>
        <item x="18"/>
        <item x="21"/>
        <item x="81"/>
        <item x="103"/>
        <item x="59"/>
        <item x="10"/>
        <item x="109"/>
        <item x="99"/>
        <item x="13"/>
        <item x="97"/>
        <item x="5"/>
        <item x="50"/>
        <item x="96"/>
        <item x="104"/>
        <item x="94"/>
        <item x="51"/>
        <item x="48"/>
        <item x="22"/>
        <item x="16"/>
        <item x="102"/>
        <item x="88"/>
        <item x="25"/>
        <item x="0"/>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2">
    <field x="10"/>
    <field x="4"/>
  </rowFields>
  <rowItems count="113">
    <i>
      <x v="12"/>
      <x v="4"/>
    </i>
    <i r="1">
      <x v="5"/>
    </i>
    <i r="1">
      <x v="9"/>
    </i>
    <i r="1">
      <x v="12"/>
    </i>
    <i r="1">
      <x v="13"/>
    </i>
    <i t="default">
      <x v="12"/>
    </i>
    <i>
      <x v="23"/>
      <x v="4"/>
    </i>
    <i r="1">
      <x v="5"/>
    </i>
    <i r="1">
      <x v="6"/>
    </i>
    <i r="1">
      <x v="7"/>
    </i>
    <i r="1">
      <x v="11"/>
    </i>
    <i r="1">
      <x v="12"/>
    </i>
    <i r="1">
      <x v="14"/>
    </i>
    <i t="default">
      <x v="23"/>
    </i>
    <i>
      <x v="25"/>
      <x v="3"/>
    </i>
    <i r="1">
      <x v="6"/>
    </i>
    <i r="1">
      <x v="7"/>
    </i>
    <i r="1">
      <x v="9"/>
    </i>
    <i r="1">
      <x v="13"/>
    </i>
    <i r="1">
      <x v="15"/>
    </i>
    <i t="default">
      <x v="25"/>
    </i>
    <i>
      <x v="30"/>
      <x v="8"/>
    </i>
    <i r="1">
      <x v="12"/>
    </i>
    <i t="default">
      <x v="30"/>
    </i>
    <i>
      <x v="34"/>
      <x v="3"/>
    </i>
    <i r="1">
      <x v="4"/>
    </i>
    <i r="1">
      <x v="10"/>
    </i>
    <i r="1">
      <x v="11"/>
    </i>
    <i r="1">
      <x v="12"/>
    </i>
    <i r="1">
      <x v="13"/>
    </i>
    <i t="default">
      <x v="34"/>
    </i>
    <i>
      <x v="42"/>
      <x v="8"/>
    </i>
    <i r="1">
      <x v="9"/>
    </i>
    <i r="1">
      <x v="10"/>
    </i>
    <i r="1">
      <x v="12"/>
    </i>
    <i r="1">
      <x v="13"/>
    </i>
    <i r="1">
      <x v="14"/>
    </i>
    <i r="1">
      <x v="15"/>
    </i>
    <i t="default">
      <x v="42"/>
    </i>
    <i>
      <x v="46"/>
      <x v="4"/>
    </i>
    <i r="1">
      <x v="5"/>
    </i>
    <i r="1">
      <x v="6"/>
    </i>
    <i r="1">
      <x v="7"/>
    </i>
    <i r="1">
      <x v="14"/>
    </i>
    <i t="default">
      <x v="46"/>
    </i>
    <i>
      <x v="47"/>
      <x v="4"/>
    </i>
    <i r="1">
      <x v="7"/>
    </i>
    <i r="1">
      <x v="9"/>
    </i>
    <i r="1">
      <x v="10"/>
    </i>
    <i r="1">
      <x v="12"/>
    </i>
    <i r="1">
      <x v="14"/>
    </i>
    <i r="1">
      <x v="15"/>
    </i>
    <i t="default">
      <x v="47"/>
    </i>
    <i>
      <x v="52"/>
      <x v="6"/>
    </i>
    <i r="1">
      <x v="8"/>
    </i>
    <i r="1">
      <x v="9"/>
    </i>
    <i r="1">
      <x v="10"/>
    </i>
    <i r="1">
      <x v="12"/>
    </i>
    <i r="1">
      <x v="13"/>
    </i>
    <i t="default">
      <x v="52"/>
    </i>
    <i>
      <x v="55"/>
      <x v="6"/>
    </i>
    <i r="1">
      <x v="7"/>
    </i>
    <i r="1">
      <x v="10"/>
    </i>
    <i r="1">
      <x v="11"/>
    </i>
    <i r="1">
      <x v="12"/>
    </i>
    <i r="1">
      <x v="13"/>
    </i>
    <i r="1">
      <x v="14"/>
    </i>
    <i t="default">
      <x v="55"/>
    </i>
    <i>
      <x v="64"/>
      <x v="3"/>
    </i>
    <i r="1">
      <x v="4"/>
    </i>
    <i r="1">
      <x v="6"/>
    </i>
    <i r="1">
      <x v="7"/>
    </i>
    <i r="1">
      <x v="8"/>
    </i>
    <i r="1">
      <x v="10"/>
    </i>
    <i r="1">
      <x v="11"/>
    </i>
    <i r="1">
      <x v="12"/>
    </i>
    <i r="1">
      <x v="14"/>
    </i>
    <i r="1">
      <x v="15"/>
    </i>
    <i t="default">
      <x v="64"/>
    </i>
    <i>
      <x v="70"/>
      <x v="4"/>
    </i>
    <i r="1">
      <x v="6"/>
    </i>
    <i r="1">
      <x v="12"/>
    </i>
    <i r="1">
      <x v="13"/>
    </i>
    <i t="default">
      <x v="70"/>
    </i>
    <i>
      <x v="74"/>
      <x v="6"/>
    </i>
    <i r="1">
      <x v="10"/>
    </i>
    <i r="1">
      <x v="12"/>
    </i>
    <i r="1">
      <x v="13"/>
    </i>
    <i r="1">
      <x v="15"/>
    </i>
    <i t="default">
      <x v="74"/>
    </i>
    <i>
      <x v="76"/>
      <x v="6"/>
    </i>
    <i r="1">
      <x v="7"/>
    </i>
    <i r="1">
      <x v="8"/>
    </i>
    <i r="1">
      <x v="9"/>
    </i>
    <i r="1">
      <x v="13"/>
    </i>
    <i r="1">
      <x v="15"/>
    </i>
    <i t="default">
      <x v="76"/>
    </i>
    <i>
      <x v="95"/>
      <x v="9"/>
    </i>
    <i r="1">
      <x v="11"/>
    </i>
    <i r="1">
      <x v="12"/>
    </i>
    <i r="1">
      <x v="13"/>
    </i>
    <i t="default">
      <x v="95"/>
    </i>
    <i>
      <x v="111"/>
      <x v="4"/>
    </i>
    <i r="1">
      <x v="5"/>
    </i>
    <i r="1">
      <x v="7"/>
    </i>
    <i r="1">
      <x v="10"/>
    </i>
    <i r="1">
      <x v="11"/>
    </i>
    <i r="1">
      <x v="12"/>
    </i>
    <i r="1">
      <x v="13"/>
    </i>
    <i r="1">
      <x v="14"/>
    </i>
    <i r="1">
      <x v="15"/>
    </i>
    <i t="default">
      <x v="111"/>
    </i>
    <i t="grand">
      <x/>
    </i>
  </rowItems>
  <colItems count="1">
    <i/>
  </colItems>
  <dataFields count="1">
    <dataField name="Count of Country" fld="10" subtotal="count" baseField="0" baseItem="0"/>
  </dataFields>
  <pivotTableStyleInfo showRowHeaders="1" showColHeaders="1" showRowStripes="0" showColStripes="0" showLastColumn="1"/>
</pivotTableDefinition>
</file>

<file path=xl/pivotTables/pivotTable31.xml><?xml version="1.0" encoding="utf-8"?>
<pivotTableDefinition xmlns="http://schemas.openxmlformats.org/spreadsheetml/2006/main" name="PivotTable1" cacheId="14" dataOnRows="1" applyNumberFormats="0" applyBorderFormats="0" applyFontFormats="0" applyPatternFormats="0" applyAlignmentFormats="0" applyWidthHeightFormats="1" dataCaption="Data" updatedVersion="2" showMemberPropertyTips="0" useAutoFormatting="1" itemPrintTitles="1" createdVersion="1" indent="0" compact="0" compactData="0" gridDropZones="1">
  <location ref="C19:I33" firstHeaderRow="2" firstDataRow="2" firstDataCol="6"/>
  <pivotFields count="61">
    <pivotField compact="0" outline="0" subtotalTop="0" showAll="0" includeNewItemsInFilter="1"/>
    <pivotField compact="0" outline="0" subtotalTop="0" showAll="0" includeNewItemsInFilter="1"/>
    <pivotField axis="axisRow" compact="0" outline="0" subtotalTop="0" showAll="0" includeNewItemsInFilter="1" defaultSubtotal="0">
      <items count="251">
        <item x="60"/>
        <item x="79"/>
        <item x="216"/>
        <item x="76"/>
        <item x="114"/>
        <item x="154"/>
        <item x="24"/>
        <item x="108"/>
        <item x="1"/>
        <item x="98"/>
        <item x="214"/>
        <item x="93"/>
        <item x="39"/>
        <item x="40"/>
        <item x="13"/>
        <item x="4"/>
        <item x="218"/>
        <item x="183"/>
        <item x="19"/>
        <item x="243"/>
        <item x="68"/>
        <item x="34"/>
        <item x="69"/>
        <item x="48"/>
        <item x="87"/>
        <item x="53"/>
        <item x="29"/>
        <item x="11"/>
        <item x="75"/>
        <item x="132"/>
        <item x="50"/>
        <item x="112"/>
        <item x="242"/>
        <item x="203"/>
        <item x="202"/>
        <item x="127"/>
        <item x="205"/>
        <item x="124"/>
        <item x="233"/>
        <item x="195"/>
        <item x="104"/>
        <item x="109"/>
        <item x="8"/>
        <item x="192"/>
        <item x="186"/>
        <item x="44"/>
        <item x="157"/>
        <item x="170"/>
        <item x="145"/>
        <item x="244"/>
        <item x="213"/>
        <item x="7"/>
        <item x="204"/>
        <item x="72"/>
        <item x="90"/>
        <item x="22"/>
        <item x="113"/>
        <item x="116"/>
        <item x="77"/>
        <item x="150"/>
        <item x="188"/>
        <item x="160"/>
        <item x="59"/>
        <item x="55"/>
        <item x="43"/>
        <item x="230"/>
        <item x="141"/>
        <item x="5"/>
        <item x="161"/>
        <item x="193"/>
        <item x="85"/>
        <item x="211"/>
        <item x="212"/>
        <item x="200"/>
        <item x="89"/>
        <item x="12"/>
        <item x="176"/>
        <item x="25"/>
        <item x="58"/>
        <item x="187"/>
        <item x="131"/>
        <item x="239"/>
        <item x="231"/>
        <item x="120"/>
        <item x="201"/>
        <item x="56"/>
        <item x="70"/>
        <item x="110"/>
        <item x="208"/>
        <item x="92"/>
        <item x="175"/>
        <item x="134"/>
        <item x="135"/>
        <item x="133"/>
        <item x="177"/>
        <item x="137"/>
        <item x="3"/>
        <item x="139"/>
        <item x="140"/>
        <item x="142"/>
        <item x="143"/>
        <item x="45"/>
        <item x="33"/>
        <item x="20"/>
        <item x="178"/>
        <item x="32"/>
        <item x="97"/>
        <item x="129"/>
        <item x="241"/>
        <item x="158"/>
        <item x="63"/>
        <item x="117"/>
        <item x="105"/>
        <item x="151"/>
        <item x="35"/>
        <item x="96"/>
        <item x="122"/>
        <item x="73"/>
        <item x="248"/>
        <item x="15"/>
        <item x="224"/>
        <item x="36"/>
        <item x="229"/>
        <item x="185"/>
        <item x="101"/>
        <item x="81"/>
        <item x="237"/>
        <item x="100"/>
        <item x="115"/>
        <item x="52"/>
        <item x="189"/>
        <item x="168"/>
        <item x="31"/>
        <item x="121"/>
        <item x="47"/>
        <item x="82"/>
        <item x="130"/>
        <item x="171"/>
        <item x="0"/>
        <item x="6"/>
        <item x="16"/>
        <item x="223"/>
        <item x="67"/>
        <item x="66"/>
        <item x="159"/>
        <item x="199"/>
        <item x="234"/>
        <item x="46"/>
        <item x="191"/>
        <item x="215"/>
        <item x="235"/>
        <item x="174"/>
        <item x="246"/>
        <item x="83"/>
        <item x="57"/>
        <item x="71"/>
        <item x="10"/>
        <item x="78"/>
        <item x="245"/>
        <item x="119"/>
        <item x="206"/>
        <item x="61"/>
        <item x="172"/>
        <item x="138"/>
        <item x="217"/>
        <item x="238"/>
        <item x="37"/>
        <item x="207"/>
        <item x="118"/>
        <item x="80"/>
        <item x="184"/>
        <item x="247"/>
        <item x="94"/>
        <item x="123"/>
        <item x="54"/>
        <item x="49"/>
        <item x="86"/>
        <item x="196"/>
        <item x="153"/>
        <item x="240"/>
        <item x="163"/>
        <item x="88"/>
        <item x="17"/>
        <item x="51"/>
        <item x="2"/>
        <item x="136"/>
        <item x="228"/>
        <item x="91"/>
        <item x="102"/>
        <item x="169"/>
        <item x="165"/>
        <item x="155"/>
        <item x="166"/>
        <item x="194"/>
        <item x="42"/>
        <item x="28"/>
        <item x="95"/>
        <item x="103"/>
        <item x="225"/>
        <item x="226"/>
        <item x="190"/>
        <item x="146"/>
        <item x="147"/>
        <item x="149"/>
        <item x="148"/>
        <item x="156"/>
        <item x="167"/>
        <item x="111"/>
        <item x="41"/>
        <item x="128"/>
        <item x="23"/>
        <item x="26"/>
        <item x="125"/>
        <item x="162"/>
        <item x="198"/>
        <item x="106"/>
        <item x="220"/>
        <item x="84"/>
        <item x="14"/>
        <item x="126"/>
        <item x="38"/>
        <item x="219"/>
        <item x="232"/>
        <item x="18"/>
        <item x="152"/>
        <item x="180"/>
        <item x="236"/>
        <item x="181"/>
        <item x="107"/>
        <item x="9"/>
        <item x="64"/>
        <item x="179"/>
        <item x="209"/>
        <item x="173"/>
        <item x="65"/>
        <item x="74"/>
        <item x="62"/>
        <item x="27"/>
        <item x="21"/>
        <item x="99"/>
        <item x="144"/>
        <item x="182"/>
        <item x="164"/>
        <item x="221"/>
        <item x="222"/>
        <item x="249"/>
        <item x="227"/>
        <item x="197"/>
        <item x="210"/>
        <item x="30"/>
        <item x="250"/>
      </items>
    </pivotField>
    <pivotField compact="0" outline="0" subtotalTop="0" showAll="0" includeNewItemsInFilter="1"/>
    <pivotField axis="axisRow" compact="0" outline="0" subtotalTop="0" showAll="0" includeNewItemsInFilter="1" sumSubtotal="1">
      <items count="18">
        <item h="1" x="0"/>
        <item h="1" x="1"/>
        <item h="1" x="2"/>
        <item h="1" x="3"/>
        <item h="1" x="4"/>
        <item h="1" x="5"/>
        <item h="1" x="6"/>
        <item h="1" x="7"/>
        <item h="1" x="8"/>
        <item h="1" x="9"/>
        <item h="1" x="10"/>
        <item h="1" x="11"/>
        <item h="1" x="12"/>
        <item h="1" x="13"/>
        <item h="1" x="14"/>
        <item x="15"/>
        <item h="1" x="16"/>
        <item t="sum"/>
      </items>
    </pivotField>
    <pivotField compact="0" outline="0" subtotalTop="0" showAll="0" includeNewItemsInFilter="1">
      <items count="35">
        <item x="1"/>
        <item x="2"/>
        <item x="3"/>
        <item x="4"/>
        <item x="5"/>
        <item x="6"/>
        <item x="7"/>
        <item x="8"/>
        <item x="9"/>
        <item x="10"/>
        <item x="11"/>
        <item x="12"/>
        <item x="13"/>
        <item x="14"/>
        <item x="15"/>
        <item x="16"/>
        <item x="17"/>
        <item x="18"/>
        <item x="19"/>
        <item x="23"/>
        <item x="20"/>
        <item x="21"/>
        <item x="22"/>
        <item x="24"/>
        <item x="25"/>
        <item x="26"/>
        <item x="27"/>
        <item x="28"/>
        <item x="29"/>
        <item x="31"/>
        <item x="32"/>
        <item x="30"/>
        <item x="33"/>
        <item x="0"/>
        <item t="default"/>
      </items>
    </pivotField>
    <pivotField compact="0" outline="0" subtotalTop="0" showAll="0" includeNewItemsInFilter="1"/>
    <pivotField compact="0" outline="0" subtotalTop="0" showAll="0" includeNewItemsInFilter="1"/>
    <pivotField compact="0" outline="0" subtotalTop="0" showAll="0" includeNewItemsInFilter="1"/>
    <pivotField axis="axisRow" compact="0" outline="0" subtotalTop="0" showAll="0" includeNewItemsInFilter="1">
      <items count="6">
        <item h="1" x="1"/>
        <item h="1" x="3"/>
        <item x="2"/>
        <item h="1" x="4"/>
        <item h="1" x="0"/>
        <item t="default"/>
      </items>
    </pivotField>
    <pivotField axis="axisRow" compact="0" outline="0" subtotalTop="0" showAll="0" includeNewItemsInFilter="1" defaultSubtotal="0">
      <items count="118">
        <item x="106"/>
        <item x="46"/>
        <item x="54"/>
        <item x="76"/>
        <item x="90"/>
        <item x="19"/>
        <item x="73"/>
        <item x="69"/>
        <item x="32"/>
        <item x="33"/>
        <item x="9"/>
        <item x="83"/>
        <item x="14"/>
        <item x="28"/>
        <item x="38"/>
        <item x="42"/>
        <item x="24"/>
        <item x="110"/>
        <item x="7"/>
        <item x="40"/>
        <item x="82"/>
        <item x="80"/>
        <item x="101"/>
        <item x="4"/>
        <item x="87"/>
        <item x="3"/>
        <item x="52"/>
        <item x="63"/>
        <item x="107"/>
        <item x="17"/>
        <item x="75"/>
        <item x="55"/>
        <item x="45"/>
        <item x="35"/>
        <item x="1"/>
        <item x="60"/>
        <item x="105"/>
        <item x="62"/>
        <item x="8"/>
        <item x="20"/>
        <item x="44"/>
        <item x="85"/>
        <item x="79"/>
        <item x="43"/>
        <item x="74"/>
        <item x="65"/>
        <item x="15"/>
        <item x="27"/>
        <item x="49"/>
        <item x="72"/>
        <item x="29"/>
        <item x="68"/>
        <item x="53"/>
        <item x="11"/>
        <item x="30"/>
        <item x="58"/>
        <item x="114"/>
        <item x="93"/>
        <item x="70"/>
        <item x="77"/>
        <item x="41"/>
        <item x="26"/>
        <item x="37"/>
        <item x="84"/>
        <item x="2"/>
        <item x="113"/>
        <item x="36"/>
        <item x="100"/>
        <item x="108"/>
        <item x="95"/>
        <item x="117"/>
        <item x="6"/>
        <item x="86"/>
        <item x="56"/>
        <item x="78"/>
        <item x="47"/>
        <item x="31"/>
        <item x="57"/>
        <item x="98"/>
        <item x="66"/>
        <item x="39"/>
        <item x="89"/>
        <item x="61"/>
        <item x="12"/>
        <item x="115"/>
        <item x="112"/>
        <item x="111"/>
        <item x="64"/>
        <item x="71"/>
        <item x="91"/>
        <item x="23"/>
        <item x="67"/>
        <item x="92"/>
        <item x="34"/>
        <item x="18"/>
        <item x="21"/>
        <item x="81"/>
        <item x="103"/>
        <item x="59"/>
        <item x="10"/>
        <item x="109"/>
        <item x="99"/>
        <item x="13"/>
        <item x="97"/>
        <item x="116"/>
        <item x="5"/>
        <item x="50"/>
        <item x="96"/>
        <item x="104"/>
        <item x="94"/>
        <item x="51"/>
        <item x="48"/>
        <item x="22"/>
        <item x="16"/>
        <item x="102"/>
        <item x="88"/>
        <item x="25"/>
        <item x="0"/>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Row" compact="0" outline="0" subtotalTop="0" showAll="0" includeNewItemsInFilter="1" defaultSubtotal="0">
      <items count="19">
        <item x="1"/>
        <item x="2"/>
        <item x="4"/>
        <item x="5"/>
        <item x="6"/>
        <item x="10"/>
        <item x="16"/>
        <item x="15"/>
        <item x="13"/>
        <item x="9"/>
        <item x="7"/>
        <item x="11"/>
        <item x="17"/>
        <item x="12"/>
        <item x="3"/>
        <item x="8"/>
        <item x="14"/>
        <item x="18"/>
        <item x="0"/>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Row" dataField="1" compact="0" outline="0" subtotalTop="0" showAll="0" includeNewItemsInFilter="1">
      <items count="186">
        <item x="7"/>
        <item x="12"/>
        <item x="47"/>
        <item x="37"/>
        <item x="63"/>
        <item x="55"/>
        <item x="131"/>
        <item x="31"/>
        <item x="94"/>
        <item x="85"/>
        <item x="44"/>
        <item x="46"/>
        <item x="79"/>
        <item x="105"/>
        <item x="64"/>
        <item x="30"/>
        <item x="19"/>
        <item x="180"/>
        <item x="6"/>
        <item x="76"/>
        <item x="164"/>
        <item x="52"/>
        <item x="145"/>
        <item x="98"/>
        <item x="18"/>
        <item x="73"/>
        <item x="134"/>
        <item x="109"/>
        <item x="68"/>
        <item x="39"/>
        <item x="86"/>
        <item x="135"/>
        <item x="78"/>
        <item x="25"/>
        <item x="127"/>
        <item x="106"/>
        <item x="38"/>
        <item x="108"/>
        <item x="72"/>
        <item x="50"/>
        <item x="132"/>
        <item x="21"/>
        <item x="22"/>
        <item x="142"/>
        <item x="8"/>
        <item x="161"/>
        <item x="32"/>
        <item x="99"/>
        <item x="70"/>
        <item x="67"/>
        <item x="129"/>
        <item x="59"/>
        <item x="75"/>
        <item x="88"/>
        <item x="101"/>
        <item x="138"/>
        <item x="27"/>
        <item x="151"/>
        <item x="81"/>
        <item x="49"/>
        <item x="61"/>
        <item x="117"/>
        <item x="133"/>
        <item x="103"/>
        <item x="148"/>
        <item x="16"/>
        <item x="112"/>
        <item x="182"/>
        <item x="137"/>
        <item x="89"/>
        <item x="45"/>
        <item x="82"/>
        <item x="119"/>
        <item x="74"/>
        <item x="48"/>
        <item x="158"/>
        <item x="56"/>
        <item x="9"/>
        <item x="116"/>
        <item x="29"/>
        <item x="113"/>
        <item x="84"/>
        <item x="43"/>
        <item x="5"/>
        <item x="123"/>
        <item x="136"/>
        <item x="53"/>
        <item x="100"/>
        <item x="83"/>
        <item x="92"/>
        <item x="140"/>
        <item x="58"/>
        <item x="26"/>
        <item x="153"/>
        <item x="125"/>
        <item x="60"/>
        <item x="91"/>
        <item x="10"/>
        <item x="174"/>
        <item x="13"/>
        <item x="126"/>
        <item x="28"/>
        <item x="36"/>
        <item x="175"/>
        <item x="150"/>
        <item x="111"/>
        <item x="169"/>
        <item x="120"/>
        <item x="14"/>
        <item x="80"/>
        <item x="54"/>
        <item x="33"/>
        <item x="57"/>
        <item x="62"/>
        <item x="179"/>
        <item x="121"/>
        <item x="156"/>
        <item x="87"/>
        <item x="35"/>
        <item x="165"/>
        <item x="147"/>
        <item x="170"/>
        <item x="124"/>
        <item x="130"/>
        <item x="143"/>
        <item x="90"/>
        <item x="178"/>
        <item x="163"/>
        <item x="69"/>
        <item x="104"/>
        <item x="65"/>
        <item x="51"/>
        <item x="24"/>
        <item x="71"/>
        <item x="23"/>
        <item x="110"/>
        <item x="93"/>
        <item x="66"/>
        <item x="107"/>
        <item x="160"/>
        <item x="15"/>
        <item x="34"/>
        <item x="181"/>
        <item x="40"/>
        <item x="146"/>
        <item x="118"/>
        <item x="144"/>
        <item x="157"/>
        <item x="162"/>
        <item x="173"/>
        <item x="20"/>
        <item x="155"/>
        <item x="166"/>
        <item x="77"/>
        <item x="11"/>
        <item x="141"/>
        <item x="114"/>
        <item x="159"/>
        <item x="152"/>
        <item x="168"/>
        <item x="97"/>
        <item x="115"/>
        <item x="139"/>
        <item x="122"/>
        <item x="167"/>
        <item x="128"/>
        <item x="42"/>
        <item x="177"/>
        <item x="17"/>
        <item x="176"/>
        <item x="172"/>
        <item x="41"/>
        <item x="102"/>
        <item x="1"/>
        <item x="2"/>
        <item x="0"/>
        <item x="4"/>
        <item x="3"/>
        <item x="149"/>
        <item x="183"/>
        <item x="95"/>
        <item x="171"/>
        <item x="96"/>
        <item x="154"/>
        <item x="184"/>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6">
    <field x="9"/>
    <field x="4"/>
    <field x="10"/>
    <field x="2"/>
    <field x="31"/>
    <field x="55"/>
  </rowFields>
  <rowItems count="13">
    <i>
      <x v="2"/>
      <x v="15"/>
      <x v="13"/>
      <x v="19"/>
      <x v="1"/>
      <x v="77"/>
    </i>
    <i r="2">
      <x v="14"/>
      <x v="23"/>
      <x v="18"/>
      <x v="83"/>
    </i>
    <i r="2">
      <x v="24"/>
      <x v="49"/>
      <x v="18"/>
      <x v="114"/>
    </i>
    <i r="2">
      <x v="25"/>
      <x v="51"/>
      <x v="18"/>
      <x v="126"/>
    </i>
    <i r="2">
      <x v="42"/>
      <x v="81"/>
      <x v="18"/>
      <x v="167"/>
    </i>
    <i r="2">
      <x v="64"/>
      <x v="139"/>
      <x v="18"/>
      <x v="107"/>
    </i>
    <i r="2">
      <x v="77"/>
      <x v="169"/>
      <x v="18"/>
      <x v="17"/>
    </i>
    <i r="2">
      <x v="79"/>
      <x v="171"/>
      <x v="18"/>
      <x v="67"/>
    </i>
    <i r="2">
      <x v="84"/>
      <x v="32"/>
      <x v="6"/>
      <x v="98"/>
    </i>
    <i r="2">
      <x v="112"/>
      <x v="237"/>
      <x v="18"/>
      <x/>
    </i>
    <i t="sum" r="1">
      <x v="15"/>
    </i>
    <i t="default">
      <x v="2"/>
    </i>
    <i t="grand">
      <x/>
    </i>
  </rowItems>
  <colItems count="1">
    <i/>
  </colItems>
  <dataFields count="1">
    <dataField name="Sum of Total Contributions" fld="55" baseField="0" baseItem="0" numFmtId="166"/>
  </dataFields>
  <formats count="2">
    <format dxfId="67">
      <pivotArea field="55" type="button" dataOnly="0" labelOnly="1" outline="0" axis="axisRow" fieldPosition="5"/>
    </format>
    <format dxfId="66">
      <pivotArea outline="0" fieldPosition="0"/>
    </format>
  </formats>
  <pivotTableStyleInfo showRowHeaders="1" showColHeaders="1" showRowStripes="0" showColStripes="0" showLastColumn="1"/>
</pivotTableDefinition>
</file>

<file path=xl/pivotTables/pivotTable32.xml><?xml version="1.0" encoding="utf-8"?>
<pivotTableDefinition xmlns="http://schemas.openxmlformats.org/spreadsheetml/2006/main" name="PivotTable3" cacheId="13" dataOnRows="1" applyNumberFormats="0" applyBorderFormats="0" applyFontFormats="0" applyPatternFormats="0" applyAlignmentFormats="0" applyWidthHeightFormats="1" dataCaption="Data" updatedVersion="2" showMemberPropertyTips="0" useAutoFormatting="1" itemPrintTitles="1" createdVersion="1" indent="0" compact="0" compactData="0" gridDropZones="1">
  <location ref="C4:H11" firstHeaderRow="2" firstDataRow="2" firstDataCol="5"/>
  <pivotFields count="61">
    <pivotField compact="0" outline="0" subtotalTop="0" showAll="0" includeNewItemsInFilter="1"/>
    <pivotField compact="0" outline="0" subtotalTop="0" showAll="0" includeNewItemsInFilter="1"/>
    <pivotField axis="axisRow" compact="0" outline="0" subtotalTop="0" showAll="0" includeNewItemsInFilter="1" rankBy="0" defaultSubtotal="0">
      <items count="251">
        <item x="60"/>
        <item x="79"/>
        <item x="216"/>
        <item x="76"/>
        <item x="114"/>
        <item x="154"/>
        <item x="24"/>
        <item x="108"/>
        <item x="1"/>
        <item x="98"/>
        <item x="214"/>
        <item x="93"/>
        <item x="39"/>
        <item x="40"/>
        <item x="13"/>
        <item x="4"/>
        <item x="218"/>
        <item x="183"/>
        <item x="19"/>
        <item x="243"/>
        <item x="68"/>
        <item x="34"/>
        <item x="69"/>
        <item x="48"/>
        <item x="87"/>
        <item x="53"/>
        <item x="29"/>
        <item x="11"/>
        <item x="75"/>
        <item x="132"/>
        <item x="50"/>
        <item x="112"/>
        <item x="242"/>
        <item x="203"/>
        <item x="202"/>
        <item x="127"/>
        <item x="205"/>
        <item x="124"/>
        <item x="233"/>
        <item x="195"/>
        <item x="104"/>
        <item x="109"/>
        <item x="8"/>
        <item x="192"/>
        <item x="186"/>
        <item x="44"/>
        <item x="157"/>
        <item x="170"/>
        <item x="145"/>
        <item x="244"/>
        <item x="213"/>
        <item x="7"/>
        <item x="204"/>
        <item x="72"/>
        <item x="90"/>
        <item x="22"/>
        <item x="113"/>
        <item x="116"/>
        <item x="77"/>
        <item x="150"/>
        <item x="188"/>
        <item x="160"/>
        <item x="59"/>
        <item x="55"/>
        <item x="43"/>
        <item x="230"/>
        <item x="141"/>
        <item x="5"/>
        <item x="161"/>
        <item x="193"/>
        <item x="85"/>
        <item x="211"/>
        <item x="212"/>
        <item x="200"/>
        <item x="89"/>
        <item x="12"/>
        <item x="176"/>
        <item x="25"/>
        <item x="58"/>
        <item x="187"/>
        <item x="131"/>
        <item x="239"/>
        <item x="231"/>
        <item x="120"/>
        <item x="201"/>
        <item x="56"/>
        <item x="70"/>
        <item x="110"/>
        <item x="208"/>
        <item x="92"/>
        <item x="175"/>
        <item x="134"/>
        <item x="135"/>
        <item x="133"/>
        <item x="177"/>
        <item x="137"/>
        <item x="3"/>
        <item x="139"/>
        <item x="140"/>
        <item x="142"/>
        <item x="143"/>
        <item x="45"/>
        <item x="33"/>
        <item x="20"/>
        <item x="178"/>
        <item x="32"/>
        <item x="97"/>
        <item x="129"/>
        <item x="241"/>
        <item x="158"/>
        <item x="63"/>
        <item x="117"/>
        <item x="105"/>
        <item x="151"/>
        <item x="35"/>
        <item x="96"/>
        <item x="122"/>
        <item x="73"/>
        <item x="248"/>
        <item x="15"/>
        <item x="224"/>
        <item x="36"/>
        <item x="229"/>
        <item x="185"/>
        <item x="101"/>
        <item x="81"/>
        <item x="237"/>
        <item x="100"/>
        <item x="115"/>
        <item x="52"/>
        <item x="189"/>
        <item x="168"/>
        <item x="31"/>
        <item x="121"/>
        <item x="47"/>
        <item x="82"/>
        <item x="130"/>
        <item x="171"/>
        <item x="0"/>
        <item x="6"/>
        <item x="16"/>
        <item x="223"/>
        <item x="67"/>
        <item x="66"/>
        <item x="159"/>
        <item x="199"/>
        <item x="234"/>
        <item x="46"/>
        <item x="191"/>
        <item x="215"/>
        <item x="235"/>
        <item x="174"/>
        <item x="246"/>
        <item x="83"/>
        <item x="57"/>
        <item x="71"/>
        <item x="10"/>
        <item x="78"/>
        <item x="245"/>
        <item x="119"/>
        <item x="206"/>
        <item x="61"/>
        <item x="172"/>
        <item x="138"/>
        <item x="217"/>
        <item x="238"/>
        <item x="37"/>
        <item x="207"/>
        <item x="118"/>
        <item x="80"/>
        <item x="184"/>
        <item x="247"/>
        <item x="94"/>
        <item x="123"/>
        <item x="54"/>
        <item x="49"/>
        <item x="86"/>
        <item x="196"/>
        <item x="153"/>
        <item x="240"/>
        <item x="163"/>
        <item x="88"/>
        <item x="17"/>
        <item x="51"/>
        <item x="2"/>
        <item x="136"/>
        <item x="228"/>
        <item x="91"/>
        <item x="102"/>
        <item x="169"/>
        <item x="165"/>
        <item x="155"/>
        <item x="166"/>
        <item x="194"/>
        <item x="42"/>
        <item x="28"/>
        <item x="95"/>
        <item x="103"/>
        <item x="225"/>
        <item x="226"/>
        <item x="190"/>
        <item x="146"/>
        <item x="147"/>
        <item x="149"/>
        <item x="148"/>
        <item x="156"/>
        <item x="167"/>
        <item x="111"/>
        <item x="41"/>
        <item x="128"/>
        <item x="23"/>
        <item x="26"/>
        <item x="125"/>
        <item x="162"/>
        <item x="198"/>
        <item x="106"/>
        <item x="220"/>
        <item x="84"/>
        <item x="14"/>
        <item x="126"/>
        <item x="38"/>
        <item x="219"/>
        <item x="232"/>
        <item x="18"/>
        <item x="152"/>
        <item x="180"/>
        <item x="236"/>
        <item x="181"/>
        <item x="107"/>
        <item x="9"/>
        <item x="64"/>
        <item x="179"/>
        <item x="209"/>
        <item x="173"/>
        <item x="65"/>
        <item x="74"/>
        <item x="62"/>
        <item x="27"/>
        <item x="21"/>
        <item x="99"/>
        <item x="144"/>
        <item x="182"/>
        <item x="164"/>
        <item x="221"/>
        <item x="222"/>
        <item x="249"/>
        <item x="227"/>
        <item x="197"/>
        <item x="210"/>
        <item x="30"/>
        <item x="250"/>
      </items>
    </pivotField>
    <pivotField axis="axisRow" compact="0" outline="0" subtotalTop="0" showAll="0" includeNewItemsInFilter="1">
      <items count="1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9"/>
        <item x="47"/>
        <item x="48"/>
        <item x="50"/>
        <item x="51"/>
        <item x="52"/>
        <item x="53"/>
        <item x="54"/>
        <item x="55"/>
        <item x="56"/>
        <item x="57"/>
        <item x="58"/>
        <item x="59"/>
        <item x="60"/>
        <item x="61"/>
        <item x="62"/>
        <item x="63"/>
        <item x="64"/>
        <item x="65"/>
        <item x="67"/>
        <item x="66"/>
        <item x="69"/>
        <item x="68"/>
        <item x="70"/>
        <item x="71"/>
        <item x="72"/>
        <item x="73"/>
        <item x="74"/>
        <item x="75"/>
        <item x="76"/>
        <item x="77"/>
        <item x="78"/>
        <item x="79"/>
        <item x="80"/>
        <item x="81"/>
        <item x="82"/>
        <item x="83"/>
        <item x="84"/>
        <item x="85"/>
        <item x="86"/>
        <item x="87"/>
        <item x="88"/>
        <item x="89"/>
        <item x="91"/>
        <item x="90"/>
        <item x="92"/>
        <item x="93"/>
        <item x="94"/>
        <item x="95"/>
        <item x="97"/>
        <item x="96"/>
        <item x="101"/>
        <item x="98"/>
        <item x="99"/>
        <item x="100"/>
        <item x="102"/>
        <item x="103"/>
        <item x="104"/>
        <item x="105"/>
        <item x="106"/>
        <item x="107"/>
        <item x="108"/>
        <item x="109"/>
        <item x="110"/>
        <item x="111"/>
        <item x="112"/>
        <item x="115"/>
        <item x="114"/>
        <item x="113"/>
        <item x="116"/>
        <item x="117"/>
        <item x="118"/>
        <item x="119"/>
        <item x="120"/>
        <item x="121"/>
        <item x="122"/>
        <item x="123"/>
        <item x="124"/>
        <item x="125"/>
        <item x="126"/>
        <item x="127"/>
        <item x="128"/>
        <item x="129"/>
        <item x="130"/>
        <item x="131"/>
        <item x="132"/>
        <item x="134"/>
        <item x="133"/>
        <item x="135"/>
        <item x="136"/>
        <item x="138"/>
        <item x="137"/>
        <item x="140"/>
        <item x="139"/>
        <item x="141"/>
        <item x="142"/>
        <item x="143"/>
        <item x="144"/>
        <item x="145"/>
        <item t="default"/>
      </items>
    </pivotField>
    <pivotField axis="axisRow" compact="0" outline="0" subtotalTop="0" showAll="0" includeNewItemsInFilter="1" sortType="ascending" rankBy="0">
      <items count="18">
        <item h="1" x="0"/>
        <item h="1" x="1"/>
        <item h="1" x="2"/>
        <item h="1" x="3"/>
        <item h="1" x="4"/>
        <item h="1" x="5"/>
        <item h="1" x="6"/>
        <item h="1" x="7"/>
        <item h="1" x="8"/>
        <item h="1" x="9"/>
        <item h="1" x="10"/>
        <item h="1" x="11"/>
        <item h="1" x="12"/>
        <item h="1" x="13"/>
        <item x="14"/>
        <item x="15"/>
        <item h="1" x="16"/>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Row" compact="0" outline="0" subtotalTop="0" showAll="0" includeNewItemsInFilter="1" defaultSubtotal="0">
      <items count="118">
        <item x="106"/>
        <item x="46"/>
        <item x="54"/>
        <item x="76"/>
        <item x="90"/>
        <item x="19"/>
        <item x="73"/>
        <item x="69"/>
        <item x="32"/>
        <item x="33"/>
        <item x="9"/>
        <item x="83"/>
        <item x="14"/>
        <item x="28"/>
        <item x="38"/>
        <item x="42"/>
        <item x="24"/>
        <item x="110"/>
        <item x="7"/>
        <item x="40"/>
        <item x="82"/>
        <item x="80"/>
        <item x="101"/>
        <item x="4"/>
        <item x="87"/>
        <item x="3"/>
        <item x="52"/>
        <item x="63"/>
        <item x="107"/>
        <item x="17"/>
        <item x="75"/>
        <item x="55"/>
        <item x="45"/>
        <item x="35"/>
        <item x="1"/>
        <item x="60"/>
        <item x="105"/>
        <item x="62"/>
        <item x="8"/>
        <item x="20"/>
        <item x="44"/>
        <item x="85"/>
        <item x="79"/>
        <item x="43"/>
        <item x="74"/>
        <item x="65"/>
        <item x="15"/>
        <item x="27"/>
        <item x="49"/>
        <item x="72"/>
        <item x="29"/>
        <item x="68"/>
        <item x="53"/>
        <item x="11"/>
        <item x="30"/>
        <item x="58"/>
        <item x="114"/>
        <item x="93"/>
        <item x="70"/>
        <item x="77"/>
        <item x="41"/>
        <item x="26"/>
        <item x="37"/>
        <item x="84"/>
        <item x="2"/>
        <item x="113"/>
        <item x="36"/>
        <item x="100"/>
        <item x="108"/>
        <item x="95"/>
        <item x="117"/>
        <item x="6"/>
        <item x="86"/>
        <item x="56"/>
        <item x="78"/>
        <item x="47"/>
        <item x="31"/>
        <item x="57"/>
        <item x="98"/>
        <item x="66"/>
        <item x="39"/>
        <item x="89"/>
        <item x="61"/>
        <item x="12"/>
        <item x="115"/>
        <item x="112"/>
        <item x="111"/>
        <item x="64"/>
        <item x="71"/>
        <item x="91"/>
        <item x="23"/>
        <item x="67"/>
        <item x="92"/>
        <item x="34"/>
        <item x="18"/>
        <item x="21"/>
        <item x="81"/>
        <item x="103"/>
        <item x="59"/>
        <item x="10"/>
        <item x="109"/>
        <item x="99"/>
        <item x="13"/>
        <item x="97"/>
        <item x="116"/>
        <item x="5"/>
        <item x="50"/>
        <item x="96"/>
        <item x="104"/>
        <item x="94"/>
        <item x="51"/>
        <item x="48"/>
        <item x="22"/>
        <item x="16"/>
        <item x="102"/>
        <item x="88"/>
        <item x="25"/>
        <item x="0"/>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Row" dataField="1" compact="0" outline="0" subtotalTop="0" showAll="0" includeNewItemsInFilter="1" rankBy="0" defaultSubtotal="0">
      <items count="15">
        <item x="7"/>
        <item x="2"/>
        <item x="1"/>
        <item x="9"/>
        <item x="3"/>
        <item x="5"/>
        <item x="12"/>
        <item x="13"/>
        <item x="10"/>
        <item x="4"/>
        <item x="6"/>
        <item x="8"/>
        <item x="14"/>
        <item x="11"/>
        <item h="1" x="0"/>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5">
    <field x="4"/>
    <field x="28"/>
    <field x="10"/>
    <field x="2"/>
    <field x="3"/>
  </rowFields>
  <rowItems count="6">
    <i>
      <x v="14"/>
      <x/>
      <x v="56"/>
      <x v="126"/>
      <x v="127"/>
    </i>
    <i r="1">
      <x v="12"/>
      <x v="42"/>
      <x v="82"/>
      <x v="121"/>
    </i>
    <i t="default">
      <x v="14"/>
    </i>
    <i>
      <x v="15"/>
      <x v="1"/>
      <x v="104"/>
      <x v="158"/>
      <x v="140"/>
    </i>
    <i t="default">
      <x v="15"/>
    </i>
    <i t="grand">
      <x/>
    </i>
  </rowItems>
  <colItems count="1">
    <i/>
  </colItems>
  <dataFields count="1">
    <dataField name="Sum of Cash to ICRC" fld="28" baseField="0" baseItem="0"/>
  </dataFields>
  <formats count="6">
    <format dxfId="73">
      <pivotArea outline="0" fieldPosition="0">
        <references count="1">
          <reference field="10" count="19" selected="0">
            <x v="42"/>
            <x v="47"/>
            <x v="53"/>
            <x v="56"/>
            <x v="59"/>
            <x v="64"/>
            <x v="65"/>
            <x v="69"/>
            <x v="70"/>
            <x v="75"/>
            <x v="77"/>
            <x v="79"/>
            <x v="81"/>
            <x v="84"/>
            <x v="101"/>
            <x v="104"/>
            <x v="111"/>
            <x v="112"/>
            <x v="113"/>
          </reference>
        </references>
      </pivotArea>
    </format>
    <format dxfId="72">
      <pivotArea outline="0" fieldPosition="0">
        <references count="2">
          <reference field="4" count="1" selected="0">
            <x v="14"/>
          </reference>
          <reference field="10" count="11" selected="0">
            <x v="64"/>
            <x v="65"/>
            <x v="69"/>
            <x v="81"/>
            <x v="85"/>
            <x v="86"/>
            <x v="98"/>
            <x v="100"/>
            <x v="101"/>
            <x v="111"/>
            <x v="113"/>
          </reference>
        </references>
      </pivotArea>
    </format>
    <format dxfId="71">
      <pivotArea outline="0" fieldPosition="0">
        <references count="1">
          <reference field="4" count="1" selected="0" defaultSubtotal="1">
            <x v="14"/>
          </reference>
        </references>
      </pivotArea>
    </format>
    <format dxfId="70">
      <pivotArea outline="0" fieldPosition="0">
        <references count="1">
          <reference field="4" count="1" selected="0" defaultSubtotal="1">
            <x v="15"/>
          </reference>
        </references>
      </pivotArea>
    </format>
    <format dxfId="69">
      <pivotArea grandRow="1" outline="0" fieldPosition="0"/>
    </format>
    <format dxfId="68">
      <pivotArea outline="0" fieldPosition="0">
        <references count="2">
          <reference field="4" count="1" selected="0">
            <x v="14"/>
          </reference>
          <reference field="10" count="6" selected="0">
            <x v="40"/>
            <x v="42"/>
            <x v="46"/>
            <x v="47"/>
            <x v="55"/>
            <x v="56"/>
          </reference>
        </references>
      </pivotArea>
    </format>
  </formats>
  <pivotTableStyleInfo showRowHeaders="1" showColHeaders="1" showRowStripes="0" showColStripes="0" showLastColumn="1"/>
</pivotTableDefinition>
</file>

<file path=xl/pivotTables/pivotTable33.xml><?xml version="1.0" encoding="utf-8"?>
<pivotTableDefinition xmlns="http://schemas.openxmlformats.org/spreadsheetml/2006/main" name="PivotTable3" cacheId="2" dataOnRows="1" applyNumberFormats="0" applyBorderFormats="0" applyFontFormats="0" applyPatternFormats="0" applyAlignmentFormats="0" applyWidthHeightFormats="1" dataCaption="Data" updatedVersion="2" showMemberPropertyTips="0" useAutoFormatting="1" itemPrintTitles="1" createdVersion="1" indent="0" compact="0" compactData="0" gridDropZones="1">
  <location ref="J4:L146" firstHeaderRow="2" firstDataRow="2" firstDataCol="2"/>
  <pivotFields count="56">
    <pivotField compact="0" outline="0" subtotalTop="0" showAll="0" includeNewItemsInFilter="1"/>
    <pivotField compact="0" outline="0" subtotalTop="0" showAll="0" includeNewItemsInFilter="1"/>
    <pivotField axis="axisRow" compact="0" outline="0" subtotalTop="0" showAll="0" includeNewItemsInFilter="1">
      <items count="239">
        <item x="138"/>
        <item x="61"/>
        <item x="80"/>
        <item x="214"/>
        <item x="77"/>
        <item x="115"/>
        <item x="152"/>
        <item x="24"/>
        <item x="109"/>
        <item x="3"/>
        <item x="99"/>
        <item x="212"/>
        <item x="94"/>
        <item x="40"/>
        <item x="41"/>
        <item x="13"/>
        <item x="0"/>
        <item x="216"/>
        <item x="181"/>
        <item x="19"/>
        <item x="69"/>
        <item x="35"/>
        <item x="70"/>
        <item x="49"/>
        <item x="88"/>
        <item x="54"/>
        <item x="29"/>
        <item x="11"/>
        <item x="76"/>
        <item x="133"/>
        <item x="51"/>
        <item x="113"/>
        <item m="1" x="229"/>
        <item x="128"/>
        <item x="203"/>
        <item x="125"/>
        <item x="193"/>
        <item x="105"/>
        <item x="110"/>
        <item x="8"/>
        <item x="190"/>
        <item x="184"/>
        <item x="45"/>
        <item x="155"/>
        <item m="1" x="233"/>
        <item x="168"/>
        <item x="144"/>
        <item x="211"/>
        <item x="7"/>
        <item x="202"/>
        <item x="73"/>
        <item x="91"/>
        <item x="22"/>
        <item x="114"/>
        <item x="117"/>
        <item m="1" x="231"/>
        <item x="78"/>
        <item x="149"/>
        <item x="186"/>
        <item x="158"/>
        <item x="60"/>
        <item x="56"/>
        <item x="44"/>
        <item x="140"/>
        <item x="5"/>
        <item x="159"/>
        <item x="191"/>
        <item x="86"/>
        <item x="31"/>
        <item m="1" x="234"/>
        <item x="198"/>
        <item x="90"/>
        <item x="12"/>
        <item x="174"/>
        <item x="25"/>
        <item x="59"/>
        <item x="139"/>
        <item x="185"/>
        <item x="132"/>
        <item x="121"/>
        <item x="199"/>
        <item x="134"/>
        <item x="57"/>
        <item x="71"/>
        <item x="111"/>
        <item x="206"/>
        <item x="93"/>
        <item x="173"/>
        <item x="175"/>
        <item x="1"/>
        <item x="141"/>
        <item x="142"/>
        <item x="46"/>
        <item x="34"/>
        <item x="20"/>
        <item x="176"/>
        <item x="33"/>
        <item x="98"/>
        <item x="130"/>
        <item x="156"/>
        <item x="64"/>
        <item x="118"/>
        <item x="106"/>
        <item x="36"/>
        <item x="97"/>
        <item x="123"/>
        <item x="74"/>
        <item x="15"/>
        <item x="222"/>
        <item x="37"/>
        <item x="183"/>
        <item x="102"/>
        <item x="82"/>
        <item x="157"/>
        <item x="145"/>
        <item x="101"/>
        <item x="116"/>
        <item x="53"/>
        <item x="187"/>
        <item x="166"/>
        <item x="32"/>
        <item x="146"/>
        <item x="122"/>
        <item x="48"/>
        <item x="83"/>
        <item m="1" x="232"/>
        <item x="131"/>
        <item x="169"/>
        <item x="4"/>
        <item x="6"/>
        <item x="16"/>
        <item x="221"/>
        <item x="68"/>
        <item x="67"/>
        <item x="197"/>
        <item x="47"/>
        <item x="189"/>
        <item x="213"/>
        <item x="172"/>
        <item x="84"/>
        <item x="58"/>
        <item x="72"/>
        <item x="10"/>
        <item m="1" x="237"/>
        <item x="79"/>
        <item x="120"/>
        <item x="204"/>
        <item x="62"/>
        <item x="170"/>
        <item x="137"/>
        <item x="215"/>
        <item x="38"/>
        <item x="205"/>
        <item x="119"/>
        <item x="81"/>
        <item x="182"/>
        <item x="95"/>
        <item x="124"/>
        <item x="55"/>
        <item x="50"/>
        <item x="87"/>
        <item x="194"/>
        <item x="151"/>
        <item x="161"/>
        <item x="89"/>
        <item x="17"/>
        <item x="52"/>
        <item x="2"/>
        <item x="135"/>
        <item x="92"/>
        <item x="103"/>
        <item x="167"/>
        <item x="163"/>
        <item x="153"/>
        <item x="164"/>
        <item x="192"/>
        <item x="43"/>
        <item x="28"/>
        <item x="96"/>
        <item x="104"/>
        <item m="1" x="235"/>
        <item x="188"/>
        <item x="154"/>
        <item x="165"/>
        <item m="1" x="230"/>
        <item x="112"/>
        <item x="42"/>
        <item x="129"/>
        <item x="23"/>
        <item x="26"/>
        <item x="126"/>
        <item x="160"/>
        <item x="196"/>
        <item x="107"/>
        <item x="218"/>
        <item x="85"/>
        <item x="14"/>
        <item x="127"/>
        <item x="39"/>
        <item x="217"/>
        <item x="18"/>
        <item x="150"/>
        <item x="178"/>
        <item x="179"/>
        <item x="108"/>
        <item x="9"/>
        <item x="65"/>
        <item x="177"/>
        <item x="207"/>
        <item x="171"/>
        <item x="136"/>
        <item x="66"/>
        <item x="75"/>
        <item x="63"/>
        <item x="27"/>
        <item x="21"/>
        <item x="100"/>
        <item x="143"/>
        <item x="180"/>
        <item x="162"/>
        <item m="1" x="236"/>
        <item x="225"/>
        <item x="195"/>
        <item x="148"/>
        <item x="208"/>
        <item x="147"/>
        <item x="30"/>
        <item x="227"/>
        <item x="200"/>
        <item x="201"/>
        <item x="209"/>
        <item x="210"/>
        <item x="219"/>
        <item x="220"/>
        <item x="223"/>
        <item x="224"/>
        <item x="226"/>
        <item x="228"/>
        <item t="default"/>
      </items>
    </pivotField>
    <pivotField compact="0" outline="0" subtotalTop="0" showAll="0" includeNewItemsInFilter="1"/>
    <pivotField axis="axisRow" compact="0" outline="0" subtotalTop="0" showAll="0" includeNewItemsInFilter="1">
      <items count="17">
        <item h="1" x="0"/>
        <item h="1" x="4"/>
        <item h="1" x="5"/>
        <item h="1" x="6"/>
        <item h="1" x="7"/>
        <item h="1" x="8"/>
        <item x="9"/>
        <item x="10"/>
        <item x="11"/>
        <item x="12"/>
        <item x="13"/>
        <item h="1" x="15"/>
        <item x="14"/>
        <item h="1" x="3"/>
        <item h="1" x="2"/>
        <item h="1" x="1"/>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2">
    <field x="4"/>
    <field x="2"/>
  </rowFields>
  <rowItems count="141">
    <i>
      <x v="6"/>
      <x v="15"/>
    </i>
    <i r="1">
      <x v="19"/>
    </i>
    <i r="1">
      <x v="29"/>
    </i>
    <i r="1">
      <x v="33"/>
    </i>
    <i r="1">
      <x v="35"/>
    </i>
    <i r="1">
      <x v="48"/>
    </i>
    <i r="1">
      <x v="74"/>
    </i>
    <i r="1">
      <x v="78"/>
    </i>
    <i r="1">
      <x v="79"/>
    </i>
    <i r="1">
      <x v="98"/>
    </i>
    <i r="1">
      <x v="106"/>
    </i>
    <i r="1">
      <x v="126"/>
    </i>
    <i r="1">
      <x v="154"/>
    </i>
    <i r="1">
      <x v="157"/>
    </i>
    <i r="1">
      <x v="187"/>
    </i>
    <i r="1">
      <x v="190"/>
    </i>
    <i r="1">
      <x v="197"/>
    </i>
    <i t="default">
      <x v="6"/>
    </i>
    <i>
      <x v="7"/>
      <x/>
    </i>
    <i r="1">
      <x v="6"/>
    </i>
    <i r="1">
      <x v="43"/>
    </i>
    <i r="1">
      <x v="46"/>
    </i>
    <i r="1">
      <x v="57"/>
    </i>
    <i r="1">
      <x v="63"/>
    </i>
    <i r="1">
      <x v="64"/>
    </i>
    <i r="1">
      <x v="74"/>
    </i>
    <i r="1">
      <x v="76"/>
    </i>
    <i r="1">
      <x v="81"/>
    </i>
    <i r="1">
      <x v="90"/>
    </i>
    <i r="1">
      <x v="91"/>
    </i>
    <i r="1">
      <x v="99"/>
    </i>
    <i r="1">
      <x v="102"/>
    </i>
    <i r="1">
      <x v="106"/>
    </i>
    <i r="1">
      <x v="114"/>
    </i>
    <i r="1">
      <x v="121"/>
    </i>
    <i r="1">
      <x v="132"/>
    </i>
    <i r="1">
      <x v="149"/>
    </i>
    <i r="1">
      <x v="162"/>
    </i>
    <i r="1">
      <x v="168"/>
    </i>
    <i r="1">
      <x v="173"/>
    </i>
    <i r="1">
      <x v="182"/>
    </i>
    <i r="1">
      <x v="201"/>
    </i>
    <i r="1">
      <x v="210"/>
    </i>
    <i r="1">
      <x v="217"/>
    </i>
    <i r="1">
      <x v="223"/>
    </i>
    <i r="1">
      <x v="225"/>
    </i>
    <i t="default">
      <x v="7"/>
    </i>
    <i>
      <x v="8"/>
      <x v="23"/>
    </i>
    <i r="1">
      <x v="39"/>
    </i>
    <i r="1">
      <x v="45"/>
    </i>
    <i r="1">
      <x v="59"/>
    </i>
    <i r="1">
      <x v="65"/>
    </i>
    <i r="1">
      <x v="112"/>
    </i>
    <i r="1">
      <x v="113"/>
    </i>
    <i r="1">
      <x v="119"/>
    </i>
    <i r="1">
      <x v="127"/>
    </i>
    <i r="1">
      <x v="135"/>
    </i>
    <i r="1">
      <x v="163"/>
    </i>
    <i r="1">
      <x v="164"/>
    </i>
    <i r="1">
      <x v="171"/>
    </i>
    <i r="1">
      <x v="172"/>
    </i>
    <i r="1">
      <x v="174"/>
    </i>
    <i r="1">
      <x v="183"/>
    </i>
    <i r="1">
      <x v="190"/>
    </i>
    <i r="1">
      <x v="191"/>
    </i>
    <i r="1">
      <x v="219"/>
    </i>
    <i t="default">
      <x v="8"/>
    </i>
    <i>
      <x v="9"/>
      <x v="18"/>
    </i>
    <i r="1">
      <x v="19"/>
    </i>
    <i r="1">
      <x v="36"/>
    </i>
    <i r="1">
      <x v="40"/>
    </i>
    <i r="1">
      <x v="41"/>
    </i>
    <i r="1">
      <x v="58"/>
    </i>
    <i r="1">
      <x v="66"/>
    </i>
    <i r="1">
      <x v="73"/>
    </i>
    <i r="1">
      <x v="77"/>
    </i>
    <i r="1">
      <x v="87"/>
    </i>
    <i r="1">
      <x v="88"/>
    </i>
    <i r="1">
      <x v="95"/>
    </i>
    <i r="1">
      <x v="102"/>
    </i>
    <i r="1">
      <x v="110"/>
    </i>
    <i r="1">
      <x v="118"/>
    </i>
    <i r="1">
      <x v="129"/>
    </i>
    <i r="1">
      <x v="136"/>
    </i>
    <i r="1">
      <x v="138"/>
    </i>
    <i r="1">
      <x v="148"/>
    </i>
    <i r="1">
      <x v="155"/>
    </i>
    <i r="1">
      <x v="158"/>
    </i>
    <i r="1">
      <x v="161"/>
    </i>
    <i r="1">
      <x v="175"/>
    </i>
    <i r="1">
      <x v="181"/>
    </i>
    <i r="1">
      <x v="190"/>
    </i>
    <i r="1">
      <x v="191"/>
    </i>
    <i r="1">
      <x v="202"/>
    </i>
    <i r="1">
      <x v="203"/>
    </i>
    <i r="1">
      <x v="207"/>
    </i>
    <i r="1">
      <x v="209"/>
    </i>
    <i r="1">
      <x v="218"/>
    </i>
    <i t="default">
      <x v="9"/>
    </i>
    <i>
      <x v="10"/>
      <x v="3"/>
    </i>
    <i r="1">
      <x v="11"/>
    </i>
    <i r="1">
      <x v="17"/>
    </i>
    <i r="1">
      <x v="34"/>
    </i>
    <i r="1">
      <x v="43"/>
    </i>
    <i r="1">
      <x v="47"/>
    </i>
    <i r="1">
      <x v="49"/>
    </i>
    <i r="1">
      <x v="70"/>
    </i>
    <i r="1">
      <x v="80"/>
    </i>
    <i r="1">
      <x v="85"/>
    </i>
    <i r="1">
      <x v="104"/>
    </i>
    <i r="1">
      <x v="134"/>
    </i>
    <i r="1">
      <x v="137"/>
    </i>
    <i r="1">
      <x v="138"/>
    </i>
    <i r="1">
      <x v="146"/>
    </i>
    <i r="1">
      <x v="150"/>
    </i>
    <i r="1">
      <x v="152"/>
    </i>
    <i r="1">
      <x v="183"/>
    </i>
    <i r="1">
      <x v="192"/>
    </i>
    <i r="1">
      <x v="208"/>
    </i>
    <i r="1">
      <x v="215"/>
    </i>
    <i r="1">
      <x v="222"/>
    </i>
    <i r="1">
      <x v="224"/>
    </i>
    <i r="1">
      <x v="228"/>
    </i>
    <i r="1">
      <x v="229"/>
    </i>
    <i r="1">
      <x v="230"/>
    </i>
    <i r="1">
      <x v="231"/>
    </i>
    <i t="default">
      <x v="10"/>
    </i>
    <i>
      <x v="12"/>
      <x v="93"/>
    </i>
    <i r="1">
      <x v="108"/>
    </i>
    <i r="1">
      <x v="131"/>
    </i>
    <i r="1">
      <x v="194"/>
    </i>
    <i r="1">
      <x v="199"/>
    </i>
    <i r="1">
      <x v="221"/>
    </i>
    <i r="1">
      <x v="232"/>
    </i>
    <i r="1">
      <x v="233"/>
    </i>
    <i r="1">
      <x v="234"/>
    </i>
    <i r="1">
      <x v="235"/>
    </i>
    <i r="1">
      <x v="236"/>
    </i>
    <i r="1">
      <x v="237"/>
    </i>
    <i t="default">
      <x v="12"/>
    </i>
    <i t="grand">
      <x/>
    </i>
  </rowItems>
  <colItems count="1">
    <i/>
  </colItems>
  <dataFields count="1">
    <dataField name="Sum of Total Contributions" fld="52" baseField="0" baseItem="0"/>
  </dataFields>
  <formats count="15">
    <format dxfId="59">
      <pivotArea outline="0" fieldPosition="0"/>
    </format>
    <format dxfId="58">
      <pivotArea grandRow="1" outline="0" fieldPosition="0"/>
    </format>
    <format dxfId="57">
      <pivotArea dataOnly="0" labelOnly="1" grandRow="1" outline="0" fieldPosition="0"/>
    </format>
    <format dxfId="56">
      <pivotArea outline="0" fieldPosition="0">
        <references count="2">
          <reference field="2" count="1" selected="0">
            <x v="187"/>
          </reference>
          <reference field="4" count="1" selected="0">
            <x v="6"/>
          </reference>
        </references>
      </pivotArea>
    </format>
    <format dxfId="55">
      <pivotArea outline="0" fieldPosition="0">
        <references count="2">
          <reference field="2" count="1" selected="0">
            <x v="98"/>
          </reference>
          <reference field="4" count="1" selected="0">
            <x v="6"/>
          </reference>
        </references>
      </pivotArea>
    </format>
    <format dxfId="54">
      <pivotArea outline="0" fieldPosition="0">
        <references count="2">
          <reference field="2" count="1" selected="0">
            <x v="126"/>
          </reference>
          <reference field="4" count="1" selected="0">
            <x v="6"/>
          </reference>
        </references>
      </pivotArea>
    </format>
    <format dxfId="53">
      <pivotArea outline="0" fieldPosition="0">
        <references count="2">
          <reference field="2" count="1" selected="0">
            <x v="168"/>
          </reference>
          <reference field="4" count="1" selected="0">
            <x v="7"/>
          </reference>
        </references>
      </pivotArea>
    </format>
    <format dxfId="52">
      <pivotArea outline="0" fieldPosition="0">
        <references count="2">
          <reference field="2" count="1" selected="0">
            <x v="168"/>
          </reference>
          <reference field="4" count="1" selected="0">
            <x v="7"/>
          </reference>
        </references>
      </pivotArea>
    </format>
    <format dxfId="51">
      <pivotArea outline="0" fieldPosition="0">
        <references count="2">
          <reference field="2" count="1" selected="0">
            <x v="149"/>
          </reference>
          <reference field="4" count="1" selected="0">
            <x v="7"/>
          </reference>
        </references>
      </pivotArea>
    </format>
    <format dxfId="50">
      <pivotArea outline="0" fieldPosition="0">
        <references count="2">
          <reference field="2" count="1" selected="0">
            <x v="158"/>
          </reference>
          <reference field="4" count="1" selected="0">
            <x v="9"/>
          </reference>
        </references>
      </pivotArea>
    </format>
    <format dxfId="49">
      <pivotArea outline="0" fieldPosition="0">
        <references count="2">
          <reference field="2" count="1" selected="0">
            <x v="136"/>
          </reference>
          <reference field="4" count="1" selected="0">
            <x v="9"/>
          </reference>
        </references>
      </pivotArea>
    </format>
    <format dxfId="48">
      <pivotArea outline="0" fieldPosition="0">
        <references count="2">
          <reference field="2" count="1" selected="0">
            <x v="40"/>
          </reference>
          <reference field="4" count="1" selected="0">
            <x v="9"/>
          </reference>
        </references>
      </pivotArea>
    </format>
    <format dxfId="47">
      <pivotArea outline="0" fieldPosition="0">
        <references count="2">
          <reference field="2" count="1" selected="0">
            <x v="129"/>
          </reference>
          <reference field="4" count="1" selected="0">
            <x v="9"/>
          </reference>
        </references>
      </pivotArea>
    </format>
    <format dxfId="46">
      <pivotArea outline="0" fieldPosition="0">
        <references count="2">
          <reference field="2" count="1" selected="0">
            <x v="18"/>
          </reference>
          <reference field="4" count="1" selected="0">
            <x v="9"/>
          </reference>
        </references>
      </pivotArea>
    </format>
    <format dxfId="45">
      <pivotArea outline="0" fieldPosition="0">
        <references count="2">
          <reference field="2" count="1" selected="0">
            <x v="80"/>
          </reference>
          <reference field="4" count="1" selected="0">
            <x v="10"/>
          </reference>
        </references>
      </pivotArea>
    </format>
  </formats>
  <pivotTableStyleInfo showRowHeaders="1" showColHeaders="1" showRowStripes="0" showColStripes="0" showLastColumn="1"/>
</pivotTableDefinition>
</file>

<file path=xl/pivotTables/pivotTable34.xml><?xml version="1.0" encoding="utf-8"?>
<pivotTableDefinition xmlns="http://schemas.openxmlformats.org/spreadsheetml/2006/main" name="PivotTable1" cacheId="2" dataOnRows="1" applyNumberFormats="0" applyBorderFormats="0" applyFontFormats="0" applyPatternFormats="0" applyAlignmentFormats="0" applyWidthHeightFormats="1" dataCaption="Data" updatedVersion="2" showMemberPropertyTips="0" useAutoFormatting="1" itemPrintTitles="1" createdVersion="1" indent="0" compact="0" compactData="0" gridDropZones="1">
  <location ref="A4:B21" firstHeaderRow="2" firstDataRow="2" firstDataCol="1"/>
  <pivotFields count="56">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Row" compact="0" outline="0" subtotalTop="0" showAll="0" includeNewItemsInFilter="1">
      <items count="17">
        <item x="0"/>
        <item x="4"/>
        <item x="5"/>
        <item x="6"/>
        <item x="7"/>
        <item x="8"/>
        <item x="9"/>
        <item x="10"/>
        <item x="11"/>
        <item x="12"/>
        <item x="13"/>
        <item h="1" x="15"/>
        <item x="14"/>
        <item x="3"/>
        <item x="2"/>
        <item x="1"/>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1">
    <field x="4"/>
  </rowFields>
  <rowItems count="16">
    <i>
      <x/>
    </i>
    <i>
      <x v="1"/>
    </i>
    <i>
      <x v="2"/>
    </i>
    <i>
      <x v="3"/>
    </i>
    <i>
      <x v="4"/>
    </i>
    <i>
      <x v="5"/>
    </i>
    <i>
      <x v="6"/>
    </i>
    <i>
      <x v="7"/>
    </i>
    <i>
      <x v="8"/>
    </i>
    <i>
      <x v="9"/>
    </i>
    <i>
      <x v="10"/>
    </i>
    <i>
      <x v="12"/>
    </i>
    <i>
      <x v="13"/>
    </i>
    <i>
      <x v="14"/>
    </i>
    <i>
      <x v="15"/>
    </i>
    <i t="grand">
      <x/>
    </i>
  </rowItems>
  <colItems count="1">
    <i/>
  </colItems>
  <dataFields count="1">
    <dataField name="Sum of Total Contributions" fld="52" baseField="0" baseItem="0"/>
  </dataFields>
  <formats count="3">
    <format dxfId="62">
      <pivotArea outline="0" fieldPosition="0"/>
    </format>
    <format dxfId="61">
      <pivotArea grandRow="1" outline="0" fieldPosition="0"/>
    </format>
    <format dxfId="60">
      <pivotArea dataOnly="0" labelOnly="1" grandRow="1" outline="0" fieldPosition="0"/>
    </format>
  </formats>
  <pivotTableStyleInfo showRowHeaders="1" showColHeaders="1" showRowStripes="0" showColStripes="0" showLastColumn="1"/>
</pivotTableDefinition>
</file>

<file path=xl/pivotTables/pivotTable35.xml><?xml version="1.0" encoding="utf-8"?>
<pivotTableDefinition xmlns="http://schemas.openxmlformats.org/spreadsheetml/2006/main" name="PivotTable2" cacheId="2" dataOnRows="1" applyNumberFormats="0" applyBorderFormats="0" applyFontFormats="0" applyPatternFormats="0" applyAlignmentFormats="0" applyWidthHeightFormats="1" dataCaption="Data" updatedVersion="2" showMemberPropertyTips="0" useAutoFormatting="1" itemPrintTitles="1" createdVersion="1" indent="0" compact="0" compactData="0" gridDropZones="1">
  <location ref="E4:F18" firstHeaderRow="2" firstDataRow="2" firstDataCol="1"/>
  <pivotFields count="56">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Row" compact="0" outline="0" subtotalTop="0" showAll="0" includeNewItemsInFilter="1">
      <items count="17">
        <item x="0"/>
        <item x="4"/>
        <item x="5"/>
        <item x="6"/>
        <item x="7"/>
        <item x="8"/>
        <item x="9"/>
        <item x="10"/>
        <item x="11"/>
        <item x="12"/>
        <item x="13"/>
        <item h="1" x="15"/>
        <item x="14"/>
        <item h="1" x="3"/>
        <item h="1" x="2"/>
        <item h="1" x="1"/>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1">
    <field x="4"/>
  </rowFields>
  <rowItems count="13">
    <i>
      <x/>
    </i>
    <i>
      <x v="1"/>
    </i>
    <i>
      <x v="2"/>
    </i>
    <i>
      <x v="3"/>
    </i>
    <i>
      <x v="4"/>
    </i>
    <i>
      <x v="5"/>
    </i>
    <i>
      <x v="6"/>
    </i>
    <i>
      <x v="7"/>
    </i>
    <i>
      <x v="8"/>
    </i>
    <i>
      <x v="9"/>
    </i>
    <i>
      <x v="10"/>
    </i>
    <i>
      <x v="12"/>
    </i>
    <i t="grand">
      <x/>
    </i>
  </rowItems>
  <colItems count="1">
    <i/>
  </colItems>
  <dataFields count="1">
    <dataField name="Sum of Total Contributions" fld="52" baseField="0" baseItem="0"/>
  </dataFields>
  <formats count="3">
    <format dxfId="65">
      <pivotArea outline="0" fieldPosition="0"/>
    </format>
    <format dxfId="64">
      <pivotArea grandRow="1" outline="0" fieldPosition="0"/>
    </format>
    <format dxfId="63">
      <pivotArea dataOnly="0" labelOnly="1" grandRow="1" outline="0" fieldPosition="0"/>
    </format>
  </formats>
  <pivotTableStyleInfo showRowHeaders="1" showColHeaders="1" showRowStripes="0" showColStripes="0" showLastColumn="1"/>
</pivotTableDefinition>
</file>

<file path=xl/pivotTables/pivotTable36.xml><?xml version="1.0" encoding="utf-8"?>
<pivotTableDefinition xmlns="http://schemas.openxmlformats.org/spreadsheetml/2006/main" name="PivotTable2" cacheId="24" dataOnRows="1" applyNumberFormats="0" applyBorderFormats="0" applyFontFormats="0" applyPatternFormats="0" applyAlignmentFormats="0" applyWidthHeightFormats="1" dataCaption="Data" updatedVersion="3" minRefreshableVersion="3" showMemberPropertyTips="0" useAutoFormatting="1" itemPrintTitles="1" createdVersion="3" indent="0" compact="0" compactData="0" gridDropZones="1">
  <location ref="A3:E251" firstHeaderRow="2" firstDataRow="2" firstDataCol="4"/>
  <pivotFields count="77">
    <pivotField compact="0" outline="0" subtotalTop="0" showAll="0" includeNewItemsInFilter="1"/>
    <pivotField compact="0" outline="0" subtotalTop="0" showAll="0" includeNewItemsInFilter="1"/>
    <pivotField axis="axisRow" compact="0" outline="0" subtotalTop="0" showAll="0" includeNewItemsInFilter="1">
      <items count="254">
        <item x="60"/>
        <item x="79"/>
        <item x="216"/>
        <item x="76"/>
        <item x="114"/>
        <item x="154"/>
        <item x="24"/>
        <item x="108"/>
        <item x="1"/>
        <item x="98"/>
        <item x="214"/>
        <item x="93"/>
        <item x="39"/>
        <item x="40"/>
        <item x="13"/>
        <item x="4"/>
        <item x="218"/>
        <item x="183"/>
        <item x="19"/>
        <item x="68"/>
        <item x="34"/>
        <item x="69"/>
        <item x="48"/>
        <item x="87"/>
        <item x="53"/>
        <item x="29"/>
        <item x="11"/>
        <item x="75"/>
        <item x="132"/>
        <item x="50"/>
        <item x="112"/>
        <item x="203"/>
        <item x="202"/>
        <item x="127"/>
        <item x="205"/>
        <item x="124"/>
        <item x="233"/>
        <item x="195"/>
        <item x="104"/>
        <item x="109"/>
        <item x="8"/>
        <item x="192"/>
        <item x="186"/>
        <item x="44"/>
        <item x="157"/>
        <item x="170"/>
        <item x="145"/>
        <item x="213"/>
        <item x="7"/>
        <item x="204"/>
        <item x="72"/>
        <item x="90"/>
        <item x="22"/>
        <item x="113"/>
        <item x="116"/>
        <item x="77"/>
        <item x="150"/>
        <item x="188"/>
        <item x="160"/>
        <item x="59"/>
        <item x="55"/>
        <item x="43"/>
        <item x="230"/>
        <item x="141"/>
        <item x="5"/>
        <item x="161"/>
        <item x="193"/>
        <item x="85"/>
        <item x="211"/>
        <item x="212"/>
        <item x="200"/>
        <item x="89"/>
        <item x="12"/>
        <item x="176"/>
        <item x="25"/>
        <item x="58"/>
        <item x="187"/>
        <item x="131"/>
        <item x="231"/>
        <item x="120"/>
        <item x="201"/>
        <item m="1" x="246"/>
        <item x="56"/>
        <item x="70"/>
        <item x="110"/>
        <item x="208"/>
        <item x="92"/>
        <item x="175"/>
        <item x="177"/>
        <item x="137"/>
        <item x="3"/>
        <item x="139"/>
        <item x="140"/>
        <item x="142"/>
        <item x="143"/>
        <item x="45"/>
        <item x="33"/>
        <item x="20"/>
        <item x="178"/>
        <item x="32"/>
        <item x="97"/>
        <item x="129"/>
        <item x="158"/>
        <item x="63"/>
        <item x="117"/>
        <item x="105"/>
        <item x="35"/>
        <item x="96"/>
        <item x="122"/>
        <item x="73"/>
        <item x="15"/>
        <item x="224"/>
        <item x="36"/>
        <item x="229"/>
        <item x="185"/>
        <item x="101"/>
        <item x="81"/>
        <item x="237"/>
        <item m="1" x="248"/>
        <item m="1" x="251"/>
        <item x="100"/>
        <item x="115"/>
        <item x="52"/>
        <item x="189"/>
        <item x="168"/>
        <item x="31"/>
        <item m="1" x="247"/>
        <item x="121"/>
        <item x="47"/>
        <item x="82"/>
        <item x="130"/>
        <item x="171"/>
        <item x="0"/>
        <item x="6"/>
        <item x="16"/>
        <item x="223"/>
        <item x="67"/>
        <item x="66"/>
        <item x="199"/>
        <item x="234"/>
        <item x="46"/>
        <item x="191"/>
        <item x="215"/>
        <item x="235"/>
        <item x="174"/>
        <item x="83"/>
        <item x="57"/>
        <item x="71"/>
        <item x="10"/>
        <item x="78"/>
        <item x="119"/>
        <item x="206"/>
        <item x="61"/>
        <item x="172"/>
        <item x="138"/>
        <item x="217"/>
        <item x="238"/>
        <item x="37"/>
        <item x="207"/>
        <item x="118"/>
        <item x="80"/>
        <item x="184"/>
        <item x="94"/>
        <item x="123"/>
        <item x="54"/>
        <item x="49"/>
        <item x="86"/>
        <item x="196"/>
        <item x="153"/>
        <item x="163"/>
        <item x="88"/>
        <item x="17"/>
        <item x="51"/>
        <item x="2"/>
        <item x="136"/>
        <item x="228"/>
        <item x="91"/>
        <item x="102"/>
        <item x="169"/>
        <item x="165"/>
        <item x="155"/>
        <item x="166"/>
        <item x="194"/>
        <item x="42"/>
        <item x="28"/>
        <item x="95"/>
        <item x="103"/>
        <item x="225"/>
        <item x="226"/>
        <item x="190"/>
        <item x="156"/>
        <item x="167"/>
        <item x="111"/>
        <item x="41"/>
        <item x="128"/>
        <item x="23"/>
        <item x="26"/>
        <item x="125"/>
        <item x="162"/>
        <item x="198"/>
        <item x="106"/>
        <item x="220"/>
        <item x="84"/>
        <item x="14"/>
        <item x="126"/>
        <item x="38"/>
        <item x="219"/>
        <item x="232"/>
        <item x="18"/>
        <item x="152"/>
        <item x="180"/>
        <item x="236"/>
        <item x="181"/>
        <item x="107"/>
        <item x="9"/>
        <item x="64"/>
        <item x="179"/>
        <item x="209"/>
        <item x="173"/>
        <item x="65"/>
        <item x="74"/>
        <item x="62"/>
        <item x="27"/>
        <item x="21"/>
        <item x="99"/>
        <item x="144"/>
        <item x="182"/>
        <item x="164"/>
        <item x="221"/>
        <item x="222"/>
        <item x="227"/>
        <item x="197"/>
        <item m="1" x="250"/>
        <item x="210"/>
        <item m="1" x="249"/>
        <item x="30"/>
        <item m="1" x="245"/>
        <item m="1" x="252"/>
        <item x="240"/>
        <item x="241"/>
        <item x="242"/>
        <item x="243"/>
        <item x="133"/>
        <item x="134"/>
        <item x="135"/>
        <item x="146"/>
        <item x="147"/>
        <item x="148"/>
        <item x="149"/>
        <item x="151"/>
        <item x="159"/>
        <item x="244"/>
        <item x="239"/>
        <item t="default"/>
      </items>
    </pivotField>
    <pivotField axis="axisRow" compact="0" outline="0" subtotalTop="0" showAll="0" includeNewItemsInFilter="1" defaultSubtotal="0">
      <items count="1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9"/>
        <item x="47"/>
        <item x="48"/>
        <item x="50"/>
        <item x="51"/>
        <item x="52"/>
        <item x="53"/>
        <item x="54"/>
        <item x="55"/>
        <item x="56"/>
        <item x="57"/>
        <item x="58"/>
        <item x="59"/>
        <item x="60"/>
        <item x="61"/>
        <item x="62"/>
        <item x="63"/>
        <item x="64"/>
        <item x="65"/>
        <item x="67"/>
        <item x="66"/>
        <item x="69"/>
        <item x="68"/>
        <item x="70"/>
        <item x="71"/>
        <item x="72"/>
        <item x="73"/>
        <item x="74"/>
        <item x="75"/>
        <item x="76"/>
        <item x="77"/>
        <item x="78"/>
        <item x="79"/>
        <item x="80"/>
        <item x="81"/>
        <item x="82"/>
        <item x="83"/>
        <item x="84"/>
        <item x="85"/>
        <item x="86"/>
        <item x="87"/>
        <item x="88"/>
        <item x="89"/>
        <item x="91"/>
        <item x="90"/>
        <item x="92"/>
        <item x="93"/>
        <item x="94"/>
        <item x="95"/>
        <item x="97"/>
        <item x="96"/>
        <item x="101"/>
        <item x="98"/>
        <item x="99"/>
        <item x="100"/>
        <item x="102"/>
        <item x="103"/>
        <item x="104"/>
        <item x="105"/>
        <item x="106"/>
        <item x="107"/>
        <item x="108"/>
        <item x="109"/>
        <item x="110"/>
        <item x="111"/>
        <item x="112"/>
        <item x="115"/>
        <item x="114"/>
        <item x="113"/>
        <item x="116"/>
        <item x="117"/>
        <item x="118"/>
        <item x="119"/>
        <item x="120"/>
        <item x="121"/>
        <item x="122"/>
        <item x="123"/>
        <item x="124"/>
        <item x="125"/>
        <item x="126"/>
        <item x="127"/>
        <item x="128"/>
        <item x="129"/>
        <item x="130"/>
        <item x="131"/>
        <item x="132"/>
        <item x="133"/>
        <item x="134"/>
        <item x="135"/>
        <item x="136"/>
        <item x="137"/>
        <item x="138"/>
      </items>
    </pivotField>
    <pivotField axis="axisRow" compact="0" outline="0" subtotalTop="0" showAll="0" includeNewItemsInFilter="1" defaultSubtotal="0">
      <items count="16">
        <item h="1" x="0"/>
        <item h="1" x="1"/>
        <item h="1" x="2"/>
        <item h="1" x="3"/>
        <item h="1" x="4"/>
        <item h="1" x="5"/>
        <item h="1" x="6"/>
        <item h="1" x="7"/>
        <item h="1" x="8"/>
        <item h="1" x="9"/>
        <item x="10"/>
        <item x="11"/>
        <item x="12"/>
        <item x="13"/>
        <item x="14"/>
        <item h="1" x="15"/>
      </items>
    </pivotField>
    <pivotField axis="axisRow" compact="0" outline="0" subtotalTop="0" showAll="0" includeNewItemsInFilter="1">
      <items count="35">
        <item x="1"/>
        <item x="2"/>
        <item h="1" x="3"/>
        <item x="4"/>
        <item x="5"/>
        <item x="6"/>
        <item x="7"/>
        <item x="8"/>
        <item x="9"/>
        <item x="10"/>
        <item x="11"/>
        <item x="12"/>
        <item x="13"/>
        <item x="14"/>
        <item x="15"/>
        <item x="16"/>
        <item x="17"/>
        <item x="18"/>
        <item x="19"/>
        <item x="23"/>
        <item x="20"/>
        <item x="21"/>
        <item x="22"/>
        <item x="24"/>
        <item x="25"/>
        <item x="26"/>
        <item x="27"/>
        <item x="28"/>
        <item x="29"/>
        <item x="31"/>
        <item x="32"/>
        <item x="30"/>
        <item x="33"/>
        <item x="0"/>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howAll="0"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howAll="0" defaultSubtotal="0"/>
    <pivotField compact="0" outline="0" subtotalTop="0" showAll="0" includeNewItemsInFilter="1"/>
    <pivotField compact="0" outline="0" showAll="0" defaultSubtotal="0"/>
    <pivotField compact="0" outline="0" subtotalTop="0" showAll="0" includeNewItemsInFilter="1"/>
    <pivotField compact="0" outline="0" subtotalTop="0" showAll="0" includeNewItemsInFilter="1"/>
    <pivotField compact="0" outline="0" subtotalTop="0" showAll="0" includeNewItemsInFilter="1"/>
    <pivotField compact="0" outline="0" showAll="0" defaultSubtotal="0"/>
    <pivotField compact="0" outline="0" subtotalTop="0" showAll="0" includeNewItemsInFilter="1"/>
    <pivotField compact="0" outline="0" subtotalTop="0" showAll="0" includeNewItemsInFilter="1"/>
    <pivotField compact="0" outline="0" subtotalTop="0" showAll="0" includeNewItemsInFilter="1"/>
    <pivotField compact="0" outline="0" showAll="0"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howAll="0" defaultSubtotal="0"/>
    <pivotField dataField="1" compact="0" outline="0" subtotalTop="0" showAll="0" includeNewItemsInFilter="1"/>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4">
    <field x="4"/>
    <field x="3"/>
    <field x="5"/>
    <field x="2"/>
  </rowFields>
  <rowItems count="247">
    <i>
      <x v="10"/>
      <x v="61"/>
      <x/>
      <x v="242"/>
    </i>
    <i r="3">
      <x v="243"/>
    </i>
    <i r="3">
      <x v="244"/>
    </i>
    <i t="default" r="2">
      <x/>
    </i>
    <i r="2">
      <x v="1"/>
      <x v="174"/>
    </i>
    <i t="default" r="2">
      <x v="1"/>
    </i>
    <i r="1">
      <x v="63"/>
      <x v="3"/>
      <x v="154"/>
    </i>
    <i t="default" r="2">
      <x v="3"/>
    </i>
    <i r="2">
      <x v="4"/>
      <x v="91"/>
    </i>
    <i r="3">
      <x v="92"/>
    </i>
    <i t="default" r="2">
      <x v="4"/>
    </i>
    <i r="2">
      <x v="5"/>
      <x v="63"/>
    </i>
    <i t="default" r="2">
      <x v="5"/>
    </i>
    <i r="2">
      <x v="6"/>
      <x v="93"/>
    </i>
    <i r="3">
      <x v="94"/>
    </i>
    <i t="default" r="2">
      <x v="6"/>
    </i>
    <i r="2">
      <x v="7"/>
      <x v="225"/>
    </i>
    <i t="default" r="2">
      <x v="7"/>
    </i>
    <i r="1">
      <x v="64"/>
      <x v="8"/>
      <x v="46"/>
    </i>
    <i t="default" r="2">
      <x v="8"/>
    </i>
    <i r="1">
      <x v="65"/>
      <x v="9"/>
      <x v="245"/>
    </i>
    <i r="3">
      <x v="246"/>
    </i>
    <i r="3">
      <x v="247"/>
    </i>
    <i r="3">
      <x v="248"/>
    </i>
    <i t="default" r="2">
      <x v="9"/>
    </i>
    <i r="1">
      <x v="66"/>
      <x v="12"/>
      <x v="209"/>
    </i>
    <i t="default" r="2">
      <x v="12"/>
    </i>
    <i r="2">
      <x v="13"/>
      <x v="168"/>
    </i>
    <i t="default" r="2">
      <x v="13"/>
    </i>
    <i r="1">
      <x v="67"/>
      <x v="10"/>
      <x v="56"/>
    </i>
    <i t="default" r="2">
      <x v="10"/>
    </i>
    <i r="2">
      <x v="11"/>
      <x v="249"/>
    </i>
    <i t="default" r="2">
      <x v="11"/>
    </i>
    <i r="1">
      <x v="68"/>
      <x v="15"/>
      <x v="64"/>
    </i>
    <i t="default" r="2">
      <x v="15"/>
    </i>
    <i r="2">
      <x v="16"/>
      <x v="180"/>
    </i>
    <i t="default" r="2">
      <x v="16"/>
    </i>
    <i r="2">
      <x v="17"/>
      <x v="190"/>
    </i>
    <i t="default" r="2">
      <x v="17"/>
    </i>
    <i r="1">
      <x v="69"/>
      <x v="14"/>
      <x v="5"/>
    </i>
    <i t="default" r="2">
      <x v="14"/>
    </i>
    <i r="2">
      <x v="18"/>
      <x v="44"/>
    </i>
    <i t="default" r="2">
      <x v="18"/>
    </i>
    <i r="2">
      <x v="19"/>
      <x v="102"/>
    </i>
    <i t="default" r="2">
      <x v="19"/>
    </i>
    <i>
      <x v="11"/>
      <x v="70"/>
      <x/>
      <x v="170"/>
    </i>
    <i t="default" r="2">
      <x/>
    </i>
    <i r="2">
      <x v="1"/>
      <x v="250"/>
    </i>
    <i t="default" r="2">
      <x v="1"/>
    </i>
    <i r="1">
      <x v="71"/>
      <x v="3"/>
      <x v="58"/>
    </i>
    <i t="default" r="2">
      <x v="3"/>
    </i>
    <i r="2">
      <x v="4"/>
      <x v="65"/>
    </i>
    <i t="default" r="2">
      <x v="4"/>
    </i>
    <i r="1">
      <x v="72"/>
      <x v="5"/>
      <x v="198"/>
    </i>
    <i t="default" r="2">
      <x v="5"/>
    </i>
    <i r="1">
      <x v="73"/>
      <x v="6"/>
      <x v="169"/>
    </i>
    <i t="default" r="2">
      <x v="6"/>
    </i>
    <i r="2">
      <x v="7"/>
      <x v="227"/>
    </i>
    <i t="default" r="2">
      <x v="7"/>
    </i>
    <i r="1">
      <x v="74"/>
      <x v="8"/>
      <x v="179"/>
    </i>
    <i t="default" r="2">
      <x v="8"/>
    </i>
    <i r="2">
      <x v="9"/>
      <x v="116"/>
    </i>
    <i t="default" r="2">
      <x v="9"/>
    </i>
    <i r="2">
      <x v="10"/>
      <x v="181"/>
    </i>
    <i t="default" r="2">
      <x v="10"/>
    </i>
    <i r="1">
      <x v="75"/>
      <x v="11"/>
      <x v="140"/>
    </i>
    <i t="default" r="2">
      <x v="11"/>
    </i>
    <i r="2">
      <x v="12"/>
      <x v="22"/>
    </i>
    <i t="default" r="2">
      <x v="12"/>
    </i>
    <i r="1">
      <x v="76"/>
      <x v="13"/>
      <x v="191"/>
    </i>
    <i t="default" r="2">
      <x v="13"/>
    </i>
    <i r="2">
      <x v="14"/>
      <x v="124"/>
    </i>
    <i t="default" r="2">
      <x v="14"/>
    </i>
    <i r="1">
      <x v="77"/>
      <x v="15"/>
      <x v="178"/>
    </i>
    <i t="default" r="2">
      <x v="15"/>
    </i>
    <i r="1">
      <x v="78"/>
      <x v="16"/>
      <x v="45"/>
    </i>
    <i t="default" r="2">
      <x v="16"/>
    </i>
    <i r="2">
      <x v="17"/>
      <x v="131"/>
    </i>
    <i t="default" r="2">
      <x v="17"/>
    </i>
    <i r="1">
      <x v="79"/>
      <x v="18"/>
      <x v="179"/>
    </i>
    <i t="default" r="2">
      <x v="18"/>
    </i>
    <i r="2">
      <x v="19"/>
      <x v="197"/>
    </i>
    <i t="default" r="2">
      <x v="19"/>
    </i>
    <i>
      <x v="12"/>
      <x v="80"/>
      <x/>
      <x v="153"/>
    </i>
    <i t="default" r="2">
      <x/>
    </i>
    <i r="2">
      <x v="1"/>
      <x v="18"/>
    </i>
    <i t="default" r="2">
      <x v="1"/>
    </i>
    <i r="2">
      <x v="3"/>
      <x v="198"/>
    </i>
    <i t="default" r="2">
      <x v="3"/>
    </i>
    <i r="2">
      <x v="4"/>
      <x v="218"/>
    </i>
    <i t="default" r="2">
      <x v="4"/>
    </i>
    <i r="1">
      <x v="81"/>
      <x v="5"/>
      <x v="144"/>
    </i>
    <i t="default" r="2">
      <x v="5"/>
    </i>
    <i r="2">
      <x v="6"/>
      <x v="164"/>
    </i>
    <i t="default" r="2">
      <x v="6"/>
    </i>
    <i r="2">
      <x v="7"/>
      <x v="87"/>
    </i>
    <i t="default" r="2">
      <x v="7"/>
    </i>
    <i r="1">
      <x v="82"/>
      <x v="8"/>
      <x v="73"/>
    </i>
    <i t="default" r="2">
      <x v="8"/>
    </i>
    <i r="2">
      <x v="9"/>
      <x v="88"/>
    </i>
    <i t="default" r="2">
      <x v="9"/>
    </i>
    <i r="2">
      <x v="10"/>
      <x v="98"/>
    </i>
    <i t="default" r="2">
      <x v="10"/>
    </i>
    <i r="2">
      <x v="11"/>
      <x v="216"/>
    </i>
    <i t="default" r="2">
      <x v="11"/>
    </i>
    <i r="2">
      <x v="12"/>
      <x v="210"/>
    </i>
    <i t="default" r="2">
      <x v="12"/>
    </i>
    <i r="1">
      <x v="83"/>
      <x v="13"/>
      <x v="212"/>
    </i>
    <i t="default" r="2">
      <x v="13"/>
    </i>
    <i r="1">
      <x v="84"/>
      <x v="13"/>
      <x v="212"/>
    </i>
    <i t="default" r="2">
      <x v="13"/>
    </i>
    <i r="2">
      <x v="14"/>
      <x v="133"/>
    </i>
    <i t="default" r="2">
      <x v="14"/>
    </i>
    <i r="2">
      <x v="15"/>
      <x v="226"/>
    </i>
    <i t="default" r="2">
      <x v="15"/>
    </i>
    <i r="2">
      <x v="16"/>
      <x v="17"/>
    </i>
    <i t="default" r="2">
      <x v="16"/>
    </i>
    <i r="2">
      <x v="17"/>
      <x v="161"/>
    </i>
    <i t="default" r="2">
      <x v="17"/>
    </i>
    <i r="1">
      <x v="85"/>
      <x v="18"/>
      <x v="114"/>
    </i>
    <i t="default" r="2">
      <x v="18"/>
    </i>
    <i r="1">
      <x v="86"/>
      <x v="19"/>
      <x v="42"/>
    </i>
    <i t="default" r="2">
      <x v="19"/>
    </i>
    <i r="2">
      <x v="20"/>
      <x v="76"/>
    </i>
    <i t="default" r="2">
      <x v="20"/>
    </i>
    <i r="2">
      <x v="21"/>
      <x v="197"/>
    </i>
    <i t="default" r="2">
      <x v="21"/>
    </i>
    <i r="2">
      <x v="22"/>
      <x v="57"/>
    </i>
    <i t="default" r="2">
      <x v="22"/>
    </i>
    <i r="1">
      <x v="87"/>
      <x v="23"/>
      <x v="105"/>
    </i>
    <i t="default" r="2">
      <x v="23"/>
    </i>
    <i r="2">
      <x v="24"/>
      <x v="123"/>
    </i>
    <i t="default" r="2">
      <x v="24"/>
    </i>
    <i r="2">
      <x v="25"/>
      <x v="189"/>
    </i>
    <i t="default" r="2">
      <x v="25"/>
    </i>
    <i r="2">
      <x v="26"/>
      <x v="189"/>
    </i>
    <i t="default" r="2">
      <x v="26"/>
    </i>
    <i r="1">
      <x v="88"/>
      <x v="27"/>
      <x v="141"/>
    </i>
    <i t="default" r="2">
      <x v="27"/>
    </i>
    <i r="2">
      <x v="28"/>
      <x v="41"/>
    </i>
    <i t="default" r="2">
      <x v="28"/>
    </i>
    <i r="1">
      <x v="89"/>
      <x v="29"/>
      <x v="182"/>
    </i>
    <i t="default" r="2">
      <x v="29"/>
    </i>
    <i r="2">
      <x v="30"/>
      <x v="37"/>
    </i>
    <i t="default" r="2">
      <x v="30"/>
    </i>
    <i r="2">
      <x v="31"/>
      <x v="66"/>
    </i>
    <i t="default" r="2">
      <x v="31"/>
    </i>
    <i r="2">
      <x v="32"/>
      <x v="167"/>
    </i>
    <i t="default" r="2">
      <x v="32"/>
    </i>
    <i>
      <x v="13"/>
      <x v="90"/>
      <x v="1"/>
      <x v="199"/>
    </i>
    <i t="default" r="2">
      <x v="1"/>
    </i>
    <i r="1">
      <x v="91"/>
      <x/>
      <x v="231"/>
    </i>
    <i t="default" r="2">
      <x/>
    </i>
    <i r="1">
      <x v="92"/>
      <x v="3"/>
      <x v="70"/>
    </i>
    <i t="default" r="2">
      <x v="3"/>
    </i>
    <i r="1">
      <x v="93"/>
      <x v="4"/>
      <x v="144"/>
    </i>
    <i t="default" r="2">
      <x v="4"/>
    </i>
    <i r="2">
      <x v="5"/>
      <x v="80"/>
    </i>
    <i t="default" r="2">
      <x v="5"/>
    </i>
    <i r="2">
      <x v="6"/>
      <x v="31"/>
    </i>
    <i r="3">
      <x v="32"/>
    </i>
    <i t="default" r="2">
      <x v="6"/>
    </i>
    <i r="2">
      <x v="7"/>
      <x v="49"/>
    </i>
    <i t="default" r="2">
      <x v="7"/>
    </i>
    <i r="1">
      <x v="94"/>
      <x v="8"/>
      <x v="34"/>
    </i>
    <i t="default" r="2">
      <x v="8"/>
    </i>
    <i r="1">
      <x v="95"/>
      <x v="9"/>
      <x v="151"/>
    </i>
    <i t="default" r="2">
      <x v="9"/>
    </i>
    <i r="2">
      <x v="10"/>
      <x v="223"/>
    </i>
    <i t="default" r="2">
      <x v="10"/>
    </i>
    <i r="1">
      <x v="96"/>
      <x v="11"/>
      <x v="158"/>
    </i>
    <i t="default" r="2">
      <x v="11"/>
    </i>
    <i r="1">
      <x v="97"/>
      <x v="11"/>
      <x v="158"/>
    </i>
    <i t="default" r="2">
      <x v="11"/>
    </i>
    <i r="1">
      <x v="98"/>
      <x v="12"/>
      <x v="85"/>
    </i>
    <i t="default" r="2">
      <x v="12"/>
    </i>
    <i r="1">
      <x v="99"/>
      <x v="12"/>
      <x v="85"/>
    </i>
    <i t="default" r="2">
      <x v="12"/>
    </i>
    <i r="1">
      <x v="100"/>
      <x v="12"/>
      <x v="85"/>
    </i>
    <i t="default" r="2">
      <x v="12"/>
    </i>
    <i r="1">
      <x v="101"/>
      <x v="12"/>
      <x v="85"/>
    </i>
    <i t="default" r="2">
      <x v="12"/>
    </i>
    <i r="1">
      <x v="102"/>
      <x v="13"/>
      <x v="217"/>
    </i>
    <i t="default" r="2">
      <x v="13"/>
    </i>
    <i r="1">
      <x v="103"/>
      <x v="14"/>
      <x v="233"/>
    </i>
    <i t="default" r="2">
      <x v="14"/>
    </i>
    <i r="2">
      <x v="15"/>
      <x v="68"/>
    </i>
    <i r="3">
      <x v="69"/>
    </i>
    <i t="default" r="2">
      <x v="15"/>
    </i>
    <i r="1">
      <x v="104"/>
      <x v="16"/>
      <x v="47"/>
    </i>
    <i t="default" r="2">
      <x v="16"/>
    </i>
    <i r="1">
      <x v="105"/>
      <x v="17"/>
      <x v="10"/>
    </i>
    <i t="default" r="2">
      <x v="17"/>
    </i>
    <i r="1">
      <x v="106"/>
      <x v="18"/>
      <x v="191"/>
    </i>
    <i t="default" r="2">
      <x v="18"/>
    </i>
    <i r="1">
      <x v="107"/>
      <x v="19"/>
      <x v="44"/>
    </i>
    <i t="default" r="2">
      <x v="19"/>
    </i>
    <i r="1">
      <x v="108"/>
      <x v="20"/>
      <x v="107"/>
    </i>
    <i t="default" r="2">
      <x v="20"/>
    </i>
    <i r="1">
      <x v="109"/>
      <x v="21"/>
      <x v="142"/>
    </i>
    <i t="default" r="2">
      <x v="21"/>
    </i>
    <i r="2">
      <x v="22"/>
      <x v="2"/>
    </i>
    <i t="default" r="2">
      <x v="22"/>
    </i>
    <i r="2">
      <x v="23"/>
      <x v="155"/>
    </i>
    <i t="default" r="2">
      <x v="23"/>
    </i>
    <i r="1">
      <x v="110"/>
      <x v="24"/>
      <x v="16"/>
    </i>
    <i t="default" r="2">
      <x v="24"/>
    </i>
    <i>
      <x v="14"/>
      <x v="111"/>
      <x/>
      <x v="206"/>
    </i>
    <i t="default" r="2">
      <x/>
    </i>
    <i r="1">
      <x v="112"/>
      <x v="1"/>
      <x v="201"/>
    </i>
    <i t="default" r="2">
      <x v="1"/>
    </i>
    <i r="1">
      <x v="113"/>
      <x v="4"/>
      <x v="111"/>
    </i>
    <i t="default" r="2">
      <x v="4"/>
    </i>
    <i r="2">
      <x v="5"/>
      <x v="187"/>
    </i>
    <i r="3">
      <x v="188"/>
    </i>
    <i t="default" r="2">
      <x v="5"/>
    </i>
    <i r="2">
      <x v="6"/>
      <x v="230"/>
    </i>
    <i t="default" r="2">
      <x v="6"/>
    </i>
    <i r="1">
      <x v="114"/>
      <x v="3"/>
      <x v="135"/>
    </i>
    <i t="default" r="2">
      <x v="3"/>
    </i>
    <i r="1">
      <x v="116"/>
      <x v="7"/>
      <x v="175"/>
    </i>
    <i t="default" r="2">
      <x v="7"/>
    </i>
    <i r="1">
      <x v="117"/>
      <x v="8"/>
      <x v="96"/>
    </i>
    <i t="default" r="2">
      <x v="8"/>
    </i>
    <i r="1">
      <x v="118"/>
      <x v="9"/>
      <x v="113"/>
    </i>
    <i t="default" r="2">
      <x v="9"/>
    </i>
    <i r="1">
      <x v="119"/>
      <x v="10"/>
      <x v="79"/>
    </i>
    <i t="default" r="2">
      <x v="10"/>
    </i>
    <i r="1">
      <x v="120"/>
      <x v="11"/>
      <x v="62"/>
    </i>
    <i t="default" r="2">
      <x v="11"/>
    </i>
    <i r="1">
      <x v="121"/>
      <x v="12"/>
      <x v="78"/>
    </i>
    <i t="default" r="2">
      <x v="12"/>
    </i>
    <i r="1">
      <x v="122"/>
      <x v="13"/>
      <x v="207"/>
    </i>
    <i t="default" r="2">
      <x v="13"/>
    </i>
    <i r="1">
      <x v="123"/>
      <x v="14"/>
      <x v="36"/>
    </i>
    <i t="default" r="2">
      <x v="14"/>
    </i>
    <i r="1">
      <x v="124"/>
      <x v="15"/>
      <x v="38"/>
    </i>
    <i t="default" r="2">
      <x v="15"/>
    </i>
    <i r="1">
      <x v="125"/>
      <x v="16"/>
      <x v="139"/>
    </i>
    <i t="default" r="2">
      <x v="16"/>
    </i>
    <i r="1">
      <x v="126"/>
      <x v="17"/>
      <x v="143"/>
    </i>
    <i t="default" r="2">
      <x v="17"/>
    </i>
    <i r="1">
      <x v="127"/>
      <x v="18"/>
      <x v="211"/>
    </i>
    <i t="default" r="2">
      <x v="18"/>
    </i>
    <i r="2">
      <x v="19"/>
      <x v="117"/>
    </i>
    <i t="default" r="2">
      <x v="19"/>
    </i>
    <i t="grand">
      <x/>
    </i>
  </rowItems>
  <colItems count="1">
    <i/>
  </colItems>
  <dataFields count="1">
    <dataField name="Sum of Total Contributions" fld="57" baseField="0" baseItem="0" numFmtId="166"/>
  </dataFields>
  <formats count="1">
    <format dxfId="43">
      <pivotArea field="3" type="button" dataOnly="0" labelOnly="1" outline="0" axis="axisRow" fieldPosition="1"/>
    </format>
  </formats>
  <pivotTableStyleInfo showRowHeaders="1" showColHeaders="1" showRowStripes="0" showColStripes="0" showLastColumn="1"/>
</pivotTableDefinition>
</file>

<file path=xl/pivotTables/pivotTable37.xml><?xml version="1.0" encoding="utf-8"?>
<pivotTableDefinition xmlns="http://schemas.openxmlformats.org/spreadsheetml/2006/main" name="PivotTable1" cacheId="24" dataOnRows="1" applyNumberFormats="0" applyBorderFormats="0" applyFontFormats="0" applyPatternFormats="0" applyAlignmentFormats="0" applyWidthHeightFormats="1" dataCaption="Data" updatedVersion="3" minRefreshableVersion="3" showMemberPropertyTips="0" useAutoFormatting="1" itemPrintTitles="1" createdVersion="3" indent="0" compact="0" compactData="0" gridDropZones="1">
  <location ref="G3:K175" firstHeaderRow="2" firstDataRow="2" firstDataCol="4"/>
  <pivotFields count="77">
    <pivotField compact="0" outline="0" subtotalTop="0" showAll="0" includeNewItemsInFilter="1"/>
    <pivotField compact="0" outline="0" subtotalTop="0" showAll="0" includeNewItemsInFilter="1"/>
    <pivotField axis="axisRow" compact="0" outline="0" subtotalTop="0" showAll="0" includeNewItemsInFilter="1">
      <items count="254">
        <item x="60"/>
        <item x="79"/>
        <item x="216"/>
        <item x="76"/>
        <item x="114"/>
        <item x="154"/>
        <item x="24"/>
        <item x="108"/>
        <item x="1"/>
        <item x="98"/>
        <item x="214"/>
        <item x="93"/>
        <item x="39"/>
        <item x="40"/>
        <item x="13"/>
        <item x="4"/>
        <item x="218"/>
        <item x="183"/>
        <item x="19"/>
        <item x="68"/>
        <item x="34"/>
        <item x="69"/>
        <item x="48"/>
        <item x="87"/>
        <item x="53"/>
        <item x="29"/>
        <item x="11"/>
        <item x="75"/>
        <item x="132"/>
        <item x="50"/>
        <item x="112"/>
        <item x="203"/>
        <item x="202"/>
        <item x="127"/>
        <item x="205"/>
        <item x="124"/>
        <item x="233"/>
        <item x="195"/>
        <item x="104"/>
        <item x="109"/>
        <item x="8"/>
        <item x="192"/>
        <item x="186"/>
        <item x="44"/>
        <item x="157"/>
        <item x="170"/>
        <item x="145"/>
        <item x="213"/>
        <item x="7"/>
        <item x="204"/>
        <item x="72"/>
        <item x="90"/>
        <item x="22"/>
        <item x="113"/>
        <item x="116"/>
        <item x="77"/>
        <item x="150"/>
        <item x="188"/>
        <item x="160"/>
        <item x="59"/>
        <item x="55"/>
        <item x="43"/>
        <item x="230"/>
        <item x="141"/>
        <item x="5"/>
        <item x="161"/>
        <item x="193"/>
        <item x="85"/>
        <item x="211"/>
        <item x="212"/>
        <item x="200"/>
        <item x="89"/>
        <item x="12"/>
        <item x="176"/>
        <item x="25"/>
        <item x="58"/>
        <item x="187"/>
        <item x="131"/>
        <item x="231"/>
        <item x="120"/>
        <item x="201"/>
        <item m="1" x="246"/>
        <item x="56"/>
        <item x="70"/>
        <item x="110"/>
        <item x="208"/>
        <item x="92"/>
        <item x="175"/>
        <item x="177"/>
        <item x="137"/>
        <item x="3"/>
        <item x="139"/>
        <item x="140"/>
        <item x="142"/>
        <item x="143"/>
        <item x="45"/>
        <item x="33"/>
        <item x="20"/>
        <item x="178"/>
        <item x="32"/>
        <item x="97"/>
        <item x="129"/>
        <item x="158"/>
        <item x="63"/>
        <item x="117"/>
        <item x="105"/>
        <item x="35"/>
        <item x="96"/>
        <item x="122"/>
        <item x="73"/>
        <item x="15"/>
        <item x="224"/>
        <item x="36"/>
        <item x="229"/>
        <item x="185"/>
        <item x="101"/>
        <item x="81"/>
        <item x="237"/>
        <item m="1" x="248"/>
        <item m="1" x="251"/>
        <item x="100"/>
        <item x="115"/>
        <item x="52"/>
        <item x="189"/>
        <item x="168"/>
        <item x="31"/>
        <item m="1" x="247"/>
        <item x="121"/>
        <item x="47"/>
        <item x="82"/>
        <item x="130"/>
        <item x="171"/>
        <item x="0"/>
        <item x="6"/>
        <item x="16"/>
        <item x="223"/>
        <item x="67"/>
        <item x="66"/>
        <item x="199"/>
        <item x="234"/>
        <item x="46"/>
        <item x="191"/>
        <item x="215"/>
        <item x="235"/>
        <item x="174"/>
        <item x="83"/>
        <item x="57"/>
        <item x="71"/>
        <item x="10"/>
        <item x="78"/>
        <item x="119"/>
        <item x="206"/>
        <item x="61"/>
        <item x="172"/>
        <item x="138"/>
        <item x="217"/>
        <item x="238"/>
        <item x="37"/>
        <item x="207"/>
        <item x="118"/>
        <item x="80"/>
        <item x="184"/>
        <item x="94"/>
        <item x="123"/>
        <item x="54"/>
        <item x="49"/>
        <item x="86"/>
        <item x="196"/>
        <item x="153"/>
        <item x="163"/>
        <item x="88"/>
        <item x="17"/>
        <item x="51"/>
        <item x="2"/>
        <item x="136"/>
        <item x="228"/>
        <item x="91"/>
        <item x="102"/>
        <item x="169"/>
        <item x="165"/>
        <item x="155"/>
        <item x="166"/>
        <item x="194"/>
        <item x="42"/>
        <item x="28"/>
        <item x="95"/>
        <item x="103"/>
        <item x="225"/>
        <item x="226"/>
        <item x="190"/>
        <item x="156"/>
        <item x="167"/>
        <item x="111"/>
        <item x="41"/>
        <item x="128"/>
        <item x="23"/>
        <item x="26"/>
        <item x="125"/>
        <item x="162"/>
        <item x="198"/>
        <item x="106"/>
        <item x="220"/>
        <item x="84"/>
        <item x="14"/>
        <item x="126"/>
        <item x="38"/>
        <item x="219"/>
        <item x="232"/>
        <item x="18"/>
        <item x="152"/>
        <item x="180"/>
        <item x="236"/>
        <item x="181"/>
        <item x="107"/>
        <item x="9"/>
        <item x="64"/>
        <item x="179"/>
        <item x="209"/>
        <item x="173"/>
        <item x="65"/>
        <item x="74"/>
        <item x="62"/>
        <item x="27"/>
        <item x="21"/>
        <item x="99"/>
        <item x="144"/>
        <item x="182"/>
        <item x="164"/>
        <item x="221"/>
        <item x="222"/>
        <item x="227"/>
        <item x="197"/>
        <item m="1" x="250"/>
        <item x="210"/>
        <item m="1" x="249"/>
        <item x="30"/>
        <item m="1" x="245"/>
        <item m="1" x="252"/>
        <item x="240"/>
        <item x="241"/>
        <item x="242"/>
        <item x="243"/>
        <item x="133"/>
        <item x="134"/>
        <item x="135"/>
        <item x="146"/>
        <item x="147"/>
        <item x="148"/>
        <item x="149"/>
        <item x="151"/>
        <item x="159"/>
        <item x="244"/>
        <item x="239"/>
        <item t="default"/>
      </items>
    </pivotField>
    <pivotField axis="axisRow" compact="0" outline="0" subtotalTop="0" showAll="0" includeNewItemsInFilter="1" defaultSubtotal="0">
      <items count="1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9"/>
        <item x="47"/>
        <item x="48"/>
        <item x="50"/>
        <item x="51"/>
        <item x="52"/>
        <item x="53"/>
        <item x="54"/>
        <item x="55"/>
        <item x="56"/>
        <item x="57"/>
        <item x="58"/>
        <item x="59"/>
        <item x="60"/>
        <item x="61"/>
        <item x="62"/>
        <item x="63"/>
        <item x="64"/>
        <item x="65"/>
        <item x="67"/>
        <item x="66"/>
        <item x="69"/>
        <item x="68"/>
        <item x="70"/>
        <item x="71"/>
        <item x="72"/>
        <item x="73"/>
        <item x="74"/>
        <item x="75"/>
        <item x="76"/>
        <item x="77"/>
        <item x="78"/>
        <item x="79"/>
        <item x="80"/>
        <item x="81"/>
        <item x="82"/>
        <item x="83"/>
        <item x="84"/>
        <item x="85"/>
        <item x="86"/>
        <item x="87"/>
        <item x="88"/>
        <item x="89"/>
        <item x="91"/>
        <item x="90"/>
        <item x="92"/>
        <item x="93"/>
        <item x="94"/>
        <item x="95"/>
        <item x="97"/>
        <item x="96"/>
        <item x="101"/>
        <item x="98"/>
        <item x="99"/>
        <item x="100"/>
        <item x="102"/>
        <item x="103"/>
        <item x="104"/>
        <item x="105"/>
        <item x="106"/>
        <item x="107"/>
        <item x="108"/>
        <item x="109"/>
        <item x="110"/>
        <item x="111"/>
        <item x="112"/>
        <item x="115"/>
        <item x="114"/>
        <item x="113"/>
        <item x="116"/>
        <item x="117"/>
        <item x="118"/>
        <item x="119"/>
        <item x="120"/>
        <item x="121"/>
        <item x="122"/>
        <item x="123"/>
        <item x="124"/>
        <item x="125"/>
        <item x="126"/>
        <item x="127"/>
        <item x="128"/>
        <item x="129"/>
        <item x="130"/>
        <item x="131"/>
        <item x="132"/>
        <item x="133"/>
        <item x="134"/>
        <item x="135"/>
        <item x="136"/>
        <item x="137"/>
        <item x="138"/>
      </items>
    </pivotField>
    <pivotField axis="axisRow" compact="0" outline="0" subtotalTop="0" showAll="0" includeNewItemsInFilter="1" defaultSubtotal="0">
      <items count="16">
        <item h="1" x="0"/>
        <item h="1" x="1"/>
        <item h="1" x="2"/>
        <item h="1" x="3"/>
        <item h="1" x="4"/>
        <item h="1" x="5"/>
        <item h="1" x="6"/>
        <item h="1" x="7"/>
        <item h="1" x="8"/>
        <item x="9"/>
        <item x="10"/>
        <item x="11"/>
        <item x="12"/>
        <item x="13"/>
        <item x="14"/>
        <item h="1" x="15"/>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Row" compact="0" outline="0" subtotalTop="0" showAll="0" includeNewItemsInFilter="1">
      <items count="6">
        <item x="1"/>
        <item x="3"/>
        <item x="2"/>
        <item x="4"/>
        <item x="0"/>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howAll="0"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howAll="0" defaultSubtotal="0"/>
    <pivotField compact="0" outline="0" subtotalTop="0" showAll="0" includeNewItemsInFilter="1"/>
    <pivotField compact="0" outline="0" showAll="0" defaultSubtotal="0"/>
    <pivotField compact="0" outline="0" subtotalTop="0" showAll="0" includeNewItemsInFilter="1"/>
    <pivotField compact="0" outline="0" subtotalTop="0" showAll="0" includeNewItemsInFilter="1"/>
    <pivotField compact="0" outline="0" subtotalTop="0" showAll="0" includeNewItemsInFilter="1"/>
    <pivotField compact="0" outline="0" showAll="0" defaultSubtotal="0"/>
    <pivotField compact="0" outline="0" subtotalTop="0" showAll="0" includeNewItemsInFilter="1"/>
    <pivotField compact="0" outline="0" subtotalTop="0" showAll="0" includeNewItemsInFilter="1"/>
    <pivotField compact="0" outline="0" subtotalTop="0" showAll="0" includeNewItemsInFilter="1"/>
    <pivotField compact="0" outline="0" showAll="0"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howAll="0" defaultSubtotal="0"/>
    <pivotField dataField="1" compact="0" outline="0" subtotalTop="0" showAll="0" includeNewItemsInFilter="1"/>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4">
    <field x="4"/>
    <field x="9"/>
    <field x="3"/>
    <field x="2"/>
  </rowFields>
  <rowItems count="171">
    <i>
      <x v="9"/>
      <x/>
      <x v="55"/>
      <x v="35"/>
    </i>
    <i r="3">
      <x v="197"/>
    </i>
    <i t="default" r="1">
      <x/>
    </i>
    <i r="1">
      <x v="1"/>
      <x v="55"/>
      <x v="18"/>
    </i>
    <i r="3">
      <x v="204"/>
    </i>
    <i r="2">
      <x v="58"/>
      <x v="101"/>
    </i>
    <i r="3">
      <x v="130"/>
    </i>
    <i r="3">
      <x v="194"/>
    </i>
    <i t="default" r="1">
      <x v="1"/>
    </i>
    <i r="1">
      <x v="2"/>
      <x v="55"/>
      <x v="163"/>
    </i>
    <i r="2">
      <x v="56"/>
      <x v="14"/>
    </i>
    <i r="3">
      <x v="33"/>
    </i>
    <i r="3">
      <x v="74"/>
    </i>
    <i r="3">
      <x v="79"/>
    </i>
    <i r="3">
      <x v="109"/>
    </i>
    <i r="2">
      <x v="57"/>
      <x v="48"/>
    </i>
    <i r="2">
      <x v="58"/>
      <x v="160"/>
    </i>
    <i r="2">
      <x v="59"/>
      <x v="77"/>
    </i>
    <i t="default" r="1">
      <x v="2"/>
    </i>
    <i r="1">
      <x v="3"/>
      <x v="60"/>
      <x v="28"/>
    </i>
    <i t="default" r="1">
      <x v="3"/>
    </i>
    <i>
      <x v="10"/>
      <x/>
      <x v="61"/>
      <x v="174"/>
    </i>
    <i r="2">
      <x v="65"/>
      <x v="245"/>
    </i>
    <i r="3">
      <x v="246"/>
    </i>
    <i r="3">
      <x v="247"/>
    </i>
    <i r="3">
      <x v="248"/>
    </i>
    <i r="2">
      <x v="67"/>
      <x v="56"/>
    </i>
    <i r="2">
      <x v="68"/>
      <x v="64"/>
    </i>
    <i r="3">
      <x v="180"/>
    </i>
    <i r="2">
      <x v="69"/>
      <x v="5"/>
    </i>
    <i t="default" r="1">
      <x/>
    </i>
    <i r="1">
      <x v="1"/>
      <x v="63"/>
      <x v="154"/>
    </i>
    <i r="3">
      <x v="225"/>
    </i>
    <i r="2">
      <x v="66"/>
      <x v="168"/>
    </i>
    <i r="3">
      <x v="209"/>
    </i>
    <i r="2">
      <x v="67"/>
      <x v="249"/>
    </i>
    <i r="2">
      <x v="68"/>
      <x v="190"/>
    </i>
    <i r="2">
      <x v="69"/>
      <x v="102"/>
    </i>
    <i t="default" r="1">
      <x v="1"/>
    </i>
    <i r="1">
      <x v="2"/>
      <x v="61"/>
      <x v="242"/>
    </i>
    <i r="3">
      <x v="243"/>
    </i>
    <i r="3">
      <x v="244"/>
    </i>
    <i r="2">
      <x v="63"/>
      <x v="63"/>
    </i>
    <i r="3">
      <x v="91"/>
    </i>
    <i r="3">
      <x v="92"/>
    </i>
    <i r="3">
      <x v="93"/>
    </i>
    <i r="3">
      <x v="94"/>
    </i>
    <i r="2">
      <x v="64"/>
      <x v="46"/>
    </i>
    <i r="2">
      <x v="69"/>
      <x v="44"/>
    </i>
    <i t="default" r="1">
      <x v="2"/>
    </i>
    <i r="1">
      <x v="3"/>
      <x v="62"/>
      <x v="89"/>
    </i>
    <i t="default" r="1">
      <x v="3"/>
    </i>
    <i>
      <x v="11"/>
      <x/>
      <x v="71"/>
      <x v="65"/>
    </i>
    <i r="2">
      <x v="72"/>
      <x v="198"/>
    </i>
    <i r="2">
      <x v="74"/>
      <x v="116"/>
    </i>
    <i r="3">
      <x v="179"/>
    </i>
    <i r="3">
      <x v="181"/>
    </i>
    <i r="2">
      <x v="75"/>
      <x v="140"/>
    </i>
    <i r="2">
      <x v="76"/>
      <x v="124"/>
    </i>
    <i r="2">
      <x v="79"/>
      <x v="179"/>
    </i>
    <i r="3">
      <x v="197"/>
    </i>
    <i t="default" r="1">
      <x/>
    </i>
    <i r="1">
      <x v="1"/>
      <x v="70"/>
      <x v="170"/>
    </i>
    <i r="3">
      <x v="250"/>
    </i>
    <i r="2">
      <x v="71"/>
      <x v="40"/>
    </i>
    <i r="2">
      <x v="73"/>
      <x v="169"/>
    </i>
    <i r="3">
      <x v="227"/>
    </i>
    <i r="2">
      <x v="76"/>
      <x v="191"/>
    </i>
    <i r="2">
      <x v="77"/>
      <x v="178"/>
    </i>
    <i t="default" r="1">
      <x v="1"/>
    </i>
    <i r="1">
      <x v="2"/>
      <x v="71"/>
      <x v="58"/>
    </i>
    <i r="2">
      <x v="75"/>
      <x v="22"/>
    </i>
    <i r="2">
      <x v="78"/>
      <x v="45"/>
    </i>
    <i r="3">
      <x v="131"/>
    </i>
    <i t="default" r="1">
      <x v="2"/>
    </i>
    <i>
      <x v="12"/>
      <x/>
      <x v="80"/>
      <x v="198"/>
    </i>
    <i r="2">
      <x v="82"/>
      <x v="210"/>
    </i>
    <i r="3">
      <x v="216"/>
    </i>
    <i r="2">
      <x v="85"/>
      <x v="114"/>
    </i>
    <i r="2">
      <x v="86"/>
      <x v="76"/>
    </i>
    <i r="3">
      <x v="197"/>
    </i>
    <i r="2">
      <x v="87"/>
      <x v="123"/>
    </i>
    <i r="3">
      <x v="189"/>
    </i>
    <i r="2">
      <x v="89"/>
      <x v="66"/>
    </i>
    <i r="3">
      <x v="182"/>
    </i>
    <i t="default" r="1">
      <x/>
    </i>
    <i r="1">
      <x v="1"/>
      <x v="80"/>
      <x v="18"/>
    </i>
    <i r="3">
      <x v="105"/>
    </i>
    <i r="3">
      <x v="153"/>
    </i>
    <i r="3">
      <x v="218"/>
    </i>
    <i r="2">
      <x v="81"/>
      <x v="144"/>
    </i>
    <i r="2">
      <x v="82"/>
      <x v="73"/>
    </i>
    <i r="3">
      <x v="98"/>
    </i>
    <i r="2">
      <x v="84"/>
      <x v="17"/>
    </i>
    <i r="3">
      <x v="161"/>
    </i>
    <i r="3">
      <x v="226"/>
    </i>
    <i r="2">
      <x v="86"/>
      <x v="42"/>
    </i>
    <i r="2">
      <x v="87"/>
      <x v="105"/>
    </i>
    <i r="2">
      <x v="88"/>
      <x v="41"/>
    </i>
    <i r="3">
      <x v="141"/>
    </i>
    <i r="2">
      <x v="89"/>
      <x v="167"/>
    </i>
    <i t="default" r="1">
      <x v="1"/>
    </i>
    <i r="1">
      <x v="2"/>
      <x v="81"/>
      <x v="87"/>
    </i>
    <i r="3">
      <x v="164"/>
    </i>
    <i r="2">
      <x v="82"/>
      <x v="88"/>
    </i>
    <i r="2">
      <x v="83"/>
      <x v="212"/>
    </i>
    <i r="2">
      <x v="84"/>
      <x v="133"/>
    </i>
    <i r="3">
      <x v="212"/>
    </i>
    <i r="2">
      <x v="86"/>
      <x v="57"/>
    </i>
    <i r="2">
      <x v="89"/>
      <x v="37"/>
    </i>
    <i t="default" r="1">
      <x v="2"/>
    </i>
    <i>
      <x v="13"/>
      <x/>
      <x v="98"/>
      <x v="85"/>
    </i>
    <i r="2">
      <x v="99"/>
      <x v="85"/>
    </i>
    <i r="2">
      <x v="100"/>
      <x v="85"/>
    </i>
    <i r="2">
      <x v="101"/>
      <x v="85"/>
    </i>
    <i r="2">
      <x v="102"/>
      <x v="217"/>
    </i>
    <i r="2">
      <x v="103"/>
      <x v="233"/>
    </i>
    <i r="2">
      <x v="109"/>
      <x v="2"/>
    </i>
    <i r="3">
      <x v="142"/>
    </i>
    <i t="default" r="1">
      <x/>
    </i>
    <i r="1">
      <x v="1"/>
      <x v="91"/>
      <x v="231"/>
    </i>
    <i r="2">
      <x v="92"/>
      <x v="70"/>
    </i>
    <i r="3">
      <x v="138"/>
    </i>
    <i r="2">
      <x v="93"/>
      <x v="144"/>
    </i>
    <i r="2">
      <x v="95"/>
      <x v="151"/>
    </i>
    <i r="3">
      <x v="223"/>
    </i>
    <i r="2">
      <x v="103"/>
      <x v="68"/>
    </i>
    <i r="3">
      <x v="69"/>
    </i>
    <i r="2">
      <x v="105"/>
      <x v="10"/>
    </i>
    <i r="2">
      <x v="106"/>
      <x v="191"/>
    </i>
    <i r="2">
      <x v="108"/>
      <x v="107"/>
    </i>
    <i r="2">
      <x v="109"/>
      <x v="155"/>
    </i>
    <i r="2">
      <x v="110"/>
      <x v="16"/>
    </i>
    <i t="default" r="1">
      <x v="1"/>
    </i>
    <i r="1">
      <x v="2"/>
      <x v="90"/>
      <x v="199"/>
    </i>
    <i r="2">
      <x v="93"/>
      <x v="31"/>
    </i>
    <i r="3">
      <x v="32"/>
    </i>
    <i r="3">
      <x v="49"/>
    </i>
    <i r="3">
      <x v="80"/>
    </i>
    <i r="2">
      <x v="94"/>
      <x v="34"/>
    </i>
    <i r="2">
      <x v="96"/>
      <x v="158"/>
    </i>
    <i r="2">
      <x v="97"/>
      <x v="158"/>
    </i>
    <i r="2">
      <x v="104"/>
      <x v="47"/>
    </i>
    <i r="2">
      <x v="107"/>
      <x v="44"/>
    </i>
    <i t="default" r="1">
      <x v="2"/>
    </i>
    <i>
      <x v="14"/>
      <x/>
      <x v="115"/>
      <x v="228"/>
    </i>
    <i r="3">
      <x v="229"/>
    </i>
    <i r="2">
      <x v="118"/>
      <x v="113"/>
    </i>
    <i r="2">
      <x v="122"/>
      <x v="207"/>
    </i>
    <i t="default" r="1">
      <x/>
    </i>
    <i r="1">
      <x v="1"/>
      <x v="111"/>
      <x v="206"/>
    </i>
    <i r="2">
      <x v="112"/>
      <x v="201"/>
    </i>
    <i r="2">
      <x v="113"/>
      <x v="111"/>
    </i>
    <i r="3">
      <x v="187"/>
    </i>
    <i r="3">
      <x v="188"/>
    </i>
    <i r="3">
      <x v="230"/>
    </i>
    <i r="2">
      <x v="116"/>
      <x v="175"/>
    </i>
    <i r="2">
      <x v="117"/>
      <x v="96"/>
    </i>
    <i r="2">
      <x v="124"/>
      <x v="38"/>
    </i>
    <i r="2">
      <x v="125"/>
      <x v="139"/>
    </i>
    <i r="2">
      <x v="126"/>
      <x v="143"/>
    </i>
    <i r="2">
      <x v="127"/>
      <x v="117"/>
    </i>
    <i t="default" r="1">
      <x v="1"/>
    </i>
    <i r="1">
      <x v="2"/>
      <x v="114"/>
      <x v="135"/>
    </i>
    <i r="2">
      <x v="119"/>
      <x v="79"/>
    </i>
    <i r="2">
      <x v="120"/>
      <x v="62"/>
    </i>
    <i r="2">
      <x v="121"/>
      <x v="78"/>
    </i>
    <i r="2">
      <x v="123"/>
      <x v="36"/>
    </i>
    <i r="2">
      <x v="127"/>
      <x v="211"/>
    </i>
    <i t="default" r="1">
      <x v="2"/>
    </i>
    <i t="grand">
      <x/>
    </i>
  </rowItems>
  <colItems count="1">
    <i/>
  </colItems>
  <dataFields count="1">
    <dataField name="Sum of Total Contributions" fld="57" baseField="0" baseItem="0" numFmtId="166"/>
  </dataFields>
  <formats count="1">
    <format dxfId="44">
      <pivotArea field="3" type="button" dataOnly="0" labelOnly="1" outline="0" axis="axisRow" fieldPosition="2"/>
    </format>
  </formats>
  <pivotTableStyleInfo showRowHeaders="1" showColHeaders="1" showRowStripes="0" showColStripes="0" showLastColumn="1"/>
</pivotTableDefinition>
</file>

<file path=xl/pivotTables/pivotTable38.xml><?xml version="1.0" encoding="utf-8"?>
<pivotTableDefinition xmlns="http://schemas.openxmlformats.org/spreadsheetml/2006/main" name="PivotTable6" cacheId="23" dataOnRows="1" applyNumberFormats="0" applyBorderFormats="0" applyFontFormats="0" applyPatternFormats="0" applyAlignmentFormats="0" applyWidthHeightFormats="1" dataCaption="Data" updatedVersion="3" minRefreshableVersion="3" showMemberPropertyTips="0" useAutoFormatting="1" itemPrintTitles="1" createdVersion="3" indent="0" compact="0" compactData="0" gridDropZones="1" chartFormat="1">
  <location ref="AC3:AE293" firstHeaderRow="2" firstDataRow="2" firstDataCol="2"/>
  <pivotFields count="77">
    <pivotField compact="0" outline="0" subtotalTop="0" showAll="0" includeNewItemsInFilter="1"/>
    <pivotField compact="0" outline="0" subtotalTop="0" showAll="0" includeNewItemsInFilter="1"/>
    <pivotField axis="axisRow" compact="0" outline="0" subtotalTop="0" showAll="0" includeNewItemsInFilter="1">
      <items count="255">
        <item x="60"/>
        <item x="79"/>
        <item x="216"/>
        <item x="76"/>
        <item x="114"/>
        <item x="154"/>
        <item x="24"/>
        <item x="108"/>
        <item x="1"/>
        <item x="98"/>
        <item x="214"/>
        <item x="93"/>
        <item x="39"/>
        <item x="40"/>
        <item x="13"/>
        <item x="4"/>
        <item x="218"/>
        <item x="183"/>
        <item x="19"/>
        <item x="243"/>
        <item x="68"/>
        <item x="34"/>
        <item x="69"/>
        <item x="48"/>
        <item x="87"/>
        <item x="53"/>
        <item x="29"/>
        <item x="11"/>
        <item x="75"/>
        <item x="132"/>
        <item x="50"/>
        <item x="112"/>
        <item x="242"/>
        <item x="203"/>
        <item x="202"/>
        <item x="127"/>
        <item x="205"/>
        <item x="124"/>
        <item x="233"/>
        <item x="195"/>
        <item x="104"/>
        <item x="109"/>
        <item x="8"/>
        <item x="192"/>
        <item x="186"/>
        <item x="44"/>
        <item x="157"/>
        <item x="170"/>
        <item x="145"/>
        <item x="244"/>
        <item x="213"/>
        <item x="7"/>
        <item x="204"/>
        <item x="72"/>
        <item x="90"/>
        <item x="22"/>
        <item x="113"/>
        <item x="116"/>
        <item x="77"/>
        <item x="150"/>
        <item x="188"/>
        <item x="160"/>
        <item x="59"/>
        <item x="55"/>
        <item x="43"/>
        <item x="230"/>
        <item x="141"/>
        <item x="5"/>
        <item x="161"/>
        <item x="193"/>
        <item x="85"/>
        <item x="211"/>
        <item x="212"/>
        <item x="200"/>
        <item x="89"/>
        <item x="12"/>
        <item x="176"/>
        <item x="25"/>
        <item x="58"/>
        <item x="187"/>
        <item x="131"/>
        <item m="1" x="253"/>
        <item x="231"/>
        <item x="120"/>
        <item x="201"/>
        <item x="56"/>
        <item x="70"/>
        <item x="110"/>
        <item x="208"/>
        <item x="92"/>
        <item x="175"/>
        <item x="134"/>
        <item x="135"/>
        <item x="133"/>
        <item x="177"/>
        <item x="137"/>
        <item x="3"/>
        <item x="139"/>
        <item x="140"/>
        <item x="142"/>
        <item x="143"/>
        <item x="45"/>
        <item x="33"/>
        <item x="20"/>
        <item x="178"/>
        <item x="32"/>
        <item x="97"/>
        <item x="129"/>
        <item x="241"/>
        <item x="158"/>
        <item x="63"/>
        <item x="117"/>
        <item x="105"/>
        <item x="151"/>
        <item x="35"/>
        <item x="96"/>
        <item x="122"/>
        <item x="73"/>
        <item x="248"/>
        <item x="15"/>
        <item x="224"/>
        <item x="36"/>
        <item x="229"/>
        <item x="185"/>
        <item x="101"/>
        <item x="81"/>
        <item x="237"/>
        <item x="100"/>
        <item x="115"/>
        <item x="52"/>
        <item x="189"/>
        <item x="168"/>
        <item x="31"/>
        <item x="121"/>
        <item x="47"/>
        <item x="82"/>
        <item x="130"/>
        <item x="171"/>
        <item x="0"/>
        <item x="6"/>
        <item x="16"/>
        <item x="223"/>
        <item x="67"/>
        <item x="66"/>
        <item x="159"/>
        <item x="199"/>
        <item x="234"/>
        <item x="46"/>
        <item x="191"/>
        <item x="215"/>
        <item x="235"/>
        <item x="174"/>
        <item x="246"/>
        <item x="83"/>
        <item x="57"/>
        <item x="71"/>
        <item x="10"/>
        <item x="78"/>
        <item x="245"/>
        <item x="119"/>
        <item x="206"/>
        <item x="61"/>
        <item x="172"/>
        <item x="138"/>
        <item x="217"/>
        <item x="238"/>
        <item x="37"/>
        <item x="207"/>
        <item x="118"/>
        <item x="80"/>
        <item x="184"/>
        <item x="247"/>
        <item x="94"/>
        <item x="123"/>
        <item x="54"/>
        <item x="49"/>
        <item x="86"/>
        <item x="196"/>
        <item x="153"/>
        <item x="240"/>
        <item x="163"/>
        <item x="88"/>
        <item x="17"/>
        <item x="51"/>
        <item x="2"/>
        <item x="136"/>
        <item x="228"/>
        <item x="91"/>
        <item x="102"/>
        <item x="169"/>
        <item x="165"/>
        <item x="155"/>
        <item x="166"/>
        <item x="194"/>
        <item x="42"/>
        <item x="28"/>
        <item x="95"/>
        <item x="103"/>
        <item x="225"/>
        <item x="226"/>
        <item x="190"/>
        <item x="146"/>
        <item x="147"/>
        <item x="149"/>
        <item x="148"/>
        <item x="156"/>
        <item x="167"/>
        <item x="111"/>
        <item x="41"/>
        <item x="128"/>
        <item x="23"/>
        <item x="26"/>
        <item x="125"/>
        <item x="162"/>
        <item x="198"/>
        <item x="106"/>
        <item x="220"/>
        <item x="84"/>
        <item x="14"/>
        <item x="126"/>
        <item x="38"/>
        <item x="219"/>
        <item x="232"/>
        <item x="18"/>
        <item x="152"/>
        <item x="180"/>
        <item x="236"/>
        <item x="181"/>
        <item x="107"/>
        <item x="9"/>
        <item x="64"/>
        <item x="179"/>
        <item x="209"/>
        <item x="173"/>
        <item x="65"/>
        <item x="74"/>
        <item x="62"/>
        <item x="27"/>
        <item x="21"/>
        <item x="99"/>
        <item x="144"/>
        <item x="182"/>
        <item x="164"/>
        <item x="221"/>
        <item x="222"/>
        <item x="249"/>
        <item x="227"/>
        <item x="197"/>
        <item x="210"/>
        <item x="30"/>
        <item m="1" x="252"/>
        <item x="239"/>
        <item x="250"/>
        <item x="251"/>
        <item t="default"/>
      </items>
    </pivotField>
    <pivotField compact="0" outline="0" subtotalTop="0" showAll="0" includeNewItemsInFilter="1"/>
    <pivotField axis="axisRow" compact="0" outline="0" subtotalTop="0" showAll="0" includeNewItemsInFilter="1">
      <items count="18">
        <item h="1" x="0"/>
        <item h="1" x="1"/>
        <item h="1" x="2"/>
        <item h="1" x="3"/>
        <item h="1" x="4"/>
        <item x="5"/>
        <item x="6"/>
        <item x="7"/>
        <item x="8"/>
        <item x="9"/>
        <item x="10"/>
        <item x="11"/>
        <item x="12"/>
        <item x="13"/>
        <item x="14"/>
        <item x="15"/>
        <item x="16"/>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howAll="0"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howAll="0"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howAll="0" defaultSubtotal="0"/>
    <pivotField compact="0" outline="0" subtotalTop="0" showAll="0" includeNewItemsInFilter="1"/>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includeNewItemsInFilter="1"/>
    <pivotField compact="0" outline="0" subtotalTop="0" showAll="0" includeNewItemsInFilter="1"/>
  </pivotFields>
  <rowFields count="2">
    <field x="4"/>
    <field x="2"/>
  </rowFields>
  <rowItems count="289">
    <i>
      <x v="5"/>
      <x v="12"/>
    </i>
    <i r="1">
      <x v="13"/>
    </i>
    <i r="1">
      <x v="18"/>
    </i>
    <i r="1">
      <x v="21"/>
    </i>
    <i r="1">
      <x v="23"/>
    </i>
    <i r="1">
      <x v="25"/>
    </i>
    <i r="1">
      <x v="27"/>
    </i>
    <i r="1">
      <x v="30"/>
    </i>
    <i r="1">
      <x v="45"/>
    </i>
    <i r="1">
      <x v="64"/>
    </i>
    <i r="1">
      <x v="101"/>
    </i>
    <i r="1">
      <x v="102"/>
    </i>
    <i r="1">
      <x v="114"/>
    </i>
    <i r="1">
      <x v="121"/>
    </i>
    <i r="1">
      <x v="129"/>
    </i>
    <i r="1">
      <x v="134"/>
    </i>
    <i r="1">
      <x v="147"/>
    </i>
    <i r="1">
      <x v="166"/>
    </i>
    <i r="1">
      <x v="174"/>
    </i>
    <i r="1">
      <x v="175"/>
    </i>
    <i r="1">
      <x v="183"/>
    </i>
    <i r="1">
      <x v="194"/>
    </i>
    <i r="1">
      <x v="208"/>
    </i>
    <i r="1">
      <x v="220"/>
    </i>
    <i r="1">
      <x v="238"/>
    </i>
    <i t="default">
      <x v="5"/>
    </i>
    <i>
      <x v="6"/>
      <x/>
    </i>
    <i r="1">
      <x v="1"/>
    </i>
    <i r="1">
      <x v="3"/>
    </i>
    <i r="1">
      <x v="14"/>
    </i>
    <i r="1">
      <x v="20"/>
    </i>
    <i r="1">
      <x v="22"/>
    </i>
    <i r="1">
      <x v="23"/>
    </i>
    <i r="1">
      <x v="28"/>
    </i>
    <i r="1">
      <x v="42"/>
    </i>
    <i r="1">
      <x v="51"/>
    </i>
    <i r="1">
      <x v="53"/>
    </i>
    <i r="1">
      <x v="58"/>
    </i>
    <i r="1">
      <x v="62"/>
    </i>
    <i r="1">
      <x v="63"/>
    </i>
    <i r="1">
      <x v="78"/>
    </i>
    <i r="1">
      <x v="85"/>
    </i>
    <i r="1">
      <x v="86"/>
    </i>
    <i r="1">
      <x v="102"/>
    </i>
    <i r="1">
      <x v="110"/>
    </i>
    <i r="1">
      <x v="117"/>
    </i>
    <i r="1">
      <x v="121"/>
    </i>
    <i r="1">
      <x v="125"/>
    </i>
    <i r="1">
      <x v="135"/>
    </i>
    <i r="1">
      <x v="142"/>
    </i>
    <i r="1">
      <x v="143"/>
    </i>
    <i r="1">
      <x v="153"/>
    </i>
    <i r="1">
      <x v="154"/>
    </i>
    <i r="1">
      <x v="155"/>
    </i>
    <i r="1">
      <x v="157"/>
    </i>
    <i r="1">
      <x v="161"/>
    </i>
    <i r="1">
      <x v="169"/>
    </i>
    <i r="1">
      <x v="217"/>
    </i>
    <i r="1">
      <x v="229"/>
    </i>
    <i r="1">
      <x v="230"/>
    </i>
    <i r="1">
      <x v="234"/>
    </i>
    <i r="1">
      <x v="235"/>
    </i>
    <i r="1">
      <x v="236"/>
    </i>
    <i t="default">
      <x v="6"/>
    </i>
    <i>
      <x v="7"/>
      <x v="7"/>
    </i>
    <i r="1">
      <x v="9"/>
    </i>
    <i r="1">
      <x v="11"/>
    </i>
    <i r="1">
      <x v="24"/>
    </i>
    <i r="1">
      <x v="40"/>
    </i>
    <i r="1">
      <x v="41"/>
    </i>
    <i r="1">
      <x v="51"/>
    </i>
    <i r="1">
      <x v="53"/>
    </i>
    <i r="1">
      <x v="54"/>
    </i>
    <i r="1">
      <x v="70"/>
    </i>
    <i r="1">
      <x v="74"/>
    </i>
    <i r="1">
      <x v="87"/>
    </i>
    <i r="1">
      <x v="89"/>
    </i>
    <i r="1">
      <x v="102"/>
    </i>
    <i r="1">
      <x v="106"/>
    </i>
    <i r="1">
      <x v="112"/>
    </i>
    <i r="1">
      <x v="115"/>
    </i>
    <i r="1">
      <x v="121"/>
    </i>
    <i r="1">
      <x v="124"/>
    </i>
    <i r="1">
      <x v="127"/>
    </i>
    <i r="1">
      <x v="138"/>
    </i>
    <i r="1">
      <x v="142"/>
    </i>
    <i r="1">
      <x v="169"/>
    </i>
    <i r="1">
      <x v="172"/>
    </i>
    <i r="1">
      <x v="176"/>
    </i>
    <i r="1">
      <x v="181"/>
    </i>
    <i r="1">
      <x v="183"/>
    </i>
    <i r="1">
      <x v="187"/>
    </i>
    <i r="1">
      <x v="188"/>
    </i>
    <i r="1">
      <x v="196"/>
    </i>
    <i r="1">
      <x v="197"/>
    </i>
    <i r="1">
      <x v="207"/>
    </i>
    <i r="1">
      <x v="215"/>
    </i>
    <i r="1">
      <x v="228"/>
    </i>
    <i r="1">
      <x v="229"/>
    </i>
    <i r="1">
      <x v="237"/>
    </i>
    <i r="1">
      <x v="239"/>
    </i>
    <i t="default">
      <x v="7"/>
    </i>
    <i>
      <x v="8"/>
      <x v="4"/>
    </i>
    <i r="1">
      <x v="31"/>
    </i>
    <i r="1">
      <x v="56"/>
    </i>
    <i r="1">
      <x v="57"/>
    </i>
    <i r="1">
      <x v="83"/>
    </i>
    <i r="1">
      <x v="111"/>
    </i>
    <i r="1">
      <x v="116"/>
    </i>
    <i r="1">
      <x v="128"/>
    </i>
    <i r="1">
      <x v="133"/>
    </i>
    <i r="1">
      <x v="139"/>
    </i>
    <i r="1">
      <x v="159"/>
    </i>
    <i r="1">
      <x v="168"/>
    </i>
    <i r="1">
      <x v="169"/>
    </i>
    <i r="1">
      <x v="196"/>
    </i>
    <i t="default">
      <x v="8"/>
    </i>
    <i>
      <x v="9"/>
      <x v="14"/>
    </i>
    <i r="1">
      <x v="18"/>
    </i>
    <i r="1">
      <x v="29"/>
    </i>
    <i r="1">
      <x v="35"/>
    </i>
    <i r="1">
      <x v="37"/>
    </i>
    <i r="1">
      <x v="51"/>
    </i>
    <i r="1">
      <x v="77"/>
    </i>
    <i r="1">
      <x v="80"/>
    </i>
    <i r="1">
      <x v="83"/>
    </i>
    <i r="1">
      <x v="107"/>
    </i>
    <i r="1">
      <x v="117"/>
    </i>
    <i r="1">
      <x v="136"/>
    </i>
    <i r="1">
      <x v="169"/>
    </i>
    <i r="1">
      <x v="173"/>
    </i>
    <i r="1">
      <x v="209"/>
    </i>
    <i r="1">
      <x v="212"/>
    </i>
    <i r="1">
      <x v="219"/>
    </i>
    <i t="default">
      <x v="9"/>
    </i>
    <i>
      <x v="10"/>
      <x v="5"/>
    </i>
    <i r="1">
      <x v="46"/>
    </i>
    <i r="1">
      <x v="48"/>
    </i>
    <i r="1">
      <x v="59"/>
    </i>
    <i r="1">
      <x v="66"/>
    </i>
    <i r="1">
      <x v="67"/>
    </i>
    <i r="1">
      <x v="91"/>
    </i>
    <i r="1">
      <x v="92"/>
    </i>
    <i r="1">
      <x v="93"/>
    </i>
    <i r="1">
      <x v="95"/>
    </i>
    <i r="1">
      <x v="97"/>
    </i>
    <i r="1">
      <x v="98"/>
    </i>
    <i r="1">
      <x v="99"/>
    </i>
    <i r="1">
      <x v="100"/>
    </i>
    <i r="1">
      <x v="109"/>
    </i>
    <i r="1">
      <x v="113"/>
    </i>
    <i r="1">
      <x v="163"/>
    </i>
    <i r="1">
      <x v="178"/>
    </i>
    <i r="1">
      <x v="185"/>
    </i>
    <i r="1">
      <x v="191"/>
    </i>
    <i r="1">
      <x v="201"/>
    </i>
    <i r="1">
      <x v="202"/>
    </i>
    <i r="1">
      <x v="203"/>
    </i>
    <i r="1">
      <x v="204"/>
    </i>
    <i r="1">
      <x v="205"/>
    </i>
    <i r="1">
      <x v="224"/>
    </i>
    <i r="1">
      <x v="240"/>
    </i>
    <i t="default">
      <x v="10"/>
    </i>
    <i>
      <x v="11"/>
      <x v="23"/>
    </i>
    <i r="1">
      <x v="42"/>
    </i>
    <i r="1">
      <x v="47"/>
    </i>
    <i r="1">
      <x v="61"/>
    </i>
    <i r="1">
      <x v="68"/>
    </i>
    <i r="1">
      <x v="125"/>
    </i>
    <i r="1">
      <x v="131"/>
    </i>
    <i r="1">
      <x v="137"/>
    </i>
    <i r="1">
      <x v="144"/>
    </i>
    <i r="1">
      <x v="147"/>
    </i>
    <i r="1">
      <x v="180"/>
    </i>
    <i r="1">
      <x v="181"/>
    </i>
    <i r="1">
      <x v="189"/>
    </i>
    <i r="1">
      <x v="190"/>
    </i>
    <i r="1">
      <x v="192"/>
    </i>
    <i r="1">
      <x v="206"/>
    </i>
    <i r="1">
      <x v="212"/>
    </i>
    <i r="1">
      <x v="213"/>
    </i>
    <i r="1">
      <x v="242"/>
    </i>
    <i t="default">
      <x v="11"/>
    </i>
    <i>
      <x v="12"/>
      <x v="17"/>
    </i>
    <i r="1">
      <x v="18"/>
    </i>
    <i r="1">
      <x v="39"/>
    </i>
    <i r="1">
      <x v="43"/>
    </i>
    <i r="1">
      <x v="44"/>
    </i>
    <i r="1">
      <x v="60"/>
    </i>
    <i r="1">
      <x v="69"/>
    </i>
    <i r="1">
      <x v="76"/>
    </i>
    <i r="1">
      <x v="79"/>
    </i>
    <i r="1">
      <x v="90"/>
    </i>
    <i r="1">
      <x v="94"/>
    </i>
    <i r="1">
      <x v="104"/>
    </i>
    <i r="1">
      <x v="112"/>
    </i>
    <i r="1">
      <x v="123"/>
    </i>
    <i r="1">
      <x v="130"/>
    </i>
    <i r="1">
      <x v="139"/>
    </i>
    <i r="1">
      <x v="148"/>
    </i>
    <i r="1">
      <x v="151"/>
    </i>
    <i r="1">
      <x v="162"/>
    </i>
    <i r="1">
      <x v="170"/>
    </i>
    <i r="1">
      <x v="174"/>
    </i>
    <i r="1">
      <x v="177"/>
    </i>
    <i r="1">
      <x v="193"/>
    </i>
    <i r="1">
      <x v="200"/>
    </i>
    <i r="1">
      <x v="212"/>
    </i>
    <i r="1">
      <x v="213"/>
    </i>
    <i r="1">
      <x v="225"/>
    </i>
    <i r="1">
      <x v="227"/>
    </i>
    <i r="1">
      <x v="231"/>
    </i>
    <i r="1">
      <x v="233"/>
    </i>
    <i r="1">
      <x v="241"/>
    </i>
    <i t="default">
      <x v="12"/>
    </i>
    <i>
      <x v="13"/>
      <x v="2"/>
    </i>
    <i r="1">
      <x v="10"/>
    </i>
    <i r="1">
      <x v="16"/>
    </i>
    <i r="1">
      <x v="33"/>
    </i>
    <i r="1">
      <x v="34"/>
    </i>
    <i r="1">
      <x v="36"/>
    </i>
    <i r="1">
      <x v="46"/>
    </i>
    <i r="1">
      <x v="50"/>
    </i>
    <i r="1">
      <x v="52"/>
    </i>
    <i r="1">
      <x v="71"/>
    </i>
    <i r="1">
      <x v="72"/>
    </i>
    <i r="1">
      <x v="73"/>
    </i>
    <i r="1">
      <x v="84"/>
    </i>
    <i r="1">
      <x v="88"/>
    </i>
    <i r="1">
      <x v="115"/>
    </i>
    <i r="1">
      <x v="145"/>
    </i>
    <i r="1">
      <x v="149"/>
    </i>
    <i r="1">
      <x v="151"/>
    </i>
    <i r="1">
      <x v="160"/>
    </i>
    <i r="1">
      <x v="164"/>
    </i>
    <i r="1">
      <x v="167"/>
    </i>
    <i r="1">
      <x v="206"/>
    </i>
    <i r="1">
      <x v="214"/>
    </i>
    <i r="1">
      <x v="232"/>
    </i>
    <i r="1">
      <x v="238"/>
    </i>
    <i r="1">
      <x v="247"/>
    </i>
    <i r="1">
      <x v="248"/>
    </i>
    <i t="default">
      <x v="13"/>
    </i>
    <i>
      <x v="14"/>
      <x v="38"/>
    </i>
    <i r="1">
      <x v="40"/>
    </i>
    <i r="1">
      <x v="65"/>
    </i>
    <i r="1">
      <x v="82"/>
    </i>
    <i r="1">
      <x v="83"/>
    </i>
    <i r="1">
      <x v="102"/>
    </i>
    <i r="1">
      <x v="120"/>
    </i>
    <i r="1">
      <x v="122"/>
    </i>
    <i r="1">
      <x v="126"/>
    </i>
    <i r="1">
      <x v="141"/>
    </i>
    <i r="1">
      <x v="146"/>
    </i>
    <i r="1">
      <x v="150"/>
    </i>
    <i r="1">
      <x v="186"/>
    </i>
    <i r="1">
      <x v="198"/>
    </i>
    <i r="1">
      <x v="199"/>
    </i>
    <i r="1">
      <x v="216"/>
    </i>
    <i r="1">
      <x v="221"/>
    </i>
    <i r="1">
      <x v="222"/>
    </i>
    <i r="1">
      <x v="226"/>
    </i>
    <i r="1">
      <x v="243"/>
    </i>
    <i r="1">
      <x v="244"/>
    </i>
    <i r="1">
      <x v="246"/>
    </i>
    <i t="default">
      <x v="14"/>
    </i>
    <i>
      <x v="15"/>
      <x v="19"/>
    </i>
    <i r="1">
      <x v="23"/>
    </i>
    <i r="1">
      <x v="32"/>
    </i>
    <i r="1">
      <x v="49"/>
    </i>
    <i r="1">
      <x v="51"/>
    </i>
    <i r="1">
      <x v="108"/>
    </i>
    <i r="1">
      <x v="118"/>
    </i>
    <i r="1">
      <x v="139"/>
    </i>
    <i r="1">
      <x v="149"/>
    </i>
    <i r="1">
      <x v="152"/>
    </i>
    <i r="1">
      <x v="158"/>
    </i>
    <i r="1">
      <x v="165"/>
    </i>
    <i r="1">
      <x v="169"/>
    </i>
    <i r="1">
      <x v="171"/>
    </i>
    <i r="1">
      <x v="179"/>
    </i>
    <i r="1">
      <x v="238"/>
    </i>
    <i r="1">
      <x v="245"/>
    </i>
    <i r="1">
      <x v="251"/>
    </i>
    <i t="default">
      <x v="15"/>
    </i>
    <i>
      <x v="16"/>
      <x v="252"/>
    </i>
    <i r="1">
      <x v="253"/>
    </i>
    <i t="default">
      <x v="16"/>
    </i>
    <i t="grand">
      <x/>
    </i>
  </rowItems>
  <colItems count="1">
    <i/>
  </colItems>
  <dataFields count="1">
    <dataField name="Sum of Multilateral Beneficiaries" fld="24" baseField="0" baseItem="0"/>
  </dataFields>
  <formats count="3">
    <format dxfId="36">
      <pivotArea grandRow="1" outline="0" fieldPosition="0"/>
    </format>
    <format dxfId="35">
      <pivotArea grandRow="1" outline="0" fieldPosition="0"/>
    </format>
    <format dxfId="34">
      <pivotArea outline="0" fieldPosition="0">
        <references count="1">
          <reference field="4" count="1" selected="0" defaultSubtotal="1">
            <x v="15"/>
          </reference>
        </references>
      </pivotArea>
    </format>
  </formats>
  <pivotTableStyleInfo showRowHeaders="1" showColHeaders="1" showRowStripes="0" showColStripes="0" showLastColumn="1"/>
</pivotTableDefinition>
</file>

<file path=xl/pivotTables/pivotTable39.xml><?xml version="1.0" encoding="utf-8"?>
<pivotTableDefinition xmlns="http://schemas.openxmlformats.org/spreadsheetml/2006/main" name="PivotTable2" cacheId="24" dataOnRows="1" applyNumberFormats="0" applyBorderFormats="0" applyFontFormats="0" applyPatternFormats="0" applyAlignmentFormats="0" applyWidthHeightFormats="1" dataCaption="Data" updatedVersion="3" minRefreshableVersion="3" showMemberPropertyTips="0" useAutoFormatting="1" itemPrintTitles="1" createdVersion="3" indent="0" compact="0" compactData="0" gridDropZones="1">
  <location ref="A3:C261" firstHeaderRow="2" firstDataRow="2" firstDataCol="2"/>
  <pivotFields count="77">
    <pivotField compact="0" outline="0" subtotalTop="0" showAll="0" includeNewItemsInFilter="1"/>
    <pivotField compact="0" outline="0" subtotalTop="0" showAll="0" includeNewItemsInFilter="1"/>
    <pivotField axis="axisRow" compact="0" outline="0" subtotalTop="0" showAll="0" includeNewItemsInFilter="1">
      <items count="254">
        <item x="60"/>
        <item x="79"/>
        <item x="216"/>
        <item x="76"/>
        <item x="114"/>
        <item x="154"/>
        <item x="24"/>
        <item x="108"/>
        <item x="1"/>
        <item x="98"/>
        <item x="214"/>
        <item x="93"/>
        <item x="39"/>
        <item x="40"/>
        <item x="13"/>
        <item x="4"/>
        <item x="218"/>
        <item x="183"/>
        <item x="19"/>
        <item x="68"/>
        <item x="34"/>
        <item x="69"/>
        <item x="48"/>
        <item x="87"/>
        <item x="53"/>
        <item x="29"/>
        <item x="11"/>
        <item x="75"/>
        <item x="132"/>
        <item x="50"/>
        <item x="112"/>
        <item x="203"/>
        <item x="202"/>
        <item x="127"/>
        <item x="205"/>
        <item x="124"/>
        <item x="233"/>
        <item x="195"/>
        <item x="104"/>
        <item x="109"/>
        <item x="8"/>
        <item x="192"/>
        <item x="186"/>
        <item x="44"/>
        <item x="157"/>
        <item x="170"/>
        <item x="145"/>
        <item x="213"/>
        <item x="7"/>
        <item x="204"/>
        <item x="72"/>
        <item x="90"/>
        <item x="22"/>
        <item x="113"/>
        <item x="116"/>
        <item x="77"/>
        <item x="150"/>
        <item x="188"/>
        <item x="160"/>
        <item x="59"/>
        <item x="55"/>
        <item x="43"/>
        <item x="230"/>
        <item x="141"/>
        <item x="5"/>
        <item x="161"/>
        <item x="193"/>
        <item x="85"/>
        <item x="211"/>
        <item x="212"/>
        <item x="200"/>
        <item x="89"/>
        <item x="12"/>
        <item x="176"/>
        <item x="25"/>
        <item x="58"/>
        <item x="187"/>
        <item x="131"/>
        <item x="231"/>
        <item x="120"/>
        <item x="201"/>
        <item m="1" x="246"/>
        <item x="56"/>
        <item x="70"/>
        <item x="110"/>
        <item x="208"/>
        <item x="92"/>
        <item x="175"/>
        <item x="177"/>
        <item x="137"/>
        <item x="3"/>
        <item x="139"/>
        <item x="140"/>
        <item x="142"/>
        <item x="143"/>
        <item x="45"/>
        <item x="33"/>
        <item x="20"/>
        <item x="178"/>
        <item x="32"/>
        <item x="97"/>
        <item x="129"/>
        <item x="158"/>
        <item x="63"/>
        <item x="117"/>
        <item x="105"/>
        <item x="35"/>
        <item x="96"/>
        <item x="122"/>
        <item x="73"/>
        <item x="15"/>
        <item x="224"/>
        <item x="36"/>
        <item x="229"/>
        <item x="185"/>
        <item x="101"/>
        <item x="81"/>
        <item x="237"/>
        <item m="1" x="248"/>
        <item m="1" x="251"/>
        <item x="100"/>
        <item x="115"/>
        <item x="52"/>
        <item x="189"/>
        <item x="168"/>
        <item x="31"/>
        <item m="1" x="247"/>
        <item x="121"/>
        <item x="47"/>
        <item x="82"/>
        <item x="130"/>
        <item x="171"/>
        <item x="0"/>
        <item x="6"/>
        <item x="16"/>
        <item x="223"/>
        <item x="67"/>
        <item x="66"/>
        <item x="199"/>
        <item x="234"/>
        <item x="46"/>
        <item x="191"/>
        <item x="215"/>
        <item x="235"/>
        <item x="174"/>
        <item x="83"/>
        <item x="57"/>
        <item x="71"/>
        <item x="10"/>
        <item x="78"/>
        <item x="119"/>
        <item x="206"/>
        <item x="61"/>
        <item x="172"/>
        <item x="138"/>
        <item x="217"/>
        <item x="238"/>
        <item x="37"/>
        <item x="207"/>
        <item x="118"/>
        <item x="80"/>
        <item x="184"/>
        <item x="94"/>
        <item x="123"/>
        <item x="54"/>
        <item x="49"/>
        <item x="86"/>
        <item x="196"/>
        <item x="153"/>
        <item x="163"/>
        <item x="88"/>
        <item x="17"/>
        <item x="51"/>
        <item x="2"/>
        <item x="136"/>
        <item x="228"/>
        <item x="91"/>
        <item x="102"/>
        <item x="169"/>
        <item x="165"/>
        <item x="155"/>
        <item x="166"/>
        <item x="194"/>
        <item x="42"/>
        <item x="28"/>
        <item x="95"/>
        <item x="103"/>
        <item x="225"/>
        <item x="226"/>
        <item x="190"/>
        <item x="156"/>
        <item x="167"/>
        <item x="111"/>
        <item x="41"/>
        <item x="128"/>
        <item x="23"/>
        <item x="26"/>
        <item x="125"/>
        <item x="162"/>
        <item x="198"/>
        <item x="106"/>
        <item x="220"/>
        <item x="84"/>
        <item x="14"/>
        <item x="126"/>
        <item x="38"/>
        <item x="219"/>
        <item x="232"/>
        <item x="18"/>
        <item x="152"/>
        <item x="180"/>
        <item x="236"/>
        <item x="181"/>
        <item x="107"/>
        <item x="9"/>
        <item x="64"/>
        <item x="179"/>
        <item x="209"/>
        <item x="173"/>
        <item x="65"/>
        <item x="74"/>
        <item x="62"/>
        <item x="27"/>
        <item x="21"/>
        <item x="99"/>
        <item x="144"/>
        <item x="182"/>
        <item x="164"/>
        <item x="221"/>
        <item x="222"/>
        <item x="227"/>
        <item x="197"/>
        <item m="1" x="250"/>
        <item x="210"/>
        <item m="1" x="249"/>
        <item x="30"/>
        <item m="1" x="245"/>
        <item m="1" x="252"/>
        <item x="240"/>
        <item x="241"/>
        <item x="242"/>
        <item x="243"/>
        <item x="133"/>
        <item x="134"/>
        <item x="135"/>
        <item x="146"/>
        <item x="147"/>
        <item x="148"/>
        <item x="149"/>
        <item x="151"/>
        <item x="159"/>
        <item x="244"/>
        <item x="239"/>
        <item t="default"/>
      </items>
    </pivotField>
    <pivotField compact="0" outline="0" subtotalTop="0" showAll="0" includeNewItemsInFilter="1" defaultSubtotal="0">
      <items count="1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9"/>
        <item x="47"/>
        <item x="48"/>
        <item x="50"/>
        <item x="51"/>
        <item x="52"/>
        <item x="53"/>
        <item x="54"/>
        <item x="55"/>
        <item x="56"/>
        <item x="57"/>
        <item x="58"/>
        <item x="59"/>
        <item x="60"/>
        <item x="61"/>
        <item x="62"/>
        <item x="63"/>
        <item x="64"/>
        <item x="65"/>
        <item x="67"/>
        <item x="66"/>
        <item x="69"/>
        <item x="68"/>
        <item x="70"/>
        <item x="71"/>
        <item x="72"/>
        <item x="73"/>
        <item x="74"/>
        <item x="75"/>
        <item x="76"/>
        <item x="77"/>
        <item x="78"/>
        <item x="79"/>
        <item x="80"/>
        <item x="81"/>
        <item x="82"/>
        <item x="83"/>
        <item x="84"/>
        <item x="85"/>
        <item x="86"/>
        <item x="87"/>
        <item x="88"/>
        <item x="89"/>
        <item x="91"/>
        <item x="90"/>
        <item x="92"/>
        <item x="93"/>
        <item x="94"/>
        <item x="95"/>
        <item x="97"/>
        <item x="96"/>
        <item x="101"/>
        <item x="98"/>
        <item x="99"/>
        <item x="100"/>
        <item x="102"/>
        <item x="103"/>
        <item x="104"/>
        <item x="105"/>
        <item x="106"/>
        <item x="107"/>
        <item x="108"/>
        <item x="109"/>
        <item x="110"/>
        <item x="111"/>
        <item x="112"/>
        <item x="115"/>
        <item x="114"/>
        <item x="113"/>
        <item x="116"/>
        <item x="117"/>
        <item x="118"/>
        <item x="119"/>
        <item x="120"/>
        <item x="121"/>
        <item x="122"/>
        <item x="123"/>
        <item x="124"/>
        <item x="125"/>
        <item x="126"/>
        <item x="127"/>
        <item x="128"/>
        <item x="129"/>
        <item x="130"/>
        <item x="131"/>
        <item x="132"/>
        <item x="133"/>
        <item x="134"/>
        <item x="135"/>
        <item x="136"/>
        <item x="137"/>
        <item x="138"/>
      </items>
    </pivotField>
    <pivotField axis="axisRow" compact="0" outline="0" subtotalTop="0" showAll="0" includeNewItemsInFilter="1" defaultSubtotal="0">
      <items count="16">
        <item h="1" x="0"/>
        <item h="1" x="1"/>
        <item h="1" x="2"/>
        <item h="1" x="3"/>
        <item h="1" x="4"/>
        <item x="5"/>
        <item x="6"/>
        <item x="7"/>
        <item x="8"/>
        <item x="9"/>
        <item x="10"/>
        <item x="11"/>
        <item x="12"/>
        <item x="13"/>
        <item x="14"/>
        <item h="1" x="15"/>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howAll="0"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howAll="0" defaultSubtotal="0"/>
    <pivotField compact="0" outline="0" subtotalTop="0" showAll="0" includeNewItemsInFilter="1"/>
    <pivotField compact="0" outline="0" showAll="0" defaultSubtotal="0"/>
    <pivotField compact="0" outline="0" subtotalTop="0" showAll="0" includeNewItemsInFilter="1"/>
    <pivotField compact="0" outline="0" subtotalTop="0" showAll="0" includeNewItemsInFilter="1"/>
    <pivotField compact="0" outline="0" subtotalTop="0" showAll="0" includeNewItemsInFilter="1"/>
    <pivotField compact="0" outline="0" showAll="0" defaultSubtotal="0"/>
    <pivotField compact="0" outline="0" subtotalTop="0" showAll="0" includeNewItemsInFilter="1"/>
    <pivotField compact="0" outline="0" subtotalTop="0" showAll="0" includeNewItemsInFilter="1"/>
    <pivotField compact="0" outline="0" subtotalTop="0" showAll="0" includeNewItemsInFilter="1"/>
    <pivotField compact="0" outline="0" showAll="0"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howAll="0" defaultSubtotal="0"/>
    <pivotField dataField="1" compact="0" outline="0" subtotalTop="0" showAll="0" includeNewItemsInFilter="1"/>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2">
    <field x="4"/>
    <field x="2"/>
  </rowFields>
  <rowItems count="257">
    <i>
      <x v="5"/>
      <x v="12"/>
    </i>
    <i r="1">
      <x v="13"/>
    </i>
    <i r="1">
      <x v="18"/>
    </i>
    <i r="1">
      <x v="20"/>
    </i>
    <i r="1">
      <x v="22"/>
    </i>
    <i r="1">
      <x v="24"/>
    </i>
    <i r="1">
      <x v="26"/>
    </i>
    <i r="1">
      <x v="29"/>
    </i>
    <i r="1">
      <x v="43"/>
    </i>
    <i r="1">
      <x v="61"/>
    </i>
    <i r="1">
      <x v="95"/>
    </i>
    <i r="1">
      <x v="96"/>
    </i>
    <i r="1">
      <x v="106"/>
    </i>
    <i r="1">
      <x v="112"/>
    </i>
    <i r="1">
      <x v="122"/>
    </i>
    <i r="1">
      <x v="128"/>
    </i>
    <i r="1">
      <x v="140"/>
    </i>
    <i r="1">
      <x v="157"/>
    </i>
    <i r="1">
      <x v="164"/>
    </i>
    <i r="1">
      <x v="165"/>
    </i>
    <i r="1">
      <x v="172"/>
    </i>
    <i r="1">
      <x v="183"/>
    </i>
    <i r="1">
      <x v="193"/>
    </i>
    <i r="1">
      <x v="205"/>
    </i>
    <i r="1">
      <x v="223"/>
    </i>
    <i>
      <x v="6"/>
      <x/>
    </i>
    <i r="1">
      <x v="1"/>
    </i>
    <i r="1">
      <x v="3"/>
    </i>
    <i r="1">
      <x v="14"/>
    </i>
    <i r="1">
      <x v="19"/>
    </i>
    <i r="1">
      <x v="21"/>
    </i>
    <i r="1">
      <x v="22"/>
    </i>
    <i r="1">
      <x v="27"/>
    </i>
    <i r="1">
      <x v="40"/>
    </i>
    <i r="1">
      <x v="48"/>
    </i>
    <i r="1">
      <x v="50"/>
    </i>
    <i r="1">
      <x v="55"/>
    </i>
    <i r="1">
      <x v="59"/>
    </i>
    <i r="1">
      <x v="60"/>
    </i>
    <i r="1">
      <x v="75"/>
    </i>
    <i r="1">
      <x v="82"/>
    </i>
    <i r="1">
      <x v="83"/>
    </i>
    <i r="1">
      <x v="96"/>
    </i>
    <i r="1">
      <x v="103"/>
    </i>
    <i r="1">
      <x v="109"/>
    </i>
    <i r="1">
      <x v="112"/>
    </i>
    <i r="1">
      <x v="116"/>
    </i>
    <i r="1">
      <x v="129"/>
    </i>
    <i r="1">
      <x v="136"/>
    </i>
    <i r="1">
      <x v="137"/>
    </i>
    <i r="1">
      <x v="145"/>
    </i>
    <i r="1">
      <x v="146"/>
    </i>
    <i r="1">
      <x v="147"/>
    </i>
    <i r="1">
      <x v="149"/>
    </i>
    <i r="1">
      <x v="152"/>
    </i>
    <i r="1">
      <x v="160"/>
    </i>
    <i r="1">
      <x v="202"/>
    </i>
    <i r="1">
      <x v="214"/>
    </i>
    <i r="1">
      <x v="215"/>
    </i>
    <i r="1">
      <x v="219"/>
    </i>
    <i r="1">
      <x v="220"/>
    </i>
    <i r="1">
      <x v="221"/>
    </i>
    <i>
      <x v="7"/>
      <x v="7"/>
    </i>
    <i r="1">
      <x v="9"/>
    </i>
    <i r="1">
      <x v="11"/>
    </i>
    <i r="1">
      <x v="23"/>
    </i>
    <i r="1">
      <x v="38"/>
    </i>
    <i r="1">
      <x v="39"/>
    </i>
    <i r="1">
      <x v="48"/>
    </i>
    <i r="1">
      <x v="50"/>
    </i>
    <i r="1">
      <x v="51"/>
    </i>
    <i r="1">
      <x v="67"/>
    </i>
    <i r="1">
      <x v="71"/>
    </i>
    <i r="1">
      <x v="84"/>
    </i>
    <i r="1">
      <x v="86"/>
    </i>
    <i r="1">
      <x v="96"/>
    </i>
    <i r="1">
      <x v="100"/>
    </i>
    <i r="1">
      <x v="105"/>
    </i>
    <i r="1">
      <x v="107"/>
    </i>
    <i r="1">
      <x v="112"/>
    </i>
    <i r="1">
      <x v="115"/>
    </i>
    <i r="1">
      <x v="120"/>
    </i>
    <i r="1">
      <x v="132"/>
    </i>
    <i r="1">
      <x v="136"/>
    </i>
    <i r="1">
      <x v="160"/>
    </i>
    <i r="1">
      <x v="162"/>
    </i>
    <i r="1">
      <x v="166"/>
    </i>
    <i r="1">
      <x v="170"/>
    </i>
    <i r="1">
      <x v="172"/>
    </i>
    <i r="1">
      <x v="176"/>
    </i>
    <i r="1">
      <x v="177"/>
    </i>
    <i r="1">
      <x v="185"/>
    </i>
    <i r="1">
      <x v="186"/>
    </i>
    <i r="1">
      <x v="192"/>
    </i>
    <i r="1">
      <x v="200"/>
    </i>
    <i r="1">
      <x v="213"/>
    </i>
    <i r="1">
      <x v="214"/>
    </i>
    <i r="1">
      <x v="222"/>
    </i>
    <i r="1">
      <x v="224"/>
    </i>
    <i>
      <x v="8"/>
      <x v="4"/>
    </i>
    <i r="1">
      <x v="30"/>
    </i>
    <i r="1">
      <x v="53"/>
    </i>
    <i r="1">
      <x v="54"/>
    </i>
    <i r="1">
      <x v="79"/>
    </i>
    <i r="1">
      <x v="104"/>
    </i>
    <i r="1">
      <x v="108"/>
    </i>
    <i r="1">
      <x v="121"/>
    </i>
    <i r="1">
      <x v="127"/>
    </i>
    <i r="1">
      <x v="133"/>
    </i>
    <i r="1">
      <x v="150"/>
    </i>
    <i r="1">
      <x v="159"/>
    </i>
    <i r="1">
      <x v="160"/>
    </i>
    <i r="1">
      <x v="185"/>
    </i>
    <i>
      <x v="9"/>
      <x v="14"/>
    </i>
    <i r="1">
      <x v="18"/>
    </i>
    <i r="1">
      <x v="28"/>
    </i>
    <i r="1">
      <x v="33"/>
    </i>
    <i r="1">
      <x v="35"/>
    </i>
    <i r="1">
      <x v="48"/>
    </i>
    <i r="1">
      <x v="74"/>
    </i>
    <i r="1">
      <x v="77"/>
    </i>
    <i r="1">
      <x v="79"/>
    </i>
    <i r="1">
      <x v="101"/>
    </i>
    <i r="1">
      <x v="109"/>
    </i>
    <i r="1">
      <x v="130"/>
    </i>
    <i r="1">
      <x v="160"/>
    </i>
    <i r="1">
      <x v="163"/>
    </i>
    <i r="1">
      <x v="194"/>
    </i>
    <i r="1">
      <x v="197"/>
    </i>
    <i r="1">
      <x v="204"/>
    </i>
    <i>
      <x v="10"/>
      <x v="5"/>
    </i>
    <i r="1">
      <x v="44"/>
    </i>
    <i r="1">
      <x v="46"/>
    </i>
    <i r="1">
      <x v="56"/>
    </i>
    <i r="1">
      <x v="63"/>
    </i>
    <i r="1">
      <x v="64"/>
    </i>
    <i r="1">
      <x v="89"/>
    </i>
    <i r="1">
      <x v="91"/>
    </i>
    <i r="1">
      <x v="92"/>
    </i>
    <i r="1">
      <x v="93"/>
    </i>
    <i r="1">
      <x v="94"/>
    </i>
    <i r="1">
      <x v="102"/>
    </i>
    <i r="1">
      <x v="154"/>
    </i>
    <i r="1">
      <x v="168"/>
    </i>
    <i r="1">
      <x v="174"/>
    </i>
    <i r="1">
      <x v="180"/>
    </i>
    <i r="1">
      <x v="190"/>
    </i>
    <i r="1">
      <x v="209"/>
    </i>
    <i r="1">
      <x v="225"/>
    </i>
    <i r="1">
      <x v="242"/>
    </i>
    <i r="1">
      <x v="243"/>
    </i>
    <i r="1">
      <x v="244"/>
    </i>
    <i r="1">
      <x v="245"/>
    </i>
    <i r="1">
      <x v="246"/>
    </i>
    <i r="1">
      <x v="247"/>
    </i>
    <i r="1">
      <x v="248"/>
    </i>
    <i r="1">
      <x v="249"/>
    </i>
    <i>
      <x v="11"/>
      <x v="22"/>
    </i>
    <i r="1">
      <x v="40"/>
    </i>
    <i r="1">
      <x v="45"/>
    </i>
    <i r="1">
      <x v="58"/>
    </i>
    <i r="1">
      <x v="65"/>
    </i>
    <i r="1">
      <x v="116"/>
    </i>
    <i r="1">
      <x v="124"/>
    </i>
    <i r="1">
      <x v="131"/>
    </i>
    <i r="1">
      <x v="140"/>
    </i>
    <i r="1">
      <x v="169"/>
    </i>
    <i r="1">
      <x v="170"/>
    </i>
    <i r="1">
      <x v="178"/>
    </i>
    <i r="1">
      <x v="179"/>
    </i>
    <i r="1">
      <x v="181"/>
    </i>
    <i r="1">
      <x v="191"/>
    </i>
    <i r="1">
      <x v="197"/>
    </i>
    <i r="1">
      <x v="198"/>
    </i>
    <i r="1">
      <x v="227"/>
    </i>
    <i r="1">
      <x v="250"/>
    </i>
    <i>
      <x v="12"/>
      <x v="17"/>
    </i>
    <i r="1">
      <x v="18"/>
    </i>
    <i r="1">
      <x v="37"/>
    </i>
    <i r="1">
      <x v="41"/>
    </i>
    <i r="1">
      <x v="42"/>
    </i>
    <i r="1">
      <x v="57"/>
    </i>
    <i r="1">
      <x v="66"/>
    </i>
    <i r="1">
      <x v="73"/>
    </i>
    <i r="1">
      <x v="76"/>
    </i>
    <i r="1">
      <x v="87"/>
    </i>
    <i r="1">
      <x v="88"/>
    </i>
    <i r="1">
      <x v="98"/>
    </i>
    <i r="1">
      <x v="105"/>
    </i>
    <i r="1">
      <x v="114"/>
    </i>
    <i r="1">
      <x v="123"/>
    </i>
    <i r="1">
      <x v="133"/>
    </i>
    <i r="1">
      <x v="141"/>
    </i>
    <i r="1">
      <x v="144"/>
    </i>
    <i r="1">
      <x v="153"/>
    </i>
    <i r="1">
      <x v="161"/>
    </i>
    <i r="1">
      <x v="164"/>
    </i>
    <i r="1">
      <x v="167"/>
    </i>
    <i r="1">
      <x v="182"/>
    </i>
    <i r="1">
      <x v="189"/>
    </i>
    <i r="1">
      <x v="197"/>
    </i>
    <i r="1">
      <x v="198"/>
    </i>
    <i r="1">
      <x v="210"/>
    </i>
    <i r="1">
      <x v="212"/>
    </i>
    <i r="1">
      <x v="216"/>
    </i>
    <i r="1">
      <x v="218"/>
    </i>
    <i r="1">
      <x v="226"/>
    </i>
    <i>
      <x v="13"/>
      <x v="2"/>
    </i>
    <i r="1">
      <x v="10"/>
    </i>
    <i r="1">
      <x v="16"/>
    </i>
    <i r="1">
      <x v="31"/>
    </i>
    <i r="1">
      <x v="32"/>
    </i>
    <i r="1">
      <x v="34"/>
    </i>
    <i r="1">
      <x v="44"/>
    </i>
    <i r="1">
      <x v="47"/>
    </i>
    <i r="1">
      <x v="49"/>
    </i>
    <i r="1">
      <x v="68"/>
    </i>
    <i r="1">
      <x v="69"/>
    </i>
    <i r="1">
      <x v="70"/>
    </i>
    <i r="1">
      <x v="80"/>
    </i>
    <i r="1">
      <x v="85"/>
    </i>
    <i r="1">
      <x v="107"/>
    </i>
    <i r="1">
      <x v="138"/>
    </i>
    <i r="1">
      <x v="142"/>
    </i>
    <i r="1">
      <x v="144"/>
    </i>
    <i r="1">
      <x v="151"/>
    </i>
    <i r="1">
      <x v="155"/>
    </i>
    <i r="1">
      <x v="158"/>
    </i>
    <i r="1">
      <x v="191"/>
    </i>
    <i r="1">
      <x v="199"/>
    </i>
    <i r="1">
      <x v="217"/>
    </i>
    <i r="1">
      <x v="223"/>
    </i>
    <i r="1">
      <x v="231"/>
    </i>
    <i r="1">
      <x v="233"/>
    </i>
    <i>
      <x v="14"/>
      <x v="36"/>
    </i>
    <i r="1">
      <x v="38"/>
    </i>
    <i r="1">
      <x v="62"/>
    </i>
    <i r="1">
      <x v="78"/>
    </i>
    <i r="1">
      <x v="79"/>
    </i>
    <i r="1">
      <x v="96"/>
    </i>
    <i r="1">
      <x v="111"/>
    </i>
    <i r="1">
      <x v="113"/>
    </i>
    <i r="1">
      <x v="117"/>
    </i>
    <i r="1">
      <x v="135"/>
    </i>
    <i r="1">
      <x v="139"/>
    </i>
    <i r="1">
      <x v="143"/>
    </i>
    <i r="1">
      <x v="175"/>
    </i>
    <i r="1">
      <x v="187"/>
    </i>
    <i r="1">
      <x v="188"/>
    </i>
    <i r="1">
      <x v="201"/>
    </i>
    <i r="1">
      <x v="206"/>
    </i>
    <i r="1">
      <x v="207"/>
    </i>
    <i r="1">
      <x v="211"/>
    </i>
    <i r="1">
      <x v="228"/>
    </i>
    <i r="1">
      <x v="229"/>
    </i>
    <i r="1">
      <x v="230"/>
    </i>
    <i t="grand">
      <x/>
    </i>
  </rowItems>
  <colItems count="1">
    <i/>
  </colItems>
  <dataFields count="1">
    <dataField name="Sum of Total Contributions" fld="57" baseField="0" baseItem="0" numFmtId="166"/>
  </dataFields>
  <formats count="1">
    <format dxfId="37">
      <pivotArea field="3" type="button" dataOnly="0" labelOnly="1" outline="0" fieldPosition="3"/>
    </format>
  </formats>
  <pivotTableStyleInfo showRowHeaders="1" showColHeaders="1" showRowStripes="0" showColStripes="0" showLastColumn="1"/>
</pivotTableDefinition>
</file>

<file path=xl/pivotTables/pivotTable40.xml><?xml version="1.0" encoding="utf-8"?>
<pivotTableDefinition xmlns="http://schemas.openxmlformats.org/spreadsheetml/2006/main" name="PivotTable5" cacheId="24" dataOnRows="1" applyNumberFormats="0" applyBorderFormats="0" applyFontFormats="0" applyPatternFormats="0" applyAlignmentFormats="0" applyWidthHeightFormats="1" dataCaption="Data" updatedVersion="3" minRefreshableVersion="3" showMemberPropertyTips="0" useAutoFormatting="1" itemPrintTitles="1" createdVersion="3" indent="0" compact="0" compactData="0" gridDropZones="1">
  <location ref="Y3:AA15" firstHeaderRow="2" firstDataRow="2" firstDataCol="2"/>
  <pivotFields count="77">
    <pivotField compact="0" outline="0" subtotalTop="0" showAll="0" includeNewItemsInFilter="1"/>
    <pivotField compact="0" outline="0" subtotalTop="0" showAll="0" includeNewItemsInFilter="1"/>
    <pivotField axis="axisRow" compact="0" outline="0" subtotalTop="0" showAll="0" measureFilter="1" includeNewItemsInFilter="1" sortType="descending" rankBy="0" defaultSubtotal="0">
      <items count="253">
        <item m="1" x="245"/>
        <item x="30"/>
        <item m="1" x="249"/>
        <item x="210"/>
        <item m="1" x="250"/>
        <item x="197"/>
        <item x="227"/>
        <item x="222"/>
        <item x="221"/>
        <item x="164"/>
        <item x="182"/>
        <item x="144"/>
        <item x="99"/>
        <item x="21"/>
        <item x="27"/>
        <item x="62"/>
        <item x="74"/>
        <item x="65"/>
        <item x="173"/>
        <item x="209"/>
        <item x="179"/>
        <item x="64"/>
        <item x="9"/>
        <item x="107"/>
        <item x="181"/>
        <item x="236"/>
        <item x="180"/>
        <item x="152"/>
        <item x="18"/>
        <item x="232"/>
        <item x="219"/>
        <item x="38"/>
        <item x="126"/>
        <item x="14"/>
        <item x="84"/>
        <item x="220"/>
        <item x="106"/>
        <item x="198"/>
        <item x="162"/>
        <item x="125"/>
        <item x="26"/>
        <item x="23"/>
        <item x="128"/>
        <item x="41"/>
        <item x="111"/>
        <item x="167"/>
        <item x="156"/>
        <item x="148"/>
        <item x="149"/>
        <item x="147"/>
        <item x="146"/>
        <item x="190"/>
        <item x="226"/>
        <item x="225"/>
        <item x="103"/>
        <item x="95"/>
        <item x="28"/>
        <item x="42"/>
        <item x="194"/>
        <item x="166"/>
        <item x="155"/>
        <item x="165"/>
        <item x="169"/>
        <item x="102"/>
        <item x="91"/>
        <item x="228"/>
        <item x="136"/>
        <item x="2"/>
        <item x="51"/>
        <item x="17"/>
        <item x="88"/>
        <item x="163"/>
        <item x="240"/>
        <item x="153"/>
        <item x="196"/>
        <item x="86"/>
        <item x="49"/>
        <item x="54"/>
        <item x="123"/>
        <item x="94"/>
        <item x="184"/>
        <item x="80"/>
        <item x="118"/>
        <item x="207"/>
        <item x="37"/>
        <item x="238"/>
        <item x="217"/>
        <item x="138"/>
        <item x="172"/>
        <item x="61"/>
        <item x="206"/>
        <item x="119"/>
        <item x="78"/>
        <item x="10"/>
        <item x="71"/>
        <item x="57"/>
        <item x="83"/>
        <item x="174"/>
        <item x="235"/>
        <item x="215"/>
        <item x="191"/>
        <item x="46"/>
        <item x="234"/>
        <item x="199"/>
        <item x="159"/>
        <item x="66"/>
        <item x="67"/>
        <item x="223"/>
        <item x="16"/>
        <item x="6"/>
        <item x="0"/>
        <item x="171"/>
        <item x="130"/>
        <item x="82"/>
        <item x="47"/>
        <item x="121"/>
        <item m="1" x="247"/>
        <item x="31"/>
        <item x="168"/>
        <item x="189"/>
        <item x="52"/>
        <item x="115"/>
        <item x="100"/>
        <item m="1" x="251"/>
        <item m="1" x="248"/>
        <item x="237"/>
        <item x="81"/>
        <item x="101"/>
        <item x="185"/>
        <item x="229"/>
        <item x="36"/>
        <item x="224"/>
        <item x="15"/>
        <item x="73"/>
        <item x="122"/>
        <item x="96"/>
        <item x="35"/>
        <item x="151"/>
        <item x="105"/>
        <item x="117"/>
        <item x="63"/>
        <item x="158"/>
        <item x="241"/>
        <item x="129"/>
        <item x="97"/>
        <item x="32"/>
        <item x="178"/>
        <item x="20"/>
        <item x="33"/>
        <item x="45"/>
        <item x="143"/>
        <item x="142"/>
        <item x="140"/>
        <item x="139"/>
        <item x="3"/>
        <item x="137"/>
        <item x="177"/>
        <item x="133"/>
        <item x="135"/>
        <item x="134"/>
        <item x="175"/>
        <item x="92"/>
        <item x="208"/>
        <item x="110"/>
        <item x="70"/>
        <item x="56"/>
        <item m="1" x="246"/>
        <item x="201"/>
        <item x="120"/>
        <item x="231"/>
        <item m="1" x="252"/>
        <item x="131"/>
        <item x="187"/>
        <item x="58"/>
        <item x="25"/>
        <item x="176"/>
        <item x="12"/>
        <item x="89"/>
        <item x="200"/>
        <item x="212"/>
        <item x="211"/>
        <item x="85"/>
        <item x="193"/>
        <item x="161"/>
        <item x="5"/>
        <item x="141"/>
        <item x="230"/>
        <item x="43"/>
        <item x="55"/>
        <item x="59"/>
        <item x="160"/>
        <item x="188"/>
        <item x="150"/>
        <item x="77"/>
        <item x="116"/>
        <item x="113"/>
        <item x="22"/>
        <item x="90"/>
        <item x="72"/>
        <item x="204"/>
        <item x="7"/>
        <item x="213"/>
        <item x="244"/>
        <item x="145"/>
        <item x="170"/>
        <item x="157"/>
        <item x="44"/>
        <item x="186"/>
        <item x="192"/>
        <item x="8"/>
        <item x="109"/>
        <item x="104"/>
        <item x="195"/>
        <item x="233"/>
        <item x="124"/>
        <item x="205"/>
        <item x="127"/>
        <item x="202"/>
        <item x="203"/>
        <item x="242"/>
        <item x="112"/>
        <item x="50"/>
        <item x="132"/>
        <item x="75"/>
        <item x="11"/>
        <item x="29"/>
        <item x="53"/>
        <item x="87"/>
        <item x="48"/>
        <item x="69"/>
        <item x="34"/>
        <item x="68"/>
        <item x="243"/>
        <item x="19"/>
        <item x="183"/>
        <item x="218"/>
        <item x="4"/>
        <item x="13"/>
        <item x="40"/>
        <item x="39"/>
        <item x="93"/>
        <item x="214"/>
        <item x="98"/>
        <item x="1"/>
        <item x="108"/>
        <item x="24"/>
        <item x="154"/>
        <item x="114"/>
        <item x="76"/>
        <item x="216"/>
        <item x="79"/>
        <item x="60"/>
        <item x="239"/>
      </items>
      <autoSortScope>
        <pivotArea dataOnly="0" outline="0" fieldPosition="0">
          <references count="1">
            <reference field="4294967294" count="1" selected="0">
              <x v="0"/>
            </reference>
          </references>
        </pivotArea>
      </autoSortScope>
    </pivotField>
    <pivotField compact="0" outline="0" subtotalTop="0" showAll="0" includeNewItemsInFilter="1" defaultSubtotal="0">
      <items count="1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9"/>
        <item x="47"/>
        <item x="48"/>
        <item x="50"/>
        <item x="51"/>
        <item x="52"/>
        <item x="53"/>
        <item x="54"/>
        <item x="55"/>
        <item x="56"/>
        <item x="57"/>
        <item x="58"/>
        <item x="59"/>
        <item x="60"/>
        <item x="61"/>
        <item x="62"/>
        <item x="63"/>
        <item x="64"/>
        <item x="65"/>
        <item x="67"/>
        <item x="66"/>
        <item x="69"/>
        <item x="68"/>
        <item x="70"/>
        <item x="71"/>
        <item x="72"/>
        <item x="73"/>
        <item x="74"/>
        <item x="75"/>
        <item x="76"/>
        <item x="77"/>
        <item x="78"/>
        <item x="79"/>
        <item x="80"/>
        <item x="81"/>
        <item x="82"/>
        <item x="83"/>
        <item x="84"/>
        <item x="85"/>
        <item x="86"/>
        <item x="87"/>
        <item x="88"/>
        <item x="89"/>
        <item x="91"/>
        <item x="90"/>
        <item x="92"/>
        <item x="93"/>
        <item x="94"/>
        <item x="95"/>
        <item x="97"/>
        <item x="96"/>
        <item x="101"/>
        <item x="98"/>
        <item x="99"/>
        <item x="100"/>
        <item x="102"/>
        <item x="103"/>
        <item x="104"/>
        <item x="105"/>
        <item x="106"/>
        <item x="107"/>
        <item x="108"/>
        <item x="109"/>
        <item x="110"/>
        <item x="111"/>
        <item x="112"/>
        <item x="115"/>
        <item x="114"/>
        <item x="113"/>
        <item x="116"/>
        <item x="117"/>
        <item x="118"/>
        <item x="119"/>
        <item x="120"/>
        <item x="121"/>
        <item x="122"/>
        <item x="123"/>
        <item x="124"/>
        <item x="125"/>
        <item x="126"/>
        <item x="127"/>
        <item x="128"/>
        <item x="129"/>
        <item x="130"/>
        <item x="131"/>
        <item x="132"/>
        <item x="133"/>
        <item x="134"/>
        <item x="135"/>
        <item x="136"/>
        <item x="137"/>
        <item x="138"/>
      </items>
    </pivotField>
    <pivotField axis="axisRow" compact="0" outline="0" subtotalTop="0" showAll="0" includeNewItemsInFilter="1" rankBy="0" defaultSubtotal="0">
      <items count="16">
        <item x="15"/>
        <item x="14"/>
        <item x="13"/>
        <item x="12"/>
        <item x="11"/>
        <item x="10"/>
        <item x="9"/>
        <item x="8"/>
        <item x="7"/>
        <item x="6"/>
        <item x="5"/>
        <item h="1" x="4"/>
        <item h="1" x="3"/>
        <item h="1" x="2"/>
        <item h="1" x="1"/>
        <item h="1" x="0"/>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howAll="0"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howAll="0" defaultSubtotal="0"/>
    <pivotField compact="0" outline="0" subtotalTop="0" showAll="0" includeNewItemsInFilter="1"/>
    <pivotField compact="0" outline="0" showAll="0" defaultSubtotal="0"/>
    <pivotField compact="0" outline="0" subtotalTop="0" showAll="0" includeNewItemsInFilter="1"/>
    <pivotField compact="0" outline="0" subtotalTop="0" showAll="0" includeNewItemsInFilter="1"/>
    <pivotField compact="0" outline="0" subtotalTop="0" showAll="0" includeNewItemsInFilter="1"/>
    <pivotField compact="0" outline="0" showAll="0" defaultSubtotal="0"/>
    <pivotField compact="0" outline="0" subtotalTop="0" showAll="0" includeNewItemsInFilter="1"/>
    <pivotField compact="0" outline="0" subtotalTop="0" showAll="0" includeNewItemsInFilter="1"/>
    <pivotField compact="0" outline="0" subtotalTop="0" showAll="0" includeNewItemsInFilter="1"/>
    <pivotField compact="0" outline="0" showAll="0"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howAll="0" defaultSubtotal="0"/>
    <pivotField dataField="1" compact="0" outline="0" subtotalTop="0" showAll="0" includeNewItemsInFilter="1"/>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2">
    <field x="2"/>
    <field x="4"/>
  </rowFields>
  <rowItems count="11">
    <i>
      <x v="143"/>
      <x v="6"/>
    </i>
    <i>
      <x v="169"/>
      <x v="1"/>
    </i>
    <i>
      <x v="42"/>
      <x v="6"/>
    </i>
    <i>
      <x v="208"/>
      <x v="3"/>
    </i>
    <i>
      <x v="252"/>
      <x/>
    </i>
    <i>
      <x v="149"/>
      <x v="10"/>
    </i>
    <i>
      <x v="87"/>
      <x v="5"/>
    </i>
    <i>
      <x v="251"/>
      <x v="9"/>
    </i>
    <i>
      <x v="85"/>
      <x/>
    </i>
    <i>
      <x v="213"/>
      <x v="1"/>
    </i>
    <i t="grand">
      <x/>
    </i>
  </rowItems>
  <colItems count="1">
    <i/>
  </colItems>
  <dataFields count="1">
    <dataField name="Max of Total Contributions" fld="57" subtotal="max" baseField="0" baseItem="0" numFmtId="166"/>
  </dataFields>
  <formats count="2">
    <format dxfId="39">
      <pivotArea field="3" type="button" dataOnly="0" labelOnly="1" outline="0"/>
    </format>
    <format dxfId="38">
      <pivotArea outline="0" fieldPosition="0">
        <references count="1">
          <reference field="4294967294" count="1">
            <x v="0"/>
          </reference>
        </references>
      </pivotArea>
    </format>
  </formats>
  <pivotTableStyleInfo showRowHeaders="1" showColHeaders="1" showRowStripes="0" showColStripes="0" showLastColumn="1"/>
  <filters count="1">
    <filter fld="2" type="count" evalOrder="-1" id="1" iMeasureFld="0">
      <autoFilter ref="A1">
        <filterColumn colId="0">
          <top10 val="10" filterVal="10"/>
        </filterColumn>
      </autoFilter>
    </filter>
  </filters>
</pivotTableDefinition>
</file>

<file path=xl/pivotTables/pivotTable41.xml><?xml version="1.0" encoding="utf-8"?>
<pivotTableDefinition xmlns="http://schemas.openxmlformats.org/spreadsheetml/2006/main" name="PivotTable4" cacheId="24" dataOnRows="1" applyNumberFormats="0" applyBorderFormats="0" applyFontFormats="0" applyPatternFormats="0" applyAlignmentFormats="0" applyWidthHeightFormats="1" dataCaption="Data" updatedVersion="3" minRefreshableVersion="3" showMemberPropertyTips="0" useAutoFormatting="1" itemPrintTitles="1" createdVersion="3" indent="0" compact="0" compactData="0" gridDropZones="1">
  <location ref="S3:U261" firstHeaderRow="2" firstDataRow="2" firstDataCol="2"/>
  <pivotFields count="77">
    <pivotField compact="0" outline="0" subtotalTop="0" showAll="0" includeNewItemsInFilter="1"/>
    <pivotField compact="0" outline="0" subtotalTop="0" showAll="0" includeNewItemsInFilter="1"/>
    <pivotField axis="axisRow" dataField="1" compact="0" outline="0" subtotalTop="0" showAll="0" includeNewItemsInFilter="1">
      <items count="254">
        <item sd="0" x="60"/>
        <item sd="0" x="79"/>
        <item sd="0" x="216"/>
        <item sd="0" x="76"/>
        <item sd="0" x="114"/>
        <item sd="0" x="154"/>
        <item sd="0" x="24"/>
        <item sd="0" x="108"/>
        <item sd="0" x="1"/>
        <item sd="0" x="98"/>
        <item sd="0" x="214"/>
        <item sd="0" x="93"/>
        <item sd="0" x="39"/>
        <item sd="0" x="40"/>
        <item sd="0" x="13"/>
        <item sd="0" x="4"/>
        <item sd="0" x="218"/>
        <item sd="0" x="183"/>
        <item sd="0" x="19"/>
        <item sd="0" x="68"/>
        <item sd="0" x="34"/>
        <item sd="0" x="69"/>
        <item sd="0" x="48"/>
        <item sd="0" x="87"/>
        <item sd="0" x="53"/>
        <item sd="0" x="29"/>
        <item sd="0" x="11"/>
        <item sd="0" x="75"/>
        <item sd="0" x="132"/>
        <item sd="0" x="50"/>
        <item sd="0" x="112"/>
        <item sd="0" x="203"/>
        <item sd="0" x="202"/>
        <item sd="0" x="127"/>
        <item sd="0" x="205"/>
        <item sd="0" x="124"/>
        <item sd="0" x="233"/>
        <item sd="0" x="195"/>
        <item sd="0" x="104"/>
        <item sd="0" x="109"/>
        <item sd="0" x="8"/>
        <item sd="0" x="192"/>
        <item sd="0" x="186"/>
        <item sd="0" x="44"/>
        <item sd="0" x="157"/>
        <item sd="0" x="170"/>
        <item sd="0" x="145"/>
        <item sd="0" x="213"/>
        <item sd="0" x="7"/>
        <item sd="0" x="204"/>
        <item sd="0" x="72"/>
        <item sd="0" x="90"/>
        <item sd="0" x="22"/>
        <item sd="0" x="113"/>
        <item sd="0" x="116"/>
        <item sd="0" x="77"/>
        <item sd="0" x="150"/>
        <item sd="0" x="188"/>
        <item sd="0" x="160"/>
        <item sd="0" x="59"/>
        <item sd="0" x="55"/>
        <item sd="0" x="43"/>
        <item sd="0" x="230"/>
        <item sd="0" x="141"/>
        <item sd="0" x="5"/>
        <item sd="0" x="161"/>
        <item sd="0" x="193"/>
        <item sd="0" x="85"/>
        <item sd="0" x="211"/>
        <item sd="0" x="212"/>
        <item sd="0" x="200"/>
        <item sd="0" x="89"/>
        <item sd="0" x="12"/>
        <item sd="0" x="176"/>
        <item sd="0" x="25"/>
        <item sd="0" x="58"/>
        <item sd="0" x="187"/>
        <item sd="0" x="131"/>
        <item sd="0" x="231"/>
        <item sd="0" x="120"/>
        <item sd="0" x="201"/>
        <item sd="0" m="1" x="246"/>
        <item sd="0" x="56"/>
        <item sd="0" x="70"/>
        <item sd="0" x="110"/>
        <item sd="0" x="208"/>
        <item sd="0" x="92"/>
        <item sd="0" x="175"/>
        <item sd="0" x="177"/>
        <item sd="0" x="137"/>
        <item sd="0" x="3"/>
        <item sd="0" x="139"/>
        <item sd="0" x="140"/>
        <item sd="0" x="142"/>
        <item sd="0" x="143"/>
        <item sd="0" x="45"/>
        <item sd="0" x="33"/>
        <item sd="0" x="20"/>
        <item sd="0" x="178"/>
        <item sd="0" x="32"/>
        <item sd="0" x="97"/>
        <item sd="0" x="129"/>
        <item sd="0" x="158"/>
        <item sd="0" x="63"/>
        <item sd="0" x="117"/>
        <item sd="0" x="105"/>
        <item sd="0" x="35"/>
        <item sd="0" x="96"/>
        <item sd="0" x="122"/>
        <item sd="0" x="73"/>
        <item sd="0" x="15"/>
        <item sd="0" x="224"/>
        <item sd="0" x="36"/>
        <item sd="0" x="229"/>
        <item sd="0" x="185"/>
        <item sd="0" x="101"/>
        <item sd="0" x="81"/>
        <item sd="0" x="237"/>
        <item sd="0" m="1" x="248"/>
        <item sd="0" m="1" x="251"/>
        <item sd="0" x="100"/>
        <item sd="0" x="115"/>
        <item sd="0" x="52"/>
        <item sd="0" x="189"/>
        <item sd="0" x="168"/>
        <item sd="0" x="31"/>
        <item sd="0" m="1" x="247"/>
        <item sd="0" x="121"/>
        <item sd="0" x="47"/>
        <item sd="0" x="82"/>
        <item sd="0" x="130"/>
        <item sd="0" x="171"/>
        <item sd="0" x="0"/>
        <item sd="0" x="6"/>
        <item sd="0" x="16"/>
        <item sd="0" x="223"/>
        <item sd="0" x="67"/>
        <item sd="0" x="66"/>
        <item sd="0" x="199"/>
        <item sd="0" x="234"/>
        <item sd="0" x="46"/>
        <item sd="0" x="191"/>
        <item sd="0" x="215"/>
        <item sd="0" x="235"/>
        <item sd="0" x="174"/>
        <item sd="0" x="83"/>
        <item sd="0" x="57"/>
        <item sd="0" x="71"/>
        <item sd="0" x="10"/>
        <item sd="0" x="78"/>
        <item sd="0" x="119"/>
        <item sd="0" x="206"/>
        <item sd="0" x="61"/>
        <item sd="0" x="172"/>
        <item sd="0" x="138"/>
        <item sd="0" x="217"/>
        <item sd="0" x="238"/>
        <item x="37"/>
        <item sd="0" x="207"/>
        <item sd="0" x="118"/>
        <item sd="0" x="80"/>
        <item sd="0" x="184"/>
        <item sd="0" x="94"/>
        <item sd="0" x="123"/>
        <item sd="0" x="54"/>
        <item sd="0" x="49"/>
        <item sd="0" x="86"/>
        <item sd="0" x="196"/>
        <item sd="0" x="153"/>
        <item sd="0" x="163"/>
        <item sd="0" x="88"/>
        <item sd="0" x="17"/>
        <item sd="0" x="51"/>
        <item sd="0" x="2"/>
        <item sd="0" x="136"/>
        <item sd="0" x="228"/>
        <item sd="0" x="91"/>
        <item sd="0" x="102"/>
        <item sd="0" x="169"/>
        <item sd="0" x="165"/>
        <item sd="0" x="155"/>
        <item sd="0" x="166"/>
        <item sd="0" x="194"/>
        <item sd="0" x="42"/>
        <item sd="0" x="28"/>
        <item sd="0" x="95"/>
        <item sd="0" x="103"/>
        <item sd="0" x="225"/>
        <item sd="0" x="226"/>
        <item sd="0" x="190"/>
        <item sd="0" x="156"/>
        <item sd="0" x="167"/>
        <item sd="0" x="111"/>
        <item sd="0" x="41"/>
        <item sd="0" x="128"/>
        <item sd="0" x="23"/>
        <item sd="0" x="26"/>
        <item sd="0" x="125"/>
        <item sd="0" x="162"/>
        <item sd="0" x="198"/>
        <item sd="0" x="106"/>
        <item sd="0" x="220"/>
        <item sd="0" x="84"/>
        <item sd="0" x="14"/>
        <item sd="0" x="126"/>
        <item sd="0" x="38"/>
        <item sd="0" x="219"/>
        <item sd="0" x="232"/>
        <item sd="0" x="18"/>
        <item sd="0" x="152"/>
        <item sd="0" x="180"/>
        <item sd="0" x="236"/>
        <item sd="0" x="181"/>
        <item sd="0" x="107"/>
        <item sd="0" x="9"/>
        <item sd="0" x="64"/>
        <item sd="0" x="179"/>
        <item sd="0" x="209"/>
        <item sd="0" x="173"/>
        <item sd="0" x="65"/>
        <item sd="0" x="74"/>
        <item sd="0" x="62"/>
        <item sd="0" x="27"/>
        <item sd="0" x="21"/>
        <item sd="0" x="99"/>
        <item sd="0" x="144"/>
        <item sd="0" x="182"/>
        <item sd="0" x="164"/>
        <item sd="0" x="221"/>
        <item sd="0" x="222"/>
        <item sd="0" x="227"/>
        <item sd="0" x="197"/>
        <item sd="0" m="1" x="250"/>
        <item sd="0" x="210"/>
        <item sd="0" m="1" x="249"/>
        <item sd="0" x="30"/>
        <item sd="0" m="1" x="245"/>
        <item sd="0" m="1" x="252"/>
        <item sd="0" x="240"/>
        <item sd="0" x="241"/>
        <item sd="0" x="242"/>
        <item sd="0" x="243"/>
        <item sd="0" x="133"/>
        <item sd="0" x="134"/>
        <item sd="0" x="135"/>
        <item sd="0" x="146"/>
        <item sd="0" x="147"/>
        <item sd="0" x="148"/>
        <item sd="0" x="149"/>
        <item sd="0" x="151"/>
        <item sd="0" x="159"/>
        <item sd="0" x="244"/>
        <item x="239"/>
        <item t="default" sd="0"/>
      </items>
    </pivotField>
    <pivotField compact="0" outline="0" subtotalTop="0" showAll="0" includeNewItemsInFilter="1" defaultSubtotal="0">
      <items count="1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9"/>
        <item x="47"/>
        <item x="48"/>
        <item x="50"/>
        <item x="51"/>
        <item x="52"/>
        <item x="53"/>
        <item x="54"/>
        <item x="55"/>
        <item x="56"/>
        <item x="57"/>
        <item x="58"/>
        <item x="59"/>
        <item x="60"/>
        <item x="61"/>
        <item x="62"/>
        <item x="63"/>
        <item x="64"/>
        <item x="65"/>
        <item x="67"/>
        <item x="66"/>
        <item x="69"/>
        <item x="68"/>
        <item x="70"/>
        <item x="71"/>
        <item x="72"/>
        <item x="73"/>
        <item x="74"/>
        <item x="75"/>
        <item x="76"/>
        <item x="77"/>
        <item x="78"/>
        <item x="79"/>
        <item x="80"/>
        <item x="81"/>
        <item x="82"/>
        <item x="83"/>
        <item x="84"/>
        <item x="85"/>
        <item x="86"/>
        <item x="87"/>
        <item x="88"/>
        <item x="89"/>
        <item x="91"/>
        <item x="90"/>
        <item x="92"/>
        <item x="93"/>
        <item x="94"/>
        <item x="95"/>
        <item x="97"/>
        <item x="96"/>
        <item x="101"/>
        <item x="98"/>
        <item x="99"/>
        <item x="100"/>
        <item x="102"/>
        <item x="103"/>
        <item x="104"/>
        <item x="105"/>
        <item x="106"/>
        <item x="107"/>
        <item x="108"/>
        <item x="109"/>
        <item x="110"/>
        <item x="111"/>
        <item x="112"/>
        <item x="115"/>
        <item x="114"/>
        <item x="113"/>
        <item x="116"/>
        <item x="117"/>
        <item x="118"/>
        <item x="119"/>
        <item x="120"/>
        <item x="121"/>
        <item x="122"/>
        <item x="123"/>
        <item x="124"/>
        <item x="125"/>
        <item x="126"/>
        <item x="127"/>
        <item x="128"/>
        <item x="129"/>
        <item x="130"/>
        <item x="131"/>
        <item x="132"/>
        <item x="133"/>
        <item x="134"/>
        <item x="135"/>
        <item x="136"/>
        <item x="137"/>
        <item x="138"/>
      </items>
    </pivotField>
    <pivotField axis="axisRow" compact="0" outline="0" subtotalTop="0" showAll="0" includeNewItemsInFilter="1" defaultSubtotal="0">
      <items count="16">
        <item h="1" x="0"/>
        <item h="1" x="1"/>
        <item h="1" x="2"/>
        <item h="1" x="3"/>
        <item h="1" x="4"/>
        <item x="5"/>
        <item x="6"/>
        <item x="7"/>
        <item x="8"/>
        <item x="9"/>
        <item x="10"/>
        <item x="11"/>
        <item x="12"/>
        <item x="13"/>
        <item x="14"/>
        <item h="1" x="15"/>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howAll="0"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howAll="0" defaultSubtotal="0"/>
    <pivotField compact="0" outline="0" subtotalTop="0" showAll="0" includeNewItemsInFilter="1"/>
    <pivotField compact="0" outline="0" showAll="0" defaultSubtotal="0"/>
    <pivotField compact="0" outline="0" subtotalTop="0" showAll="0" includeNewItemsInFilter="1"/>
    <pivotField compact="0" outline="0" subtotalTop="0" showAll="0" includeNewItemsInFilter="1"/>
    <pivotField compact="0" outline="0" subtotalTop="0" showAll="0" includeNewItemsInFilter="1"/>
    <pivotField compact="0" outline="0" showAll="0" defaultSubtotal="0"/>
    <pivotField compact="0" outline="0" subtotalTop="0" showAll="0" includeNewItemsInFilter="1"/>
    <pivotField compact="0" outline="0" subtotalTop="0" showAll="0" includeNewItemsInFilter="1"/>
    <pivotField compact="0" outline="0" subtotalTop="0" showAll="0" includeNewItemsInFilter="1"/>
    <pivotField compact="0" outline="0" showAll="0"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howAll="0" defaultSubtotal="0"/>
    <pivotField compact="0" outline="0" subtotalTop="0" showAll="0" includeNewItemsInFilter="1"/>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2">
    <field x="4"/>
    <field x="2"/>
  </rowFields>
  <rowItems count="257">
    <i>
      <x v="5"/>
      <x v="12"/>
    </i>
    <i r="1">
      <x v="13"/>
    </i>
    <i r="1">
      <x v="18"/>
    </i>
    <i r="1">
      <x v="20"/>
    </i>
    <i r="1">
      <x v="22"/>
    </i>
    <i r="1">
      <x v="24"/>
    </i>
    <i r="1">
      <x v="26"/>
    </i>
    <i r="1">
      <x v="29"/>
    </i>
    <i r="1">
      <x v="43"/>
    </i>
    <i r="1">
      <x v="61"/>
    </i>
    <i r="1">
      <x v="95"/>
    </i>
    <i r="1">
      <x v="96"/>
    </i>
    <i r="1">
      <x v="106"/>
    </i>
    <i r="1">
      <x v="112"/>
    </i>
    <i r="1">
      <x v="122"/>
    </i>
    <i r="1">
      <x v="128"/>
    </i>
    <i r="1">
      <x v="140"/>
    </i>
    <i r="1">
      <x v="157"/>
    </i>
    <i r="1">
      <x v="164"/>
    </i>
    <i r="1">
      <x v="165"/>
    </i>
    <i r="1">
      <x v="172"/>
    </i>
    <i r="1">
      <x v="183"/>
    </i>
    <i r="1">
      <x v="193"/>
    </i>
    <i r="1">
      <x v="205"/>
    </i>
    <i r="1">
      <x v="223"/>
    </i>
    <i>
      <x v="6"/>
      <x/>
    </i>
    <i r="1">
      <x v="1"/>
    </i>
    <i r="1">
      <x v="3"/>
    </i>
    <i r="1">
      <x v="14"/>
    </i>
    <i r="1">
      <x v="19"/>
    </i>
    <i r="1">
      <x v="21"/>
    </i>
    <i r="1">
      <x v="22"/>
    </i>
    <i r="1">
      <x v="27"/>
    </i>
    <i r="1">
      <x v="40"/>
    </i>
    <i r="1">
      <x v="48"/>
    </i>
    <i r="1">
      <x v="50"/>
    </i>
    <i r="1">
      <x v="55"/>
    </i>
    <i r="1">
      <x v="59"/>
    </i>
    <i r="1">
      <x v="60"/>
    </i>
    <i r="1">
      <x v="75"/>
    </i>
    <i r="1">
      <x v="82"/>
    </i>
    <i r="1">
      <x v="83"/>
    </i>
    <i r="1">
      <x v="96"/>
    </i>
    <i r="1">
      <x v="103"/>
    </i>
    <i r="1">
      <x v="109"/>
    </i>
    <i r="1">
      <x v="112"/>
    </i>
    <i r="1">
      <x v="116"/>
    </i>
    <i r="1">
      <x v="129"/>
    </i>
    <i r="1">
      <x v="136"/>
    </i>
    <i r="1">
      <x v="137"/>
    </i>
    <i r="1">
      <x v="145"/>
    </i>
    <i r="1">
      <x v="146"/>
    </i>
    <i r="1">
      <x v="147"/>
    </i>
    <i r="1">
      <x v="149"/>
    </i>
    <i r="1">
      <x v="152"/>
    </i>
    <i r="1">
      <x v="160"/>
    </i>
    <i r="1">
      <x v="202"/>
    </i>
    <i r="1">
      <x v="214"/>
    </i>
    <i r="1">
      <x v="215"/>
    </i>
    <i r="1">
      <x v="219"/>
    </i>
    <i r="1">
      <x v="220"/>
    </i>
    <i r="1">
      <x v="221"/>
    </i>
    <i>
      <x v="7"/>
      <x v="7"/>
    </i>
    <i r="1">
      <x v="9"/>
    </i>
    <i r="1">
      <x v="11"/>
    </i>
    <i r="1">
      <x v="23"/>
    </i>
    <i r="1">
      <x v="38"/>
    </i>
    <i r="1">
      <x v="39"/>
    </i>
    <i r="1">
      <x v="48"/>
    </i>
    <i r="1">
      <x v="50"/>
    </i>
    <i r="1">
      <x v="51"/>
    </i>
    <i r="1">
      <x v="67"/>
    </i>
    <i r="1">
      <x v="71"/>
    </i>
    <i r="1">
      <x v="84"/>
    </i>
    <i r="1">
      <x v="86"/>
    </i>
    <i r="1">
      <x v="96"/>
    </i>
    <i r="1">
      <x v="100"/>
    </i>
    <i r="1">
      <x v="105"/>
    </i>
    <i r="1">
      <x v="107"/>
    </i>
    <i r="1">
      <x v="112"/>
    </i>
    <i r="1">
      <x v="115"/>
    </i>
    <i r="1">
      <x v="120"/>
    </i>
    <i r="1">
      <x v="132"/>
    </i>
    <i r="1">
      <x v="136"/>
    </i>
    <i r="1">
      <x v="160"/>
    </i>
    <i r="1">
      <x v="162"/>
    </i>
    <i r="1">
      <x v="166"/>
    </i>
    <i r="1">
      <x v="170"/>
    </i>
    <i r="1">
      <x v="172"/>
    </i>
    <i r="1">
      <x v="176"/>
    </i>
    <i r="1">
      <x v="177"/>
    </i>
    <i r="1">
      <x v="185"/>
    </i>
    <i r="1">
      <x v="186"/>
    </i>
    <i r="1">
      <x v="192"/>
    </i>
    <i r="1">
      <x v="200"/>
    </i>
    <i r="1">
      <x v="213"/>
    </i>
    <i r="1">
      <x v="214"/>
    </i>
    <i r="1">
      <x v="222"/>
    </i>
    <i r="1">
      <x v="224"/>
    </i>
    <i>
      <x v="8"/>
      <x v="4"/>
    </i>
    <i r="1">
      <x v="30"/>
    </i>
    <i r="1">
      <x v="53"/>
    </i>
    <i r="1">
      <x v="54"/>
    </i>
    <i r="1">
      <x v="79"/>
    </i>
    <i r="1">
      <x v="104"/>
    </i>
    <i r="1">
      <x v="108"/>
    </i>
    <i r="1">
      <x v="121"/>
    </i>
    <i r="1">
      <x v="127"/>
    </i>
    <i r="1">
      <x v="133"/>
    </i>
    <i r="1">
      <x v="150"/>
    </i>
    <i r="1">
      <x v="159"/>
    </i>
    <i r="1">
      <x v="160"/>
    </i>
    <i r="1">
      <x v="185"/>
    </i>
    <i>
      <x v="9"/>
      <x v="14"/>
    </i>
    <i r="1">
      <x v="18"/>
    </i>
    <i r="1">
      <x v="28"/>
    </i>
    <i r="1">
      <x v="33"/>
    </i>
    <i r="1">
      <x v="35"/>
    </i>
    <i r="1">
      <x v="48"/>
    </i>
    <i r="1">
      <x v="74"/>
    </i>
    <i r="1">
      <x v="77"/>
    </i>
    <i r="1">
      <x v="79"/>
    </i>
    <i r="1">
      <x v="101"/>
    </i>
    <i r="1">
      <x v="109"/>
    </i>
    <i r="1">
      <x v="130"/>
    </i>
    <i r="1">
      <x v="160"/>
    </i>
    <i r="1">
      <x v="163"/>
    </i>
    <i r="1">
      <x v="194"/>
    </i>
    <i r="1">
      <x v="197"/>
    </i>
    <i r="1">
      <x v="204"/>
    </i>
    <i>
      <x v="10"/>
      <x v="5"/>
    </i>
    <i r="1">
      <x v="44"/>
    </i>
    <i r="1">
      <x v="46"/>
    </i>
    <i r="1">
      <x v="56"/>
    </i>
    <i r="1">
      <x v="63"/>
    </i>
    <i r="1">
      <x v="64"/>
    </i>
    <i r="1">
      <x v="89"/>
    </i>
    <i r="1">
      <x v="91"/>
    </i>
    <i r="1">
      <x v="92"/>
    </i>
    <i r="1">
      <x v="93"/>
    </i>
    <i r="1">
      <x v="94"/>
    </i>
    <i r="1">
      <x v="102"/>
    </i>
    <i r="1">
      <x v="154"/>
    </i>
    <i r="1">
      <x v="168"/>
    </i>
    <i r="1">
      <x v="174"/>
    </i>
    <i r="1">
      <x v="180"/>
    </i>
    <i r="1">
      <x v="190"/>
    </i>
    <i r="1">
      <x v="209"/>
    </i>
    <i r="1">
      <x v="225"/>
    </i>
    <i r="1">
      <x v="242"/>
    </i>
    <i r="1">
      <x v="243"/>
    </i>
    <i r="1">
      <x v="244"/>
    </i>
    <i r="1">
      <x v="245"/>
    </i>
    <i r="1">
      <x v="246"/>
    </i>
    <i r="1">
      <x v="247"/>
    </i>
    <i r="1">
      <x v="248"/>
    </i>
    <i r="1">
      <x v="249"/>
    </i>
    <i>
      <x v="11"/>
      <x v="22"/>
    </i>
    <i r="1">
      <x v="40"/>
    </i>
    <i r="1">
      <x v="45"/>
    </i>
    <i r="1">
      <x v="58"/>
    </i>
    <i r="1">
      <x v="65"/>
    </i>
    <i r="1">
      <x v="116"/>
    </i>
    <i r="1">
      <x v="124"/>
    </i>
    <i r="1">
      <x v="131"/>
    </i>
    <i r="1">
      <x v="140"/>
    </i>
    <i r="1">
      <x v="169"/>
    </i>
    <i r="1">
      <x v="170"/>
    </i>
    <i r="1">
      <x v="178"/>
    </i>
    <i r="1">
      <x v="179"/>
    </i>
    <i r="1">
      <x v="181"/>
    </i>
    <i r="1">
      <x v="191"/>
    </i>
    <i r="1">
      <x v="197"/>
    </i>
    <i r="1">
      <x v="198"/>
    </i>
    <i r="1">
      <x v="227"/>
    </i>
    <i r="1">
      <x v="250"/>
    </i>
    <i>
      <x v="12"/>
      <x v="17"/>
    </i>
    <i r="1">
      <x v="18"/>
    </i>
    <i r="1">
      <x v="37"/>
    </i>
    <i r="1">
      <x v="41"/>
    </i>
    <i r="1">
      <x v="42"/>
    </i>
    <i r="1">
      <x v="57"/>
    </i>
    <i r="1">
      <x v="66"/>
    </i>
    <i r="1">
      <x v="73"/>
    </i>
    <i r="1">
      <x v="76"/>
    </i>
    <i r="1">
      <x v="87"/>
    </i>
    <i r="1">
      <x v="88"/>
    </i>
    <i r="1">
      <x v="98"/>
    </i>
    <i r="1">
      <x v="105"/>
    </i>
    <i r="1">
      <x v="114"/>
    </i>
    <i r="1">
      <x v="123"/>
    </i>
    <i r="1">
      <x v="133"/>
    </i>
    <i r="1">
      <x v="141"/>
    </i>
    <i r="1">
      <x v="144"/>
    </i>
    <i r="1">
      <x v="153"/>
    </i>
    <i r="1">
      <x v="161"/>
    </i>
    <i r="1">
      <x v="164"/>
    </i>
    <i r="1">
      <x v="167"/>
    </i>
    <i r="1">
      <x v="182"/>
    </i>
    <i r="1">
      <x v="189"/>
    </i>
    <i r="1">
      <x v="197"/>
    </i>
    <i r="1">
      <x v="198"/>
    </i>
    <i r="1">
      <x v="210"/>
    </i>
    <i r="1">
      <x v="212"/>
    </i>
    <i r="1">
      <x v="216"/>
    </i>
    <i r="1">
      <x v="218"/>
    </i>
    <i r="1">
      <x v="226"/>
    </i>
    <i>
      <x v="13"/>
      <x v="2"/>
    </i>
    <i r="1">
      <x v="10"/>
    </i>
    <i r="1">
      <x v="16"/>
    </i>
    <i r="1">
      <x v="31"/>
    </i>
    <i r="1">
      <x v="32"/>
    </i>
    <i r="1">
      <x v="34"/>
    </i>
    <i r="1">
      <x v="44"/>
    </i>
    <i r="1">
      <x v="47"/>
    </i>
    <i r="1">
      <x v="49"/>
    </i>
    <i r="1">
      <x v="68"/>
    </i>
    <i r="1">
      <x v="69"/>
    </i>
    <i r="1">
      <x v="70"/>
    </i>
    <i r="1">
      <x v="80"/>
    </i>
    <i r="1">
      <x v="85"/>
    </i>
    <i r="1">
      <x v="107"/>
    </i>
    <i r="1">
      <x v="138"/>
    </i>
    <i r="1">
      <x v="142"/>
    </i>
    <i r="1">
      <x v="144"/>
    </i>
    <i r="1">
      <x v="151"/>
    </i>
    <i r="1">
      <x v="155"/>
    </i>
    <i r="1">
      <x v="158"/>
    </i>
    <i r="1">
      <x v="191"/>
    </i>
    <i r="1">
      <x v="199"/>
    </i>
    <i r="1">
      <x v="217"/>
    </i>
    <i r="1">
      <x v="223"/>
    </i>
    <i r="1">
      <x v="231"/>
    </i>
    <i r="1">
      <x v="233"/>
    </i>
    <i>
      <x v="14"/>
      <x v="36"/>
    </i>
    <i r="1">
      <x v="38"/>
    </i>
    <i r="1">
      <x v="62"/>
    </i>
    <i r="1">
      <x v="78"/>
    </i>
    <i r="1">
      <x v="79"/>
    </i>
    <i r="1">
      <x v="96"/>
    </i>
    <i r="1">
      <x v="111"/>
    </i>
    <i r="1">
      <x v="113"/>
    </i>
    <i r="1">
      <x v="117"/>
    </i>
    <i r="1">
      <x v="135"/>
    </i>
    <i r="1">
      <x v="139"/>
    </i>
    <i r="1">
      <x v="143"/>
    </i>
    <i r="1">
      <x v="175"/>
    </i>
    <i r="1">
      <x v="187"/>
    </i>
    <i r="1">
      <x v="188"/>
    </i>
    <i r="1">
      <x v="201"/>
    </i>
    <i r="1">
      <x v="206"/>
    </i>
    <i r="1">
      <x v="207"/>
    </i>
    <i r="1">
      <x v="211"/>
    </i>
    <i r="1">
      <x v="228"/>
    </i>
    <i r="1">
      <x v="229"/>
    </i>
    <i r="1">
      <x v="230"/>
    </i>
    <i t="grand">
      <x/>
    </i>
  </rowItems>
  <colItems count="1">
    <i/>
  </colItems>
  <dataFields count="1">
    <dataField name="Count of Disaster Name" fld="2" subtotal="count" baseField="0" baseItem="0"/>
  </dataFields>
  <formats count="1">
    <format dxfId="40">
      <pivotArea field="3" type="button" dataOnly="0" labelOnly="1" outline="0" fieldPosition="3"/>
    </format>
  </formats>
  <pivotTableStyleInfo showRowHeaders="1" showColHeaders="1" showRowStripes="0" showColStripes="0" showLastColumn="1"/>
</pivotTableDefinition>
</file>

<file path=xl/pivotTables/pivotTable42.xml><?xml version="1.0" encoding="utf-8"?>
<pivotTableDefinition xmlns="http://schemas.openxmlformats.org/spreadsheetml/2006/main" name="PivotTable3" cacheId="24" dataOnRows="1" applyNumberFormats="0" applyBorderFormats="0" applyFontFormats="0" applyPatternFormats="0" applyAlignmentFormats="0" applyWidthHeightFormats="1" dataCaption="Data" updatedVersion="3" minRefreshableVersion="3" showMemberPropertyTips="0" useAutoFormatting="1" itemPrintTitles="1" createdVersion="3" indent="0" compact="0" compactData="0" gridDropZones="1">
  <location ref="M3:N122" firstHeaderRow="2" firstDataRow="2" firstDataCol="1"/>
  <pivotFields count="77">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defaultSubtotal="0">
      <items count="1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9"/>
        <item x="47"/>
        <item x="48"/>
        <item x="50"/>
        <item x="51"/>
        <item x="52"/>
        <item x="53"/>
        <item x="54"/>
        <item x="55"/>
        <item x="56"/>
        <item x="57"/>
        <item x="58"/>
        <item x="59"/>
        <item x="60"/>
        <item x="61"/>
        <item x="62"/>
        <item x="63"/>
        <item x="64"/>
        <item x="65"/>
        <item x="67"/>
        <item x="66"/>
        <item x="69"/>
        <item x="68"/>
        <item x="70"/>
        <item x="71"/>
        <item x="72"/>
        <item x="73"/>
        <item x="74"/>
        <item x="75"/>
        <item x="76"/>
        <item x="77"/>
        <item x="78"/>
        <item x="79"/>
        <item x="80"/>
        <item x="81"/>
        <item x="82"/>
        <item x="83"/>
        <item x="84"/>
        <item x="85"/>
        <item x="86"/>
        <item x="87"/>
        <item x="88"/>
        <item x="89"/>
        <item x="91"/>
        <item x="90"/>
        <item x="92"/>
        <item x="93"/>
        <item x="94"/>
        <item x="95"/>
        <item x="97"/>
        <item x="96"/>
        <item x="101"/>
        <item x="98"/>
        <item x="99"/>
        <item x="100"/>
        <item x="102"/>
        <item x="103"/>
        <item x="104"/>
        <item x="105"/>
        <item x="106"/>
        <item x="107"/>
        <item x="108"/>
        <item x="109"/>
        <item x="110"/>
        <item x="111"/>
        <item x="112"/>
        <item x="115"/>
        <item x="114"/>
        <item x="113"/>
        <item x="116"/>
        <item x="117"/>
        <item x="118"/>
        <item x="119"/>
        <item x="120"/>
        <item x="121"/>
        <item x="122"/>
        <item x="123"/>
        <item x="124"/>
        <item x="125"/>
        <item x="126"/>
        <item x="127"/>
        <item x="128"/>
        <item x="129"/>
        <item x="130"/>
        <item x="131"/>
        <item x="132"/>
        <item x="133"/>
        <item x="134"/>
        <item x="135"/>
        <item x="136"/>
        <item x="137"/>
        <item x="138"/>
      </items>
    </pivotField>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Row" dataField="1" compact="0" outline="0" subtotalTop="0" showAll="0" includeNewItemsInFilter="1">
      <items count="119">
        <item x="106"/>
        <item x="46"/>
        <item x="54"/>
        <item x="76"/>
        <item x="90"/>
        <item x="19"/>
        <item x="73"/>
        <item x="69"/>
        <item x="32"/>
        <item x="33"/>
        <item x="9"/>
        <item x="83"/>
        <item x="14"/>
        <item x="28"/>
        <item x="38"/>
        <item x="42"/>
        <item x="24"/>
        <item x="110"/>
        <item x="7"/>
        <item x="40"/>
        <item x="82"/>
        <item x="80"/>
        <item x="101"/>
        <item x="4"/>
        <item x="87"/>
        <item x="3"/>
        <item x="52"/>
        <item x="63"/>
        <item x="107"/>
        <item x="17"/>
        <item x="75"/>
        <item x="55"/>
        <item x="45"/>
        <item x="35"/>
        <item x="1"/>
        <item x="60"/>
        <item x="105"/>
        <item x="62"/>
        <item x="8"/>
        <item x="20"/>
        <item x="44"/>
        <item x="85"/>
        <item x="79"/>
        <item x="43"/>
        <item x="74"/>
        <item x="65"/>
        <item x="15"/>
        <item x="27"/>
        <item x="49"/>
        <item x="72"/>
        <item x="29"/>
        <item x="68"/>
        <item x="53"/>
        <item x="11"/>
        <item x="30"/>
        <item x="58"/>
        <item x="114"/>
        <item x="93"/>
        <item x="70"/>
        <item x="77"/>
        <item x="41"/>
        <item x="26"/>
        <item x="37"/>
        <item x="84"/>
        <item x="2"/>
        <item x="113"/>
        <item x="36"/>
        <item x="100"/>
        <item x="108"/>
        <item x="95"/>
        <item x="6"/>
        <item x="86"/>
        <item x="56"/>
        <item m="1" x="117"/>
        <item x="47"/>
        <item x="31"/>
        <item x="57"/>
        <item x="98"/>
        <item x="66"/>
        <item x="39"/>
        <item x="89"/>
        <item x="61"/>
        <item x="12"/>
        <item x="116"/>
        <item x="112"/>
        <item x="111"/>
        <item x="64"/>
        <item x="71"/>
        <item x="91"/>
        <item x="23"/>
        <item x="67"/>
        <item x="92"/>
        <item x="34"/>
        <item x="18"/>
        <item x="21"/>
        <item x="81"/>
        <item x="103"/>
        <item x="59"/>
        <item x="10"/>
        <item x="109"/>
        <item x="99"/>
        <item x="13"/>
        <item x="97"/>
        <item x="5"/>
        <item x="50"/>
        <item x="96"/>
        <item x="104"/>
        <item x="94"/>
        <item x="51"/>
        <item x="48"/>
        <item x="22"/>
        <item x="16"/>
        <item x="102"/>
        <item x="88"/>
        <item x="25"/>
        <item x="0"/>
        <item x="78"/>
        <item x="115"/>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howAll="0"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howAll="0" defaultSubtotal="0"/>
    <pivotField compact="0" outline="0" subtotalTop="0" showAll="0" includeNewItemsInFilter="1"/>
    <pivotField compact="0" outline="0" showAll="0" defaultSubtotal="0"/>
    <pivotField compact="0" outline="0" subtotalTop="0" showAll="0" includeNewItemsInFilter="1"/>
    <pivotField compact="0" outline="0" subtotalTop="0" showAll="0" includeNewItemsInFilter="1"/>
    <pivotField compact="0" outline="0" subtotalTop="0" showAll="0" includeNewItemsInFilter="1"/>
    <pivotField compact="0" outline="0" showAll="0" defaultSubtotal="0"/>
    <pivotField compact="0" outline="0" subtotalTop="0" showAll="0" includeNewItemsInFilter="1"/>
    <pivotField compact="0" outline="0" subtotalTop="0" showAll="0" includeNewItemsInFilter="1"/>
    <pivotField compact="0" outline="0" subtotalTop="0" showAll="0" includeNewItemsInFilter="1"/>
    <pivotField compact="0" outline="0" showAll="0"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howAll="0" defaultSubtotal="0"/>
    <pivotField compact="0" outline="0" subtotalTop="0" showAll="0" includeNewItemsInFilter="1"/>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1">
    <field x="10"/>
  </rowFields>
  <rowItems count="11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t="grand">
      <x/>
    </i>
  </rowItems>
  <colItems count="1">
    <i/>
  </colItems>
  <dataFields count="1">
    <dataField name="Count of Country" fld="10" subtotal="count" baseField="0" baseItem="0"/>
  </dataFields>
  <formats count="1">
    <format dxfId="41">
      <pivotArea field="3" type="button" dataOnly="0" labelOnly="1" outline="0" fieldPosition="3"/>
    </format>
  </formats>
  <pivotTableStyleInfo showRowHeaders="1" showColHeaders="1" showRowStripes="0" showColStripes="0" showLastColumn="1"/>
</pivotTableDefinition>
</file>

<file path=xl/pivotTables/pivotTable43.xml><?xml version="1.0" encoding="utf-8"?>
<pivotTableDefinition xmlns="http://schemas.openxmlformats.org/spreadsheetml/2006/main" name="PivotTable1" cacheId="24" dataOnRows="1" applyNumberFormats="0" applyBorderFormats="0" applyFontFormats="0" applyPatternFormats="0" applyAlignmentFormats="0" applyWidthHeightFormats="1" dataCaption="Data" updatedVersion="3" minRefreshableVersion="3" showMemberPropertyTips="0" useAutoFormatting="1" itemPrintTitles="1" createdVersion="3" indent="0" compact="0" compactData="0" gridDropZones="1">
  <location ref="G3:L261" firstHeaderRow="2" firstDataRow="2" firstDataCol="2" rowPageCount="1" colPageCount="1"/>
  <pivotFields count="77">
    <pivotField compact="0" outline="0" subtotalTop="0" showAll="0" includeNewItemsInFilter="1"/>
    <pivotField compact="0" outline="0" subtotalTop="0" showAll="0" includeNewItemsInFilter="1"/>
    <pivotField axis="axisRow" compact="0" outline="0" subtotalTop="0" showAll="0" includeNewItemsInFilter="1">
      <items count="254">
        <item x="60"/>
        <item x="79"/>
        <item x="216"/>
        <item x="76"/>
        <item x="114"/>
        <item x="154"/>
        <item x="24"/>
        <item x="108"/>
        <item x="1"/>
        <item x="98"/>
        <item x="214"/>
        <item x="93"/>
        <item x="39"/>
        <item x="40"/>
        <item x="13"/>
        <item x="4"/>
        <item x="218"/>
        <item x="183"/>
        <item x="19"/>
        <item x="68"/>
        <item x="34"/>
        <item x="69"/>
        <item x="48"/>
        <item x="87"/>
        <item x="53"/>
        <item x="29"/>
        <item x="11"/>
        <item x="75"/>
        <item x="132"/>
        <item x="50"/>
        <item x="112"/>
        <item x="203"/>
        <item x="202"/>
        <item x="127"/>
        <item x="205"/>
        <item x="124"/>
        <item x="233"/>
        <item x="195"/>
        <item x="104"/>
        <item x="109"/>
        <item x="8"/>
        <item x="192"/>
        <item x="186"/>
        <item x="44"/>
        <item x="157"/>
        <item x="170"/>
        <item x="145"/>
        <item x="213"/>
        <item x="7"/>
        <item x="204"/>
        <item x="72"/>
        <item x="90"/>
        <item x="22"/>
        <item x="113"/>
        <item x="116"/>
        <item x="77"/>
        <item x="150"/>
        <item x="188"/>
        <item x="160"/>
        <item x="59"/>
        <item x="55"/>
        <item x="43"/>
        <item x="230"/>
        <item x="141"/>
        <item x="5"/>
        <item x="161"/>
        <item x="193"/>
        <item x="85"/>
        <item x="211"/>
        <item x="212"/>
        <item x="200"/>
        <item x="89"/>
        <item x="12"/>
        <item x="176"/>
        <item x="25"/>
        <item x="58"/>
        <item x="187"/>
        <item x="131"/>
        <item x="231"/>
        <item x="120"/>
        <item x="201"/>
        <item m="1" x="246"/>
        <item x="56"/>
        <item x="70"/>
        <item x="110"/>
        <item x="208"/>
        <item x="92"/>
        <item x="175"/>
        <item x="177"/>
        <item x="137"/>
        <item x="3"/>
        <item x="139"/>
        <item x="140"/>
        <item x="142"/>
        <item x="143"/>
        <item x="45"/>
        <item x="33"/>
        <item x="20"/>
        <item x="178"/>
        <item x="32"/>
        <item x="97"/>
        <item x="129"/>
        <item x="158"/>
        <item x="63"/>
        <item x="117"/>
        <item x="105"/>
        <item x="35"/>
        <item x="96"/>
        <item x="122"/>
        <item x="73"/>
        <item x="15"/>
        <item x="224"/>
        <item x="36"/>
        <item x="229"/>
        <item x="185"/>
        <item x="101"/>
        <item x="81"/>
        <item x="237"/>
        <item m="1" x="248"/>
        <item m="1" x="251"/>
        <item x="100"/>
        <item x="115"/>
        <item x="52"/>
        <item x="189"/>
        <item x="168"/>
        <item x="31"/>
        <item m="1" x="247"/>
        <item x="121"/>
        <item x="47"/>
        <item x="82"/>
        <item x="130"/>
        <item x="171"/>
        <item x="0"/>
        <item x="6"/>
        <item x="16"/>
        <item x="223"/>
        <item x="67"/>
        <item x="66"/>
        <item x="199"/>
        <item x="234"/>
        <item x="46"/>
        <item x="191"/>
        <item x="215"/>
        <item x="235"/>
        <item x="174"/>
        <item x="83"/>
        <item x="57"/>
        <item x="71"/>
        <item x="10"/>
        <item x="78"/>
        <item x="119"/>
        <item x="206"/>
        <item x="61"/>
        <item x="172"/>
        <item x="138"/>
        <item x="217"/>
        <item x="238"/>
        <item x="37"/>
        <item x="207"/>
        <item x="118"/>
        <item x="80"/>
        <item x="184"/>
        <item x="94"/>
        <item x="123"/>
        <item x="54"/>
        <item x="49"/>
        <item x="86"/>
        <item x="196"/>
        <item x="153"/>
        <item x="163"/>
        <item x="88"/>
        <item x="17"/>
        <item x="51"/>
        <item x="2"/>
        <item x="136"/>
        <item x="228"/>
        <item x="91"/>
        <item x="102"/>
        <item x="169"/>
        <item x="165"/>
        <item x="155"/>
        <item x="166"/>
        <item x="194"/>
        <item x="42"/>
        <item x="28"/>
        <item x="95"/>
        <item x="103"/>
        <item x="225"/>
        <item x="226"/>
        <item x="190"/>
        <item x="156"/>
        <item x="167"/>
        <item x="111"/>
        <item x="41"/>
        <item x="128"/>
        <item x="23"/>
        <item x="26"/>
        <item x="125"/>
        <item x="162"/>
        <item x="198"/>
        <item x="106"/>
        <item x="220"/>
        <item x="84"/>
        <item x="14"/>
        <item x="126"/>
        <item x="38"/>
        <item x="219"/>
        <item x="232"/>
        <item x="18"/>
        <item x="152"/>
        <item x="180"/>
        <item x="236"/>
        <item x="181"/>
        <item x="107"/>
        <item x="9"/>
        <item x="64"/>
        <item x="179"/>
        <item x="209"/>
        <item x="173"/>
        <item x="65"/>
        <item x="74"/>
        <item x="62"/>
        <item x="27"/>
        <item x="21"/>
        <item x="99"/>
        <item x="144"/>
        <item x="182"/>
        <item x="164"/>
        <item x="221"/>
        <item x="222"/>
        <item x="227"/>
        <item x="197"/>
        <item m="1" x="250"/>
        <item x="210"/>
        <item m="1" x="249"/>
        <item x="30"/>
        <item m="1" x="245"/>
        <item m="1" x="252"/>
        <item x="240"/>
        <item x="241"/>
        <item x="242"/>
        <item x="243"/>
        <item x="133"/>
        <item x="134"/>
        <item x="135"/>
        <item x="146"/>
        <item x="147"/>
        <item x="148"/>
        <item x="149"/>
        <item x="151"/>
        <item x="159"/>
        <item x="244"/>
        <item x="239"/>
        <item t="default"/>
      </items>
    </pivotField>
    <pivotField compact="0" outline="0" subtotalTop="0" showAll="0" includeNewItemsInFilter="1" defaultSubtotal="0">
      <items count="1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9"/>
        <item x="47"/>
        <item x="48"/>
        <item x="50"/>
        <item x="51"/>
        <item x="52"/>
        <item x="53"/>
        <item x="54"/>
        <item x="55"/>
        <item x="56"/>
        <item x="57"/>
        <item x="58"/>
        <item x="59"/>
        <item x="60"/>
        <item x="61"/>
        <item x="62"/>
        <item x="63"/>
        <item x="64"/>
        <item x="65"/>
        <item x="67"/>
        <item x="66"/>
        <item x="69"/>
        <item x="68"/>
        <item x="70"/>
        <item x="71"/>
        <item x="72"/>
        <item x="73"/>
        <item x="74"/>
        <item x="75"/>
        <item x="76"/>
        <item x="77"/>
        <item x="78"/>
        <item x="79"/>
        <item x="80"/>
        <item x="81"/>
        <item x="82"/>
        <item x="83"/>
        <item x="84"/>
        <item x="85"/>
        <item x="86"/>
        <item x="87"/>
        <item x="88"/>
        <item x="89"/>
        <item x="91"/>
        <item x="90"/>
        <item x="92"/>
        <item x="93"/>
        <item x="94"/>
        <item x="95"/>
        <item x="97"/>
        <item x="96"/>
        <item x="101"/>
        <item x="98"/>
        <item x="99"/>
        <item x="100"/>
        <item x="102"/>
        <item x="103"/>
        <item x="104"/>
        <item x="105"/>
        <item x="106"/>
        <item x="107"/>
        <item x="108"/>
        <item x="109"/>
        <item x="110"/>
        <item x="111"/>
        <item x="112"/>
        <item x="115"/>
        <item x="114"/>
        <item x="113"/>
        <item x="116"/>
        <item x="117"/>
        <item x="118"/>
        <item x="119"/>
        <item x="120"/>
        <item x="121"/>
        <item x="122"/>
        <item x="123"/>
        <item x="124"/>
        <item x="125"/>
        <item x="126"/>
        <item x="127"/>
        <item x="128"/>
        <item x="129"/>
        <item x="130"/>
        <item x="131"/>
        <item x="132"/>
        <item x="133"/>
        <item x="134"/>
        <item x="135"/>
        <item x="136"/>
        <item x="137"/>
        <item x="138"/>
      </items>
    </pivotField>
    <pivotField axis="axisRow" compact="0" outline="0" subtotalTop="0" showAll="0" includeNewItemsInFilter="1" defaultSubtotal="0">
      <items count="16">
        <item h="1" x="0"/>
        <item h="1" x="1"/>
        <item h="1" x="2"/>
        <item h="1" x="3"/>
        <item h="1" x="4"/>
        <item x="5"/>
        <item x="6"/>
        <item x="7"/>
        <item x="8"/>
        <item x="9"/>
        <item x="10"/>
        <item x="11"/>
        <item x="12"/>
        <item x="13"/>
        <item x="14"/>
        <item h="1" x="15"/>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howAll="0"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howAll="0" defaultSubtotal="0"/>
    <pivotField compact="0" outline="0" subtotalTop="0" showAll="0" includeNewItemsInFilter="1"/>
    <pivotField compact="0" outline="0" showAll="0" defaultSubtotal="0"/>
    <pivotField compact="0" outline="0" subtotalTop="0" showAll="0" includeNewItemsInFilter="1"/>
    <pivotField compact="0" outline="0" subtotalTop="0" showAll="0" includeNewItemsInFilter="1"/>
    <pivotField compact="0" outline="0" subtotalTop="0" showAll="0" includeNewItemsInFilter="1"/>
    <pivotField compact="0" outline="0" showAll="0" defaultSubtotal="0"/>
    <pivotField compact="0" outline="0" subtotalTop="0" showAll="0" includeNewItemsInFilter="1"/>
    <pivotField compact="0" outline="0" subtotalTop="0" showAll="0" includeNewItemsInFilter="1"/>
    <pivotField compact="0" outline="0" subtotalTop="0" showAll="0" includeNewItemsInFilter="1"/>
    <pivotField compact="0" outline="0" showAll="0"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howAll="0" defaultSubtotal="0"/>
    <pivotField axis="axisPage" compact="0" outline="0" subtotalTop="0" showAll="0" includeNewItemsInFilter="1" defaultSubtotal="0">
      <items count="186">
        <item x="7"/>
        <item x="12"/>
        <item x="47"/>
        <item x="37"/>
        <item x="63"/>
        <item x="55"/>
        <item x="132"/>
        <item x="31"/>
        <item x="95"/>
        <item x="86"/>
        <item x="44"/>
        <item x="46"/>
        <item x="79"/>
        <item x="106"/>
        <item x="64"/>
        <item x="30"/>
        <item x="19"/>
        <item x="181"/>
        <item x="6"/>
        <item x="76"/>
        <item x="165"/>
        <item x="52"/>
        <item x="146"/>
        <item x="99"/>
        <item x="18"/>
        <item x="73"/>
        <item x="135"/>
        <item x="110"/>
        <item x="68"/>
        <item x="39"/>
        <item x="87"/>
        <item x="136"/>
        <item x="78"/>
        <item x="25"/>
        <item x="128"/>
        <item x="107"/>
        <item x="38"/>
        <item x="109"/>
        <item x="72"/>
        <item x="50"/>
        <item x="133"/>
        <item x="21"/>
        <item x="22"/>
        <item x="143"/>
        <item x="8"/>
        <item x="162"/>
        <item x="32"/>
        <item x="100"/>
        <item x="70"/>
        <item x="67"/>
        <item x="130"/>
        <item x="59"/>
        <item x="75"/>
        <item x="89"/>
        <item x="102"/>
        <item x="139"/>
        <item x="27"/>
        <item x="152"/>
        <item x="82"/>
        <item x="49"/>
        <item x="61"/>
        <item x="118"/>
        <item x="134"/>
        <item x="104"/>
        <item x="149"/>
        <item x="16"/>
        <item x="113"/>
        <item x="138"/>
        <item x="90"/>
        <item x="45"/>
        <item x="83"/>
        <item x="120"/>
        <item x="74"/>
        <item x="48"/>
        <item x="159"/>
        <item x="56"/>
        <item x="9"/>
        <item x="117"/>
        <item x="29"/>
        <item x="114"/>
        <item x="85"/>
        <item x="43"/>
        <item x="5"/>
        <item x="124"/>
        <item x="137"/>
        <item x="53"/>
        <item x="101"/>
        <item x="84"/>
        <item m="1" x="185"/>
        <item x="141"/>
        <item x="58"/>
        <item x="26"/>
        <item x="154"/>
        <item x="126"/>
        <item x="60"/>
        <item x="92"/>
        <item x="10"/>
        <item x="175"/>
        <item x="13"/>
        <item x="127"/>
        <item x="28"/>
        <item x="36"/>
        <item x="176"/>
        <item x="151"/>
        <item x="112"/>
        <item x="170"/>
        <item x="121"/>
        <item x="14"/>
        <item x="81"/>
        <item x="54"/>
        <item x="33"/>
        <item x="57"/>
        <item x="62"/>
        <item x="180"/>
        <item x="122"/>
        <item x="157"/>
        <item x="88"/>
        <item x="35"/>
        <item x="166"/>
        <item x="148"/>
        <item x="171"/>
        <item x="125"/>
        <item x="131"/>
        <item x="144"/>
        <item x="91"/>
        <item x="179"/>
        <item x="164"/>
        <item x="69"/>
        <item x="105"/>
        <item x="65"/>
        <item x="51"/>
        <item x="24"/>
        <item x="71"/>
        <item x="23"/>
        <item x="111"/>
        <item x="94"/>
        <item x="66"/>
        <item x="108"/>
        <item x="161"/>
        <item x="15"/>
        <item x="34"/>
        <item x="40"/>
        <item x="147"/>
        <item x="119"/>
        <item x="145"/>
        <item x="158"/>
        <item x="163"/>
        <item x="174"/>
        <item x="20"/>
        <item x="156"/>
        <item x="167"/>
        <item x="77"/>
        <item x="11"/>
        <item x="142"/>
        <item x="115"/>
        <item x="160"/>
        <item x="153"/>
        <item m="1" x="184"/>
        <item x="98"/>
        <item x="116"/>
        <item x="140"/>
        <item x="123"/>
        <item x="168"/>
        <item x="129"/>
        <item x="42"/>
        <item m="1" x="183"/>
        <item x="17"/>
        <item m="1" x="182"/>
        <item x="173"/>
        <item x="41"/>
        <item x="103"/>
        <item x="1"/>
        <item x="2"/>
        <item x="0"/>
        <item x="4"/>
        <item x="3"/>
        <item x="150"/>
        <item x="96"/>
        <item x="172"/>
        <item x="97"/>
        <item x="155"/>
        <item x="177"/>
        <item x="178"/>
        <item x="80"/>
        <item x="93"/>
        <item x="169"/>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2">
    <field x="4"/>
    <field x="2"/>
  </rowFields>
  <rowItems count="257">
    <i>
      <x v="5"/>
      <x v="12"/>
    </i>
    <i r="1">
      <x v="13"/>
    </i>
    <i r="1">
      <x v="18"/>
    </i>
    <i r="1">
      <x v="20"/>
    </i>
    <i r="1">
      <x v="22"/>
    </i>
    <i r="1">
      <x v="24"/>
    </i>
    <i r="1">
      <x v="26"/>
    </i>
    <i r="1">
      <x v="29"/>
    </i>
    <i r="1">
      <x v="43"/>
    </i>
    <i r="1">
      <x v="61"/>
    </i>
    <i r="1">
      <x v="95"/>
    </i>
    <i r="1">
      <x v="96"/>
    </i>
    <i r="1">
      <x v="106"/>
    </i>
    <i r="1">
      <x v="112"/>
    </i>
    <i r="1">
      <x v="122"/>
    </i>
    <i r="1">
      <x v="128"/>
    </i>
    <i r="1">
      <x v="140"/>
    </i>
    <i r="1">
      <x v="157"/>
    </i>
    <i r="1">
      <x v="164"/>
    </i>
    <i r="1">
      <x v="165"/>
    </i>
    <i r="1">
      <x v="172"/>
    </i>
    <i r="1">
      <x v="183"/>
    </i>
    <i r="1">
      <x v="193"/>
    </i>
    <i r="1">
      <x v="205"/>
    </i>
    <i r="1">
      <x v="223"/>
    </i>
    <i>
      <x v="6"/>
      <x/>
    </i>
    <i r="1">
      <x v="1"/>
    </i>
    <i r="1">
      <x v="3"/>
    </i>
    <i r="1">
      <x v="14"/>
    </i>
    <i r="1">
      <x v="19"/>
    </i>
    <i r="1">
      <x v="21"/>
    </i>
    <i r="1">
      <x v="22"/>
    </i>
    <i r="1">
      <x v="27"/>
    </i>
    <i r="1">
      <x v="40"/>
    </i>
    <i r="1">
      <x v="48"/>
    </i>
    <i r="1">
      <x v="50"/>
    </i>
    <i r="1">
      <x v="55"/>
    </i>
    <i r="1">
      <x v="59"/>
    </i>
    <i r="1">
      <x v="60"/>
    </i>
    <i r="1">
      <x v="75"/>
    </i>
    <i r="1">
      <x v="82"/>
    </i>
    <i r="1">
      <x v="83"/>
    </i>
    <i r="1">
      <x v="96"/>
    </i>
    <i r="1">
      <x v="103"/>
    </i>
    <i r="1">
      <x v="109"/>
    </i>
    <i r="1">
      <x v="112"/>
    </i>
    <i r="1">
      <x v="116"/>
    </i>
    <i r="1">
      <x v="129"/>
    </i>
    <i r="1">
      <x v="136"/>
    </i>
    <i r="1">
      <x v="137"/>
    </i>
    <i r="1">
      <x v="145"/>
    </i>
    <i r="1">
      <x v="146"/>
    </i>
    <i r="1">
      <x v="147"/>
    </i>
    <i r="1">
      <x v="149"/>
    </i>
    <i r="1">
      <x v="152"/>
    </i>
    <i r="1">
      <x v="160"/>
    </i>
    <i r="1">
      <x v="202"/>
    </i>
    <i r="1">
      <x v="214"/>
    </i>
    <i r="1">
      <x v="215"/>
    </i>
    <i r="1">
      <x v="219"/>
    </i>
    <i r="1">
      <x v="220"/>
    </i>
    <i r="1">
      <x v="221"/>
    </i>
    <i>
      <x v="7"/>
      <x v="7"/>
    </i>
    <i r="1">
      <x v="9"/>
    </i>
    <i r="1">
      <x v="11"/>
    </i>
    <i r="1">
      <x v="23"/>
    </i>
    <i r="1">
      <x v="38"/>
    </i>
    <i r="1">
      <x v="39"/>
    </i>
    <i r="1">
      <x v="48"/>
    </i>
    <i r="1">
      <x v="50"/>
    </i>
    <i r="1">
      <x v="51"/>
    </i>
    <i r="1">
      <x v="67"/>
    </i>
    <i r="1">
      <x v="71"/>
    </i>
    <i r="1">
      <x v="84"/>
    </i>
    <i r="1">
      <x v="86"/>
    </i>
    <i r="1">
      <x v="96"/>
    </i>
    <i r="1">
      <x v="100"/>
    </i>
    <i r="1">
      <x v="105"/>
    </i>
    <i r="1">
      <x v="107"/>
    </i>
    <i r="1">
      <x v="112"/>
    </i>
    <i r="1">
      <x v="115"/>
    </i>
    <i r="1">
      <x v="120"/>
    </i>
    <i r="1">
      <x v="132"/>
    </i>
    <i r="1">
      <x v="136"/>
    </i>
    <i r="1">
      <x v="160"/>
    </i>
    <i r="1">
      <x v="162"/>
    </i>
    <i r="1">
      <x v="166"/>
    </i>
    <i r="1">
      <x v="170"/>
    </i>
    <i r="1">
      <x v="172"/>
    </i>
    <i r="1">
      <x v="176"/>
    </i>
    <i r="1">
      <x v="177"/>
    </i>
    <i r="1">
      <x v="185"/>
    </i>
    <i r="1">
      <x v="186"/>
    </i>
    <i r="1">
      <x v="192"/>
    </i>
    <i r="1">
      <x v="200"/>
    </i>
    <i r="1">
      <x v="213"/>
    </i>
    <i r="1">
      <x v="214"/>
    </i>
    <i r="1">
      <x v="222"/>
    </i>
    <i r="1">
      <x v="224"/>
    </i>
    <i>
      <x v="8"/>
      <x v="4"/>
    </i>
    <i r="1">
      <x v="30"/>
    </i>
    <i r="1">
      <x v="53"/>
    </i>
    <i r="1">
      <x v="54"/>
    </i>
    <i r="1">
      <x v="79"/>
    </i>
    <i r="1">
      <x v="104"/>
    </i>
    <i r="1">
      <x v="108"/>
    </i>
    <i r="1">
      <x v="121"/>
    </i>
    <i r="1">
      <x v="127"/>
    </i>
    <i r="1">
      <x v="133"/>
    </i>
    <i r="1">
      <x v="150"/>
    </i>
    <i r="1">
      <x v="159"/>
    </i>
    <i r="1">
      <x v="160"/>
    </i>
    <i r="1">
      <x v="185"/>
    </i>
    <i>
      <x v="9"/>
      <x v="14"/>
    </i>
    <i r="1">
      <x v="18"/>
    </i>
    <i r="1">
      <x v="28"/>
    </i>
    <i r="1">
      <x v="33"/>
    </i>
    <i r="1">
      <x v="35"/>
    </i>
    <i r="1">
      <x v="48"/>
    </i>
    <i r="1">
      <x v="74"/>
    </i>
    <i r="1">
      <x v="77"/>
    </i>
    <i r="1">
      <x v="79"/>
    </i>
    <i r="1">
      <x v="101"/>
    </i>
    <i r="1">
      <x v="109"/>
    </i>
    <i r="1">
      <x v="130"/>
    </i>
    <i r="1">
      <x v="160"/>
    </i>
    <i r="1">
      <x v="163"/>
    </i>
    <i r="1">
      <x v="194"/>
    </i>
    <i r="1">
      <x v="197"/>
    </i>
    <i r="1">
      <x v="204"/>
    </i>
    <i>
      <x v="10"/>
      <x v="5"/>
    </i>
    <i r="1">
      <x v="44"/>
    </i>
    <i r="1">
      <x v="46"/>
    </i>
    <i r="1">
      <x v="56"/>
    </i>
    <i r="1">
      <x v="63"/>
    </i>
    <i r="1">
      <x v="64"/>
    </i>
    <i r="1">
      <x v="89"/>
    </i>
    <i r="1">
      <x v="91"/>
    </i>
    <i r="1">
      <x v="92"/>
    </i>
    <i r="1">
      <x v="93"/>
    </i>
    <i r="1">
      <x v="94"/>
    </i>
    <i r="1">
      <x v="102"/>
    </i>
    <i r="1">
      <x v="154"/>
    </i>
    <i r="1">
      <x v="168"/>
    </i>
    <i r="1">
      <x v="174"/>
    </i>
    <i r="1">
      <x v="180"/>
    </i>
    <i r="1">
      <x v="190"/>
    </i>
    <i r="1">
      <x v="209"/>
    </i>
    <i r="1">
      <x v="225"/>
    </i>
    <i r="1">
      <x v="242"/>
    </i>
    <i r="1">
      <x v="243"/>
    </i>
    <i r="1">
      <x v="244"/>
    </i>
    <i r="1">
      <x v="245"/>
    </i>
    <i r="1">
      <x v="246"/>
    </i>
    <i r="1">
      <x v="247"/>
    </i>
    <i r="1">
      <x v="248"/>
    </i>
    <i r="1">
      <x v="249"/>
    </i>
    <i>
      <x v="11"/>
      <x v="22"/>
    </i>
    <i r="1">
      <x v="40"/>
    </i>
    <i r="1">
      <x v="45"/>
    </i>
    <i r="1">
      <x v="58"/>
    </i>
    <i r="1">
      <x v="65"/>
    </i>
    <i r="1">
      <x v="116"/>
    </i>
    <i r="1">
      <x v="124"/>
    </i>
    <i r="1">
      <x v="131"/>
    </i>
    <i r="1">
      <x v="140"/>
    </i>
    <i r="1">
      <x v="169"/>
    </i>
    <i r="1">
      <x v="170"/>
    </i>
    <i r="1">
      <x v="178"/>
    </i>
    <i r="1">
      <x v="179"/>
    </i>
    <i r="1">
      <x v="181"/>
    </i>
    <i r="1">
      <x v="191"/>
    </i>
    <i r="1">
      <x v="197"/>
    </i>
    <i r="1">
      <x v="198"/>
    </i>
    <i r="1">
      <x v="227"/>
    </i>
    <i r="1">
      <x v="250"/>
    </i>
    <i>
      <x v="12"/>
      <x v="17"/>
    </i>
    <i r="1">
      <x v="18"/>
    </i>
    <i r="1">
      <x v="37"/>
    </i>
    <i r="1">
      <x v="41"/>
    </i>
    <i r="1">
      <x v="42"/>
    </i>
    <i r="1">
      <x v="57"/>
    </i>
    <i r="1">
      <x v="66"/>
    </i>
    <i r="1">
      <x v="73"/>
    </i>
    <i r="1">
      <x v="76"/>
    </i>
    <i r="1">
      <x v="87"/>
    </i>
    <i r="1">
      <x v="88"/>
    </i>
    <i r="1">
      <x v="98"/>
    </i>
    <i r="1">
      <x v="105"/>
    </i>
    <i r="1">
      <x v="114"/>
    </i>
    <i r="1">
      <x v="123"/>
    </i>
    <i r="1">
      <x v="133"/>
    </i>
    <i r="1">
      <x v="141"/>
    </i>
    <i r="1">
      <x v="144"/>
    </i>
    <i r="1">
      <x v="153"/>
    </i>
    <i r="1">
      <x v="161"/>
    </i>
    <i r="1">
      <x v="164"/>
    </i>
    <i r="1">
      <x v="167"/>
    </i>
    <i r="1">
      <x v="182"/>
    </i>
    <i r="1">
      <x v="189"/>
    </i>
    <i r="1">
      <x v="197"/>
    </i>
    <i r="1">
      <x v="198"/>
    </i>
    <i r="1">
      <x v="210"/>
    </i>
    <i r="1">
      <x v="212"/>
    </i>
    <i r="1">
      <x v="216"/>
    </i>
    <i r="1">
      <x v="218"/>
    </i>
    <i r="1">
      <x v="226"/>
    </i>
    <i>
      <x v="13"/>
      <x v="2"/>
    </i>
    <i r="1">
      <x v="10"/>
    </i>
    <i r="1">
      <x v="16"/>
    </i>
    <i r="1">
      <x v="31"/>
    </i>
    <i r="1">
      <x v="32"/>
    </i>
    <i r="1">
      <x v="34"/>
    </i>
    <i r="1">
      <x v="44"/>
    </i>
    <i r="1">
      <x v="47"/>
    </i>
    <i r="1">
      <x v="49"/>
    </i>
    <i r="1">
      <x v="68"/>
    </i>
    <i r="1">
      <x v="69"/>
    </i>
    <i r="1">
      <x v="70"/>
    </i>
    <i r="1">
      <x v="80"/>
    </i>
    <i r="1">
      <x v="85"/>
    </i>
    <i r="1">
      <x v="107"/>
    </i>
    <i r="1">
      <x v="138"/>
    </i>
    <i r="1">
      <x v="142"/>
    </i>
    <i r="1">
      <x v="144"/>
    </i>
    <i r="1">
      <x v="151"/>
    </i>
    <i r="1">
      <x v="155"/>
    </i>
    <i r="1">
      <x v="158"/>
    </i>
    <i r="1">
      <x v="191"/>
    </i>
    <i r="1">
      <x v="199"/>
    </i>
    <i r="1">
      <x v="217"/>
    </i>
    <i r="1">
      <x v="223"/>
    </i>
    <i r="1">
      <x v="231"/>
    </i>
    <i r="1">
      <x v="233"/>
    </i>
    <i>
      <x v="14"/>
      <x v="36"/>
    </i>
    <i r="1">
      <x v="38"/>
    </i>
    <i r="1">
      <x v="62"/>
    </i>
    <i r="1">
      <x v="78"/>
    </i>
    <i r="1">
      <x v="79"/>
    </i>
    <i r="1">
      <x v="96"/>
    </i>
    <i r="1">
      <x v="111"/>
    </i>
    <i r="1">
      <x v="113"/>
    </i>
    <i r="1">
      <x v="117"/>
    </i>
    <i r="1">
      <x v="135"/>
    </i>
    <i r="1">
      <x v="139"/>
    </i>
    <i r="1">
      <x v="143"/>
    </i>
    <i r="1">
      <x v="175"/>
    </i>
    <i r="1">
      <x v="187"/>
    </i>
    <i r="1">
      <x v="188"/>
    </i>
    <i r="1">
      <x v="201"/>
    </i>
    <i r="1">
      <x v="206"/>
    </i>
    <i r="1">
      <x v="207"/>
    </i>
    <i r="1">
      <x v="211"/>
    </i>
    <i r="1">
      <x v="228"/>
    </i>
    <i r="1">
      <x v="229"/>
    </i>
    <i r="1">
      <x v="230"/>
    </i>
    <i t="grand">
      <x/>
    </i>
  </rowItems>
  <colItems count="1">
    <i/>
  </colItems>
  <pageFields count="1">
    <pageField fld="57" hier="0"/>
  </pageFields>
  <formats count="1">
    <format dxfId="42">
      <pivotArea field="3" type="button" dataOnly="0" labelOnly="1" outline="0" fieldPosition="3"/>
    </format>
  </formats>
  <pivotTableStyleInfo showRowHeaders="1" showColHeaders="1" showRowStripes="0" showColStripes="0" showLastColumn="1"/>
</pivotTableDefinition>
</file>

<file path=xl/pivotTables/pivotTable44.xml><?xml version="1.0" encoding="utf-8"?>
<pivotTableDefinition xmlns="http://schemas.openxmlformats.org/spreadsheetml/2006/main" name="IFRC &amp; ICRC Contributions" cacheId="25" applyNumberFormats="0" applyBorderFormats="0" applyFontFormats="0" applyPatternFormats="0" applyAlignmentFormats="0" applyWidthHeightFormats="1" dataCaption="Data" updatedVersion="3" minRefreshableVersion="3" showMemberPropertyTips="0" useAutoFormatting="1" itemPrintTitles="1" createdVersion="3" indent="0" compact="0" compactData="0" gridDropZones="1">
  <location ref="C3:F87" firstHeaderRow="1" firstDataRow="2" firstDataCol="2"/>
  <pivotFields count="77">
    <pivotField compact="0" outline="0" subtotalTop="0" showAll="0" includeNewItemsInFilter="1"/>
    <pivotField compact="0" outline="0" subtotalTop="0" showAll="0" includeNewItemsInFilter="1"/>
    <pivotField axis="axisRow" compact="0" outline="0" subtotalTop="0" showAll="0" includeNewItemsInFilter="1" defaultSubtotal="0">
      <items count="256">
        <item x="216"/>
        <item x="214"/>
        <item x="218"/>
        <item x="19"/>
        <item x="243"/>
        <item x="48"/>
        <item x="242"/>
        <item x="203"/>
        <item x="202"/>
        <item x="205"/>
        <item x="233"/>
        <item x="104"/>
        <item x="157"/>
        <item x="244"/>
        <item x="213"/>
        <item x="7"/>
        <item x="204"/>
        <item x="251"/>
        <item x="230"/>
        <item x="211"/>
        <item x="212"/>
        <item x="200"/>
        <item x="239"/>
        <item x="231"/>
        <item x="120"/>
        <item x="201"/>
        <item x="250"/>
        <item x="208"/>
        <item x="33"/>
        <item x="241"/>
        <item x="96"/>
        <item x="248"/>
        <item x="224"/>
        <item x="229"/>
        <item x="237"/>
        <item x="6"/>
        <item x="223"/>
        <item x="199"/>
        <item x="234"/>
        <item x="215"/>
        <item x="235"/>
        <item x="174"/>
        <item x="246"/>
        <item x="245"/>
        <item x="206"/>
        <item x="252"/>
        <item x="217"/>
        <item x="238"/>
        <item x="207"/>
        <item x="80"/>
        <item x="247"/>
        <item x="240"/>
        <item x="163"/>
        <item x="228"/>
        <item x="225"/>
        <item x="226"/>
        <item x="167"/>
        <item x="198"/>
        <item x="220"/>
        <item x="219"/>
        <item x="232"/>
        <item x="254"/>
        <item x="236"/>
        <item x="253"/>
        <item x="209"/>
        <item x="21"/>
        <item x="221"/>
        <item x="222"/>
        <item x="249"/>
        <item x="227"/>
        <item x="197"/>
        <item x="210"/>
        <item x="255"/>
        <item x="0"/>
        <item x="1"/>
        <item x="2"/>
        <item x="3"/>
        <item x="4"/>
        <item x="5"/>
        <item x="8"/>
        <item x="9"/>
        <item x="10"/>
        <item x="11"/>
        <item x="12"/>
        <item x="13"/>
        <item x="14"/>
        <item x="15"/>
        <item x="16"/>
        <item x="17"/>
        <item x="18"/>
        <item x="20"/>
        <item x="22"/>
        <item x="23"/>
        <item x="24"/>
        <item x="25"/>
        <item x="26"/>
        <item x="27"/>
        <item x="28"/>
        <item x="29"/>
        <item x="30"/>
        <item x="31"/>
        <item x="32"/>
        <item x="34"/>
        <item x="35"/>
        <item x="36"/>
        <item x="37"/>
        <item x="38"/>
        <item x="39"/>
        <item x="40"/>
        <item x="41"/>
        <item x="42"/>
        <item x="43"/>
        <item x="44"/>
        <item x="45"/>
        <item x="46"/>
        <item x="47"/>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1"/>
        <item x="82"/>
        <item x="83"/>
        <item x="84"/>
        <item x="85"/>
        <item x="86"/>
        <item x="87"/>
        <item x="88"/>
        <item x="89"/>
        <item x="90"/>
        <item x="91"/>
        <item x="92"/>
        <item x="93"/>
        <item x="94"/>
        <item x="95"/>
        <item x="97"/>
        <item x="98"/>
        <item x="99"/>
        <item x="100"/>
        <item x="101"/>
        <item x="102"/>
        <item x="103"/>
        <item x="105"/>
        <item x="106"/>
        <item x="107"/>
        <item x="108"/>
        <item x="109"/>
        <item x="110"/>
        <item x="111"/>
        <item x="112"/>
        <item x="113"/>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8"/>
        <item x="159"/>
        <item x="160"/>
        <item x="161"/>
        <item x="162"/>
        <item x="164"/>
        <item x="165"/>
        <item x="166"/>
        <item x="168"/>
        <item x="169"/>
        <item x="170"/>
        <item x="171"/>
        <item x="172"/>
        <item x="173"/>
        <item x="175"/>
        <item x="176"/>
        <item x="177"/>
        <item x="178"/>
        <item x="179"/>
        <item x="180"/>
        <item x="181"/>
        <item x="182"/>
        <item x="183"/>
        <item x="184"/>
        <item x="185"/>
        <item x="186"/>
        <item x="187"/>
        <item x="188"/>
        <item x="189"/>
        <item x="190"/>
        <item x="191"/>
        <item x="192"/>
        <item x="193"/>
        <item x="194"/>
        <item x="195"/>
        <item x="196"/>
      </items>
    </pivotField>
    <pivotField compact="0" outline="0" subtotalTop="0" showAll="0" includeNewItemsInFilter="1"/>
    <pivotField axis="axisRow" compact="0" outline="0" subtotalTop="0" showAll="0" includeNewItemsInFilter="1">
      <items count="19">
        <item x="13"/>
        <item x="14"/>
        <item x="15"/>
        <item x="16"/>
        <item h="1" x="17"/>
        <item h="1" x="0"/>
        <item h="1" x="1"/>
        <item h="1" x="2"/>
        <item h="1" x="3"/>
        <item h="1" x="4"/>
        <item h="1" x="5"/>
        <item h="1" x="6"/>
        <item h="1" x="7"/>
        <item h="1" x="8"/>
        <item h="1" x="9"/>
        <item h="1" x="10"/>
        <item h="1" x="11"/>
        <item h="1" x="12"/>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s>
  <rowFields count="2">
    <field x="4"/>
    <field x="2"/>
  </rowFields>
  <rowItems count="83">
    <i>
      <x/>
      <x/>
    </i>
    <i r="1">
      <x v="1"/>
    </i>
    <i r="1">
      <x v="2"/>
    </i>
    <i r="1">
      <x v="7"/>
    </i>
    <i r="1">
      <x v="8"/>
    </i>
    <i r="1">
      <x v="9"/>
    </i>
    <i r="1">
      <x v="12"/>
    </i>
    <i r="1">
      <x v="14"/>
    </i>
    <i r="1">
      <x v="16"/>
    </i>
    <i r="1">
      <x v="19"/>
    </i>
    <i r="1">
      <x v="20"/>
    </i>
    <i r="1">
      <x v="21"/>
    </i>
    <i r="1">
      <x v="25"/>
    </i>
    <i r="1">
      <x v="27"/>
    </i>
    <i r="1">
      <x v="30"/>
    </i>
    <i r="1">
      <x v="37"/>
    </i>
    <i r="1">
      <x v="39"/>
    </i>
    <i r="1">
      <x v="41"/>
    </i>
    <i r="1">
      <x v="44"/>
    </i>
    <i r="1">
      <x v="46"/>
    </i>
    <i r="1">
      <x v="48"/>
    </i>
    <i r="1">
      <x v="56"/>
    </i>
    <i r="1">
      <x v="57"/>
    </i>
    <i r="1">
      <x v="64"/>
    </i>
    <i r="1">
      <x v="65"/>
    </i>
    <i r="1">
      <x v="70"/>
    </i>
    <i r="1">
      <x v="71"/>
    </i>
    <i t="default">
      <x/>
    </i>
    <i>
      <x v="1"/>
      <x v="10"/>
    </i>
    <i r="1">
      <x v="11"/>
    </i>
    <i r="1">
      <x v="18"/>
    </i>
    <i r="1">
      <x v="23"/>
    </i>
    <i r="1">
      <x v="24"/>
    </i>
    <i r="1">
      <x v="28"/>
    </i>
    <i r="1">
      <x v="32"/>
    </i>
    <i r="1">
      <x v="33"/>
    </i>
    <i r="1">
      <x v="34"/>
    </i>
    <i r="1">
      <x v="36"/>
    </i>
    <i r="1">
      <x v="38"/>
    </i>
    <i r="1">
      <x v="40"/>
    </i>
    <i r="1">
      <x v="53"/>
    </i>
    <i r="1">
      <x v="54"/>
    </i>
    <i r="1">
      <x v="55"/>
    </i>
    <i r="1">
      <x v="58"/>
    </i>
    <i r="1">
      <x v="59"/>
    </i>
    <i r="1">
      <x v="60"/>
    </i>
    <i r="1">
      <x v="62"/>
    </i>
    <i r="1">
      <x v="66"/>
    </i>
    <i r="1">
      <x v="67"/>
    </i>
    <i r="1">
      <x v="69"/>
    </i>
    <i t="default">
      <x v="1"/>
    </i>
    <i>
      <x v="2"/>
      <x v="4"/>
    </i>
    <i r="1">
      <x v="5"/>
    </i>
    <i r="1">
      <x v="6"/>
    </i>
    <i r="1">
      <x v="13"/>
    </i>
    <i r="1">
      <x v="15"/>
    </i>
    <i r="1">
      <x v="22"/>
    </i>
    <i r="1">
      <x v="29"/>
    </i>
    <i r="1">
      <x v="31"/>
    </i>
    <i r="1">
      <x v="35"/>
    </i>
    <i r="1">
      <x v="39"/>
    </i>
    <i r="1">
      <x v="42"/>
    </i>
    <i r="1">
      <x v="43"/>
    </i>
    <i r="1">
      <x v="47"/>
    </i>
    <i r="1">
      <x v="49"/>
    </i>
    <i r="1">
      <x v="50"/>
    </i>
    <i r="1">
      <x v="51"/>
    </i>
    <i r="1">
      <x v="65"/>
    </i>
    <i r="1">
      <x v="68"/>
    </i>
    <i t="default">
      <x v="2"/>
    </i>
    <i>
      <x v="3"/>
      <x v="3"/>
    </i>
    <i r="1">
      <x v="9"/>
    </i>
    <i r="1">
      <x v="12"/>
    </i>
    <i r="1">
      <x v="17"/>
    </i>
    <i r="1">
      <x v="26"/>
    </i>
    <i r="1">
      <x v="35"/>
    </i>
    <i r="1">
      <x v="45"/>
    </i>
    <i r="1">
      <x v="52"/>
    </i>
    <i r="1">
      <x v="61"/>
    </i>
    <i r="1">
      <x v="63"/>
    </i>
    <i r="1">
      <x v="65"/>
    </i>
    <i t="default">
      <x v="3"/>
    </i>
    <i t="grand">
      <x/>
    </i>
  </rowItems>
  <colFields count="1">
    <field x="-2"/>
  </colFields>
  <colItems count="2">
    <i>
      <x/>
    </i>
    <i i="1">
      <x v="1"/>
    </i>
  </colItems>
  <dataFields count="2">
    <dataField name="Sum of Cash to ICRC" fld="29" baseField="0" baseItem="0" numFmtId="166"/>
    <dataField name="Sum of Cash to IFRC" fld="28" baseField="0" baseItem="0" numFmtId="166"/>
  </dataFields>
  <formats count="17">
    <format dxfId="33">
      <pivotArea field="4" type="button" dataOnly="0" labelOnly="1" outline="0" axis="axisRow" fieldPosition="0"/>
    </format>
    <format dxfId="32">
      <pivotArea field="2" type="button" dataOnly="0" labelOnly="1" outline="0" axis="axisRow" fieldPosition="1"/>
    </format>
    <format dxfId="31">
      <pivotArea dataOnly="0" labelOnly="1" outline="0" fieldPosition="0">
        <references count="1">
          <reference field="4294967294" count="2">
            <x v="0"/>
            <x v="1"/>
          </reference>
        </references>
      </pivotArea>
    </format>
    <format dxfId="30">
      <pivotArea outline="0" fieldPosition="0"/>
    </format>
    <format dxfId="29">
      <pivotArea field="-2" type="button" dataOnly="0" labelOnly="1" outline="0" axis="axisCol" fieldPosition="0"/>
    </format>
    <format dxfId="28">
      <pivotArea type="topRight" dataOnly="0" labelOnly="1" outline="0" fieldPosition="0"/>
    </format>
    <format dxfId="27">
      <pivotArea dataOnly="0" labelOnly="1" outline="0" fieldPosition="0">
        <references count="1">
          <reference field="4294967294" count="2">
            <x v="0"/>
            <x v="1"/>
          </reference>
        </references>
      </pivotArea>
    </format>
    <format dxfId="26">
      <pivotArea field="-2" type="button" dataOnly="0" labelOnly="1" outline="0" axis="axisCol" fieldPosition="0"/>
    </format>
    <format dxfId="25">
      <pivotArea type="topRight" dataOnly="0" labelOnly="1" outline="0" fieldPosition="0"/>
    </format>
    <format dxfId="24">
      <pivotArea outline="0" fieldPosition="0">
        <references count="1">
          <reference field="4" count="1" selected="0" defaultSubtotal="1">
            <x v="0"/>
          </reference>
        </references>
      </pivotArea>
    </format>
    <format dxfId="23">
      <pivotArea dataOnly="0" labelOnly="1" outline="0" fieldPosition="0">
        <references count="1">
          <reference field="4" count="1" defaultSubtotal="1">
            <x v="0"/>
          </reference>
        </references>
      </pivotArea>
    </format>
    <format dxfId="22">
      <pivotArea outline="0" fieldPosition="0">
        <references count="1">
          <reference field="4" count="1" selected="0" defaultSubtotal="1">
            <x v="1"/>
          </reference>
        </references>
      </pivotArea>
    </format>
    <format dxfId="21">
      <pivotArea dataOnly="0" labelOnly="1" outline="0" fieldPosition="0">
        <references count="1">
          <reference field="4" count="1" defaultSubtotal="1">
            <x v="1"/>
          </reference>
        </references>
      </pivotArea>
    </format>
    <format dxfId="20">
      <pivotArea outline="0" fieldPosition="0">
        <references count="1">
          <reference field="4" count="1" selected="0" defaultSubtotal="1">
            <x v="2"/>
          </reference>
        </references>
      </pivotArea>
    </format>
    <format dxfId="19">
      <pivotArea dataOnly="0" labelOnly="1" outline="0" fieldPosition="0">
        <references count="1">
          <reference field="4" count="1" defaultSubtotal="1">
            <x v="2"/>
          </reference>
        </references>
      </pivotArea>
    </format>
    <format dxfId="18">
      <pivotArea outline="0" fieldPosition="0">
        <references count="1">
          <reference field="4" count="1" selected="0" defaultSubtotal="1">
            <x v="3"/>
          </reference>
        </references>
      </pivotArea>
    </format>
    <format dxfId="17">
      <pivotArea dataOnly="0" labelOnly="1" outline="0" fieldPosition="0">
        <references count="1">
          <reference field="4" count="1" defaultSubtotal="1">
            <x v="3"/>
          </reference>
        </references>
      </pivotArea>
    </format>
  </formats>
  <pivotTableStyleInfo showRowHeaders="1" showColHeaders="1" showRowStripes="0" showColStripes="0" showLastColumn="1"/>
</pivotTableDefinition>
</file>

<file path=xl/pivotTables/pivotTable45.xml><?xml version="1.0" encoding="utf-8"?>
<pivotTableDefinition xmlns="http://schemas.openxmlformats.org/spreadsheetml/2006/main" name="PivotTable9" cacheId="10" dataOnRows="1" applyNumberFormats="0" applyBorderFormats="0" applyFontFormats="0" applyPatternFormats="0" applyAlignmentFormats="0" applyWidthHeightFormats="1" dataCaption="Data" updatedVersion="2" showMemberPropertyTips="0" useAutoFormatting="1" itemPrintTitles="1" createdVersion="1" indent="0" compact="0" compactData="0" gridDropZones="1">
  <location ref="N3:P18" firstHeaderRow="2" firstDataRow="2" firstDataCol="2"/>
  <pivotFields count="61">
    <pivotField compact="0" outline="0" subtotalTop="0" showAll="0" includeNewItemsInFilter="1"/>
    <pivotField compact="0" outline="0" subtotalTop="0" showAll="0" includeNewItemsInFilter="1"/>
    <pivotField compact="0" outline="0" subtotalTop="0" showAll="0" includeNewItemsInFilter="1"/>
    <pivotField compact="0" numFmtId="167" outline="0" subtotalTop="0" showAll="0" includeNewItemsInFilter="1"/>
    <pivotField axis="axisRow" compact="0" outline="0" subtotalTop="0" showAll="0" includeNewItemsInFilter="1">
      <items count="18">
        <item h="1" x="0"/>
        <item h="1" x="1"/>
        <item h="1" x="2"/>
        <item h="1" x="3"/>
        <item h="1" x="4"/>
        <item h="1" x="5"/>
        <item h="1" x="6"/>
        <item x="7"/>
        <item x="8"/>
        <item x="9"/>
        <item x="10"/>
        <item x="11"/>
        <item x="12"/>
        <item x="13"/>
        <item x="14"/>
        <item x="15"/>
        <item x="16"/>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Row" dataField="1" compact="0" outline="0" subtotalTop="0" showAll="0" includeNewItemsInFilter="1">
      <items count="5">
        <item x="3"/>
        <item h="1" x="2"/>
        <item x="1"/>
        <item h="1" x="0"/>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2">
    <field x="4"/>
    <field x="32"/>
  </rowFields>
  <rowItems count="14">
    <i>
      <x v="8"/>
      <x v="2"/>
    </i>
    <i t="default">
      <x v="8"/>
    </i>
    <i>
      <x v="9"/>
      <x v="2"/>
    </i>
    <i t="default">
      <x v="9"/>
    </i>
    <i>
      <x v="10"/>
      <x v="2"/>
    </i>
    <i t="default">
      <x v="10"/>
    </i>
    <i>
      <x v="11"/>
      <x v="2"/>
    </i>
    <i t="default">
      <x v="11"/>
    </i>
    <i>
      <x v="13"/>
      <x v="2"/>
    </i>
    <i t="default">
      <x v="13"/>
    </i>
    <i>
      <x v="14"/>
      <x/>
    </i>
    <i r="1">
      <x v="2"/>
    </i>
    <i t="default">
      <x v="14"/>
    </i>
    <i t="grand">
      <x/>
    </i>
  </rowItems>
  <colItems count="1">
    <i/>
  </colItems>
  <dataFields count="1">
    <dataField name="Count of ERUs" fld="32" subtotal="count" baseField="0" baseItem="0"/>
  </dataFields>
  <pivotTableStyleInfo showRowHeaders="1" showColHeaders="1" showRowStripes="0" showColStripes="0" showLastColumn="1"/>
</pivotTableDefinition>
</file>

<file path=xl/pivotTables/pivotTable46.xml><?xml version="1.0" encoding="utf-8"?>
<pivotTableDefinition xmlns="http://schemas.openxmlformats.org/spreadsheetml/2006/main" name="PivotTable7" cacheId="9" dataOnRows="1" applyNumberFormats="0" applyBorderFormats="0" applyFontFormats="0" applyPatternFormats="0" applyAlignmentFormats="0" applyWidthHeightFormats="1" dataCaption="Data" updatedVersion="2" showMemberPropertyTips="0" useAutoFormatting="1" itemPrintTitles="1" createdVersion="1" indent="0" compact="0" compactData="0" gridDropZones="1">
  <location ref="H45:J85" firstHeaderRow="2" firstDataRow="2" firstDataCol="2"/>
  <pivotFields count="61">
    <pivotField compact="0" outline="0" subtotalTop="0" showAll="0" includeNewItemsInFilter="1"/>
    <pivotField compact="0" outline="0" subtotalTop="0" showAll="0" includeNewItemsInFilter="1"/>
    <pivotField compact="0" outline="0" subtotalTop="0" showAll="0" includeNewItemsInFilter="1"/>
    <pivotField compact="0" numFmtId="167"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Row" compact="0" outline="0" subtotalTop="0" showAll="0" includeNewItemsInFilter="1">
      <items count="19">
        <item h="1" x="4"/>
        <item h="1" x="5"/>
        <item h="1" x="6"/>
        <item h="1" x="7"/>
        <item h="1" x="8"/>
        <item h="1" x="9"/>
        <item h="1" x="10"/>
        <item h="1" x="11"/>
        <item h="1" x="12"/>
        <item h="1" x="13"/>
        <item h="1" x="14"/>
        <item x="15"/>
        <item x="0"/>
        <item x="1"/>
        <item x="2"/>
        <item x="3"/>
        <item x="16"/>
        <item x="17"/>
        <item t="default"/>
      </items>
    </pivotField>
    <pivotField compact="0" outline="0" subtotalTop="0" showAll="0" includeNewItemsInFilter="1"/>
    <pivotField compact="0" outline="0" subtotalTop="0" showAll="0" includeNewItemsInFilter="1"/>
    <pivotField axis="axisRow" dataField="1" compact="0" outline="0" subtotalTop="0" showAll="0" includeNewItemsInFilter="1">
      <items count="119">
        <item x="106"/>
        <item x="46"/>
        <item x="54"/>
        <item x="76"/>
        <item x="90"/>
        <item x="19"/>
        <item x="73"/>
        <item x="69"/>
        <item x="32"/>
        <item x="33"/>
        <item x="9"/>
        <item x="83"/>
        <item x="14"/>
        <item x="28"/>
        <item x="38"/>
        <item x="42"/>
        <item x="24"/>
        <item x="110"/>
        <item x="7"/>
        <item x="40"/>
        <item x="82"/>
        <item x="80"/>
        <item x="101"/>
        <item x="4"/>
        <item x="87"/>
        <item x="3"/>
        <item x="52"/>
        <item x="63"/>
        <item x="107"/>
        <item x="17"/>
        <item x="75"/>
        <item x="55"/>
        <item x="45"/>
        <item x="35"/>
        <item x="1"/>
        <item x="60"/>
        <item x="105"/>
        <item x="62"/>
        <item x="8"/>
        <item x="20"/>
        <item x="44"/>
        <item x="85"/>
        <item x="79"/>
        <item x="43"/>
        <item x="74"/>
        <item x="65"/>
        <item x="15"/>
        <item x="27"/>
        <item x="49"/>
        <item x="72"/>
        <item x="29"/>
        <item x="68"/>
        <item x="53"/>
        <item x="11"/>
        <item x="30"/>
        <item x="58"/>
        <item x="114"/>
        <item x="93"/>
        <item x="70"/>
        <item x="77"/>
        <item x="41"/>
        <item x="26"/>
        <item x="37"/>
        <item x="84"/>
        <item x="2"/>
        <item x="113"/>
        <item x="36"/>
        <item x="100"/>
        <item x="108"/>
        <item x="95"/>
        <item x="6"/>
        <item x="86"/>
        <item x="56"/>
        <item x="78"/>
        <item x="47"/>
        <item x="31"/>
        <item x="57"/>
        <item x="98"/>
        <item x="66"/>
        <item x="39"/>
        <item x="89"/>
        <item x="61"/>
        <item x="12"/>
        <item x="115"/>
        <item x="112"/>
        <item x="111"/>
        <item x="64"/>
        <item x="71"/>
        <item x="91"/>
        <item x="23"/>
        <item x="67"/>
        <item x="92"/>
        <item x="34"/>
        <item x="18"/>
        <item x="21"/>
        <item x="81"/>
        <item x="103"/>
        <item x="59"/>
        <item x="10"/>
        <item x="109"/>
        <item x="99"/>
        <item x="13"/>
        <item x="97"/>
        <item x="5"/>
        <item x="50"/>
        <item x="96"/>
        <item x="104"/>
        <item x="94"/>
        <item x="51"/>
        <item x="48"/>
        <item x="22"/>
        <item x="16"/>
        <item x="102"/>
        <item x="88"/>
        <item x="25"/>
        <item x="0"/>
        <item x="116"/>
        <item x="117"/>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2">
    <field x="7"/>
    <field x="10"/>
  </rowFields>
  <rowItems count="39">
    <i>
      <x v="11"/>
      <x v="13"/>
    </i>
    <i r="1">
      <x v="22"/>
    </i>
    <i r="1">
      <x v="23"/>
    </i>
    <i r="1">
      <x v="24"/>
    </i>
    <i r="1">
      <x v="25"/>
    </i>
    <i r="1">
      <x v="40"/>
    </i>
    <i r="1">
      <x v="42"/>
    </i>
    <i r="1">
      <x v="47"/>
    </i>
    <i r="1">
      <x v="56"/>
    </i>
    <i r="1">
      <x v="64"/>
    </i>
    <i r="1">
      <x v="65"/>
    </i>
    <i r="1">
      <x v="69"/>
    </i>
    <i r="1">
      <x v="74"/>
    </i>
    <i r="1">
      <x v="76"/>
    </i>
    <i r="1">
      <x v="80"/>
    </i>
    <i r="1">
      <x v="83"/>
    </i>
    <i r="1">
      <x v="100"/>
    </i>
    <i r="1">
      <x v="109"/>
    </i>
    <i r="1">
      <x v="111"/>
    </i>
    <i t="default">
      <x v="11"/>
    </i>
    <i>
      <x v="12"/>
      <x v="115"/>
    </i>
    <i t="default">
      <x v="12"/>
    </i>
    <i>
      <x v="13"/>
      <x v="115"/>
    </i>
    <i t="default">
      <x v="13"/>
    </i>
    <i>
      <x v="14"/>
      <x v="115"/>
    </i>
    <i t="default">
      <x v="14"/>
    </i>
    <i>
      <x v="15"/>
      <x v="115"/>
    </i>
    <i t="default">
      <x v="15"/>
    </i>
    <i>
      <x v="16"/>
      <x v="14"/>
    </i>
    <i r="1">
      <x v="53"/>
    </i>
    <i r="1">
      <x v="59"/>
    </i>
    <i r="1">
      <x v="68"/>
    </i>
    <i r="1">
      <x v="78"/>
    </i>
    <i r="1">
      <x v="116"/>
    </i>
    <i r="1">
      <x v="117"/>
    </i>
    <i t="default">
      <x v="16"/>
    </i>
    <i>
      <x v="17"/>
      <x v="115"/>
    </i>
    <i t="default">
      <x v="17"/>
    </i>
    <i t="grand">
      <x/>
    </i>
  </rowItems>
  <colItems count="1">
    <i/>
  </colItems>
  <dataFields count="1">
    <dataField name="Count of Country" fld="10" subtotal="count" baseField="0" baseItem="0"/>
  </dataFields>
  <pivotTableStyleInfo showRowHeaders="1" showColHeaders="1" showRowStripes="0" showColStripes="0" showLastColumn="1"/>
</pivotTableDefinition>
</file>

<file path=xl/pivotTables/pivotTable47.xml><?xml version="1.0" encoding="utf-8"?>
<pivotTableDefinition xmlns="http://schemas.openxmlformats.org/spreadsheetml/2006/main" name="PivotTable1" cacheId="6" dataOnRows="1" applyNumberFormats="0" applyBorderFormats="0" applyFontFormats="0" applyPatternFormats="0" applyAlignmentFormats="0" applyWidthHeightFormats="1" dataCaption="Data" updatedVersion="2" showMemberPropertyTips="0" useAutoFormatting="1" itemPrintTitles="1" createdVersion="1" indent="0" compact="0" compactData="0" gridDropZones="1">
  <location ref="A3:B120" firstHeaderRow="2" firstDataRow="2" firstDataCol="1"/>
  <pivotFields count="6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Row" dataField="1" compact="0" outline="0" subtotalTop="0" showAll="0" includeNewItemsInFilter="1">
      <items count="120">
        <item h="1" x="106"/>
        <item x="46"/>
        <item x="54"/>
        <item x="76"/>
        <item x="90"/>
        <item x="19"/>
        <item x="73"/>
        <item x="69"/>
        <item x="32"/>
        <item x="33"/>
        <item x="9"/>
        <item x="83"/>
        <item x="14"/>
        <item x="28"/>
        <item x="38"/>
        <item x="42"/>
        <item x="24"/>
        <item x="110"/>
        <item x="7"/>
        <item x="40"/>
        <item x="82"/>
        <item x="80"/>
        <item x="101"/>
        <item x="4"/>
        <item x="87"/>
        <item x="3"/>
        <item x="52"/>
        <item x="63"/>
        <item x="107"/>
        <item x="17"/>
        <item x="75"/>
        <item x="55"/>
        <item x="45"/>
        <item x="35"/>
        <item x="1"/>
        <item x="60"/>
        <item x="105"/>
        <item x="62"/>
        <item x="8"/>
        <item x="20"/>
        <item x="44"/>
        <item x="85"/>
        <item x="79"/>
        <item x="43"/>
        <item x="74"/>
        <item x="65"/>
        <item x="15"/>
        <item x="27"/>
        <item x="49"/>
        <item x="72"/>
        <item x="29"/>
        <item x="68"/>
        <item x="53"/>
        <item x="11"/>
        <item x="30"/>
        <item x="58"/>
        <item x="114"/>
        <item x="93"/>
        <item x="70"/>
        <item x="77"/>
        <item x="41"/>
        <item x="26"/>
        <item x="37"/>
        <item x="84"/>
        <item x="2"/>
        <item x="113"/>
        <item x="36"/>
        <item x="100"/>
        <item x="108"/>
        <item x="95"/>
        <item x="6"/>
        <item m="1" x="117"/>
        <item x="86"/>
        <item x="56"/>
        <item m="1" x="118"/>
        <item x="47"/>
        <item x="31"/>
        <item x="57"/>
        <item x="98"/>
        <item x="66"/>
        <item x="39"/>
        <item x="89"/>
        <item x="61"/>
        <item x="12"/>
        <item x="112"/>
        <item x="111"/>
        <item x="64"/>
        <item x="71"/>
        <item x="91"/>
        <item x="23"/>
        <item x="67"/>
        <item x="92"/>
        <item x="34"/>
        <item x="18"/>
        <item x="21"/>
        <item x="81"/>
        <item x="103"/>
        <item x="59"/>
        <item x="10"/>
        <item x="109"/>
        <item x="99"/>
        <item x="13"/>
        <item x="97"/>
        <item x="5"/>
        <item x="50"/>
        <item x="96"/>
        <item x="104"/>
        <item x="94"/>
        <item h="1" x="51"/>
        <item x="48"/>
        <item x="22"/>
        <item x="16"/>
        <item x="102"/>
        <item x="88"/>
        <item x="25"/>
        <item x="0"/>
        <item x="116"/>
        <item x="78"/>
        <item x="115"/>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1">
    <field x="10"/>
  </rowFields>
  <rowItems count="116">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2"/>
    </i>
    <i>
      <x v="73"/>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9"/>
    </i>
    <i>
      <x v="110"/>
    </i>
    <i>
      <x v="111"/>
    </i>
    <i>
      <x v="112"/>
    </i>
    <i>
      <x v="113"/>
    </i>
    <i>
      <x v="114"/>
    </i>
    <i>
      <x v="115"/>
    </i>
    <i>
      <x v="116"/>
    </i>
    <i>
      <x v="117"/>
    </i>
    <i>
      <x v="118"/>
    </i>
    <i t="grand">
      <x/>
    </i>
  </rowItems>
  <colItems count="1">
    <i/>
  </colItems>
  <dataFields count="1">
    <dataField name="Count of Country" fld="10" subtotal="count" baseField="0" baseItem="0"/>
  </dataFields>
  <pivotTableStyleInfo showRowHeaders="1" showColHeaders="1" showRowStripes="0" showColStripes="0" showLastColumn="1"/>
</pivotTableDefinition>
</file>

<file path=xl/pivotTables/pivotTable48.xml><?xml version="1.0" encoding="utf-8"?>
<pivotTableDefinition xmlns="http://schemas.openxmlformats.org/spreadsheetml/2006/main" name="PivotTable11" cacheId="11" dataOnRows="1" applyNumberFormats="0" applyBorderFormats="0" applyFontFormats="0" applyPatternFormats="0" applyAlignmentFormats="0" applyWidthHeightFormats="1" dataCaption="Data" updatedVersion="2" showMemberPropertyTips="0" useAutoFormatting="1" itemPrintTitles="1" createdVersion="1" indent="0" compact="0" compactData="0" gridDropZones="1">
  <location ref="N27:P77" firstHeaderRow="2" firstDataRow="2" firstDataCol="2"/>
  <pivotFields count="61">
    <pivotField compact="0" outline="0" subtotalTop="0" showAll="0" includeNewItemsInFilter="1"/>
    <pivotField compact="0" outline="0" subtotalTop="0" showAll="0" includeNewItemsInFilter="1"/>
    <pivotField compact="0" outline="0" subtotalTop="0" showAll="0" includeNewItemsInFilter="1"/>
    <pivotField compact="0" numFmtId="167" outline="0" subtotalTop="0" showAll="0" includeNewItemsInFilter="1"/>
    <pivotField axis="axisRow" compact="0" outline="0" subtotalTop="0" showAll="0" includeNewItemsInFilter="1">
      <items count="17">
        <item h="1" x="0"/>
        <item h="1" x="1"/>
        <item h="1" x="2"/>
        <item h="1" x="3"/>
        <item h="1" x="4"/>
        <item h="1" x="5"/>
        <item h="1" x="6"/>
        <item h="1" x="7"/>
        <item x="8"/>
        <item x="9"/>
        <item x="10"/>
        <item x="11"/>
        <item x="12"/>
        <item x="13"/>
        <item x="14"/>
        <item x="15"/>
        <item t="default"/>
      </items>
    </pivotField>
    <pivotField compact="0" outline="0" subtotalTop="0" showAll="0" includeNewItemsInFilter="1">
      <items count="35">
        <item x="1"/>
        <item x="2"/>
        <item x="3"/>
        <item x="4"/>
        <item x="5"/>
        <item x="6"/>
        <item x="7"/>
        <item x="8"/>
        <item x="9"/>
        <item x="10"/>
        <item x="11"/>
        <item x="12"/>
        <item x="13"/>
        <item x="14"/>
        <item x="15"/>
        <item x="16"/>
        <item x="17"/>
        <item x="18"/>
        <item x="19"/>
        <item x="23"/>
        <item x="20"/>
        <item x="21"/>
        <item x="22"/>
        <item x="24"/>
        <item x="25"/>
        <item x="26"/>
        <item x="27"/>
        <item x="28"/>
        <item x="29"/>
        <item x="31"/>
        <item x="32"/>
        <item x="30"/>
        <item x="33"/>
        <item x="0"/>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Row" compact="0" outline="0" subtotalTop="0" showAll="0" autoShow="1" includeNewItemsInFilter="1" sortType="descending" rankBy="0">
      <items count="117">
        <item x="0"/>
        <item x="25"/>
        <item x="88"/>
        <item x="102"/>
        <item x="16"/>
        <item x="22"/>
        <item x="48"/>
        <item x="51"/>
        <item x="94"/>
        <item x="104"/>
        <item x="96"/>
        <item x="50"/>
        <item x="5"/>
        <item x="97"/>
        <item x="13"/>
        <item x="99"/>
        <item x="109"/>
        <item x="10"/>
        <item x="59"/>
        <item x="103"/>
        <item x="81"/>
        <item x="21"/>
        <item x="18"/>
        <item x="34"/>
        <item x="92"/>
        <item x="67"/>
        <item x="23"/>
        <item x="91"/>
        <item x="71"/>
        <item x="64"/>
        <item x="111"/>
        <item x="112"/>
        <item x="115"/>
        <item x="12"/>
        <item x="61"/>
        <item x="89"/>
        <item x="39"/>
        <item x="66"/>
        <item x="98"/>
        <item x="57"/>
        <item x="31"/>
        <item x="47"/>
        <item x="78"/>
        <item x="56"/>
        <item x="86"/>
        <item x="6"/>
        <item x="95"/>
        <item x="108"/>
        <item x="100"/>
        <item x="36"/>
        <item x="113"/>
        <item x="2"/>
        <item x="84"/>
        <item x="37"/>
        <item x="26"/>
        <item x="41"/>
        <item x="77"/>
        <item x="70"/>
        <item x="93"/>
        <item x="114"/>
        <item x="58"/>
        <item x="30"/>
        <item x="11"/>
        <item x="53"/>
        <item x="68"/>
        <item x="29"/>
        <item x="72"/>
        <item x="49"/>
        <item x="27"/>
        <item x="15"/>
        <item x="65"/>
        <item x="74"/>
        <item x="43"/>
        <item x="79"/>
        <item x="85"/>
        <item x="44"/>
        <item x="20"/>
        <item x="8"/>
        <item x="62"/>
        <item x="105"/>
        <item x="60"/>
        <item x="1"/>
        <item x="35"/>
        <item x="45"/>
        <item x="55"/>
        <item x="75"/>
        <item x="17"/>
        <item x="107"/>
        <item x="63"/>
        <item x="52"/>
        <item x="3"/>
        <item x="87"/>
        <item x="4"/>
        <item x="101"/>
        <item x="80"/>
        <item x="82"/>
        <item x="40"/>
        <item x="7"/>
        <item x="110"/>
        <item x="24"/>
        <item x="42"/>
        <item x="38"/>
        <item x="28"/>
        <item x="14"/>
        <item x="83"/>
        <item x="9"/>
        <item x="33"/>
        <item x="32"/>
        <item x="69"/>
        <item x="73"/>
        <item x="19"/>
        <item x="90"/>
        <item x="76"/>
        <item x="54"/>
        <item x="46"/>
        <item x="106"/>
        <item t="default"/>
      </items>
      <autoSortScope>
        <pivotArea dataOnly="0" outline="0" fieldPosition="0">
          <references count="1">
            <reference field="4294967294" count="1" selected="0">
              <x v="0"/>
            </reference>
          </references>
        </pivotArea>
      </autoSortScope>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sortType="ascending"/>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2">
    <field x="10"/>
    <field x="4"/>
  </rowFields>
  <rowItems count="49">
    <i>
      <x v="73"/>
      <x v="8"/>
    </i>
    <i r="1">
      <x v="9"/>
    </i>
    <i r="1">
      <x v="10"/>
    </i>
    <i r="1">
      <x v="12"/>
    </i>
    <i r="1">
      <x v="13"/>
    </i>
    <i r="1">
      <x v="14"/>
    </i>
    <i r="1">
      <x v="15"/>
    </i>
    <i t="default">
      <x v="73"/>
    </i>
    <i>
      <x v="23"/>
      <x v="9"/>
    </i>
    <i r="1">
      <x v="11"/>
    </i>
    <i r="1">
      <x v="13"/>
    </i>
    <i t="default">
      <x v="23"/>
    </i>
    <i>
      <x v="68"/>
      <x v="9"/>
    </i>
    <i r="1">
      <x v="10"/>
    </i>
    <i r="1">
      <x v="12"/>
    </i>
    <i r="1">
      <x v="14"/>
    </i>
    <i r="1">
      <x v="15"/>
    </i>
    <i t="default">
      <x v="68"/>
    </i>
    <i>
      <x v="41"/>
      <x v="10"/>
    </i>
    <i r="1">
      <x v="12"/>
    </i>
    <i r="1">
      <x v="13"/>
    </i>
    <i r="1">
      <x v="15"/>
    </i>
    <i t="default">
      <x v="41"/>
    </i>
    <i>
      <x v="32"/>
      <x v="15"/>
    </i>
    <i t="default">
      <x v="32"/>
    </i>
    <i>
      <x v="36"/>
      <x v="12"/>
    </i>
    <i t="default">
      <x v="36"/>
    </i>
    <i>
      <x v="67"/>
      <x v="8"/>
    </i>
    <i t="default">
      <x v="67"/>
    </i>
    <i>
      <x v="85"/>
      <x v="8"/>
    </i>
    <i r="1">
      <x v="12"/>
    </i>
    <i t="default">
      <x v="85"/>
    </i>
    <i>
      <x v="54"/>
      <x v="11"/>
    </i>
    <i r="1">
      <x v="12"/>
    </i>
    <i t="default">
      <x v="54"/>
    </i>
    <i>
      <x v="35"/>
      <x v="10"/>
    </i>
    <i r="1">
      <x v="11"/>
    </i>
    <i r="1">
      <x v="12"/>
    </i>
    <i r="1">
      <x v="14"/>
    </i>
    <i r="1">
      <x v="15"/>
    </i>
    <i t="default">
      <x v="35"/>
    </i>
    <i>
      <x v="51"/>
      <x v="8"/>
    </i>
    <i r="1">
      <x v="10"/>
    </i>
    <i r="1">
      <x v="11"/>
    </i>
    <i r="1">
      <x v="12"/>
    </i>
    <i r="1">
      <x v="14"/>
    </i>
    <i r="1">
      <x v="15"/>
    </i>
    <i t="default">
      <x v="51"/>
    </i>
    <i t="grand">
      <x/>
    </i>
  </rowItems>
  <colItems count="1">
    <i/>
  </colItems>
  <dataFields count="1">
    <dataField name="Sum of ARC People Deployed" fld="31" baseField="0" baseItem="0"/>
  </dataFields>
  <formats count="2">
    <format dxfId="10">
      <pivotArea grandRow="1" outline="0" fieldPosition="0"/>
    </format>
    <format dxfId="9">
      <pivotArea outline="0" fieldPosition="0">
        <references count="1">
          <reference field="10" count="12" selected="0" defaultSubtotal="1">
            <x v="20"/>
            <x v="35"/>
            <x v="41"/>
            <x v="48"/>
            <x v="49"/>
            <x v="51"/>
            <x v="54"/>
            <x v="60"/>
            <x v="67"/>
            <x v="68"/>
            <x v="73"/>
            <x v="103"/>
          </reference>
        </references>
      </pivotArea>
    </format>
  </formats>
  <pivotTableStyleInfo showRowHeaders="1" showColHeaders="1" showRowStripes="0" showColStripes="0" showLastColumn="1"/>
</pivotTableDefinition>
</file>

<file path=xl/pivotTables/pivotTable49.xml><?xml version="1.0" encoding="utf-8"?>
<pivotTableDefinition xmlns="http://schemas.openxmlformats.org/spreadsheetml/2006/main" name="PivotTable2" cacheId="9" dataOnRows="1" applyNumberFormats="0" applyBorderFormats="0" applyFontFormats="0" applyPatternFormats="0" applyAlignmentFormats="0" applyWidthHeightFormats="1" dataCaption="Data" updatedVersion="2" showMemberPropertyTips="0" useAutoFormatting="1" itemPrintTitles="1" createdVersion="1" indent="0" compact="0" compactData="0" gridDropZones="1">
  <location ref="E28:F48" firstHeaderRow="2" firstDataRow="2" firstDataCol="1"/>
  <pivotFields count="61">
    <pivotField compact="0" outline="0" subtotalTop="0" showAll="0" includeNewItemsInFilter="1"/>
    <pivotField compact="0" outline="0" subtotalTop="0" showAll="0" includeNewItemsInFilter="1"/>
    <pivotField compact="0" outline="0" subtotalTop="0" showAll="0" includeNewItemsInFilter="1"/>
    <pivotField compact="0" numFmtId="167"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Row" compact="0" outline="0" subtotalTop="0" showAll="0" includeNewItemsInFilter="1" sortType="ascending" rankBy="0">
      <items count="19">
        <item x="0"/>
        <item x="1"/>
        <item x="2"/>
        <item x="3"/>
        <item x="4"/>
        <item x="5"/>
        <item x="6"/>
        <item x="7"/>
        <item x="8"/>
        <item x="9"/>
        <item x="10"/>
        <item x="11"/>
        <item x="12"/>
        <item x="13"/>
        <item x="14"/>
        <item x="15"/>
        <item x="16"/>
        <item x="17"/>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1">
    <field x="7"/>
  </rowFields>
  <rowItems count="19">
    <i>
      <x/>
    </i>
    <i>
      <x v="1"/>
    </i>
    <i>
      <x v="2"/>
    </i>
    <i>
      <x v="3"/>
    </i>
    <i>
      <x v="4"/>
    </i>
    <i>
      <x v="5"/>
    </i>
    <i>
      <x v="6"/>
    </i>
    <i>
      <x v="7"/>
    </i>
    <i>
      <x v="8"/>
    </i>
    <i>
      <x v="9"/>
    </i>
    <i>
      <x v="10"/>
    </i>
    <i>
      <x v="11"/>
    </i>
    <i>
      <x v="12"/>
    </i>
    <i>
      <x v="13"/>
    </i>
    <i>
      <x v="14"/>
    </i>
    <i>
      <x v="15"/>
    </i>
    <i>
      <x v="16"/>
    </i>
    <i>
      <x v="17"/>
    </i>
    <i t="grand">
      <x/>
    </i>
  </rowItems>
  <colItems count="1">
    <i/>
  </colItems>
  <dataFields count="1">
    <dataField name="Sum of Value of Supplies" fld="49" baseField="0" baseItem="0" numFmtId="166"/>
  </dataFields>
  <formats count="2">
    <format dxfId="12">
      <pivotArea outline="0" fieldPosition="0">
        <references count="1">
          <reference field="7" count="9" selected="0">
            <x v="7"/>
            <x v="8"/>
            <x v="9"/>
            <x v="10"/>
            <x v="11"/>
            <x v="12"/>
            <x v="13"/>
            <x v="14"/>
            <x v="15"/>
          </reference>
        </references>
      </pivotArea>
    </format>
    <format dxfId="11">
      <pivotArea outline="0" fieldPosition="0">
        <references count="1">
          <reference field="4294967294" count="1">
            <x v="0"/>
          </reference>
        </references>
      </pivotArea>
    </format>
  </formats>
  <pivotTableStyleInfo showRowHeaders="1" showColHeaders="1" showRowStripes="0" showColStripes="0" showLastColumn="1"/>
</pivotTableDefinition>
</file>

<file path=xl/pivotTables/pivotTable50.xml><?xml version="1.0" encoding="utf-8"?>
<pivotTableDefinition xmlns="http://schemas.openxmlformats.org/spreadsheetml/2006/main" name="PivotTable5" cacheId="12" dataOnRows="1" applyNumberFormats="0" applyBorderFormats="0" applyFontFormats="0" applyPatternFormats="0" applyAlignmentFormats="0" applyWidthHeightFormats="1" dataCaption="Data" updatedVersion="2" showMemberPropertyTips="0" useAutoFormatting="1" itemPrintTitles="1" createdVersion="1" indent="0" compact="0" compactData="0" gridDropZones="1">
  <location ref="R3:X22" firstHeaderRow="2" firstDataRow="2" firstDataCol="1"/>
  <pivotFields count="61">
    <pivotField compact="0" outline="0" subtotalTop="0" showAll="0" includeNewItemsInFilter="1"/>
    <pivotField compact="0" outline="0" subtotalTop="0" showAll="0" includeNewItemsInFilter="1"/>
    <pivotField compact="0" outline="0" subtotalTop="0" showAll="0" includeNewItemsInFilter="1"/>
    <pivotField compact="0" numFmtId="167" outline="0" subtotalTop="0" showAll="0" includeNewItemsInFilter="1"/>
    <pivotField axis="axisRow" compact="0" outline="0" subtotalTop="0" showAll="0" includeNewItemsInFilter="1">
      <items count="18">
        <item x="0"/>
        <item x="1"/>
        <item x="2"/>
        <item x="3"/>
        <item x="4"/>
        <item x="5"/>
        <item x="6"/>
        <item x="7"/>
        <item x="8"/>
        <item x="9"/>
        <item x="10"/>
        <item x="11"/>
        <item x="12"/>
        <item x="13"/>
        <item x="14"/>
        <item x="15"/>
        <item x="16"/>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1">
    <field x="4"/>
  </rowFields>
  <rowItems count="18">
    <i>
      <x/>
    </i>
    <i>
      <x v="1"/>
    </i>
    <i>
      <x v="2"/>
    </i>
    <i>
      <x v="3"/>
    </i>
    <i>
      <x v="4"/>
    </i>
    <i>
      <x v="5"/>
    </i>
    <i>
      <x v="6"/>
    </i>
    <i>
      <x v="7"/>
    </i>
    <i>
      <x v="8"/>
    </i>
    <i>
      <x v="9"/>
    </i>
    <i>
      <x v="10"/>
    </i>
    <i>
      <x v="11"/>
    </i>
    <i>
      <x v="12"/>
    </i>
    <i>
      <x v="13"/>
    </i>
    <i>
      <x v="14"/>
    </i>
    <i>
      <x v="15"/>
    </i>
    <i>
      <x v="16"/>
    </i>
    <i t="grand">
      <x/>
    </i>
  </rowItems>
  <colItems count="1">
    <i/>
  </colItems>
  <formats count="2">
    <format dxfId="14">
      <pivotArea outline="0" fieldPosition="0">
        <references count="1">
          <reference field="4" count="4" selected="0">
            <x v="12"/>
            <x v="13"/>
            <x v="14"/>
            <x v="15"/>
          </reference>
        </references>
      </pivotArea>
    </format>
    <format dxfId="13">
      <pivotArea outline="0" fieldPosition="0">
        <references count="1">
          <reference field="4" count="12" selected="0">
            <x v="0"/>
            <x v="1"/>
            <x v="2"/>
            <x v="3"/>
            <x v="4"/>
            <x v="5"/>
            <x v="6"/>
            <x v="7"/>
            <x v="8"/>
            <x v="9"/>
            <x v="10"/>
            <x v="11"/>
          </reference>
        </references>
      </pivotArea>
    </format>
  </formats>
  <pivotTableStyleInfo showRowHeaders="1" showColHeaders="1" showRowStripes="0" showColStripes="0" showLastColumn="1"/>
</pivotTableDefinition>
</file>

<file path=xl/pivotTables/pivotTable51.xml><?xml version="1.0" encoding="utf-8"?>
<pivotTableDefinition xmlns="http://schemas.openxmlformats.org/spreadsheetml/2006/main" name="PivotTable8" cacheId="9" dataOnRows="1" applyNumberFormats="0" applyBorderFormats="0" applyFontFormats="0" applyPatternFormats="0" applyAlignmentFormats="0" applyWidthHeightFormats="1" dataCaption="Data" updatedVersion="2" showMemberPropertyTips="0" useAutoFormatting="1" itemPrintTitles="1" createdVersion="1" indent="0" compact="0" compactData="0" gridDropZones="1">
  <location ref="K4:L20" firstHeaderRow="2" firstDataRow="2" firstDataCol="1"/>
  <pivotFields count="61">
    <pivotField compact="0" outline="0" subtotalTop="0" showAll="0" includeNewItemsInFilter="1"/>
    <pivotField compact="0" outline="0" subtotalTop="0" showAll="0" includeNewItemsInFilter="1"/>
    <pivotField compact="0" outline="0" subtotalTop="0" showAll="0" includeNewItemsInFilter="1"/>
    <pivotField compact="0" numFmtId="167"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Row" compact="0" outline="0" subtotalTop="0" showAll="0" includeNewItemsInFilter="1">
      <items count="19">
        <item x="4"/>
        <item x="5"/>
        <item x="6"/>
        <item x="7"/>
        <item x="8"/>
        <item x="9"/>
        <item x="10"/>
        <item x="11"/>
        <item x="12"/>
        <item x="13"/>
        <item x="14"/>
        <item x="15"/>
        <item h="1" x="0"/>
        <item h="1" x="1"/>
        <item h="1" x="2"/>
        <item h="1" x="3"/>
        <item x="16"/>
        <item x="17"/>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1">
    <field x="7"/>
  </rowFields>
  <rowItems count="15">
    <i>
      <x/>
    </i>
    <i>
      <x v="1"/>
    </i>
    <i>
      <x v="2"/>
    </i>
    <i>
      <x v="3"/>
    </i>
    <i>
      <x v="4"/>
    </i>
    <i>
      <x v="5"/>
    </i>
    <i>
      <x v="6"/>
    </i>
    <i>
      <x v="7"/>
    </i>
    <i>
      <x v="8"/>
    </i>
    <i>
      <x v="9"/>
    </i>
    <i>
      <x v="10"/>
    </i>
    <i>
      <x v="11"/>
    </i>
    <i>
      <x v="16"/>
    </i>
    <i>
      <x v="17"/>
    </i>
    <i t="grand">
      <x/>
    </i>
  </rowItems>
  <colItems count="1">
    <i/>
  </colItems>
  <dataFields count="1">
    <dataField name="Sum of Total Contributions" fld="55" baseField="0" baseItem="0"/>
  </dataFields>
  <formats count="2">
    <format dxfId="16">
      <pivotArea outline="0" fieldPosition="0">
        <references count="1">
          <reference field="7" count="0" selected="0"/>
        </references>
      </pivotArea>
    </format>
    <format dxfId="15">
      <pivotArea grandRow="1" outline="0" fieldPosition="0"/>
    </format>
  </formats>
  <pivotTableStyleInfo showRowHeaders="1" showColHeaders="1" showRowStripes="0" showColStripes="0" showLastColumn="1"/>
</pivotTableDefinition>
</file>

<file path=xl/pivotTables/pivotTable52.xml><?xml version="1.0" encoding="utf-8"?>
<pivotTableDefinition xmlns="http://schemas.openxmlformats.org/spreadsheetml/2006/main" name="PivotTable6" cacheId="17" dataOnRows="1" applyNumberFormats="0" applyBorderFormats="0" applyFontFormats="0" applyPatternFormats="0" applyAlignmentFormats="0" applyWidthHeightFormats="1" dataCaption="Data" updatedVersion="2" showMemberPropertyTips="0" useAutoFormatting="1" itemPrintTitles="1" createdVersion="1" indent="0" compact="0" compactData="0" gridDropZones="1">
  <location ref="A135:T142" firstHeaderRow="1" firstDataRow="2" firstDataCol="1"/>
  <pivotFields count="6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Col" dataField="1" compact="0" outline="0" subtotalTop="0" showAll="0" includeNewItemsInFilter="1">
      <items count="19">
        <item x="0"/>
        <item x="1"/>
        <item x="2"/>
        <item x="3"/>
        <item x="4"/>
        <item x="5"/>
        <item x="6"/>
        <item x="7"/>
        <item x="8"/>
        <item x="9"/>
        <item x="10"/>
        <item x="11"/>
        <item x="12"/>
        <item x="13"/>
        <item x="14"/>
        <item x="15"/>
        <item x="16"/>
        <item x="17"/>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Row" compact="0" outline="0" subtotalTop="0" showAll="0" includeNewItemsInFilter="1">
      <items count="6">
        <item x="1"/>
        <item x="3"/>
        <item x="2"/>
        <item x="4"/>
        <item x="0"/>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1">
    <field x="9"/>
  </rowFields>
  <rowItems count="6">
    <i>
      <x/>
    </i>
    <i>
      <x v="1"/>
    </i>
    <i>
      <x v="2"/>
    </i>
    <i>
      <x v="3"/>
    </i>
    <i>
      <x v="4"/>
    </i>
    <i t="grand">
      <x/>
    </i>
  </rowItems>
  <colFields count="1">
    <field x="4"/>
  </colFields>
  <colItems count="19">
    <i>
      <x/>
    </i>
    <i>
      <x v="1"/>
    </i>
    <i>
      <x v="2"/>
    </i>
    <i>
      <x v="3"/>
    </i>
    <i>
      <x v="4"/>
    </i>
    <i>
      <x v="5"/>
    </i>
    <i>
      <x v="6"/>
    </i>
    <i>
      <x v="7"/>
    </i>
    <i>
      <x v="8"/>
    </i>
    <i>
      <x v="9"/>
    </i>
    <i>
      <x v="10"/>
    </i>
    <i>
      <x v="11"/>
    </i>
    <i>
      <x v="12"/>
    </i>
    <i>
      <x v="13"/>
    </i>
    <i>
      <x v="14"/>
    </i>
    <i>
      <x v="15"/>
    </i>
    <i>
      <x v="16"/>
    </i>
    <i>
      <x v="17"/>
    </i>
    <i t="grand">
      <x/>
    </i>
  </colItems>
  <dataFields count="1">
    <dataField name="Count of Fiscal Year" fld="4" subtotal="count" baseField="0" baseItem="0"/>
  </dataFields>
  <pivotTableStyleInfo showRowHeaders="1" showColHeaders="1" showRowStripes="0" showColStripes="0" showLastColumn="1"/>
</pivotTableDefinition>
</file>

<file path=xl/pivotTables/pivotTable53.xml><?xml version="1.0" encoding="utf-8"?>
<pivotTableDefinition xmlns="http://schemas.openxmlformats.org/spreadsheetml/2006/main" name="PivotTable3" cacheId="6" dataOnRows="1" applyNumberFormats="0" applyBorderFormats="0" applyFontFormats="0" applyPatternFormats="0" applyAlignmentFormats="0" applyWidthHeightFormats="1" dataCaption="Data" updatedVersion="2" showMemberPropertyTips="0" useAutoFormatting="1" itemPrintTitles="1" createdVersion="1" indent="0" compact="0" compactData="0" gridDropZones="1">
  <location ref="E3:F18" firstHeaderRow="2" firstDataRow="2" firstDataCol="1" rowPageCount="1" colPageCount="1"/>
  <pivotFields count="6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Row" compact="0" outline="0" subtotalTop="0" showAll="0" includeNewItemsInFilter="1">
      <items count="17">
        <item h="1" x="0"/>
        <item h="1" x="1"/>
        <item h="1" x="2"/>
        <item x="3"/>
        <item x="4"/>
        <item x="5"/>
        <item x="6"/>
        <item x="7"/>
        <item x="8"/>
        <item x="9"/>
        <item x="10"/>
        <item x="11"/>
        <item x="12"/>
        <item x="13"/>
        <item x="14"/>
        <item x="15"/>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Page" compact="0" outline="0" subtotalTop="0" showAll="0" includeNewItemsInFilter="1">
      <items count="120">
        <item h="1" x="106"/>
        <item x="46"/>
        <item x="54"/>
        <item x="76"/>
        <item x="90"/>
        <item x="19"/>
        <item x="73"/>
        <item x="69"/>
        <item x="32"/>
        <item x="33"/>
        <item x="9"/>
        <item x="83"/>
        <item x="14"/>
        <item x="28"/>
        <item x="38"/>
        <item x="42"/>
        <item x="24"/>
        <item x="110"/>
        <item x="7"/>
        <item x="40"/>
        <item x="82"/>
        <item x="80"/>
        <item x="101"/>
        <item x="4"/>
        <item x="87"/>
        <item x="3"/>
        <item x="52"/>
        <item x="63"/>
        <item x="107"/>
        <item x="17"/>
        <item x="75"/>
        <item x="55"/>
        <item x="45"/>
        <item x="35"/>
        <item x="1"/>
        <item x="60"/>
        <item x="105"/>
        <item x="62"/>
        <item x="8"/>
        <item x="20"/>
        <item x="44"/>
        <item x="85"/>
        <item x="79"/>
        <item x="43"/>
        <item x="74"/>
        <item x="65"/>
        <item x="15"/>
        <item x="27"/>
        <item x="49"/>
        <item x="72"/>
        <item x="29"/>
        <item x="68"/>
        <item x="53"/>
        <item x="11"/>
        <item x="30"/>
        <item x="58"/>
        <item x="114"/>
        <item x="93"/>
        <item x="70"/>
        <item x="77"/>
        <item x="41"/>
        <item x="26"/>
        <item x="37"/>
        <item x="84"/>
        <item x="2"/>
        <item x="113"/>
        <item x="36"/>
        <item x="100"/>
        <item x="108"/>
        <item x="95"/>
        <item x="6"/>
        <item m="1" x="117"/>
        <item x="86"/>
        <item x="56"/>
        <item m="1" x="118"/>
        <item x="47"/>
        <item x="31"/>
        <item x="57"/>
        <item x="98"/>
        <item x="66"/>
        <item x="39"/>
        <item x="89"/>
        <item x="61"/>
        <item x="12"/>
        <item x="112"/>
        <item x="111"/>
        <item x="64"/>
        <item x="71"/>
        <item x="91"/>
        <item x="23"/>
        <item x="67"/>
        <item x="92"/>
        <item x="34"/>
        <item x="18"/>
        <item x="21"/>
        <item x="81"/>
        <item x="103"/>
        <item x="59"/>
        <item x="10"/>
        <item x="109"/>
        <item x="99"/>
        <item x="13"/>
        <item x="97"/>
        <item x="5"/>
        <item x="50"/>
        <item x="96"/>
        <item x="104"/>
        <item x="94"/>
        <item h="1" x="51"/>
        <item x="48"/>
        <item x="22"/>
        <item x="16"/>
        <item x="102"/>
        <item x="88"/>
        <item x="25"/>
        <item x="0"/>
        <item x="116"/>
        <item x="78"/>
        <item x="115"/>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1">
    <field x="4"/>
  </rowFields>
  <rowItems count="14">
    <i>
      <x v="3"/>
    </i>
    <i>
      <x v="4"/>
    </i>
    <i>
      <x v="5"/>
    </i>
    <i>
      <x v="6"/>
    </i>
    <i>
      <x v="7"/>
    </i>
    <i>
      <x v="8"/>
    </i>
    <i>
      <x v="9"/>
    </i>
    <i>
      <x v="10"/>
    </i>
    <i>
      <x v="11"/>
    </i>
    <i>
      <x v="12"/>
    </i>
    <i>
      <x v="13"/>
    </i>
    <i>
      <x v="14"/>
    </i>
    <i>
      <x v="15"/>
    </i>
    <i t="grand">
      <x/>
    </i>
  </rowItems>
  <colItems count="1">
    <i/>
  </colItems>
  <pageFields count="1">
    <pageField fld="10" hier="0"/>
  </pageFields>
  <dataFields count="1">
    <dataField name="Sum of Total Contributions" fld="55" baseField="0" baseItem="0" numFmtId="166"/>
  </dataFields>
  <pivotTableStyleInfo showRowHeaders="1" showColHeaders="1" showRowStripes="0" showColStripes="0" showLastColumn="1"/>
</pivotTableDefinition>
</file>

<file path=xl/pivotTables/pivotTable54.xml><?xml version="1.0" encoding="utf-8"?>
<pivotTableDefinition xmlns="http://schemas.openxmlformats.org/spreadsheetml/2006/main" name="PivotTable4" cacheId="21" dataOnRows="1" applyNumberFormats="0" applyBorderFormats="0" applyFontFormats="0" applyPatternFormats="0" applyAlignmentFormats="0" applyWidthHeightFormats="1" dataCaption="Data" updatedVersion="3" showMemberPropertyTips="0" useAutoFormatting="1" itemPrintTitles="1" createdVersion="1" indent="0" compact="0" compactData="0" gridDropZones="1">
  <location ref="H28:J40" firstHeaderRow="2" firstDataRow="2" firstDataCol="2"/>
  <pivotFields count="16">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Row" compact="0" outline="0" subtotalTop="0" showAll="0" includeNewItemsInFilter="1">
      <items count="6">
        <item x="3"/>
        <item x="1"/>
        <item x="2"/>
        <item x="0"/>
        <item x="4"/>
        <item t="default"/>
      </items>
    </pivotField>
    <pivotField axis="axisRow" compact="0" outline="0" subtotalTop="0" showAll="0" includeNewItemsInFilter="1">
      <items count="6">
        <item h="1" x="0"/>
        <item h="1" x="1"/>
        <item x="2"/>
        <item x="4"/>
        <item h="1" x="3"/>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2">
    <field x="11"/>
    <field x="10"/>
  </rowFields>
  <rowItems count="11">
    <i>
      <x v="2"/>
      <x/>
    </i>
    <i r="1">
      <x v="1"/>
    </i>
    <i r="1">
      <x v="2"/>
    </i>
    <i r="1">
      <x v="3"/>
    </i>
    <i t="default">
      <x v="2"/>
    </i>
    <i>
      <x v="3"/>
      <x/>
    </i>
    <i r="1">
      <x v="1"/>
    </i>
    <i r="1">
      <x v="2"/>
    </i>
    <i r="1">
      <x v="3"/>
    </i>
    <i t="default">
      <x v="3"/>
    </i>
    <i t="grand">
      <x/>
    </i>
  </rowItems>
  <colItems count="1">
    <i/>
  </colItems>
  <dataFields count="1">
    <dataField name="Sum of Deployed Count" fld="0" baseField="0" baseItem="0"/>
  </dataFields>
  <pivotTableStyleInfo showRowHeaders="1" showColHeaders="1" showRowStripes="0" showColStripes="0" showLastColumn="1"/>
</pivotTableDefinition>
</file>

<file path=xl/pivotTables/pivotTable55.xml><?xml version="1.0" encoding="utf-8"?>
<pivotTableDefinition xmlns="http://schemas.openxmlformats.org/spreadsheetml/2006/main" name="PivotTable7" cacheId="15" dataOnRows="1" applyNumberFormats="0" applyBorderFormats="0" applyFontFormats="0" applyPatternFormats="0" applyAlignmentFormats="0" applyWidthHeightFormats="1" dataCaption="Data" updatedVersion="2" showMemberPropertyTips="0" useAutoFormatting="1" itemPrintTitles="1" createdVersion="1" indent="0" compact="0" compactData="0" gridDropZones="1">
  <location ref="Q5:T25" firstHeaderRow="2" firstDataRow="2" firstDataCol="3"/>
  <pivotFields count="6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Row" compact="0" outline="0" subtotalTop="0" showAll="0" includeNewItemsInFilter="1">
      <items count="18">
        <item h="1" x="0"/>
        <item h="1" x="1"/>
        <item h="1" x="2"/>
        <item h="1" x="3"/>
        <item h="1" x="4"/>
        <item h="1" x="5"/>
        <item h="1" x="6"/>
        <item h="1" x="7"/>
        <item h="1" x="8"/>
        <item h="1" x="9"/>
        <item h="1" x="10"/>
        <item h="1" x="11"/>
        <item h="1" x="12"/>
        <item h="1" x="13"/>
        <item h="1" x="14"/>
        <item sd="0" x="15"/>
        <item h="1" x="16"/>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Row" dataField="1" compact="0" outline="0" subtotalTop="0" showAll="0" includeNewItemsInFilter="1" defaultSubtotal="0">
      <items count="118">
        <item x="106"/>
        <item x="46"/>
        <item x="54"/>
        <item x="76"/>
        <item x="90"/>
        <item x="19"/>
        <item x="73"/>
        <item x="69"/>
        <item x="32"/>
        <item x="33"/>
        <item x="9"/>
        <item x="83"/>
        <item x="14"/>
        <item x="28"/>
        <item x="38"/>
        <item x="42"/>
        <item x="24"/>
        <item x="110"/>
        <item x="7"/>
        <item x="40"/>
        <item x="82"/>
        <item x="80"/>
        <item x="101"/>
        <item x="4"/>
        <item x="87"/>
        <item x="3"/>
        <item x="52"/>
        <item x="63"/>
        <item x="107"/>
        <item x="17"/>
        <item x="75"/>
        <item x="55"/>
        <item x="45"/>
        <item x="35"/>
        <item x="1"/>
        <item x="60"/>
        <item x="105"/>
        <item x="62"/>
        <item x="8"/>
        <item x="20"/>
        <item x="44"/>
        <item x="85"/>
        <item x="79"/>
        <item x="43"/>
        <item x="74"/>
        <item x="65"/>
        <item x="15"/>
        <item x="27"/>
        <item x="49"/>
        <item x="72"/>
        <item x="29"/>
        <item x="68"/>
        <item x="53"/>
        <item x="11"/>
        <item x="30"/>
        <item x="58"/>
        <item x="114"/>
        <item x="93"/>
        <item x="70"/>
        <item x="77"/>
        <item x="41"/>
        <item x="26"/>
        <item x="37"/>
        <item x="84"/>
        <item x="2"/>
        <item x="113"/>
        <item x="36"/>
        <item x="100"/>
        <item x="108"/>
        <item x="95"/>
        <item x="117"/>
        <item x="6"/>
        <item x="86"/>
        <item x="56"/>
        <item x="78"/>
        <item x="47"/>
        <item x="31"/>
        <item x="57"/>
        <item x="98"/>
        <item x="66"/>
        <item x="39"/>
        <item x="89"/>
        <item x="61"/>
        <item x="12"/>
        <item x="115"/>
        <item x="112"/>
        <item x="111"/>
        <item x="64"/>
        <item x="71"/>
        <item x="91"/>
        <item x="23"/>
        <item x="67"/>
        <item x="92"/>
        <item x="34"/>
        <item x="18"/>
        <item x="21"/>
        <item x="81"/>
        <item x="103"/>
        <item x="59"/>
        <item x="10"/>
        <item x="109"/>
        <item x="99"/>
        <item x="13"/>
        <item x="97"/>
        <item x="116"/>
        <item x="5"/>
        <item x="50"/>
        <item x="96"/>
        <item x="104"/>
        <item x="94"/>
        <item x="51"/>
        <item x="48"/>
        <item x="22"/>
        <item x="16"/>
        <item x="102"/>
        <item x="88"/>
        <item x="25"/>
        <item x="0"/>
      </items>
    </pivotField>
    <pivotField compact="0" outline="0" subtotalTop="0" showAll="0" includeNewItemsInFilter="1"/>
    <pivotField axis="axisRow" compact="0" outline="0" subtotalTop="0" showAll="0" includeNewItemsInFilter="1">
      <items count="26">
        <item x="19"/>
        <item x="8"/>
        <item x="20"/>
        <item x="1"/>
        <item x="3"/>
        <item x="23"/>
        <item x="11"/>
        <item x="2"/>
        <item x="7"/>
        <item x="14"/>
        <item x="6"/>
        <item x="18"/>
        <item x="13"/>
        <item x="10"/>
        <item x="24"/>
        <item x="5"/>
        <item x="12"/>
        <item x="9"/>
        <item x="17"/>
        <item x="16"/>
        <item x="22"/>
        <item x="4"/>
        <item x="15"/>
        <item x="21"/>
        <item x="0"/>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3">
    <field x="10"/>
    <field x="4"/>
    <field x="12"/>
  </rowFields>
  <rowItems count="19">
    <i>
      <x v="13"/>
      <x v="15"/>
    </i>
    <i>
      <x v="14"/>
      <x v="15"/>
    </i>
    <i>
      <x v="24"/>
      <x v="15"/>
    </i>
    <i>
      <x v="25"/>
      <x v="15"/>
    </i>
    <i>
      <x v="42"/>
      <x v="15"/>
    </i>
    <i>
      <x v="47"/>
      <x v="15"/>
    </i>
    <i>
      <x v="53"/>
      <x v="15"/>
    </i>
    <i>
      <x v="59"/>
      <x v="15"/>
    </i>
    <i>
      <x v="64"/>
      <x v="15"/>
    </i>
    <i>
      <x v="68"/>
      <x v="15"/>
    </i>
    <i>
      <x v="70"/>
      <x v="15"/>
    </i>
    <i>
      <x v="75"/>
      <x v="15"/>
    </i>
    <i>
      <x v="77"/>
      <x v="15"/>
    </i>
    <i>
      <x v="79"/>
      <x v="15"/>
    </i>
    <i>
      <x v="81"/>
      <x v="15"/>
    </i>
    <i>
      <x v="84"/>
      <x v="15"/>
    </i>
    <i>
      <x v="104"/>
      <x v="15"/>
    </i>
    <i>
      <x v="113"/>
      <x v="15"/>
    </i>
    <i t="grand">
      <x/>
    </i>
  </rowItems>
  <colItems count="1">
    <i/>
  </colItems>
  <dataFields count="1">
    <dataField name="Count of Country" fld="10" subtotal="count" baseField="0" baseItem="0"/>
  </dataFields>
  <formats count="2">
    <format dxfId="2">
      <pivotArea outline="0" fieldPosition="0">
        <references count="1">
          <reference field="4" count="0" selected="0" defaultSubtotal="1"/>
        </references>
      </pivotArea>
    </format>
    <format dxfId="1">
      <pivotArea grandRow="1" outline="0" fieldPosition="0"/>
    </format>
  </formats>
  <pivotTableStyleInfo showRowHeaders="1" showColHeaders="1" showRowStripes="0" showColStripes="0" showLastColumn="1"/>
</pivotTableDefinition>
</file>

<file path=xl/pivotTables/pivotTable56.xml><?xml version="1.0" encoding="utf-8"?>
<pivotTableDefinition xmlns="http://schemas.openxmlformats.org/spreadsheetml/2006/main" name="PivotTable4" cacheId="17" dataOnRows="1" applyNumberFormats="0" applyBorderFormats="0" applyFontFormats="0" applyPatternFormats="0" applyAlignmentFormats="0" applyWidthHeightFormats="1" dataCaption="Data" updatedVersion="2" showMemberPropertyTips="0" useAutoFormatting="1" itemPrintTitles="1" createdVersion="1" indent="0" compact="0" compactData="0" gridDropZones="1">
  <location ref="A190:E260" firstHeaderRow="2" firstDataRow="2" firstDataCol="4"/>
  <pivotFields count="61">
    <pivotField compact="0" outline="0" subtotalTop="0" showAll="0" includeNewItemsInFilter="1"/>
    <pivotField compact="0" outline="0" subtotalTop="0" showAll="0" includeNewItemsInFilter="1"/>
    <pivotField axis="axisRow" compact="0" outline="0" subtotalTop="0" showAll="0" includeNewItemsInFilter="1">
      <items count="256">
        <item x="60"/>
        <item x="79"/>
        <item x="216"/>
        <item x="76"/>
        <item x="114"/>
        <item x="154"/>
        <item x="24"/>
        <item x="108"/>
        <item x="1"/>
        <item x="98"/>
        <item x="214"/>
        <item x="93"/>
        <item x="39"/>
        <item x="40"/>
        <item x="13"/>
        <item x="4"/>
        <item x="218"/>
        <item x="183"/>
        <item x="19"/>
        <item x="243"/>
        <item x="68"/>
        <item x="34"/>
        <item x="69"/>
        <item x="48"/>
        <item x="87"/>
        <item x="53"/>
        <item x="29"/>
        <item x="11"/>
        <item x="75"/>
        <item x="132"/>
        <item x="50"/>
        <item x="112"/>
        <item x="242"/>
        <item x="203"/>
        <item x="202"/>
        <item x="127"/>
        <item x="205"/>
        <item x="124"/>
        <item x="233"/>
        <item x="195"/>
        <item x="104"/>
        <item x="109"/>
        <item x="8"/>
        <item x="192"/>
        <item x="186"/>
        <item x="44"/>
        <item x="157"/>
        <item x="170"/>
        <item x="145"/>
        <item x="244"/>
        <item x="213"/>
        <item x="7"/>
        <item x="204"/>
        <item x="72"/>
        <item x="90"/>
        <item x="22"/>
        <item x="113"/>
        <item x="116"/>
        <item x="77"/>
        <item x="150"/>
        <item x="188"/>
        <item x="160"/>
        <item x="59"/>
        <item x="55"/>
        <item x="43"/>
        <item x="230"/>
        <item x="141"/>
        <item x="5"/>
        <item x="161"/>
        <item x="193"/>
        <item x="85"/>
        <item x="211"/>
        <item x="212"/>
        <item x="200"/>
        <item x="89"/>
        <item x="12"/>
        <item x="176"/>
        <item x="25"/>
        <item x="58"/>
        <item x="187"/>
        <item x="131"/>
        <item m="1" x="254"/>
        <item x="231"/>
        <item x="120"/>
        <item x="201"/>
        <item x="56"/>
        <item x="70"/>
        <item x="110"/>
        <item x="208"/>
        <item x="92"/>
        <item x="175"/>
        <item x="134"/>
        <item x="135"/>
        <item x="133"/>
        <item x="177"/>
        <item x="137"/>
        <item x="3"/>
        <item x="139"/>
        <item x="140"/>
        <item x="142"/>
        <item x="143"/>
        <item x="45"/>
        <item x="33"/>
        <item x="20"/>
        <item x="178"/>
        <item x="32"/>
        <item x="97"/>
        <item x="129"/>
        <item x="241"/>
        <item x="158"/>
        <item x="63"/>
        <item x="117"/>
        <item x="105"/>
        <item x="151"/>
        <item x="35"/>
        <item x="96"/>
        <item x="122"/>
        <item x="73"/>
        <item x="248"/>
        <item x="15"/>
        <item x="224"/>
        <item x="36"/>
        <item x="229"/>
        <item x="185"/>
        <item x="101"/>
        <item x="81"/>
        <item x="237"/>
        <item x="100"/>
        <item x="115"/>
        <item x="52"/>
        <item x="189"/>
        <item x="168"/>
        <item x="31"/>
        <item x="121"/>
        <item x="47"/>
        <item x="82"/>
        <item x="130"/>
        <item x="171"/>
        <item x="0"/>
        <item x="6"/>
        <item x="16"/>
        <item x="223"/>
        <item x="67"/>
        <item x="66"/>
        <item x="159"/>
        <item x="199"/>
        <item x="234"/>
        <item x="46"/>
        <item x="191"/>
        <item x="215"/>
        <item x="235"/>
        <item x="174"/>
        <item x="246"/>
        <item x="83"/>
        <item x="57"/>
        <item x="71"/>
        <item x="10"/>
        <item x="78"/>
        <item x="245"/>
        <item x="119"/>
        <item x="206"/>
        <item x="61"/>
        <item x="172"/>
        <item x="138"/>
        <item x="217"/>
        <item x="238"/>
        <item x="37"/>
        <item x="207"/>
        <item x="118"/>
        <item x="80"/>
        <item x="184"/>
        <item x="247"/>
        <item x="94"/>
        <item x="123"/>
        <item x="54"/>
        <item x="49"/>
        <item x="86"/>
        <item x="196"/>
        <item x="153"/>
        <item x="240"/>
        <item x="163"/>
        <item x="88"/>
        <item x="17"/>
        <item x="51"/>
        <item x="2"/>
        <item x="136"/>
        <item x="228"/>
        <item x="91"/>
        <item x="102"/>
        <item x="169"/>
        <item x="165"/>
        <item x="155"/>
        <item x="166"/>
        <item x="194"/>
        <item x="42"/>
        <item x="28"/>
        <item x="95"/>
        <item x="103"/>
        <item x="225"/>
        <item x="226"/>
        <item x="190"/>
        <item x="146"/>
        <item x="147"/>
        <item x="149"/>
        <item x="148"/>
        <item x="156"/>
        <item x="167"/>
        <item x="111"/>
        <item x="41"/>
        <item x="128"/>
        <item x="23"/>
        <item x="26"/>
        <item x="125"/>
        <item x="162"/>
        <item x="198"/>
        <item x="106"/>
        <item x="220"/>
        <item x="84"/>
        <item x="14"/>
        <item x="126"/>
        <item x="38"/>
        <item x="219"/>
        <item x="232"/>
        <item x="18"/>
        <item x="152"/>
        <item x="180"/>
        <item x="236"/>
        <item x="181"/>
        <item x="107"/>
        <item x="9"/>
        <item x="64"/>
        <item x="179"/>
        <item x="209"/>
        <item x="173"/>
        <item x="65"/>
        <item x="74"/>
        <item x="62"/>
        <item x="27"/>
        <item x="21"/>
        <item x="99"/>
        <item x="144"/>
        <item x="182"/>
        <item x="164"/>
        <item x="221"/>
        <item x="222"/>
        <item x="249"/>
        <item x="227"/>
        <item x="197"/>
        <item x="210"/>
        <item x="30"/>
        <item x="253"/>
        <item x="239"/>
        <item x="250"/>
        <item x="251"/>
        <item x="252"/>
        <item t="default"/>
      </items>
    </pivotField>
    <pivotField compact="0" outline="0" subtotalTop="0" showAll="0" includeNewItemsInFilter="1"/>
    <pivotField axis="axisRow" compact="0" outline="0" subtotalTop="0" showAll="0" includeNewItemsInFilter="1">
      <items count="19">
        <item h="1" x="0"/>
        <item h="1" x="1"/>
        <item h="1" x="2"/>
        <item h="1" x="3"/>
        <item h="1" x="4"/>
        <item h="1" x="5"/>
        <item h="1" x="6"/>
        <item h="1" x="7"/>
        <item h="1" x="8"/>
        <item h="1" x="9"/>
        <item h="1" x="10"/>
        <item h="1" x="11"/>
        <item h="1" x="12"/>
        <item h="1" x="13"/>
        <item h="1" x="14"/>
        <item x="15"/>
        <item h="1" x="17"/>
        <item x="16"/>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axis="axisRow" compact="0" outline="0" subtotalTop="0" showAll="0" includeNewItemsInFilter="1">
      <items count="122">
        <item x="91"/>
        <item x="56"/>
        <item x="47"/>
        <item x="5"/>
        <item x="57"/>
        <item x="115"/>
        <item x="66"/>
        <item x="6"/>
        <item x="94"/>
        <item x="2"/>
        <item x="27"/>
        <item x="109"/>
        <item x="81"/>
        <item x="30"/>
        <item x="34"/>
        <item x="51"/>
        <item x="48"/>
        <item x="46"/>
        <item x="44"/>
        <item x="37"/>
        <item x="45"/>
        <item x="77"/>
        <item x="28"/>
        <item x="14"/>
        <item x="15"/>
        <item x="17"/>
        <item x="20"/>
        <item x="19"/>
        <item x="21"/>
        <item x="22"/>
        <item x="23"/>
        <item x="25"/>
        <item x="29"/>
        <item x="33"/>
        <item x="31"/>
        <item x="32"/>
        <item x="39"/>
        <item x="36"/>
        <item x="40"/>
        <item x="41"/>
        <item x="43"/>
        <item x="42"/>
        <item x="58"/>
        <item x="83"/>
        <item x="103"/>
        <item x="64"/>
        <item x="63"/>
        <item x="59"/>
        <item x="52"/>
        <item m="1" x="119"/>
        <item x="49"/>
        <item x="65"/>
        <item x="55"/>
        <item x="3"/>
        <item x="53"/>
        <item x="76"/>
        <item x="26"/>
        <item x="4"/>
        <item x="16"/>
        <item m="1" x="120"/>
        <item x="101"/>
        <item x="7"/>
        <item x="24"/>
        <item x="35"/>
        <item x="96"/>
        <item x="106"/>
        <item x="107"/>
        <item x="108"/>
        <item x="1"/>
        <item x="67"/>
        <item x="8"/>
        <item x="104"/>
        <item x="61"/>
        <item x="12"/>
        <item x="13"/>
        <item x="9"/>
        <item x="11"/>
        <item x="18"/>
        <item x="54"/>
        <item x="38"/>
        <item x="87"/>
        <item x="105"/>
        <item x="79"/>
        <item x="86"/>
        <item x="93"/>
        <item x="70"/>
        <item x="73"/>
        <item x="69"/>
        <item x="72"/>
        <item x="90"/>
        <item x="89"/>
        <item x="78"/>
        <item x="92"/>
        <item x="88"/>
        <item x="116"/>
        <item x="84"/>
        <item x="74"/>
        <item x="112"/>
        <item x="102"/>
        <item x="113"/>
        <item x="97"/>
        <item x="111"/>
        <item x="98"/>
        <item x="100"/>
        <item x="80"/>
        <item x="82"/>
        <item x="117"/>
        <item x="62"/>
        <item x="71"/>
        <item x="68"/>
        <item x="75"/>
        <item x="60"/>
        <item x="10"/>
        <item x="99"/>
        <item x="0"/>
        <item x="50"/>
        <item x="85"/>
        <item x="95"/>
        <item x="110"/>
        <item x="114"/>
        <item x="118"/>
        <item t="default"/>
      </items>
    </pivotField>
    <pivotField compact="0" outline="0" subtotalTop="0" showAll="0" includeNewItemsInFilter="1"/>
    <pivotField axis="axisRow" compact="0" outline="0" subtotalTop="0" showAll="0" includeNewItemsInFilter="1">
      <items count="294">
        <item x="100"/>
        <item x="75"/>
        <item x="44"/>
        <item x="51"/>
        <item x="86"/>
        <item x="87"/>
        <item x="61"/>
        <item x="14"/>
        <item x="55"/>
        <item x="49"/>
        <item x="137"/>
        <item x="43"/>
        <item x="97"/>
        <item x="101"/>
        <item x="145"/>
        <item x="152"/>
        <item x="74"/>
        <item x="73"/>
        <item x="106"/>
        <item x="174"/>
        <item x="107"/>
        <item x="24"/>
        <item x="21"/>
        <item x="121"/>
        <item x="28"/>
        <item x="40"/>
        <item x="153"/>
        <item x="25"/>
        <item x="15"/>
        <item x="22"/>
        <item x="66"/>
        <item x="54"/>
        <item x="138"/>
        <item x="18"/>
        <item x="17"/>
        <item x="83"/>
        <item x="45"/>
        <item x="84"/>
        <item x="105"/>
        <item x="88"/>
        <item x="89"/>
        <item x="38"/>
        <item x="72"/>
        <item x="95"/>
        <item x="33"/>
        <item x="256"/>
        <item x="29"/>
        <item x="50"/>
        <item x="53"/>
        <item x="128"/>
        <item x="41"/>
        <item x="193"/>
        <item x="130"/>
        <item x="23"/>
        <item x="82"/>
        <item x="206"/>
        <item x="205"/>
        <item x="31"/>
        <item x="199"/>
        <item x="187"/>
        <item x="218"/>
        <item x="184"/>
        <item x="265"/>
        <item x="251"/>
        <item x="253"/>
        <item x="262"/>
        <item m="1" x="286"/>
        <item x="226"/>
        <item x="220"/>
        <item x="242"/>
        <item x="260"/>
        <item x="255"/>
        <item x="266"/>
        <item x="239"/>
        <item x="183"/>
        <item x="146"/>
        <item x="269"/>
        <item x="267"/>
        <item x="217"/>
        <item x="278"/>
        <item x="243"/>
        <item x="258"/>
        <item x="215"/>
        <item x="230"/>
        <item x="270"/>
        <item x="263"/>
        <item x="237"/>
        <item x="261"/>
        <item x="235"/>
        <item x="238"/>
        <item x="271"/>
        <item x="272"/>
        <item x="280"/>
        <item x="161"/>
        <item x="186"/>
        <item x="214"/>
        <item x="207"/>
        <item x="232"/>
        <item x="201"/>
        <item x="204"/>
        <item x="257"/>
        <item x="234"/>
        <item m="1" x="291"/>
        <item x="233"/>
        <item x="202"/>
        <item x="281"/>
        <item x="282"/>
        <item x="163"/>
        <item x="171"/>
        <item x="208"/>
        <item x="188"/>
        <item x="197"/>
        <item x="143"/>
        <item x="141"/>
        <item x="273"/>
        <item x="250"/>
        <item x="198"/>
        <item x="221"/>
        <item x="228"/>
        <item x="231"/>
        <item x="219"/>
        <item x="225"/>
        <item x="224"/>
        <item x="227"/>
        <item x="222"/>
        <item x="211"/>
        <item x="166"/>
        <item x="191"/>
        <item x="182"/>
        <item x="200"/>
        <item x="223"/>
        <item m="1" x="289"/>
        <item x="210"/>
        <item x="7"/>
        <item x="135"/>
        <item x="170"/>
        <item x="172"/>
        <item x="180"/>
        <item x="175"/>
        <item x="181"/>
        <item x="52"/>
        <item x="62"/>
        <item x="64"/>
        <item x="115"/>
        <item x="136"/>
        <item x="67"/>
        <item x="77"/>
        <item x="35"/>
        <item x="37"/>
        <item x="36"/>
        <item x="60"/>
        <item x="30"/>
        <item x="59"/>
        <item x="9"/>
        <item x="16"/>
        <item x="48"/>
        <item x="47"/>
        <item x="85"/>
        <item x="94"/>
        <item x="129"/>
        <item x="32"/>
        <item m="1" x="287"/>
        <item x="103"/>
        <item x="65"/>
        <item x="98"/>
        <item x="3"/>
        <item x="109"/>
        <item x="110"/>
        <item x="185"/>
        <item x="179"/>
        <item x="178"/>
        <item x="133"/>
        <item x="104"/>
        <item x="102"/>
        <item x="99"/>
        <item x="4"/>
        <item x="78"/>
        <item m="1" x="292"/>
        <item x="156"/>
        <item x="134"/>
        <item x="8"/>
        <item x="26"/>
        <item x="6"/>
        <item x="92"/>
        <item x="5"/>
        <item x="144"/>
        <item x="113"/>
        <item x="140"/>
        <item x="259"/>
        <item x="56"/>
        <item x="167"/>
        <item x="132"/>
        <item x="160"/>
        <item x="165"/>
        <item m="1" x="290"/>
        <item x="118"/>
        <item x="131"/>
        <item x="71"/>
        <item x="123"/>
        <item x="70"/>
        <item x="68"/>
        <item x="69"/>
        <item x="139"/>
        <item x="245"/>
        <item x="212"/>
        <item x="247"/>
        <item x="168"/>
        <item x="203"/>
        <item x="244"/>
        <item x="254"/>
        <item x="216"/>
        <item x="196"/>
        <item x="241"/>
        <item x="213"/>
        <item m="1" x="288"/>
        <item x="192"/>
        <item x="96"/>
        <item x="248"/>
        <item x="27"/>
        <item x="42"/>
        <item x="158"/>
        <item x="127"/>
        <item x="125"/>
        <item x="124"/>
        <item x="126"/>
        <item x="194"/>
        <item x="114"/>
        <item x="164"/>
        <item x="157"/>
        <item x="120"/>
        <item x="150"/>
        <item x="149"/>
        <item x="151"/>
        <item x="142"/>
        <item x="162"/>
        <item x="154"/>
        <item x="155"/>
        <item x="169"/>
        <item x="91"/>
        <item x="90"/>
        <item x="190"/>
        <item x="177"/>
        <item x="147"/>
        <item x="122"/>
        <item x="195"/>
        <item x="10"/>
        <item x="1"/>
        <item x="108"/>
        <item x="63"/>
        <item x="117"/>
        <item x="116"/>
        <item x="93"/>
        <item x="79"/>
        <item x="57"/>
        <item x="264"/>
        <item x="39"/>
        <item x="268"/>
        <item x="58"/>
        <item x="209"/>
        <item x="111"/>
        <item x="240"/>
        <item x="176"/>
        <item x="173"/>
        <item x="236"/>
        <item x="246"/>
        <item x="274"/>
        <item x="252"/>
        <item x="275"/>
        <item x="159"/>
        <item x="148"/>
        <item x="46"/>
        <item x="20"/>
        <item x="34"/>
        <item x="11"/>
        <item x="2"/>
        <item x="80"/>
        <item x="81"/>
        <item x="12"/>
        <item x="13"/>
        <item x="189"/>
        <item x="76"/>
        <item x="19"/>
        <item x="249"/>
        <item x="119"/>
        <item x="0"/>
        <item x="112"/>
        <item x="229"/>
        <item x="276"/>
        <item x="277"/>
        <item x="279"/>
        <item x="283"/>
        <item x="284"/>
        <item x="285"/>
        <item t="default"/>
      </items>
    </pivotField>
    <pivotField compact="0" outline="0" subtotalTop="0" showAll="0" includeNewItemsInFilter="1"/>
    <pivotField compact="0" outline="0" subtotalTop="0" showAll="0" includeNewItemsInFilter="1"/>
  </pivotFields>
  <rowFields count="4">
    <field x="4"/>
    <field x="2"/>
    <field x="56"/>
    <field x="58"/>
  </rowFields>
  <rowItems count="69">
    <i>
      <x v="15"/>
      <x v="19"/>
      <x v="51"/>
      <x v="91"/>
    </i>
    <i t="default" r="2">
      <x v="51"/>
    </i>
    <i t="default" r="1">
      <x v="19"/>
    </i>
    <i r="1">
      <x v="23"/>
      <x v="106"/>
      <x v="92"/>
    </i>
    <i t="default" r="2">
      <x v="106"/>
    </i>
    <i t="default" r="1">
      <x v="23"/>
    </i>
    <i r="1">
      <x v="32"/>
      <x v="51"/>
      <x v="90"/>
    </i>
    <i t="default" r="2">
      <x v="51"/>
    </i>
    <i t="default" r="1">
      <x v="32"/>
    </i>
    <i r="1">
      <x v="49"/>
      <x v="99"/>
      <x v="265"/>
    </i>
    <i t="default" r="2">
      <x v="99"/>
    </i>
    <i t="default" r="1">
      <x v="49"/>
    </i>
    <i r="1">
      <x v="51"/>
      <x v="97"/>
      <x v="114"/>
    </i>
    <i t="default" r="2">
      <x v="97"/>
    </i>
    <i t="default" r="1">
      <x v="51"/>
    </i>
    <i r="1">
      <x v="108"/>
      <x v="51"/>
      <x v="84"/>
    </i>
    <i t="default" r="2">
      <x v="51"/>
    </i>
    <i t="default" r="1">
      <x v="108"/>
    </i>
    <i r="1">
      <x v="118"/>
      <x v="94"/>
      <x v="289"/>
    </i>
    <i t="default" r="2">
      <x v="94"/>
    </i>
    <i t="default" r="1">
      <x v="118"/>
    </i>
    <i r="1">
      <x v="139"/>
      <x v="60"/>
      <x v="72"/>
    </i>
    <i t="default" r="2">
      <x v="60"/>
    </i>
    <i t="default" r="1">
      <x v="139"/>
    </i>
    <i r="1">
      <x v="149"/>
      <x v="51"/>
      <x v="106"/>
    </i>
    <i t="default" r="2">
      <x v="51"/>
    </i>
    <i t="default" r="1">
      <x v="149"/>
    </i>
    <i r="1">
      <x v="152"/>
      <x v="63"/>
      <x v="288"/>
    </i>
    <i t="default" r="2">
      <x v="63"/>
    </i>
    <i t="default" r="1">
      <x v="152"/>
    </i>
    <i r="1">
      <x v="158"/>
      <x v="119"/>
      <x v="287"/>
    </i>
    <i t="default" r="2">
      <x v="119"/>
    </i>
    <i t="default" r="1">
      <x v="158"/>
    </i>
    <i r="1">
      <x v="165"/>
      <x v="101"/>
      <x v="62"/>
    </i>
    <i t="default" r="2">
      <x v="101"/>
    </i>
    <i t="default" r="1">
      <x v="165"/>
    </i>
    <i r="1">
      <x v="169"/>
      <x v="51"/>
      <x v="267"/>
    </i>
    <i t="default" r="2">
      <x v="51"/>
    </i>
    <i t="default" r="1">
      <x v="169"/>
    </i>
    <i r="1">
      <x v="171"/>
      <x v="5"/>
      <x v="79"/>
    </i>
    <i t="default" r="2">
      <x v="5"/>
    </i>
    <i t="default" r="1">
      <x v="171"/>
    </i>
    <i r="1">
      <x v="179"/>
      <x v="6"/>
      <x v="76"/>
    </i>
    <i t="default" r="2">
      <x v="6"/>
    </i>
    <i t="default" r="1">
      <x v="179"/>
    </i>
    <i r="1">
      <x v="238"/>
      <x v="51"/>
      <x v="77"/>
    </i>
    <i t="default" r="2">
      <x v="51"/>
    </i>
    <i t="default" r="1">
      <x v="238"/>
    </i>
    <i r="1">
      <x v="245"/>
      <x v="51"/>
      <x v="105"/>
    </i>
    <i t="default" r="2">
      <x v="51"/>
    </i>
    <i t="default" r="1">
      <x v="245"/>
    </i>
    <i r="1">
      <x v="251"/>
      <x v="66"/>
      <x v="256"/>
    </i>
    <i t="default" r="2">
      <x v="66"/>
    </i>
    <i t="default" r="1">
      <x v="251"/>
    </i>
    <i t="default">
      <x v="15"/>
    </i>
    <i>
      <x v="17"/>
      <x v="18"/>
      <x v="51"/>
      <x v="292"/>
    </i>
    <i t="default" r="2">
      <x v="51"/>
    </i>
    <i t="default" r="1">
      <x v="18"/>
    </i>
    <i r="1">
      <x v="252"/>
      <x v="120"/>
      <x v="290"/>
    </i>
    <i t="default" r="2">
      <x v="120"/>
    </i>
    <i t="default" r="1">
      <x v="252"/>
    </i>
    <i r="1">
      <x v="253"/>
      <x v="51"/>
      <x v="291"/>
    </i>
    <i t="default" r="2">
      <x v="51"/>
    </i>
    <i t="default" r="1">
      <x v="253"/>
    </i>
    <i r="1">
      <x v="254"/>
      <x v="51"/>
      <x v="292"/>
    </i>
    <i t="default" r="2">
      <x v="51"/>
    </i>
    <i t="default" r="1">
      <x v="254"/>
    </i>
    <i t="default">
      <x v="17"/>
    </i>
    <i t="grand">
      <x/>
    </i>
  </rowItems>
  <colItems count="1">
    <i/>
  </colItems>
  <dataFields count="1">
    <dataField name="Sum of Total Contributions" fld="55" baseField="0" baseItem="0"/>
  </dataFields>
  <formats count="1">
    <format dxfId="3">
      <pivotArea field="56" type="button" dataOnly="0" labelOnly="1" outline="0" axis="axisRow" fieldPosition="2"/>
    </format>
  </formats>
  <pivotTableStyleInfo showRowHeaders="1" showColHeaders="1" showRowStripes="0" showColStripes="0" showLastColumn="1"/>
</pivotTableDefinition>
</file>

<file path=xl/pivotTables/pivotTable57.xml><?xml version="1.0" encoding="utf-8"?>
<pivotTableDefinition xmlns="http://schemas.openxmlformats.org/spreadsheetml/2006/main" name="PivotTable2" cacheId="15" dataOnRows="1" applyNumberFormats="0" applyBorderFormats="0" applyFontFormats="0" applyPatternFormats="0" applyAlignmentFormats="0" applyWidthHeightFormats="1" dataCaption="Data" updatedVersion="2" showMemberPropertyTips="0" useAutoFormatting="1" itemPrintTitles="1" createdVersion="1" indent="0" compact="0" compactData="0" gridDropZones="1">
  <location ref="A3:C24" firstHeaderRow="2" firstDataRow="2" firstDataCol="2"/>
  <pivotFields count="61">
    <pivotField compact="0" outline="0" subtotalTop="0" showAll="0" includeNewItemsInFilter="1"/>
    <pivotField compact="0" outline="0" subtotalTop="0" showAll="0" includeNewItemsInFilter="1"/>
    <pivotField axis="axisRow" compact="0" outline="0" subtotalTop="0" showAll="0" includeNewItemsInFilter="1" sortType="descending" rankBy="0">
      <items count="252">
        <item x="60"/>
        <item x="79"/>
        <item x="216"/>
        <item x="76"/>
        <item x="114"/>
        <item x="154"/>
        <item x="24"/>
        <item x="108"/>
        <item x="1"/>
        <item x="98"/>
        <item x="214"/>
        <item x="93"/>
        <item x="39"/>
        <item x="40"/>
        <item x="13"/>
        <item x="4"/>
        <item x="218"/>
        <item x="183"/>
        <item x="19"/>
        <item x="243"/>
        <item x="68"/>
        <item x="34"/>
        <item x="69"/>
        <item x="48"/>
        <item x="87"/>
        <item x="53"/>
        <item x="29"/>
        <item x="11"/>
        <item x="75"/>
        <item x="132"/>
        <item x="50"/>
        <item x="112"/>
        <item x="242"/>
        <item x="203"/>
        <item x="202"/>
        <item x="127"/>
        <item x="205"/>
        <item x="124"/>
        <item x="233"/>
        <item x="195"/>
        <item x="104"/>
        <item x="109"/>
        <item x="8"/>
        <item x="192"/>
        <item x="186"/>
        <item x="44"/>
        <item x="157"/>
        <item x="170"/>
        <item x="145"/>
        <item x="244"/>
        <item x="213"/>
        <item x="7"/>
        <item x="204"/>
        <item x="72"/>
        <item x="90"/>
        <item x="22"/>
        <item x="113"/>
        <item x="116"/>
        <item x="77"/>
        <item x="150"/>
        <item x="188"/>
        <item x="160"/>
        <item x="59"/>
        <item x="55"/>
        <item x="43"/>
        <item x="230"/>
        <item x="141"/>
        <item x="5"/>
        <item x="161"/>
        <item x="193"/>
        <item x="85"/>
        <item x="211"/>
        <item x="212"/>
        <item x="200"/>
        <item x="89"/>
        <item x="12"/>
        <item x="176"/>
        <item x="25"/>
        <item x="58"/>
        <item x="187"/>
        <item x="131"/>
        <item x="239"/>
        <item x="231"/>
        <item x="120"/>
        <item x="201"/>
        <item x="56"/>
        <item x="70"/>
        <item x="110"/>
        <item x="208"/>
        <item x="92"/>
        <item x="175"/>
        <item x="134"/>
        <item x="135"/>
        <item x="133"/>
        <item x="177"/>
        <item x="137"/>
        <item x="3"/>
        <item x="139"/>
        <item x="140"/>
        <item x="142"/>
        <item x="143"/>
        <item x="45"/>
        <item x="33"/>
        <item x="20"/>
        <item x="178"/>
        <item x="32"/>
        <item x="97"/>
        <item x="129"/>
        <item x="241"/>
        <item x="158"/>
        <item x="63"/>
        <item x="117"/>
        <item x="105"/>
        <item x="151"/>
        <item x="35"/>
        <item x="96"/>
        <item x="122"/>
        <item x="73"/>
        <item x="248"/>
        <item x="15"/>
        <item x="224"/>
        <item x="36"/>
        <item x="229"/>
        <item x="185"/>
        <item x="101"/>
        <item x="81"/>
        <item x="237"/>
        <item x="100"/>
        <item x="115"/>
        <item x="52"/>
        <item x="189"/>
        <item x="168"/>
        <item x="31"/>
        <item x="121"/>
        <item x="47"/>
        <item x="82"/>
        <item x="130"/>
        <item x="171"/>
        <item x="0"/>
        <item x="6"/>
        <item x="16"/>
        <item x="223"/>
        <item x="67"/>
        <item x="66"/>
        <item x="159"/>
        <item x="199"/>
        <item x="234"/>
        <item x="46"/>
        <item x="191"/>
        <item x="215"/>
        <item x="235"/>
        <item x="174"/>
        <item x="246"/>
        <item x="83"/>
        <item x="57"/>
        <item x="71"/>
        <item x="10"/>
        <item x="78"/>
        <item x="245"/>
        <item x="119"/>
        <item x="206"/>
        <item x="61"/>
        <item x="172"/>
        <item x="138"/>
        <item x="217"/>
        <item x="238"/>
        <item x="37"/>
        <item x="207"/>
        <item x="118"/>
        <item x="80"/>
        <item x="184"/>
        <item x="247"/>
        <item x="94"/>
        <item x="123"/>
        <item x="54"/>
        <item x="49"/>
        <item x="86"/>
        <item x="196"/>
        <item x="153"/>
        <item x="240"/>
        <item x="163"/>
        <item x="88"/>
        <item x="17"/>
        <item x="51"/>
        <item x="2"/>
        <item x="136"/>
        <item x="228"/>
        <item x="91"/>
        <item x="102"/>
        <item x="169"/>
        <item x="165"/>
        <item x="155"/>
        <item x="166"/>
        <item x="194"/>
        <item x="42"/>
        <item x="28"/>
        <item x="95"/>
        <item x="103"/>
        <item x="225"/>
        <item x="226"/>
        <item x="190"/>
        <item x="146"/>
        <item x="147"/>
        <item x="149"/>
        <item x="148"/>
        <item x="156"/>
        <item x="167"/>
        <item x="111"/>
        <item x="41"/>
        <item x="128"/>
        <item x="23"/>
        <item x="26"/>
        <item x="125"/>
        <item x="162"/>
        <item x="198"/>
        <item x="106"/>
        <item x="220"/>
        <item x="84"/>
        <item x="14"/>
        <item x="126"/>
        <item x="38"/>
        <item x="219"/>
        <item x="232"/>
        <item x="18"/>
        <item x="152"/>
        <item x="180"/>
        <item x="236"/>
        <item x="181"/>
        <item x="107"/>
        <item x="9"/>
        <item x="64"/>
        <item x="179"/>
        <item x="209"/>
        <item x="173"/>
        <item x="65"/>
        <item x="74"/>
        <item x="62"/>
        <item x="27"/>
        <item x="21"/>
        <item x="99"/>
        <item x="144"/>
        <item x="182"/>
        <item x="164"/>
        <item x="221"/>
        <item x="222"/>
        <item x="249"/>
        <item x="227"/>
        <item x="197"/>
        <item x="210"/>
        <item x="30"/>
        <item x="250"/>
        <item t="default"/>
      </items>
      <autoSortScope>
        <pivotArea dataOnly="0" outline="0" fieldPosition="0">
          <references count="1">
            <reference field="4294967294" count="1" selected="0">
              <x v="0"/>
            </reference>
          </references>
        </pivotArea>
      </autoSortScope>
    </pivotField>
    <pivotField compact="0" outline="0" subtotalTop="0" showAll="0" includeNewItemsInFilter="1"/>
    <pivotField axis="axisRow" compact="0" outline="0" subtotalTop="0" showAll="0" includeNewItemsInFilter="1">
      <items count="18">
        <item h="1" x="0"/>
        <item h="1" x="1"/>
        <item h="1" x="2"/>
        <item h="1" x="3"/>
        <item h="1" x="4"/>
        <item h="1" x="5"/>
        <item h="1" x="6"/>
        <item h="1" x="7"/>
        <item h="1" x="8"/>
        <item h="1" x="9"/>
        <item h="1" x="10"/>
        <item h="1" x="11"/>
        <item h="1" x="12"/>
        <item h="1" x="13"/>
        <item h="1" x="14"/>
        <item x="15"/>
        <item h="1" x="16"/>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2">
    <field x="4"/>
    <field x="2"/>
  </rowFields>
  <rowItems count="20">
    <i>
      <x v="15"/>
      <x v="118"/>
    </i>
    <i r="1">
      <x v="81"/>
    </i>
    <i r="1">
      <x v="165"/>
    </i>
    <i r="1">
      <x v="152"/>
    </i>
    <i r="1">
      <x v="51"/>
    </i>
    <i r="1">
      <x v="158"/>
    </i>
    <i r="1">
      <x v="49"/>
    </i>
    <i r="1">
      <x v="139"/>
    </i>
    <i r="1">
      <x v="23"/>
    </i>
    <i r="1">
      <x v="245"/>
    </i>
    <i r="1">
      <x v="32"/>
    </i>
    <i r="1">
      <x v="19"/>
    </i>
    <i r="1">
      <x v="171"/>
    </i>
    <i r="1">
      <x v="149"/>
    </i>
    <i r="1">
      <x v="108"/>
    </i>
    <i r="1">
      <x v="238"/>
    </i>
    <i r="1">
      <x v="179"/>
    </i>
    <i r="1">
      <x v="169"/>
    </i>
    <i t="default">
      <x v="15"/>
    </i>
    <i t="grand">
      <x/>
    </i>
  </rowItems>
  <colItems count="1">
    <i/>
  </colItems>
  <dataFields count="1">
    <dataField name="Sum of Total Contributions" fld="55" baseField="0" baseItem="0"/>
  </dataFields>
  <formats count="4">
    <format dxfId="7">
      <pivotArea outline="0" fieldPosition="0">
        <references count="2">
          <reference field="2" count="1" selected="0">
            <x v="118"/>
          </reference>
          <reference field="4" count="0" selected="0"/>
        </references>
      </pivotArea>
    </format>
    <format dxfId="6">
      <pivotArea outline="0" fieldPosition="0">
        <references count="2">
          <reference field="2" count="18" selected="0">
            <x v="19"/>
            <x v="23"/>
            <x v="32"/>
            <x v="49"/>
            <x v="51"/>
            <x v="81"/>
            <x v="108"/>
            <x v="139"/>
            <x v="149"/>
            <x v="152"/>
            <x v="158"/>
            <x v="165"/>
            <x v="169"/>
            <x v="171"/>
            <x v="179"/>
            <x v="237"/>
            <x v="238"/>
            <x v="245"/>
          </reference>
          <reference field="4" count="0" selected="0"/>
        </references>
      </pivotArea>
    </format>
    <format dxfId="5">
      <pivotArea outline="0" fieldPosition="0">
        <references count="1">
          <reference field="4" count="0" selected="0" defaultSubtotal="1"/>
        </references>
      </pivotArea>
    </format>
    <format dxfId="4">
      <pivotArea grandRow="1" outline="0" fieldPosition="0"/>
    </format>
  </formats>
  <pivotTableStyleInfo showRowHeaders="1" showColHeaders="1" showRowStripes="0" showColStripes="0" showLastColumn="1"/>
</pivotTableDefinition>
</file>

<file path=xl/pivotTables/pivotTable58.xml><?xml version="1.0" encoding="utf-8"?>
<pivotTableDefinition xmlns="http://schemas.openxmlformats.org/spreadsheetml/2006/main" name="PivotTable1" cacheId="19" dataOnRows="1" applyNumberFormats="0" applyBorderFormats="0" applyFontFormats="0" applyPatternFormats="0" applyAlignmentFormats="0" applyWidthHeightFormats="1" dataCaption="Data" updatedVersion="3" showMemberPropertyTips="0" useAutoFormatting="1" itemPrintTitles="1" createdVersion="1" indent="0" compact="0" compactData="0" gridDropZones="1" chartFormat="1">
  <location ref="F37:L77" firstHeaderRow="1" firstDataRow="2" firstDataCol="3"/>
  <pivotFields count="16">
    <pivotField dataField="1" compact="0" outline="0" subtotalTop="0" showAll="0" includeNewItemsInFilter="1"/>
    <pivotField axis="axisRow" compact="0" outline="0" subtotalTop="0" showAll="0" includeNewItemsInFilter="1">
      <items count="30">
        <item x="12"/>
        <item x="26"/>
        <item x="5"/>
        <item x="15"/>
        <item x="16"/>
        <item x="24"/>
        <item x="21"/>
        <item x="13"/>
        <item x="2"/>
        <item x="1"/>
        <item x="11"/>
        <item x="3"/>
        <item x="28"/>
        <item x="6"/>
        <item x="9"/>
        <item x="20"/>
        <item x="0"/>
        <item x="22"/>
        <item x="27"/>
        <item x="25"/>
        <item x="7"/>
        <item x="8"/>
        <item x="18"/>
        <item x="17"/>
        <item x="4"/>
        <item x="10"/>
        <item x="14"/>
        <item x="19"/>
        <item x="23"/>
        <item t="default"/>
      </items>
    </pivotField>
    <pivotField axis="axisRow" compact="0" outline="0" subtotalTop="0" showAll="0" includeNewItemsInFilter="1">
      <items count="23">
        <item m="1" x="20"/>
        <item m="1" x="21"/>
        <item x="18"/>
        <item x="3"/>
        <item x="0"/>
        <item x="4"/>
        <item x="8"/>
        <item x="19"/>
        <item x="16"/>
        <item x="5"/>
        <item x="1"/>
        <item x="10"/>
        <item x="7"/>
        <item x="9"/>
        <item x="17"/>
        <item x="6"/>
        <item x="14"/>
        <item x="13"/>
        <item x="11"/>
        <item x="12"/>
        <item h="1" x="15"/>
        <item x="2"/>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Row" compact="0" outline="0" subtotalTop="0" showAll="0" includeNewItemsInFilter="1">
      <items count="6">
        <item h="1" x="0"/>
        <item h="1" x="1"/>
        <item x="2"/>
        <item x="4"/>
        <item h="1" x="3"/>
        <item t="default"/>
      </items>
    </pivotField>
    <pivotField compact="0" outline="0" subtotalTop="0" showAll="0" includeNewItemsInFilter="1"/>
    <pivotField axis="axisCol" compact="0" outline="0" subtotalTop="0" showAll="0" includeNewItemsInFilter="1">
      <items count="7">
        <item x="1"/>
        <item x="2"/>
        <item x="3"/>
        <item x="4"/>
        <item x="5"/>
        <item x="0"/>
        <item t="default"/>
      </items>
    </pivotField>
    <pivotField compact="0" outline="0" subtotalTop="0" showAll="0" includeNewItemsInFilter="1"/>
    <pivotField compact="0" outline="0" subtotalTop="0" showAll="0" includeNewItemsInFilter="1"/>
  </pivotFields>
  <rowFields count="3">
    <field x="11"/>
    <field x="1"/>
    <field x="2"/>
  </rowFields>
  <rowItems count="39">
    <i>
      <x v="2"/>
      <x v="4"/>
      <x v="18"/>
    </i>
    <i t="default" r="1">
      <x v="4"/>
    </i>
    <i r="1">
      <x v="5"/>
      <x v="6"/>
    </i>
    <i t="default" r="1">
      <x v="5"/>
    </i>
    <i r="1">
      <x v="6"/>
      <x v="21"/>
    </i>
    <i t="default" r="1">
      <x v="6"/>
    </i>
    <i r="1">
      <x v="10"/>
      <x v="6"/>
    </i>
    <i r="2">
      <x v="9"/>
    </i>
    <i t="default" r="1">
      <x v="10"/>
    </i>
    <i r="1">
      <x v="11"/>
      <x v="6"/>
    </i>
    <i r="2">
      <x v="19"/>
    </i>
    <i t="default" r="1">
      <x v="11"/>
    </i>
    <i r="1">
      <x v="15"/>
      <x v="16"/>
    </i>
    <i t="default" r="1">
      <x v="15"/>
    </i>
    <i r="1">
      <x v="17"/>
      <x v="21"/>
    </i>
    <i t="default" r="1">
      <x v="17"/>
    </i>
    <i r="1">
      <x v="19"/>
      <x v="9"/>
    </i>
    <i t="default" r="1">
      <x v="19"/>
    </i>
    <i r="1">
      <x v="22"/>
      <x v="17"/>
    </i>
    <i t="default" r="1">
      <x v="22"/>
    </i>
    <i r="1">
      <x v="23"/>
      <x v="18"/>
    </i>
    <i t="default" r="1">
      <x v="23"/>
    </i>
    <i r="1">
      <x v="27"/>
      <x v="17"/>
    </i>
    <i t="default" r="1">
      <x v="27"/>
    </i>
    <i t="default">
      <x v="2"/>
    </i>
    <i>
      <x v="3"/>
      <x v="1"/>
      <x v="21"/>
    </i>
    <i t="default" r="1">
      <x v="1"/>
    </i>
    <i r="1">
      <x v="3"/>
      <x v="14"/>
    </i>
    <i t="default" r="1">
      <x v="3"/>
    </i>
    <i r="1">
      <x v="10"/>
      <x v="8"/>
    </i>
    <i t="default" r="1">
      <x v="10"/>
    </i>
    <i r="1">
      <x v="12"/>
      <x v="7"/>
    </i>
    <i t="default" r="1">
      <x v="12"/>
    </i>
    <i r="1">
      <x v="18"/>
      <x v="2"/>
    </i>
    <i t="default" r="1">
      <x v="18"/>
    </i>
    <i r="1">
      <x v="19"/>
      <x v="9"/>
    </i>
    <i t="default" r="1">
      <x v="19"/>
    </i>
    <i t="default">
      <x v="3"/>
    </i>
    <i t="grand">
      <x/>
    </i>
  </rowItems>
  <colFields count="1">
    <field x="13"/>
  </colFields>
  <colItems count="4">
    <i>
      <x/>
    </i>
    <i>
      <x v="1"/>
    </i>
    <i>
      <x v="3"/>
    </i>
    <i t="grand">
      <x/>
    </i>
  </colItems>
  <dataFields count="1">
    <dataField name="Count of Deployed Count" fld="0" subtotal="count" baseField="0" baseItem="0"/>
  </dataFields>
  <chartFormats count="3">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 chart="0" format="2" series="1">
      <pivotArea type="data" outline="0" fieldPosition="0">
        <references count="2">
          <reference field="4294967294" count="1" selected="0">
            <x v="0"/>
          </reference>
          <reference field="13" count="1" selected="0">
            <x v="3"/>
          </reference>
        </references>
      </pivotArea>
    </chartFormat>
  </chartFormats>
  <pivotTableStyleInfo showRowHeaders="1" showColHeaders="1" showRowStripes="0" showColStripes="0" showLastColumn="1"/>
</pivotTableDefinition>
</file>

<file path=xl/pivotTables/pivotTable59.xml><?xml version="1.0" encoding="utf-8"?>
<pivotTableDefinition xmlns="http://schemas.openxmlformats.org/spreadsheetml/2006/main" name="PivotTable5" cacheId="18" dataOnRows="1" applyNumberFormats="0" applyBorderFormats="0" applyFontFormats="0" applyPatternFormats="0" applyAlignmentFormats="0" applyWidthHeightFormats="1" dataCaption="Data" updatedVersion="3" showMemberPropertyTips="0" useAutoFormatting="1" itemPrintTitles="1" createdVersion="1" indent="0" compact="0" compactData="0" gridDropZones="1">
  <location ref="A111:C116" firstHeaderRow="1" firstDataRow="2" firstDataCol="1"/>
  <pivotFields count="16">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Col" compact="0" outline="0" subtotalTop="0" showAll="0" includeNewItemsInFilter="1">
      <items count="6">
        <item h="1" x="0"/>
        <item h="1" x="1"/>
        <item x="2"/>
        <item h="1" x="4"/>
        <item h="1" x="3"/>
        <item t="default"/>
      </items>
    </pivotField>
    <pivotField compact="0" outline="0" subtotalTop="0" showAll="0" includeNewItemsInFilter="1"/>
    <pivotField axis="axisRow" dataField="1" compact="0" outline="0" subtotalTop="0" showAll="0" includeNewItemsInFilter="1">
      <items count="7">
        <item x="1"/>
        <item x="2"/>
        <item x="3"/>
        <item x="4"/>
        <item x="5"/>
        <item x="0"/>
        <item t="default"/>
      </items>
    </pivotField>
    <pivotField compact="0" outline="0" subtotalTop="0" showAll="0" includeNewItemsInFilter="1"/>
    <pivotField compact="0" outline="0" subtotalTop="0" showAll="0" includeNewItemsInFilter="1"/>
  </pivotFields>
  <rowFields count="1">
    <field x="13"/>
  </rowFields>
  <rowItems count="4">
    <i>
      <x/>
    </i>
    <i>
      <x v="1"/>
    </i>
    <i>
      <x v="3"/>
    </i>
    <i t="grand">
      <x/>
    </i>
  </rowItems>
  <colFields count="1">
    <field x="11"/>
  </colFields>
  <colItems count="2">
    <i>
      <x v="2"/>
    </i>
    <i t="grand">
      <x/>
    </i>
  </colItems>
  <dataFields count="1">
    <dataField name="Count of Location Region or Federation or NHQ" fld="13" subtotal="count" baseField="0" baseItem="0"/>
  </dataFields>
  <pivotTableStyleInfo showRowHeaders="1" showColHeaders="1" showRowStripes="0" showColStripes="0" showLastColumn="1"/>
</pivotTableDefinition>
</file>

<file path=xl/pivotTables/pivotTable60.xml><?xml version="1.0" encoding="utf-8"?>
<pivotTableDefinition xmlns="http://schemas.openxmlformats.org/spreadsheetml/2006/main" name="PivotTable3" cacheId="16" dataOnRows="1" applyNumberFormats="0" applyBorderFormats="0" applyFontFormats="0" applyPatternFormats="0" applyAlignmentFormats="0" applyWidthHeightFormats="1" dataCaption="Data" updatedVersion="2" showMemberPropertyTips="0" useAutoFormatting="1" itemPrintTitles="1" createdVersion="1" indent="0" compact="0" compactData="0" gridDropZones="1">
  <location ref="E3:I32" firstHeaderRow="2" firstDataRow="2" firstDataCol="4"/>
  <pivotFields count="61">
    <pivotField compact="0" outline="0" subtotalTop="0" showAll="0" includeNewItemsInFilter="1"/>
    <pivotField compact="0" outline="0" subtotalTop="0" showAll="0" includeNewItemsInFilter="1"/>
    <pivotField axis="axisRow" compact="0" outline="0" subtotalTop="0" showAll="0" includeNewItemsInFilter="1" defaultSubtotal="0">
      <items count="251">
        <item x="60"/>
        <item x="79"/>
        <item x="216"/>
        <item x="76"/>
        <item x="114"/>
        <item x="154"/>
        <item x="24"/>
        <item x="108"/>
        <item x="1"/>
        <item x="98"/>
        <item x="214"/>
        <item x="93"/>
        <item x="39"/>
        <item x="40"/>
        <item x="13"/>
        <item x="4"/>
        <item x="218"/>
        <item x="183"/>
        <item x="19"/>
        <item x="243"/>
        <item x="68"/>
        <item x="34"/>
        <item x="69"/>
        <item x="48"/>
        <item x="87"/>
        <item x="53"/>
        <item x="29"/>
        <item x="11"/>
        <item x="75"/>
        <item x="132"/>
        <item x="50"/>
        <item x="112"/>
        <item x="242"/>
        <item x="203"/>
        <item x="202"/>
        <item x="127"/>
        <item x="205"/>
        <item x="124"/>
        <item x="233"/>
        <item x="195"/>
        <item x="104"/>
        <item x="109"/>
        <item x="8"/>
        <item x="192"/>
        <item x="186"/>
        <item x="44"/>
        <item x="157"/>
        <item x="170"/>
        <item x="145"/>
        <item x="244"/>
        <item x="213"/>
        <item x="7"/>
        <item x="204"/>
        <item x="72"/>
        <item x="90"/>
        <item x="22"/>
        <item x="113"/>
        <item x="116"/>
        <item x="77"/>
        <item x="150"/>
        <item x="188"/>
        <item x="160"/>
        <item x="59"/>
        <item x="55"/>
        <item x="43"/>
        <item x="230"/>
        <item x="141"/>
        <item x="5"/>
        <item x="161"/>
        <item x="193"/>
        <item x="85"/>
        <item x="211"/>
        <item x="212"/>
        <item x="200"/>
        <item x="89"/>
        <item x="12"/>
        <item x="176"/>
        <item x="25"/>
        <item x="58"/>
        <item x="187"/>
        <item x="131"/>
        <item x="239"/>
        <item x="231"/>
        <item x="120"/>
        <item x="201"/>
        <item x="56"/>
        <item x="70"/>
        <item x="110"/>
        <item x="208"/>
        <item x="92"/>
        <item x="175"/>
        <item x="134"/>
        <item x="135"/>
        <item x="133"/>
        <item x="177"/>
        <item x="137"/>
        <item x="3"/>
        <item x="139"/>
        <item x="140"/>
        <item x="142"/>
        <item x="143"/>
        <item x="45"/>
        <item x="33"/>
        <item x="20"/>
        <item x="178"/>
        <item x="32"/>
        <item x="97"/>
        <item x="129"/>
        <item x="241"/>
        <item x="158"/>
        <item x="63"/>
        <item x="117"/>
        <item x="105"/>
        <item x="151"/>
        <item x="35"/>
        <item x="96"/>
        <item x="122"/>
        <item x="73"/>
        <item x="248"/>
        <item x="15"/>
        <item x="224"/>
        <item x="36"/>
        <item x="229"/>
        <item x="185"/>
        <item x="101"/>
        <item x="81"/>
        <item x="237"/>
        <item x="100"/>
        <item x="115"/>
        <item x="52"/>
        <item x="189"/>
        <item x="168"/>
        <item x="31"/>
        <item x="121"/>
        <item x="47"/>
        <item x="82"/>
        <item x="130"/>
        <item x="171"/>
        <item x="0"/>
        <item x="6"/>
        <item x="16"/>
        <item x="223"/>
        <item x="67"/>
        <item x="66"/>
        <item x="159"/>
        <item x="199"/>
        <item x="234"/>
        <item x="46"/>
        <item x="191"/>
        <item x="215"/>
        <item x="235"/>
        <item x="174"/>
        <item x="246"/>
        <item x="83"/>
        <item x="57"/>
        <item x="71"/>
        <item x="10"/>
        <item x="78"/>
        <item x="245"/>
        <item x="119"/>
        <item x="206"/>
        <item x="61"/>
        <item x="172"/>
        <item x="138"/>
        <item x="217"/>
        <item x="238"/>
        <item x="37"/>
        <item x="207"/>
        <item x="118"/>
        <item x="80"/>
        <item x="184"/>
        <item x="247"/>
        <item x="94"/>
        <item x="123"/>
        <item x="54"/>
        <item x="49"/>
        <item x="86"/>
        <item x="196"/>
        <item x="153"/>
        <item x="240"/>
        <item x="163"/>
        <item x="88"/>
        <item x="17"/>
        <item x="51"/>
        <item x="2"/>
        <item x="136"/>
        <item x="228"/>
        <item x="91"/>
        <item x="102"/>
        <item x="169"/>
        <item x="165"/>
        <item x="155"/>
        <item x="166"/>
        <item x="194"/>
        <item x="42"/>
        <item x="28"/>
        <item x="95"/>
        <item x="103"/>
        <item x="225"/>
        <item x="226"/>
        <item x="190"/>
        <item x="146"/>
        <item x="147"/>
        <item x="149"/>
        <item x="148"/>
        <item x="156"/>
        <item x="167"/>
        <item x="111"/>
        <item x="41"/>
        <item x="128"/>
        <item x="23"/>
        <item x="26"/>
        <item x="125"/>
        <item x="162"/>
        <item x="198"/>
        <item x="106"/>
        <item x="220"/>
        <item x="84"/>
        <item x="14"/>
        <item x="126"/>
        <item x="38"/>
        <item x="219"/>
        <item x="232"/>
        <item x="18"/>
        <item x="152"/>
        <item x="180"/>
        <item x="236"/>
        <item x="181"/>
        <item x="107"/>
        <item x="9"/>
        <item x="64"/>
        <item x="179"/>
        <item x="209"/>
        <item x="173"/>
        <item x="65"/>
        <item x="74"/>
        <item x="62"/>
        <item x="27"/>
        <item x="21"/>
        <item x="99"/>
        <item x="144"/>
        <item x="182"/>
        <item x="164"/>
        <item x="221"/>
        <item x="222"/>
        <item x="249"/>
        <item x="227"/>
        <item x="197"/>
        <item x="210"/>
        <item x="30"/>
        <item x="250"/>
      </items>
    </pivotField>
    <pivotField compact="0" outline="0" subtotalTop="0" showAll="0" includeNewItemsInFilter="1"/>
    <pivotField axis="axisRow" compact="0" outline="0" subtotalTop="0" showAll="0" includeNewItemsInFilter="1">
      <items count="18">
        <item h="1" x="0"/>
        <item h="1" x="1"/>
        <item h="1" x="2"/>
        <item h="1" x="3"/>
        <item h="1" x="4"/>
        <item h="1" x="5"/>
        <item h="1" x="6"/>
        <item h="1" x="7"/>
        <item h="1" x="8"/>
        <item h="1" x="9"/>
        <item h="1" x="10"/>
        <item h="1" x="11"/>
        <item h="1" x="12"/>
        <item h="1" x="13"/>
        <item h="1" x="14"/>
        <item x="15"/>
        <item h="1" x="16"/>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Row" dataField="1" compact="0" outline="0" subtotalTop="0" showAll="0" includeNewItemsInFilter="1" sortType="descending" rankBy="0">
      <items count="26">
        <item x="0"/>
        <item x="21"/>
        <item x="15"/>
        <item x="4"/>
        <item x="22"/>
        <item x="16"/>
        <item x="17"/>
        <item x="9"/>
        <item x="12"/>
        <item x="5"/>
        <item x="24"/>
        <item x="10"/>
        <item x="13"/>
        <item x="18"/>
        <item x="6"/>
        <item x="14"/>
        <item x="7"/>
        <item x="2"/>
        <item x="11"/>
        <item x="23"/>
        <item x="3"/>
        <item x="1"/>
        <item x="20"/>
        <item x="8"/>
        <item x="19"/>
        <item t="default"/>
      </items>
      <autoSortScope>
        <pivotArea dataOnly="0" outline="0" fieldPosition="0">
          <references count="1">
            <reference field="4294967294" count="1" selected="0">
              <x v="0"/>
            </reference>
          </references>
        </pivotArea>
      </autoSortScope>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Row" compact="0" outline="0" subtotalTop="0" showAll="0" includeNewItemsInFilter="1">
      <items count="191">
        <item x="7"/>
        <item x="12"/>
        <item x="47"/>
        <item x="37"/>
        <item x="63"/>
        <item x="55"/>
        <item x="131"/>
        <item x="31"/>
        <item x="94"/>
        <item x="85"/>
        <item x="44"/>
        <item x="46"/>
        <item x="79"/>
        <item x="105"/>
        <item x="64"/>
        <item x="30"/>
        <item x="19"/>
        <item x="180"/>
        <item x="6"/>
        <item x="76"/>
        <item x="164"/>
        <item x="52"/>
        <item x="145"/>
        <item x="98"/>
        <item x="18"/>
        <item x="73"/>
        <item x="134"/>
        <item x="109"/>
        <item x="68"/>
        <item x="39"/>
        <item x="86"/>
        <item x="135"/>
        <item x="78"/>
        <item x="25"/>
        <item x="127"/>
        <item x="106"/>
        <item x="38"/>
        <item x="108"/>
        <item x="72"/>
        <item x="50"/>
        <item x="132"/>
        <item x="21"/>
        <item x="22"/>
        <item x="142"/>
        <item x="8"/>
        <item x="161"/>
        <item x="32"/>
        <item x="99"/>
        <item x="70"/>
        <item x="67"/>
        <item x="129"/>
        <item x="59"/>
        <item x="75"/>
        <item x="88"/>
        <item x="101"/>
        <item x="138"/>
        <item x="27"/>
        <item x="151"/>
        <item x="81"/>
        <item x="49"/>
        <item x="61"/>
        <item x="117"/>
        <item x="133"/>
        <item x="103"/>
        <item x="148"/>
        <item x="16"/>
        <item x="112"/>
        <item x="182"/>
        <item x="137"/>
        <item x="89"/>
        <item x="45"/>
        <item x="82"/>
        <item x="119"/>
        <item x="74"/>
        <item x="48"/>
        <item x="158"/>
        <item x="56"/>
        <item x="9"/>
        <item x="116"/>
        <item x="29"/>
        <item x="113"/>
        <item x="84"/>
        <item x="43"/>
        <item x="5"/>
        <item x="123"/>
        <item x="136"/>
        <item x="53"/>
        <item x="100"/>
        <item x="83"/>
        <item x="92"/>
        <item x="140"/>
        <item x="58"/>
        <item x="26"/>
        <item x="153"/>
        <item x="125"/>
        <item x="60"/>
        <item x="91"/>
        <item x="10"/>
        <item x="174"/>
        <item x="13"/>
        <item x="126"/>
        <item x="28"/>
        <item x="36"/>
        <item x="175"/>
        <item x="150"/>
        <item x="111"/>
        <item x="169"/>
        <item x="120"/>
        <item x="14"/>
        <item x="80"/>
        <item x="54"/>
        <item x="33"/>
        <item x="57"/>
        <item x="62"/>
        <item x="179"/>
        <item x="121"/>
        <item x="156"/>
        <item x="87"/>
        <item x="35"/>
        <item x="165"/>
        <item x="147"/>
        <item x="170"/>
        <item x="124"/>
        <item x="130"/>
        <item x="143"/>
        <item x="90"/>
        <item x="178"/>
        <item x="163"/>
        <item x="69"/>
        <item x="104"/>
        <item x="65"/>
        <item x="51"/>
        <item x="24"/>
        <item x="71"/>
        <item x="23"/>
        <item x="110"/>
        <item x="93"/>
        <item x="66"/>
        <item x="107"/>
        <item x="160"/>
        <item x="15"/>
        <item x="34"/>
        <item x="40"/>
        <item x="146"/>
        <item x="181"/>
        <item x="118"/>
        <item x="144"/>
        <item x="157"/>
        <item x="162"/>
        <item x="173"/>
        <item x="20"/>
        <item x="155"/>
        <item x="166"/>
        <item x="77"/>
        <item x="11"/>
        <item x="141"/>
        <item x="114"/>
        <item x="159"/>
        <item x="152"/>
        <item x="168"/>
        <item x="97"/>
        <item x="115"/>
        <item x="139"/>
        <item x="122"/>
        <item x="167"/>
        <item x="128"/>
        <item x="42"/>
        <item m="1" x="188"/>
        <item m="1" x="186"/>
        <item m="1" x="189"/>
        <item x="172"/>
        <item x="41"/>
        <item x="102"/>
        <item x="1"/>
        <item x="2"/>
        <item x="0"/>
        <item x="4"/>
        <item x="3"/>
        <item x="149"/>
        <item x="95"/>
        <item m="1" x="187"/>
        <item x="171"/>
        <item x="96"/>
        <item x="154"/>
        <item x="185"/>
        <item x="17"/>
        <item x="184"/>
        <item x="176"/>
        <item x="177"/>
        <item x="183"/>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4">
    <field x="4"/>
    <field x="12"/>
    <field x="2"/>
    <field x="55"/>
  </rowFields>
  <rowItems count="28">
    <i>
      <x v="15"/>
      <x v="17"/>
      <x v="23"/>
      <x v="186"/>
    </i>
    <i r="2">
      <x v="49"/>
      <x v="114"/>
    </i>
    <i r="2">
      <x v="51"/>
      <x v="126"/>
    </i>
    <i r="2">
      <x v="139"/>
      <x v="107"/>
    </i>
    <i r="2">
      <x v="149"/>
      <x v="65"/>
    </i>
    <i r="2">
      <x v="165"/>
      <x v="187"/>
    </i>
    <i r="2">
      <x v="169"/>
      <x v="17"/>
    </i>
    <i r="2">
      <x v="238"/>
      <x v="45"/>
    </i>
    <i t="default" r="1">
      <x v="17"/>
    </i>
    <i r="1">
      <x v="6"/>
      <x v="19"/>
      <x v="77"/>
    </i>
    <i r="2">
      <x v="32"/>
      <x v="98"/>
    </i>
    <i r="2">
      <x v="179"/>
      <x v="45"/>
    </i>
    <i t="default" r="1">
      <x v="6"/>
    </i>
    <i r="1">
      <x v="18"/>
      <x v="81"/>
      <x v="188"/>
    </i>
    <i r="2">
      <x v="171"/>
      <x v="67"/>
    </i>
    <i t="default" r="1">
      <x v="18"/>
    </i>
    <i r="1">
      <x v="24"/>
      <x v="158"/>
      <x v="124"/>
    </i>
    <i t="default" r="1">
      <x v="24"/>
    </i>
    <i r="1">
      <x v="4"/>
      <x v="108"/>
      <x v="65"/>
    </i>
    <i t="default" r="1">
      <x v="4"/>
    </i>
    <i r="1">
      <x v="10"/>
      <x v="245"/>
      <x v="99"/>
    </i>
    <i t="default" r="1">
      <x v="10"/>
    </i>
    <i r="1">
      <x v="19"/>
      <x v="118"/>
      <x v="189"/>
    </i>
    <i t="default" r="1">
      <x v="19"/>
    </i>
    <i r="1">
      <x v="20"/>
      <x v="152"/>
      <x v="144"/>
    </i>
    <i t="default" r="1">
      <x v="20"/>
    </i>
    <i t="default">
      <x v="15"/>
    </i>
    <i t="grand">
      <x/>
    </i>
  </rowItems>
  <colItems count="1">
    <i/>
  </colItems>
  <dataFields count="1">
    <dataField name="Count of Disaster Type" fld="12" subtotal="count" baseField="0" baseItem="0"/>
  </dataFields>
  <formats count="1">
    <format dxfId="8">
      <pivotArea field="55" type="button" dataOnly="0" labelOnly="1" outline="0" axis="axisRow" fieldPosition="3"/>
    </format>
  </formats>
  <pivotTableStyleInfo showRowHeaders="1" showColHeaders="1" showRowStripes="0" showColStripes="0" showLastColumn="1"/>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8" Type="http://schemas.openxmlformats.org/officeDocument/2006/relationships/hyperlink" Target="http://www.ifrc.org/docs/appeals/08/MDRZW003pa.pdf" TargetMode="External"/><Relationship Id="rId13" Type="http://schemas.openxmlformats.org/officeDocument/2006/relationships/hyperlink" Target="http://www.ifrc.org/docs/appeals/08/MDRET005.pdf" TargetMode="External"/><Relationship Id="rId18" Type="http://schemas.openxmlformats.org/officeDocument/2006/relationships/hyperlink" Target="http://www.ifrc.org/docs/appeals/08/MDRTJ004ea.pdf" TargetMode="External"/><Relationship Id="rId26" Type="http://schemas.openxmlformats.org/officeDocument/2006/relationships/hyperlink" Target="http://www.ifrc.org/cgi/pdf_appeals.pl?09/MDRCF006ea.pdf" TargetMode="External"/><Relationship Id="rId39" Type="http://schemas.openxmlformats.org/officeDocument/2006/relationships/hyperlink" Target="http://www.ifrc.org/docs/appeals/11/MDRPH008revEA.pdf" TargetMode="External"/><Relationship Id="rId3" Type="http://schemas.openxmlformats.org/officeDocument/2006/relationships/hyperlink" Target="http://www.ifrc.org/docs/appeals/08/MDRYE002pea.pdf" TargetMode="External"/><Relationship Id="rId21" Type="http://schemas.openxmlformats.org/officeDocument/2006/relationships/hyperlink" Target="http://www.ifrc.org/docs/appeals/08/MDR63001PrelimApp.pdf" TargetMode="External"/><Relationship Id="rId34" Type="http://schemas.openxmlformats.org/officeDocument/2006/relationships/hyperlink" Target="http://www.ifrc.org/cgi/pdf_appeals.pl?09/MDRCF006ea.pdf" TargetMode="External"/><Relationship Id="rId42" Type="http://schemas.openxmlformats.org/officeDocument/2006/relationships/hyperlink" Target="http://www.ifrc.org/docs/appeals/11/MDRET010REA.pdf" TargetMode="External"/><Relationship Id="rId7" Type="http://schemas.openxmlformats.org/officeDocument/2006/relationships/hyperlink" Target="http://www.ifrc.org/docs/appeals/08/MDRHT005EA.pdf" TargetMode="External"/><Relationship Id="rId12" Type="http://schemas.openxmlformats.org/officeDocument/2006/relationships/hyperlink" Target="http://www.ifrc.org/docs/appeals/08/MDRCN003ea.pdf" TargetMode="External"/><Relationship Id="rId17" Type="http://schemas.openxmlformats.org/officeDocument/2006/relationships/hyperlink" Target="http://www.ifrc.org/docs/appeals/08/MDRMG003EA.pdf" TargetMode="External"/><Relationship Id="rId25" Type="http://schemas.openxmlformats.org/officeDocument/2006/relationships/hyperlink" Target="http://www.ifrc.org/cgi/pdf_appeals.pl?09/MDRCF006ea.pdf" TargetMode="External"/><Relationship Id="rId33" Type="http://schemas.openxmlformats.org/officeDocument/2006/relationships/hyperlink" Target="http://www.ifrc.org/cgi/pdf_appeals.pl?09/MDRCF006ea.pdf" TargetMode="External"/><Relationship Id="rId38" Type="http://schemas.openxmlformats.org/officeDocument/2006/relationships/hyperlink" Target="http://www.ifrc.org/docs/appeals/11/MDRVN009ea.pdf" TargetMode="External"/><Relationship Id="rId2" Type="http://schemas.openxmlformats.org/officeDocument/2006/relationships/hyperlink" Target="http://www.ifrc.org/docs/appeals/08/MDRKE007PrelimEA.pdf" TargetMode="External"/><Relationship Id="rId16" Type="http://schemas.openxmlformats.org/officeDocument/2006/relationships/hyperlink" Target="http://www.ifrc.org/docs/appeals/07/MDR49001rev2.pdf" TargetMode="External"/><Relationship Id="rId20" Type="http://schemas.openxmlformats.org/officeDocument/2006/relationships/hyperlink" Target="http://www.ifrc.org/docs/appeals/08/MDRIQ003.pdf" TargetMode="External"/><Relationship Id="rId29" Type="http://schemas.openxmlformats.org/officeDocument/2006/relationships/hyperlink" Target="http://www.ifrc.org/cgi/pdf_appeals.pl?09/MDRCF006ea.pdf" TargetMode="External"/><Relationship Id="rId41" Type="http://schemas.openxmlformats.org/officeDocument/2006/relationships/hyperlink" Target="http://www.ifrc.org/docs/appeals/11/MDRTR002EA.pdf" TargetMode="External"/><Relationship Id="rId1" Type="http://schemas.openxmlformats.org/officeDocument/2006/relationships/hyperlink" Target="http://www.ifrc.org/docs/appeals/08/MDR43005PrelimEA.pdf" TargetMode="External"/><Relationship Id="rId6" Type="http://schemas.openxmlformats.org/officeDocument/2006/relationships/hyperlink" Target="http://www.ifrc.org/docs/appeals/08/MDRCU001.pdf" TargetMode="External"/><Relationship Id="rId11" Type="http://schemas.openxmlformats.org/officeDocument/2006/relationships/hyperlink" Target="http://www.ifrc.org/docs/appeals/08/MDRPH004.pdf" TargetMode="External"/><Relationship Id="rId24" Type="http://schemas.openxmlformats.org/officeDocument/2006/relationships/hyperlink" Target="http://www.ifrc.org/cgi/pdf_appeals.pl?09/MDRCF006ea.pdf" TargetMode="External"/><Relationship Id="rId32" Type="http://schemas.openxmlformats.org/officeDocument/2006/relationships/hyperlink" Target="http://www.ifrc.org/cgi/pdf_appeals.pl?09/MDRCF006ea.pdf" TargetMode="External"/><Relationship Id="rId37" Type="http://schemas.openxmlformats.org/officeDocument/2006/relationships/hyperlink" Target="http://www.ifrc.org/docs/appeals/11/MDRKE018EA.pdf" TargetMode="External"/><Relationship Id="rId40" Type="http://schemas.openxmlformats.org/officeDocument/2006/relationships/hyperlink" Target="http://www.ifrc.org/docs/appeals/11/MDRTD008REA.pdf" TargetMode="External"/><Relationship Id="rId45" Type="http://schemas.openxmlformats.org/officeDocument/2006/relationships/comments" Target="../comments2.xml"/><Relationship Id="rId5" Type="http://schemas.openxmlformats.org/officeDocument/2006/relationships/hyperlink" Target="http://www.ifrc.org/docs/appeals/08/MDR49003PE2.pdf" TargetMode="External"/><Relationship Id="rId15" Type="http://schemas.openxmlformats.org/officeDocument/2006/relationships/hyperlink" Target="http://www.ifrc.org/docs/appeals/08/MDRNP001revapp2.pdf" TargetMode="External"/><Relationship Id="rId23" Type="http://schemas.openxmlformats.org/officeDocument/2006/relationships/hyperlink" Target="http://www.ifrc.org/cgi/pdf_appeals.pl?09/MDR61005ea.pdf" TargetMode="External"/><Relationship Id="rId28" Type="http://schemas.openxmlformats.org/officeDocument/2006/relationships/hyperlink" Target="http://www.ifrc.org/cgi/pdf_appeals.pl?09/MDRCF006ea.pdf" TargetMode="External"/><Relationship Id="rId36" Type="http://schemas.openxmlformats.org/officeDocument/2006/relationships/hyperlink" Target="http://www.ifrc.org/docs/appeals/11/MDRNE010ea.pdf" TargetMode="External"/><Relationship Id="rId10" Type="http://schemas.openxmlformats.org/officeDocument/2006/relationships/hyperlink" Target="http://www.ifrc.org/docs/appeals/08/MDRSR002EA.pdf" TargetMode="External"/><Relationship Id="rId19" Type="http://schemas.openxmlformats.org/officeDocument/2006/relationships/hyperlink" Target="http://www.ifrc.org/docs/appeals/08/MDRCM006EA.pdf" TargetMode="External"/><Relationship Id="rId31" Type="http://schemas.openxmlformats.org/officeDocument/2006/relationships/hyperlink" Target="http://www.ifrc.org/cgi/pdf_appeals.pl?09/MDRCF006ea.pdf" TargetMode="External"/><Relationship Id="rId44" Type="http://schemas.openxmlformats.org/officeDocument/2006/relationships/vmlDrawing" Target="../drawings/vmlDrawing2.vml"/><Relationship Id="rId4" Type="http://schemas.openxmlformats.org/officeDocument/2006/relationships/hyperlink" Target="http://www.ifrc.org/docs/appeals/08/MDR43004PrelEA.pdf" TargetMode="External"/><Relationship Id="rId9" Type="http://schemas.openxmlformats.org/officeDocument/2006/relationships/hyperlink" Target="http://www.ifrc.org/docs/appeals/08/MDR61003PrelEA.pdf" TargetMode="External"/><Relationship Id="rId14" Type="http://schemas.openxmlformats.org/officeDocument/2006/relationships/hyperlink" Target="http://www.ifrc.org/docs/appeals/08/MDRMM002EA.pdf" TargetMode="External"/><Relationship Id="rId22" Type="http://schemas.openxmlformats.org/officeDocument/2006/relationships/hyperlink" Target="http://www.ifrc.org/cgi/pdf_appeals.pl?09/MDRSY001ea.pdf" TargetMode="External"/><Relationship Id="rId27" Type="http://schemas.openxmlformats.org/officeDocument/2006/relationships/hyperlink" Target="http://www.ifrc.org/cgi/pdf_appeals.pl?09/MDRCF006ea.pdf" TargetMode="External"/><Relationship Id="rId30" Type="http://schemas.openxmlformats.org/officeDocument/2006/relationships/hyperlink" Target="http://www.ifrc.org/cgi/pdf_appeals.pl?09/MDRCF006ea.pdf" TargetMode="External"/><Relationship Id="rId35" Type="http://schemas.openxmlformats.org/officeDocument/2006/relationships/hyperlink" Target="http://www.ifrc.org/cgi/pdf_appeals.pl?09/MDRCF006ea.pdf" TargetMode="External"/><Relationship Id="rId43"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5" Type="http://schemas.openxmlformats.org/officeDocument/2006/relationships/drawing" Target="../drawings/drawing2.xml"/><Relationship Id="rId4"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8" Type="http://schemas.openxmlformats.org/officeDocument/2006/relationships/hyperlink" Target="http://www.ifrc.org/docs/appeals/Active/MDRCU001.pdf" TargetMode="External"/><Relationship Id="rId13" Type="http://schemas.openxmlformats.org/officeDocument/2006/relationships/hyperlink" Target="http://www.ifrc.org/docs/appeals/08/MDRHT005rev01.pdf" TargetMode="External"/><Relationship Id="rId18" Type="http://schemas.openxmlformats.org/officeDocument/2006/relationships/hyperlink" Target="http://www.ifrc.org/docs/appeals/07/MDRPE00307.pdf" TargetMode="External"/><Relationship Id="rId26" Type="http://schemas.openxmlformats.org/officeDocument/2006/relationships/hyperlink" Target="http://www.glidenumber.net/glide/public/search/details.jsp?glide=17228&amp;record=1&amp;last=2" TargetMode="External"/><Relationship Id="rId3" Type="http://schemas.openxmlformats.org/officeDocument/2006/relationships/hyperlink" Target="http://www.ifrc.org/docs/appeals/08/MDR64004.pdf" TargetMode="External"/><Relationship Id="rId21" Type="http://schemas.openxmlformats.org/officeDocument/2006/relationships/hyperlink" Target="http://www.glidenumber.net/glide/public/search/details.jsp?glide=17356&amp;record=4&amp;last=6" TargetMode="External"/><Relationship Id="rId7" Type="http://schemas.openxmlformats.org/officeDocument/2006/relationships/hyperlink" Target="http://www.ifrc.org/docs/appeals/Active/MDRNP002.pdf" TargetMode="External"/><Relationship Id="rId12" Type="http://schemas.openxmlformats.org/officeDocument/2006/relationships/hyperlink" Target="http://www.ifrc.org/docs/appeals/08/MDR64003EA1.pdf" TargetMode="External"/><Relationship Id="rId17" Type="http://schemas.openxmlformats.org/officeDocument/2006/relationships/hyperlink" Target="http://www.ifrc.org/docs/appeals/09/MDRVN002fr.pdf" TargetMode="External"/><Relationship Id="rId25" Type="http://schemas.openxmlformats.org/officeDocument/2006/relationships/hyperlink" Target="http://www.glidenumber.net/glide/public/search/details.jsp?glide=17241&amp;record=1&amp;last=1" TargetMode="External"/><Relationship Id="rId2" Type="http://schemas.openxmlformats.org/officeDocument/2006/relationships/hyperlink" Target="http://www.ifrc.org/docs/appeals/08/MDR64003.pdf" TargetMode="External"/><Relationship Id="rId16" Type="http://schemas.openxmlformats.org/officeDocument/2006/relationships/hyperlink" Target="http://www.ifrc.org/docs/appeals/08/MDRET005%20REA.pdf" TargetMode="External"/><Relationship Id="rId20" Type="http://schemas.openxmlformats.org/officeDocument/2006/relationships/hyperlink" Target="http://www.glidenumber.net/glide/public/search/details.jsp?glide=17420&amp;record=4&amp;last=10" TargetMode="External"/><Relationship Id="rId29" Type="http://schemas.openxmlformats.org/officeDocument/2006/relationships/drawing" Target="../drawings/drawing3.xml"/><Relationship Id="rId1" Type="http://schemas.openxmlformats.org/officeDocument/2006/relationships/hyperlink" Target="http://www.ifrc.org/docs/appeals/Active/MDR43005.pdf" TargetMode="External"/><Relationship Id="rId6" Type="http://schemas.openxmlformats.org/officeDocument/2006/relationships/hyperlink" Target="http://www.ifrc.org/docs/appeals/Active/MDRHT005.pdf" TargetMode="External"/><Relationship Id="rId11" Type="http://schemas.openxmlformats.org/officeDocument/2006/relationships/hyperlink" Target="http://www.ifrc.org/docs/appeals/Active/MDRUG006.pdf" TargetMode="External"/><Relationship Id="rId24" Type="http://schemas.openxmlformats.org/officeDocument/2006/relationships/hyperlink" Target="http://www.glidenumber.net/glide/public/search/details.jsp?glide=17238&amp;record=1&amp;last=2" TargetMode="External"/><Relationship Id="rId5" Type="http://schemas.openxmlformats.org/officeDocument/2006/relationships/hyperlink" Target="http://www.ifrc.org/docs/appeals/Active/MDRPH004.pdf" TargetMode="External"/><Relationship Id="rId15" Type="http://schemas.openxmlformats.org/officeDocument/2006/relationships/hyperlink" Target="http://www.ifrc.org/docs/appeals/08/MDRMM002revEA02.pdf" TargetMode="External"/><Relationship Id="rId23" Type="http://schemas.openxmlformats.org/officeDocument/2006/relationships/hyperlink" Target="http://www.glidenumber.net/glide/public/search/details.jsp?glide=17299&amp;record=1&amp;last=1" TargetMode="External"/><Relationship Id="rId28" Type="http://schemas.openxmlformats.org/officeDocument/2006/relationships/printerSettings" Target="../printerSettings/printerSettings2.bin"/><Relationship Id="rId10" Type="http://schemas.openxmlformats.org/officeDocument/2006/relationships/hyperlink" Target="http://www.ifrc.org/docs/appeals/Active/MDRVN005.pdf" TargetMode="External"/><Relationship Id="rId19" Type="http://schemas.openxmlformats.org/officeDocument/2006/relationships/hyperlink" Target="http://www.glidenumber.net/glide/public/search/details.jsp?glide=17550&amp;record=2&amp;last=5" TargetMode="External"/><Relationship Id="rId31" Type="http://schemas.openxmlformats.org/officeDocument/2006/relationships/comments" Target="../comments3.xml"/><Relationship Id="rId4" Type="http://schemas.openxmlformats.org/officeDocument/2006/relationships/hyperlink" Target="http://www.ifrc.org/docs/appeals/08/MDRZW004.pdf" TargetMode="External"/><Relationship Id="rId9" Type="http://schemas.openxmlformats.org/officeDocument/2006/relationships/hyperlink" Target="http://www.ifrc.org/docs/appeals/08/MDR61002%20final.pdf" TargetMode="External"/><Relationship Id="rId14" Type="http://schemas.openxmlformats.org/officeDocument/2006/relationships/hyperlink" Target="http://www.ifrc.org/docs/appeals/08/MDR49003PE2.pdf" TargetMode="External"/><Relationship Id="rId22" Type="http://schemas.openxmlformats.org/officeDocument/2006/relationships/hyperlink" Target="http://www.glidenumber.net/glide/public/search/details.jsp?glide=17479&amp;record=32&amp;last=149" TargetMode="External"/><Relationship Id="rId27" Type="http://schemas.openxmlformats.org/officeDocument/2006/relationships/hyperlink" Target="http://www.ifrc.org/docs/appeals/Active/MDR43004.pdf" TargetMode="External"/><Relationship Id="rId30"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14.xml"/><Relationship Id="rId2" Type="http://schemas.openxmlformats.org/officeDocument/2006/relationships/pivotTable" Target="../pivotTables/pivotTable13.xml"/><Relationship Id="rId1" Type="http://schemas.openxmlformats.org/officeDocument/2006/relationships/pivotTable" Target="../pivotTables/pivotTable12.xml"/><Relationship Id="rId4"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17.xml"/><Relationship Id="rId2" Type="http://schemas.openxmlformats.org/officeDocument/2006/relationships/pivotTable" Target="../pivotTables/pivotTable16.xml"/><Relationship Id="rId1" Type="http://schemas.openxmlformats.org/officeDocument/2006/relationships/pivotTable" Target="../pivotTables/pivotTable15.xml"/><Relationship Id="rId6" Type="http://schemas.openxmlformats.org/officeDocument/2006/relationships/drawing" Target="../drawings/drawing5.xml"/><Relationship Id="rId5" Type="http://schemas.openxmlformats.org/officeDocument/2006/relationships/pivotTable" Target="../pivotTables/pivotTable19.xml"/><Relationship Id="rId4" Type="http://schemas.openxmlformats.org/officeDocument/2006/relationships/pivotTable" Target="../pivotTables/pivotTable18.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20.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22.xml"/><Relationship Id="rId1" Type="http://schemas.openxmlformats.org/officeDocument/2006/relationships/pivotTable" Target="../pivotTables/pivotTable21.xml"/></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24.xml"/><Relationship Id="rId1" Type="http://schemas.openxmlformats.org/officeDocument/2006/relationships/pivotTable" Target="../pivotTables/pivotTable23.xml"/><Relationship Id="rId5" Type="http://schemas.openxmlformats.org/officeDocument/2006/relationships/comments" Target="../comments4.xml"/><Relationship Id="rId4" Type="http://schemas.openxmlformats.org/officeDocument/2006/relationships/vmlDrawing" Target="../drawings/vmlDrawing4.v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7.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printerSettings" Target="../printerSettings/printerSettings5.bin"/><Relationship Id="rId1" Type="http://schemas.openxmlformats.org/officeDocument/2006/relationships/hyperlink" Target="http://www.emdat.be/ExplanatoryNotes/EMDATEntry.html" TargetMode="External"/><Relationship Id="rId4" Type="http://schemas.openxmlformats.org/officeDocument/2006/relationships/comments" Target="../comments6.xml"/></Relationships>
</file>

<file path=xl/worksheets/_rels/sheet16.xml.rels><?xml version="1.0" encoding="UTF-8" standalone="yes"?>
<Relationships xmlns="http://schemas.openxmlformats.org/package/2006/relationships"><Relationship Id="rId3" Type="http://schemas.openxmlformats.org/officeDocument/2006/relationships/pivotTable" Target="../pivotTables/pivotTable27.xml"/><Relationship Id="rId2" Type="http://schemas.openxmlformats.org/officeDocument/2006/relationships/pivotTable" Target="../pivotTables/pivotTable26.xml"/><Relationship Id="rId1" Type="http://schemas.openxmlformats.org/officeDocument/2006/relationships/pivotTable" Target="../pivotTables/pivotTable25.xml"/><Relationship Id="rId6" Type="http://schemas.openxmlformats.org/officeDocument/2006/relationships/printerSettings" Target="../printerSettings/printerSettings6.bin"/><Relationship Id="rId5" Type="http://schemas.openxmlformats.org/officeDocument/2006/relationships/pivotTable" Target="../pivotTables/pivotTable29.xml"/><Relationship Id="rId4" Type="http://schemas.openxmlformats.org/officeDocument/2006/relationships/pivotTable" Target="../pivotTables/pivotTable28.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30.xml"/></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32.xml"/><Relationship Id="rId1" Type="http://schemas.openxmlformats.org/officeDocument/2006/relationships/pivotTable" Target="../pivotTables/pivotTable31.xml"/></Relationships>
</file>

<file path=xl/worksheets/_rels/sheet19.xml.rels><?xml version="1.0" encoding="UTF-8" standalone="yes"?>
<Relationships xmlns="http://schemas.openxmlformats.org/package/2006/relationships"><Relationship Id="rId3" Type="http://schemas.openxmlformats.org/officeDocument/2006/relationships/pivotTable" Target="../pivotTables/pivotTable35.xml"/><Relationship Id="rId2" Type="http://schemas.openxmlformats.org/officeDocument/2006/relationships/pivotTable" Target="../pivotTables/pivotTable34.xml"/><Relationship Id="rId1" Type="http://schemas.openxmlformats.org/officeDocument/2006/relationships/pivotTable" Target="../pivotTables/pivotTable33.xml"/><Relationship Id="rId4" Type="http://schemas.openxmlformats.org/officeDocument/2006/relationships/printerSettings" Target="../printerSettings/printerSettings8.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pivotTable" Target="../pivotTables/pivotTable37.xml"/><Relationship Id="rId1" Type="http://schemas.openxmlformats.org/officeDocument/2006/relationships/pivotTable" Target="../pivotTables/pivotTable36.xml"/></Relationships>
</file>

<file path=xl/worksheets/_rels/sheet21.xml.rels><?xml version="1.0" encoding="UTF-8" standalone="yes"?>
<Relationships xmlns="http://schemas.openxmlformats.org/package/2006/relationships"><Relationship Id="rId3" Type="http://schemas.openxmlformats.org/officeDocument/2006/relationships/pivotTable" Target="../pivotTables/pivotTable40.xml"/><Relationship Id="rId7" Type="http://schemas.openxmlformats.org/officeDocument/2006/relationships/printerSettings" Target="../printerSettings/printerSettings10.bin"/><Relationship Id="rId2" Type="http://schemas.openxmlformats.org/officeDocument/2006/relationships/pivotTable" Target="../pivotTables/pivotTable39.xml"/><Relationship Id="rId1" Type="http://schemas.openxmlformats.org/officeDocument/2006/relationships/pivotTable" Target="../pivotTables/pivotTable38.xml"/><Relationship Id="rId6" Type="http://schemas.openxmlformats.org/officeDocument/2006/relationships/pivotTable" Target="../pivotTables/pivotTable43.xml"/><Relationship Id="rId5" Type="http://schemas.openxmlformats.org/officeDocument/2006/relationships/pivotTable" Target="../pivotTables/pivotTable42.xml"/><Relationship Id="rId4" Type="http://schemas.openxmlformats.org/officeDocument/2006/relationships/pivotTable" Target="../pivotTables/pivotTable41.xml"/></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pivotTable" Target="../pivotTables/pivotTable44.xml"/></Relationships>
</file>

<file path=xl/worksheets/_rels/sheet23.xml.rels><?xml version="1.0" encoding="UTF-8" standalone="yes"?>
<Relationships xmlns="http://schemas.openxmlformats.org/package/2006/relationships"><Relationship Id="rId8" Type="http://schemas.openxmlformats.org/officeDocument/2006/relationships/pivotTable" Target="../pivotTables/pivotTable52.xml"/><Relationship Id="rId3" Type="http://schemas.openxmlformats.org/officeDocument/2006/relationships/pivotTable" Target="../pivotTables/pivotTable47.xml"/><Relationship Id="rId7" Type="http://schemas.openxmlformats.org/officeDocument/2006/relationships/pivotTable" Target="../pivotTables/pivotTable51.xml"/><Relationship Id="rId2" Type="http://schemas.openxmlformats.org/officeDocument/2006/relationships/pivotTable" Target="../pivotTables/pivotTable46.xml"/><Relationship Id="rId1" Type="http://schemas.openxmlformats.org/officeDocument/2006/relationships/pivotTable" Target="../pivotTables/pivotTable45.xml"/><Relationship Id="rId6" Type="http://schemas.openxmlformats.org/officeDocument/2006/relationships/pivotTable" Target="../pivotTables/pivotTable50.xml"/><Relationship Id="rId11" Type="http://schemas.openxmlformats.org/officeDocument/2006/relationships/printerSettings" Target="../printerSettings/printerSettings12.bin"/><Relationship Id="rId5" Type="http://schemas.openxmlformats.org/officeDocument/2006/relationships/pivotTable" Target="../pivotTables/pivotTable49.xml"/><Relationship Id="rId10" Type="http://schemas.openxmlformats.org/officeDocument/2006/relationships/pivotTable" Target="../pivotTables/pivotTable54.xml"/><Relationship Id="rId4" Type="http://schemas.openxmlformats.org/officeDocument/2006/relationships/pivotTable" Target="../pivotTables/pivotTable48.xml"/><Relationship Id="rId9" Type="http://schemas.openxmlformats.org/officeDocument/2006/relationships/pivotTable" Target="../pivotTables/pivotTable53.xml"/></Relationships>
</file>

<file path=xl/worksheets/_rels/sheet24.xml.rels><?xml version="1.0" encoding="UTF-8" standalone="yes"?>
<Relationships xmlns="http://schemas.openxmlformats.org/package/2006/relationships"><Relationship Id="rId8" Type="http://schemas.openxmlformats.org/officeDocument/2006/relationships/drawing" Target="../drawings/drawing8.xml"/><Relationship Id="rId3" Type="http://schemas.openxmlformats.org/officeDocument/2006/relationships/pivotTable" Target="../pivotTables/pivotTable57.xml"/><Relationship Id="rId7" Type="http://schemas.openxmlformats.org/officeDocument/2006/relationships/printerSettings" Target="../printerSettings/printerSettings13.bin"/><Relationship Id="rId2" Type="http://schemas.openxmlformats.org/officeDocument/2006/relationships/pivotTable" Target="../pivotTables/pivotTable56.xml"/><Relationship Id="rId1" Type="http://schemas.openxmlformats.org/officeDocument/2006/relationships/pivotTable" Target="../pivotTables/pivotTable55.xml"/><Relationship Id="rId6" Type="http://schemas.openxmlformats.org/officeDocument/2006/relationships/pivotTable" Target="../pivotTables/pivotTable60.xml"/><Relationship Id="rId5" Type="http://schemas.openxmlformats.org/officeDocument/2006/relationships/pivotTable" Target="../pivotTables/pivotTable59.xml"/><Relationship Id="rId4" Type="http://schemas.openxmlformats.org/officeDocument/2006/relationships/pivotTable" Target="../pivotTables/pivotTable58.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sheetPr codeName="Sheet24"/>
  <dimension ref="A1:AM112"/>
  <sheetViews>
    <sheetView topLeftCell="U1" workbookViewId="0">
      <pane ySplit="1" topLeftCell="A2" activePane="bottomLeft" state="frozen"/>
      <selection activeCell="V1" sqref="V1"/>
      <selection pane="bottomLeft" activeCell="V2" sqref="V2"/>
    </sheetView>
  </sheetViews>
  <sheetFormatPr defaultRowHeight="12.75"/>
  <cols>
    <col min="1" max="1" width="13.85546875" style="828" customWidth="1"/>
    <col min="2" max="2" width="22.140625" style="828" customWidth="1"/>
    <col min="3" max="3" width="17.42578125" style="851" customWidth="1"/>
    <col min="4" max="4" width="17.42578125" style="856" customWidth="1"/>
    <col min="5" max="5" width="16.85546875" style="828" customWidth="1"/>
    <col min="6" max="6" width="19" style="828" customWidth="1"/>
    <col min="7" max="7" width="35.7109375" style="828" customWidth="1"/>
    <col min="8" max="8" width="22" style="828" customWidth="1"/>
    <col min="9" max="9" width="16.5703125" style="828" customWidth="1"/>
    <col min="10" max="10" width="14" style="828" customWidth="1"/>
    <col min="11" max="11" width="50.85546875" style="828" customWidth="1"/>
    <col min="12" max="12" width="25.42578125" style="828" customWidth="1"/>
    <col min="13" max="14" width="13.85546875" style="828" customWidth="1"/>
    <col min="15" max="17" width="10.7109375" style="828" customWidth="1"/>
    <col min="18" max="18" width="16.28515625" style="828" customWidth="1"/>
    <col min="19" max="19" width="21.5703125" style="828" customWidth="1"/>
    <col min="20" max="20" width="18.140625" style="828" customWidth="1"/>
    <col min="21" max="21" width="10.7109375" style="828" customWidth="1"/>
    <col min="22" max="22" width="10.85546875" style="828" customWidth="1"/>
    <col min="23" max="23" width="6.28515625" style="828" customWidth="1"/>
    <col min="24" max="24" width="12.7109375" style="828" customWidth="1"/>
    <col min="25" max="25" width="28.42578125" style="828" customWidth="1"/>
    <col min="26" max="26" width="25.5703125" style="828" customWidth="1"/>
    <col min="27" max="27" width="38.5703125" style="828" customWidth="1"/>
    <col min="28" max="28" width="5.7109375" style="828" customWidth="1"/>
    <col min="29" max="29" width="26.140625" style="828" customWidth="1"/>
    <col min="30" max="30" width="31.28515625" style="828" customWidth="1"/>
    <col min="31" max="31" width="7.5703125" style="828" customWidth="1"/>
    <col min="32" max="32" width="7.7109375" style="828" customWidth="1"/>
    <col min="33" max="33" width="25" style="828" customWidth="1"/>
    <col min="34" max="34" width="17.85546875" style="828" customWidth="1"/>
    <col min="35" max="35" width="13.85546875" style="828" customWidth="1"/>
    <col min="36" max="36" width="9.5703125" style="828" customWidth="1"/>
    <col min="37" max="37" width="9.85546875" style="828" customWidth="1"/>
    <col min="38" max="38" width="9" style="828" customWidth="1"/>
    <col min="39" max="39" width="13.85546875" style="828" customWidth="1"/>
    <col min="40" max="16384" width="9.140625" style="828"/>
  </cols>
  <sheetData>
    <row r="1" spans="1:39" ht="15">
      <c r="A1" s="838" t="s">
        <v>2747</v>
      </c>
      <c r="B1" s="847" t="s">
        <v>2758</v>
      </c>
      <c r="C1" s="848" t="s">
        <v>2782</v>
      </c>
      <c r="D1" s="854" t="s">
        <v>2783</v>
      </c>
      <c r="E1" s="838" t="s">
        <v>2754</v>
      </c>
      <c r="F1" s="838" t="s">
        <v>2779</v>
      </c>
      <c r="G1" s="838" t="s">
        <v>2778</v>
      </c>
      <c r="H1" s="838" t="s">
        <v>2777</v>
      </c>
      <c r="I1" s="838" t="s">
        <v>2776</v>
      </c>
      <c r="J1" s="838" t="s">
        <v>2775</v>
      </c>
      <c r="K1" s="838" t="s">
        <v>2774</v>
      </c>
      <c r="L1" s="838" t="s">
        <v>2780</v>
      </c>
      <c r="M1" s="838" t="s">
        <v>704</v>
      </c>
      <c r="N1" s="838" t="s">
        <v>705</v>
      </c>
      <c r="O1" s="838" t="s">
        <v>2773</v>
      </c>
      <c r="P1" s="838" t="s">
        <v>2772</v>
      </c>
      <c r="Q1" s="838" t="s">
        <v>2771</v>
      </c>
      <c r="R1" s="838" t="s">
        <v>2770</v>
      </c>
      <c r="S1" s="838" t="s">
        <v>2769</v>
      </c>
      <c r="T1" s="838" t="s">
        <v>2768</v>
      </c>
      <c r="U1" s="838" t="s">
        <v>2767</v>
      </c>
      <c r="V1" s="838" t="s">
        <v>2766</v>
      </c>
      <c r="W1" s="838" t="s">
        <v>2765</v>
      </c>
      <c r="X1" s="838" t="s">
        <v>2764</v>
      </c>
      <c r="Y1" s="838" t="s">
        <v>2763</v>
      </c>
      <c r="Z1" s="838" t="s">
        <v>2762</v>
      </c>
      <c r="AA1" s="838" t="s">
        <v>2761</v>
      </c>
      <c r="AB1" s="838" t="s">
        <v>2760</v>
      </c>
      <c r="AC1" s="838" t="s">
        <v>2759</v>
      </c>
      <c r="AD1" s="838" t="s">
        <v>2757</v>
      </c>
      <c r="AE1" s="838" t="s">
        <v>2756</v>
      </c>
      <c r="AF1" s="838" t="s">
        <v>2755</v>
      </c>
      <c r="AG1" s="838" t="s">
        <v>2753</v>
      </c>
      <c r="AH1" s="838" t="s">
        <v>2752</v>
      </c>
      <c r="AI1" s="838" t="s">
        <v>2751</v>
      </c>
      <c r="AJ1" s="838" t="s">
        <v>2750</v>
      </c>
      <c r="AK1" s="838" t="s">
        <v>2749</v>
      </c>
      <c r="AL1" s="838" t="s">
        <v>2748</v>
      </c>
      <c r="AM1" s="838" t="s">
        <v>2746</v>
      </c>
    </row>
    <row r="2" spans="1:39" ht="15">
      <c r="A2" s="830" t="s">
        <v>2739</v>
      </c>
      <c r="B2" s="855">
        <v>9462000</v>
      </c>
      <c r="C2" s="849">
        <v>0.25</v>
      </c>
      <c r="D2" s="855">
        <f>C2*B2</f>
        <v>2365500</v>
      </c>
      <c r="E2" s="830" t="s">
        <v>1879</v>
      </c>
      <c r="F2" s="830" t="s">
        <v>2495</v>
      </c>
      <c r="G2" s="830" t="s">
        <v>2745</v>
      </c>
      <c r="H2" s="830" t="s">
        <v>2744</v>
      </c>
      <c r="I2" s="829" t="b">
        <v>1</v>
      </c>
      <c r="J2" s="829">
        <v>1</v>
      </c>
      <c r="K2" s="830" t="s">
        <v>2743</v>
      </c>
      <c r="L2" s="830">
        <v>2008</v>
      </c>
      <c r="M2" s="837">
        <v>39266</v>
      </c>
      <c r="N2" s="837">
        <v>39940</v>
      </c>
      <c r="O2" s="835"/>
      <c r="P2" s="829">
        <v>1138</v>
      </c>
      <c r="R2" s="845">
        <v>200000000</v>
      </c>
      <c r="S2" s="836">
        <v>5000000</v>
      </c>
      <c r="T2" s="834">
        <v>400000</v>
      </c>
      <c r="V2" s="844"/>
      <c r="W2" s="833">
        <v>4</v>
      </c>
      <c r="X2" s="833">
        <v>1</v>
      </c>
      <c r="Y2" s="830" t="s">
        <v>2742</v>
      </c>
      <c r="Z2" s="830" t="s">
        <v>2741</v>
      </c>
      <c r="AC2" s="832">
        <v>240000</v>
      </c>
      <c r="AD2" s="830" t="s">
        <v>2740</v>
      </c>
      <c r="AE2" s="829">
        <v>2007</v>
      </c>
      <c r="AF2" s="829">
        <v>45</v>
      </c>
      <c r="AG2" s="830" t="s">
        <v>2488</v>
      </c>
      <c r="AH2" s="830" t="s">
        <v>2488</v>
      </c>
      <c r="AI2" s="830" t="s">
        <v>2488</v>
      </c>
      <c r="AJ2" s="829">
        <v>25</v>
      </c>
      <c r="AK2" s="829">
        <v>3</v>
      </c>
      <c r="AL2" s="829">
        <v>9</v>
      </c>
      <c r="AM2" s="829">
        <v>1405</v>
      </c>
    </row>
    <row r="3" spans="1:39" ht="15">
      <c r="A3" s="857" t="s">
        <v>1328</v>
      </c>
      <c r="B3" s="855">
        <v>7498940</v>
      </c>
      <c r="C3" s="849">
        <v>0.8</v>
      </c>
      <c r="D3" s="855">
        <f t="shared" ref="D3:D59" si="0">C3*B3</f>
        <v>5999152</v>
      </c>
      <c r="E3" s="830" t="s">
        <v>1992</v>
      </c>
      <c r="F3" s="830" t="s">
        <v>2495</v>
      </c>
      <c r="G3" s="830" t="s">
        <v>2738</v>
      </c>
      <c r="H3" s="830" t="s">
        <v>2737</v>
      </c>
      <c r="I3" s="829" t="b">
        <v>1</v>
      </c>
      <c r="J3" s="829">
        <v>1</v>
      </c>
      <c r="K3" s="830" t="s">
        <v>2736</v>
      </c>
      <c r="L3" s="830">
        <v>2008</v>
      </c>
      <c r="M3" s="837">
        <v>39277</v>
      </c>
      <c r="N3" s="837">
        <v>40256</v>
      </c>
      <c r="O3" s="829">
        <v>335</v>
      </c>
      <c r="P3" s="829">
        <v>90</v>
      </c>
      <c r="R3" s="845">
        <v>500000</v>
      </c>
      <c r="S3" s="834">
        <v>208520</v>
      </c>
      <c r="T3" s="834">
        <v>200000</v>
      </c>
      <c r="U3" s="833">
        <v>21</v>
      </c>
      <c r="V3" s="833">
        <v>1500</v>
      </c>
      <c r="X3" s="833">
        <v>1</v>
      </c>
      <c r="Y3" s="830" t="s">
        <v>2735</v>
      </c>
      <c r="Z3" s="830" t="s">
        <v>2734</v>
      </c>
      <c r="AA3" s="833">
        <v>1</v>
      </c>
      <c r="AB3" s="833">
        <v>1</v>
      </c>
      <c r="AC3" s="832">
        <v>549000</v>
      </c>
      <c r="AD3" s="830" t="s">
        <v>2733</v>
      </c>
      <c r="AE3" s="829">
        <v>2007</v>
      </c>
      <c r="AF3" s="829">
        <v>208</v>
      </c>
      <c r="AG3" s="830" t="s">
        <v>2488</v>
      </c>
      <c r="AH3" s="830" t="s">
        <v>2488</v>
      </c>
      <c r="AI3" s="830" t="s">
        <v>2488</v>
      </c>
      <c r="AJ3" s="829">
        <v>25</v>
      </c>
      <c r="AK3" s="829">
        <v>1</v>
      </c>
      <c r="AL3" s="829">
        <v>2</v>
      </c>
      <c r="AM3" s="829">
        <v>1433</v>
      </c>
    </row>
    <row r="4" spans="1:39" ht="30">
      <c r="A4" s="857" t="s">
        <v>2487</v>
      </c>
      <c r="B4" s="855">
        <v>2344464</v>
      </c>
      <c r="C4" s="849">
        <v>1</v>
      </c>
      <c r="D4" s="855">
        <f t="shared" si="0"/>
        <v>2344464</v>
      </c>
      <c r="E4" s="830" t="s">
        <v>35</v>
      </c>
      <c r="F4" s="830" t="s">
        <v>2495</v>
      </c>
      <c r="G4" s="830" t="s">
        <v>2732</v>
      </c>
      <c r="H4" s="830" t="s">
        <v>427</v>
      </c>
      <c r="I4" s="829" t="b">
        <v>1</v>
      </c>
      <c r="J4" s="829">
        <v>1</v>
      </c>
      <c r="K4" s="830" t="s">
        <v>2731</v>
      </c>
      <c r="L4" s="830">
        <v>2008</v>
      </c>
      <c r="M4" s="837">
        <v>39291</v>
      </c>
      <c r="N4" s="837">
        <v>39960</v>
      </c>
      <c r="O4" s="843">
        <v>94</v>
      </c>
      <c r="P4" s="829">
        <v>214</v>
      </c>
      <c r="Q4" s="829">
        <v>4</v>
      </c>
      <c r="R4" s="834">
        <v>640658</v>
      </c>
      <c r="S4" s="836">
        <v>129385</v>
      </c>
      <c r="T4" s="834">
        <v>150000</v>
      </c>
      <c r="U4" s="833">
        <v>107</v>
      </c>
      <c r="V4" s="843">
        <v>2700</v>
      </c>
      <c r="W4" s="833">
        <v>1</v>
      </c>
      <c r="X4" s="833">
        <v>1</v>
      </c>
      <c r="Y4" s="830" t="s">
        <v>2498</v>
      </c>
      <c r="Z4" s="830" t="s">
        <v>2730</v>
      </c>
      <c r="AC4" s="832">
        <v>250000</v>
      </c>
      <c r="AD4" s="830" t="s">
        <v>2729</v>
      </c>
      <c r="AE4" s="829">
        <v>2007</v>
      </c>
      <c r="AF4" s="829">
        <v>155</v>
      </c>
      <c r="AG4" s="830" t="s">
        <v>2488</v>
      </c>
      <c r="AH4" s="830" t="s">
        <v>2488</v>
      </c>
      <c r="AI4" s="830" t="s">
        <v>2488</v>
      </c>
      <c r="AJ4" s="829">
        <v>25</v>
      </c>
      <c r="AK4" s="829">
        <v>3</v>
      </c>
      <c r="AL4" s="829">
        <v>11</v>
      </c>
      <c r="AM4" s="829">
        <v>1446</v>
      </c>
    </row>
    <row r="5" spans="1:39" ht="30">
      <c r="A5" s="857" t="s">
        <v>2723</v>
      </c>
      <c r="B5" s="855">
        <v>5451295</v>
      </c>
      <c r="C5" s="849">
        <v>1.05</v>
      </c>
      <c r="D5" s="855">
        <f t="shared" si="0"/>
        <v>5723859.75</v>
      </c>
      <c r="E5" s="830" t="s">
        <v>2724</v>
      </c>
      <c r="F5" s="830" t="s">
        <v>2495</v>
      </c>
      <c r="G5" s="830" t="s">
        <v>2728</v>
      </c>
      <c r="H5" s="830" t="s">
        <v>2727</v>
      </c>
      <c r="I5" s="829" t="b">
        <v>0</v>
      </c>
      <c r="J5" s="829">
        <v>1</v>
      </c>
      <c r="K5" s="830" t="s">
        <v>2488</v>
      </c>
      <c r="L5" s="830">
        <v>2008</v>
      </c>
      <c r="M5" s="837">
        <v>39306</v>
      </c>
      <c r="N5" s="837">
        <v>39834</v>
      </c>
      <c r="O5" s="833">
        <v>518</v>
      </c>
      <c r="P5" s="843">
        <v>454</v>
      </c>
      <c r="Q5" s="843">
        <v>156</v>
      </c>
      <c r="R5" s="834">
        <v>960000</v>
      </c>
      <c r="S5" s="845">
        <v>170000</v>
      </c>
      <c r="T5" s="834">
        <v>3700000</v>
      </c>
      <c r="V5" s="833">
        <v>14293</v>
      </c>
      <c r="W5" s="833">
        <v>1</v>
      </c>
      <c r="Y5" s="830" t="s">
        <v>2488</v>
      </c>
      <c r="Z5" s="830" t="s">
        <v>2726</v>
      </c>
      <c r="AC5" s="832">
        <v>250000</v>
      </c>
      <c r="AD5" s="830" t="s">
        <v>2725</v>
      </c>
      <c r="AE5" s="829">
        <v>2007</v>
      </c>
      <c r="AF5" s="829">
        <v>165</v>
      </c>
      <c r="AG5" s="830" t="s">
        <v>2488</v>
      </c>
      <c r="AH5" s="830" t="s">
        <v>2488</v>
      </c>
      <c r="AI5" s="830" t="s">
        <v>2488</v>
      </c>
      <c r="AJ5" s="829">
        <v>25</v>
      </c>
      <c r="AK5" s="829">
        <v>3</v>
      </c>
      <c r="AL5" s="829">
        <v>9</v>
      </c>
      <c r="AM5" s="829">
        <v>1498</v>
      </c>
    </row>
    <row r="6" spans="1:39" ht="30">
      <c r="A6" s="857" t="s">
        <v>1325</v>
      </c>
      <c r="B6" s="855">
        <v>11413603</v>
      </c>
      <c r="C6" s="849">
        <v>0.69</v>
      </c>
      <c r="D6" s="855">
        <f t="shared" si="0"/>
        <v>7875386.0699999994</v>
      </c>
      <c r="E6" s="830" t="s">
        <v>1116</v>
      </c>
      <c r="F6" s="830" t="s">
        <v>2495</v>
      </c>
      <c r="G6" s="830" t="s">
        <v>2722</v>
      </c>
      <c r="H6" s="830" t="s">
        <v>1326</v>
      </c>
      <c r="I6" s="829" t="b">
        <v>1</v>
      </c>
      <c r="J6" s="829">
        <v>1</v>
      </c>
      <c r="K6" s="830" t="s">
        <v>2721</v>
      </c>
      <c r="L6" s="830">
        <v>2008</v>
      </c>
      <c r="M6" s="837">
        <v>39307</v>
      </c>
      <c r="N6" s="837">
        <v>40192</v>
      </c>
      <c r="O6" s="833">
        <v>1852</v>
      </c>
      <c r="P6" s="843">
        <v>2</v>
      </c>
      <c r="R6" s="836">
        <v>435070</v>
      </c>
      <c r="S6" s="834">
        <v>58000</v>
      </c>
      <c r="T6" s="834">
        <v>125000</v>
      </c>
      <c r="W6" s="833">
        <v>1</v>
      </c>
      <c r="Y6" s="830" t="s">
        <v>2488</v>
      </c>
      <c r="Z6" s="830" t="s">
        <v>2720</v>
      </c>
      <c r="AA6" s="833">
        <v>1</v>
      </c>
      <c r="AB6" s="833">
        <v>1</v>
      </c>
      <c r="AC6" s="832">
        <v>174197</v>
      </c>
      <c r="AD6" s="830" t="s">
        <v>2719</v>
      </c>
      <c r="AE6" s="829">
        <v>2007</v>
      </c>
      <c r="AF6" s="829">
        <v>230</v>
      </c>
      <c r="AG6" s="830" t="s">
        <v>2488</v>
      </c>
      <c r="AH6" s="830" t="s">
        <v>2488</v>
      </c>
      <c r="AI6" s="830" t="s">
        <v>2488</v>
      </c>
      <c r="AJ6" s="829">
        <v>25</v>
      </c>
      <c r="AK6" s="829">
        <v>1</v>
      </c>
      <c r="AL6" s="829">
        <v>2</v>
      </c>
      <c r="AM6" s="829">
        <v>1478</v>
      </c>
    </row>
    <row r="7" spans="1:39" ht="105">
      <c r="A7" s="857" t="s">
        <v>443</v>
      </c>
      <c r="B7" s="855">
        <v>2927000</v>
      </c>
      <c r="C7" s="849">
        <v>0.98</v>
      </c>
      <c r="D7" s="855">
        <f t="shared" si="0"/>
        <v>2868460</v>
      </c>
      <c r="E7" s="830" t="s">
        <v>1949</v>
      </c>
      <c r="F7" s="830" t="s">
        <v>2495</v>
      </c>
      <c r="G7" s="830" t="s">
        <v>36</v>
      </c>
      <c r="H7" s="830" t="s">
        <v>2712</v>
      </c>
      <c r="I7" s="829" t="b">
        <v>1</v>
      </c>
      <c r="J7" s="829">
        <v>1</v>
      </c>
      <c r="K7" s="830" t="s">
        <v>2711</v>
      </c>
      <c r="L7" s="830">
        <v>2008</v>
      </c>
      <c r="M7" s="837">
        <v>39309</v>
      </c>
      <c r="N7" s="837">
        <v>40030</v>
      </c>
      <c r="P7" s="833">
        <v>9</v>
      </c>
      <c r="R7" s="845">
        <v>113530</v>
      </c>
      <c r="S7" s="836">
        <v>1000</v>
      </c>
      <c r="T7" s="834">
        <v>113530</v>
      </c>
      <c r="V7" s="835"/>
      <c r="X7" s="833">
        <v>2</v>
      </c>
      <c r="Y7" s="830" t="s">
        <v>2583</v>
      </c>
      <c r="Z7" s="830" t="s">
        <v>2710</v>
      </c>
      <c r="AC7" s="832">
        <v>150000</v>
      </c>
      <c r="AD7" s="830" t="s">
        <v>2709</v>
      </c>
      <c r="AE7" s="829">
        <v>2007</v>
      </c>
      <c r="AF7" s="829">
        <v>61</v>
      </c>
      <c r="AG7" s="830" t="s">
        <v>2488</v>
      </c>
      <c r="AH7" s="830" t="s">
        <v>2488</v>
      </c>
      <c r="AI7" s="830" t="s">
        <v>2488</v>
      </c>
      <c r="AJ7" s="829">
        <v>36</v>
      </c>
      <c r="AK7" s="829">
        <v>2</v>
      </c>
      <c r="AL7" s="829">
        <v>5</v>
      </c>
      <c r="AM7" s="829">
        <v>1481</v>
      </c>
    </row>
    <row r="8" spans="1:39" ht="60">
      <c r="A8" s="857" t="s">
        <v>426</v>
      </c>
      <c r="B8" s="855">
        <v>10468864.039999999</v>
      </c>
      <c r="C8" s="849">
        <v>1</v>
      </c>
      <c r="D8" s="855">
        <f t="shared" si="0"/>
        <v>10468864.039999999</v>
      </c>
      <c r="E8" s="830" t="s">
        <v>1655</v>
      </c>
      <c r="F8" s="830" t="s">
        <v>2495</v>
      </c>
      <c r="G8" s="830" t="s">
        <v>2718</v>
      </c>
      <c r="H8" s="830" t="s">
        <v>428</v>
      </c>
      <c r="I8" s="829" t="b">
        <v>1</v>
      </c>
      <c r="J8" s="829">
        <v>26</v>
      </c>
      <c r="K8" s="830" t="s">
        <v>2717</v>
      </c>
      <c r="L8" s="830">
        <v>2008</v>
      </c>
      <c r="M8" s="837">
        <v>39309</v>
      </c>
      <c r="N8" s="837">
        <v>40352</v>
      </c>
      <c r="O8" s="833">
        <v>21800</v>
      </c>
      <c r="P8" s="833">
        <v>595</v>
      </c>
      <c r="Q8" s="833">
        <v>318</v>
      </c>
      <c r="R8" s="836">
        <v>655674</v>
      </c>
      <c r="S8" s="844"/>
      <c r="T8" s="834">
        <v>37500</v>
      </c>
      <c r="U8" s="833">
        <v>80</v>
      </c>
      <c r="V8" s="829">
        <v>530</v>
      </c>
      <c r="W8" s="833">
        <v>1</v>
      </c>
      <c r="X8" s="833">
        <v>3</v>
      </c>
      <c r="Y8" s="830" t="s">
        <v>2529</v>
      </c>
      <c r="Z8" s="830" t="s">
        <v>2716</v>
      </c>
      <c r="AB8" s="833">
        <v>2</v>
      </c>
      <c r="AC8" s="832">
        <v>250000</v>
      </c>
      <c r="AD8" s="830" t="s">
        <v>2715</v>
      </c>
      <c r="AE8" s="829">
        <v>2007</v>
      </c>
      <c r="AF8" s="829">
        <v>174</v>
      </c>
      <c r="AG8" s="830" t="s">
        <v>2714</v>
      </c>
      <c r="AH8" s="830" t="s">
        <v>2713</v>
      </c>
      <c r="AI8" s="830" t="s">
        <v>2488</v>
      </c>
      <c r="AJ8" s="829">
        <v>19</v>
      </c>
      <c r="AK8" s="829">
        <v>2</v>
      </c>
      <c r="AL8" s="829">
        <v>8</v>
      </c>
      <c r="AM8" s="829">
        <v>1482</v>
      </c>
    </row>
    <row r="9" spans="1:39" ht="75">
      <c r="A9" s="830" t="s">
        <v>2488</v>
      </c>
      <c r="B9" s="855"/>
      <c r="C9" s="850"/>
      <c r="D9" s="855">
        <f t="shared" si="0"/>
        <v>0</v>
      </c>
      <c r="E9" s="830" t="s">
        <v>2706</v>
      </c>
      <c r="F9" s="830" t="s">
        <v>2495</v>
      </c>
      <c r="G9" s="830" t="s">
        <v>36</v>
      </c>
      <c r="H9" s="830" t="s">
        <v>2488</v>
      </c>
      <c r="I9" s="829" t="b">
        <v>1</v>
      </c>
      <c r="J9" s="829">
        <v>1</v>
      </c>
      <c r="K9" s="830" t="s">
        <v>2708</v>
      </c>
      <c r="L9" s="830">
        <v>2008</v>
      </c>
      <c r="M9" s="837">
        <v>39311</v>
      </c>
      <c r="N9" s="837">
        <v>39372</v>
      </c>
      <c r="O9" s="844"/>
      <c r="P9" s="844"/>
      <c r="Q9" s="844"/>
      <c r="R9" s="835"/>
      <c r="S9" s="845">
        <v>2500</v>
      </c>
      <c r="T9" s="844"/>
      <c r="U9" s="829">
        <v>6</v>
      </c>
      <c r="V9" s="829">
        <v>30</v>
      </c>
      <c r="W9" s="844"/>
      <c r="X9" s="843">
        <v>1</v>
      </c>
      <c r="Y9" s="830" t="s">
        <v>1076</v>
      </c>
      <c r="Z9" s="830" t="s">
        <v>2576</v>
      </c>
      <c r="AA9" s="844"/>
      <c r="AB9" s="844"/>
      <c r="AC9" s="844"/>
      <c r="AD9" s="830" t="s">
        <v>2707</v>
      </c>
      <c r="AE9" s="829">
        <v>2007</v>
      </c>
      <c r="AF9" s="829">
        <v>41</v>
      </c>
      <c r="AG9" s="830" t="s">
        <v>2488</v>
      </c>
      <c r="AH9" s="830" t="s">
        <v>2488</v>
      </c>
      <c r="AI9" s="830" t="s">
        <v>2488</v>
      </c>
      <c r="AJ9" s="829">
        <v>36</v>
      </c>
      <c r="AK9" s="829">
        <v>2</v>
      </c>
      <c r="AL9" s="829">
        <v>5</v>
      </c>
      <c r="AM9" s="829">
        <v>1490</v>
      </c>
    </row>
    <row r="10" spans="1:39" ht="15">
      <c r="A10" s="857" t="s">
        <v>2702</v>
      </c>
      <c r="B10" s="855">
        <v>941088</v>
      </c>
      <c r="C10" s="849">
        <v>0.86</v>
      </c>
      <c r="D10" s="855">
        <f t="shared" si="0"/>
        <v>809335.67999999993</v>
      </c>
      <c r="E10" s="830" t="s">
        <v>1873</v>
      </c>
      <c r="F10" s="830" t="s">
        <v>2495</v>
      </c>
      <c r="G10" s="830" t="s">
        <v>2705</v>
      </c>
      <c r="H10" s="830" t="s">
        <v>2704</v>
      </c>
      <c r="I10" s="829" t="b">
        <v>0</v>
      </c>
      <c r="J10" s="829">
        <v>1</v>
      </c>
      <c r="K10" s="830" t="s">
        <v>2488</v>
      </c>
      <c r="L10" s="830">
        <v>2008</v>
      </c>
      <c r="M10" s="837">
        <v>39324</v>
      </c>
      <c r="N10" s="837">
        <v>39932</v>
      </c>
      <c r="O10" s="833">
        <v>82956</v>
      </c>
      <c r="P10" s="833">
        <v>952</v>
      </c>
      <c r="R10" s="834">
        <v>850000</v>
      </c>
      <c r="S10" s="834">
        <v>130000</v>
      </c>
      <c r="T10" s="834">
        <v>39080</v>
      </c>
      <c r="Y10" s="830" t="s">
        <v>2488</v>
      </c>
      <c r="Z10" s="830" t="s">
        <v>2703</v>
      </c>
      <c r="AC10" s="832">
        <v>99654</v>
      </c>
      <c r="AD10" s="830" t="s">
        <v>2556</v>
      </c>
      <c r="AE10" s="829">
        <v>2007</v>
      </c>
      <c r="AF10" s="829">
        <v>69</v>
      </c>
      <c r="AG10" s="830" t="s">
        <v>2488</v>
      </c>
      <c r="AH10" s="830" t="s">
        <v>2488</v>
      </c>
      <c r="AI10" s="830" t="s">
        <v>2488</v>
      </c>
      <c r="AJ10" s="829">
        <v>20</v>
      </c>
      <c r="AK10" s="829">
        <v>1</v>
      </c>
      <c r="AL10" s="829">
        <v>2</v>
      </c>
      <c r="AM10" s="829">
        <v>1499</v>
      </c>
    </row>
    <row r="11" spans="1:39" ht="30">
      <c r="A11" s="830" t="s">
        <v>2488</v>
      </c>
      <c r="B11" s="855"/>
      <c r="D11" s="855">
        <f t="shared" si="0"/>
        <v>0</v>
      </c>
      <c r="E11" s="830" t="s">
        <v>2699</v>
      </c>
      <c r="F11" s="830" t="s">
        <v>2495</v>
      </c>
      <c r="G11" s="830" t="s">
        <v>1111</v>
      </c>
      <c r="H11" s="830" t="s">
        <v>2701</v>
      </c>
      <c r="I11" s="829" t="b">
        <v>1</v>
      </c>
      <c r="J11" s="829">
        <v>1</v>
      </c>
      <c r="K11" s="830" t="s">
        <v>2700</v>
      </c>
      <c r="L11" s="830">
        <v>2008</v>
      </c>
      <c r="M11" s="837">
        <v>39325</v>
      </c>
      <c r="N11" s="837">
        <v>39326</v>
      </c>
      <c r="O11" s="844"/>
      <c r="P11" s="844"/>
      <c r="R11" s="835"/>
      <c r="S11" s="835"/>
      <c r="X11" s="833">
        <v>1</v>
      </c>
      <c r="Y11" s="830" t="s">
        <v>2599</v>
      </c>
      <c r="Z11" s="830" t="s">
        <v>2576</v>
      </c>
      <c r="AD11" s="830" t="s">
        <v>2697</v>
      </c>
      <c r="AE11" s="829">
        <v>2007</v>
      </c>
      <c r="AF11" s="829">
        <v>224</v>
      </c>
      <c r="AG11" s="830" t="s">
        <v>2488</v>
      </c>
      <c r="AH11" s="830" t="s">
        <v>2488</v>
      </c>
      <c r="AI11" s="830" t="s">
        <v>2488</v>
      </c>
      <c r="AJ11" s="829">
        <v>36</v>
      </c>
      <c r="AK11" s="829">
        <v>2</v>
      </c>
      <c r="AL11" s="829">
        <v>5</v>
      </c>
      <c r="AM11" s="829">
        <v>1513</v>
      </c>
    </row>
    <row r="12" spans="1:39" ht="30">
      <c r="A12" s="830" t="s">
        <v>2488</v>
      </c>
      <c r="B12" s="855"/>
      <c r="D12" s="855">
        <f t="shared" si="0"/>
        <v>0</v>
      </c>
      <c r="E12" s="830" t="s">
        <v>2696</v>
      </c>
      <c r="F12" s="830" t="s">
        <v>2495</v>
      </c>
      <c r="G12" s="830" t="s">
        <v>1111</v>
      </c>
      <c r="H12" s="830" t="s">
        <v>2488</v>
      </c>
      <c r="I12" s="829" t="b">
        <v>1</v>
      </c>
      <c r="J12" s="829">
        <v>1</v>
      </c>
      <c r="K12" s="830" t="s">
        <v>2698</v>
      </c>
      <c r="L12" s="830">
        <v>2008</v>
      </c>
      <c r="M12" s="837">
        <v>39326</v>
      </c>
      <c r="N12" s="837">
        <v>39327</v>
      </c>
      <c r="O12" s="844"/>
      <c r="P12" s="844"/>
      <c r="Q12" s="844"/>
      <c r="S12" s="844"/>
      <c r="Y12" s="830" t="s">
        <v>2488</v>
      </c>
      <c r="Z12" s="830" t="s">
        <v>2576</v>
      </c>
      <c r="AD12" s="830" t="s">
        <v>2697</v>
      </c>
      <c r="AE12" s="829">
        <v>2007</v>
      </c>
      <c r="AF12" s="829">
        <v>12</v>
      </c>
      <c r="AG12" s="830" t="s">
        <v>2488</v>
      </c>
      <c r="AH12" s="830" t="s">
        <v>2488</v>
      </c>
      <c r="AI12" s="830" t="s">
        <v>2488</v>
      </c>
      <c r="AJ12" s="829">
        <v>36</v>
      </c>
      <c r="AK12" s="829">
        <v>2</v>
      </c>
      <c r="AL12" s="829">
        <v>5</v>
      </c>
      <c r="AM12" s="829">
        <v>1515</v>
      </c>
    </row>
    <row r="13" spans="1:39" ht="120">
      <c r="A13" s="858" t="s">
        <v>439</v>
      </c>
      <c r="B13" s="855">
        <v>1371000</v>
      </c>
      <c r="C13" s="849">
        <v>0.96</v>
      </c>
      <c r="D13" s="855">
        <f t="shared" si="0"/>
        <v>1316160</v>
      </c>
      <c r="E13" s="830" t="s">
        <v>1886</v>
      </c>
      <c r="F13" s="830" t="s">
        <v>2495</v>
      </c>
      <c r="G13" s="830" t="s">
        <v>1111</v>
      </c>
      <c r="H13" s="830" t="s">
        <v>2695</v>
      </c>
      <c r="I13" s="829" t="b">
        <v>1</v>
      </c>
      <c r="J13" s="829">
        <v>1</v>
      </c>
      <c r="K13" s="830" t="s">
        <v>2694</v>
      </c>
      <c r="L13" s="830">
        <v>2008</v>
      </c>
      <c r="M13" s="837">
        <v>39328</v>
      </c>
      <c r="N13" s="837">
        <v>40007</v>
      </c>
      <c r="R13" s="834">
        <v>11805</v>
      </c>
      <c r="S13" s="845">
        <v>32216</v>
      </c>
      <c r="T13" s="834">
        <v>31658</v>
      </c>
      <c r="V13" s="843">
        <v>40</v>
      </c>
      <c r="W13" s="833">
        <v>1</v>
      </c>
      <c r="X13" s="833">
        <v>2</v>
      </c>
      <c r="Y13" s="830" t="s">
        <v>2693</v>
      </c>
      <c r="Z13" s="830" t="s">
        <v>2488</v>
      </c>
      <c r="AC13" s="832">
        <v>200000</v>
      </c>
      <c r="AD13" s="830" t="s">
        <v>2692</v>
      </c>
      <c r="AE13" s="829">
        <v>2007</v>
      </c>
      <c r="AF13" s="829">
        <v>160</v>
      </c>
      <c r="AG13" s="830" t="s">
        <v>2488</v>
      </c>
      <c r="AH13" s="830" t="s">
        <v>2488</v>
      </c>
      <c r="AI13" s="830" t="s">
        <v>2488</v>
      </c>
      <c r="AJ13" s="829">
        <v>36</v>
      </c>
      <c r="AK13" s="829">
        <v>2</v>
      </c>
      <c r="AL13" s="829">
        <v>6</v>
      </c>
      <c r="AM13" s="829">
        <v>1519</v>
      </c>
    </row>
    <row r="14" spans="1:39" ht="45">
      <c r="A14" s="858" t="s">
        <v>1323</v>
      </c>
      <c r="B14" s="855">
        <v>3922365</v>
      </c>
      <c r="C14" s="849">
        <v>0.95</v>
      </c>
      <c r="D14" s="855">
        <f t="shared" si="0"/>
        <v>3726246.75</v>
      </c>
      <c r="E14" s="830" t="s">
        <v>2686</v>
      </c>
      <c r="F14" s="830" t="s">
        <v>2495</v>
      </c>
      <c r="G14" s="830" t="s">
        <v>2691</v>
      </c>
      <c r="H14" s="830" t="s">
        <v>2690</v>
      </c>
      <c r="I14" s="829" t="b">
        <v>0</v>
      </c>
      <c r="J14" s="829">
        <v>1</v>
      </c>
      <c r="K14" s="830" t="s">
        <v>2689</v>
      </c>
      <c r="L14" s="830">
        <v>2008</v>
      </c>
      <c r="M14" s="837">
        <v>39342</v>
      </c>
      <c r="N14" s="837">
        <v>39762</v>
      </c>
      <c r="O14" s="835"/>
      <c r="P14" s="829">
        <v>30</v>
      </c>
      <c r="R14" s="836">
        <v>200000</v>
      </c>
      <c r="S14" s="834">
        <v>40000</v>
      </c>
      <c r="T14" s="834">
        <v>94826</v>
      </c>
      <c r="V14" s="835"/>
      <c r="W14" s="833">
        <v>1</v>
      </c>
      <c r="X14" s="833">
        <v>1</v>
      </c>
      <c r="Y14" s="830" t="s">
        <v>2498</v>
      </c>
      <c r="Z14" s="830" t="s">
        <v>2688</v>
      </c>
      <c r="AA14" s="833">
        <v>1</v>
      </c>
      <c r="AC14" s="832">
        <v>226065</v>
      </c>
      <c r="AD14" s="830" t="s">
        <v>2687</v>
      </c>
      <c r="AE14" s="829">
        <v>2007</v>
      </c>
      <c r="AF14" s="829">
        <v>82</v>
      </c>
      <c r="AG14" s="830" t="s">
        <v>2488</v>
      </c>
      <c r="AH14" s="830" t="s">
        <v>2488</v>
      </c>
      <c r="AI14" s="830" t="s">
        <v>2488</v>
      </c>
      <c r="AJ14" s="829">
        <v>25</v>
      </c>
      <c r="AK14" s="829">
        <v>1</v>
      </c>
      <c r="AL14" s="829">
        <v>4</v>
      </c>
      <c r="AM14" s="829">
        <v>1566</v>
      </c>
    </row>
    <row r="15" spans="1:39" ht="15">
      <c r="A15" s="857" t="s">
        <v>201</v>
      </c>
      <c r="B15" s="855">
        <v>3231507</v>
      </c>
      <c r="C15" s="849">
        <v>0.77</v>
      </c>
      <c r="D15" s="855">
        <f t="shared" si="0"/>
        <v>2488260.39</v>
      </c>
      <c r="E15" s="830" t="s">
        <v>1947</v>
      </c>
      <c r="F15" s="830" t="s">
        <v>2495</v>
      </c>
      <c r="G15" s="830" t="s">
        <v>894</v>
      </c>
      <c r="H15" s="830" t="s">
        <v>2685</v>
      </c>
      <c r="I15" s="829" t="b">
        <v>1</v>
      </c>
      <c r="J15" s="829">
        <v>8</v>
      </c>
      <c r="K15" s="830" t="s">
        <v>2684</v>
      </c>
      <c r="L15" s="830">
        <v>2008</v>
      </c>
      <c r="M15" s="837">
        <v>39356</v>
      </c>
      <c r="N15" s="837">
        <v>39829</v>
      </c>
      <c r="O15" s="833">
        <v>51</v>
      </c>
      <c r="P15" s="833">
        <v>103</v>
      </c>
      <c r="Q15" s="833">
        <v>12</v>
      </c>
      <c r="R15" s="834">
        <v>2000000</v>
      </c>
      <c r="S15" s="836">
        <v>300000</v>
      </c>
      <c r="T15" s="834">
        <v>193000</v>
      </c>
      <c r="V15" s="844"/>
      <c r="W15" s="833">
        <v>1</v>
      </c>
      <c r="Y15" s="830" t="s">
        <v>2488</v>
      </c>
      <c r="Z15" s="830" t="s">
        <v>2683</v>
      </c>
      <c r="AC15" s="832">
        <v>200000</v>
      </c>
      <c r="AD15" s="830" t="s">
        <v>2682</v>
      </c>
      <c r="AE15" s="829">
        <v>2007</v>
      </c>
      <c r="AF15" s="829">
        <v>240</v>
      </c>
      <c r="AG15" s="830" t="s">
        <v>2488</v>
      </c>
      <c r="AH15" s="830" t="s">
        <v>2488</v>
      </c>
      <c r="AI15" s="830" t="s">
        <v>2488</v>
      </c>
      <c r="AJ15" s="829">
        <v>36</v>
      </c>
      <c r="AK15" s="829">
        <v>3</v>
      </c>
      <c r="AL15" s="829">
        <v>12</v>
      </c>
      <c r="AM15" s="829">
        <v>1588</v>
      </c>
    </row>
    <row r="16" spans="1:39" ht="45">
      <c r="A16" s="857" t="s">
        <v>432</v>
      </c>
      <c r="B16" s="855">
        <v>1898867</v>
      </c>
      <c r="C16" s="849">
        <v>1</v>
      </c>
      <c r="D16" s="855">
        <f t="shared" si="0"/>
        <v>1898867</v>
      </c>
      <c r="E16" s="830" t="s">
        <v>1876</v>
      </c>
      <c r="F16" s="830" t="s">
        <v>2495</v>
      </c>
      <c r="G16" s="830" t="s">
        <v>2681</v>
      </c>
      <c r="H16" s="830" t="s">
        <v>433</v>
      </c>
      <c r="I16" s="829" t="b">
        <v>1</v>
      </c>
      <c r="J16" s="829">
        <v>10</v>
      </c>
      <c r="K16" s="830" t="s">
        <v>2680</v>
      </c>
      <c r="L16" s="830">
        <v>2008</v>
      </c>
      <c r="M16" s="837">
        <v>39386</v>
      </c>
      <c r="N16" s="837">
        <v>40211</v>
      </c>
      <c r="P16" s="835"/>
      <c r="Q16" s="833">
        <v>21</v>
      </c>
      <c r="R16" s="834">
        <v>1989969</v>
      </c>
      <c r="S16" s="834">
        <v>126581</v>
      </c>
      <c r="T16" s="834">
        <v>61491</v>
      </c>
      <c r="U16" s="833">
        <v>20</v>
      </c>
      <c r="V16" s="829">
        <v>10000</v>
      </c>
      <c r="W16" s="833">
        <v>1</v>
      </c>
      <c r="X16" s="833">
        <v>2</v>
      </c>
      <c r="Y16" s="830" t="s">
        <v>2542</v>
      </c>
      <c r="Z16" s="830" t="s">
        <v>2679</v>
      </c>
      <c r="AC16" s="832">
        <v>200000</v>
      </c>
      <c r="AD16" s="830" t="s">
        <v>2678</v>
      </c>
      <c r="AE16" s="829">
        <v>2007</v>
      </c>
      <c r="AF16" s="829">
        <v>143</v>
      </c>
      <c r="AG16" s="830" t="s">
        <v>2488</v>
      </c>
      <c r="AH16" s="830" t="s">
        <v>2488</v>
      </c>
      <c r="AI16" s="830" t="s">
        <v>2488</v>
      </c>
      <c r="AJ16" s="829">
        <v>25</v>
      </c>
      <c r="AK16" s="829">
        <v>2</v>
      </c>
      <c r="AL16" s="829">
        <v>7</v>
      </c>
      <c r="AM16" s="829">
        <v>1819</v>
      </c>
    </row>
    <row r="17" spans="1:39" ht="45">
      <c r="A17" s="858" t="s">
        <v>435</v>
      </c>
      <c r="B17" s="855">
        <v>1750541</v>
      </c>
      <c r="C17" s="849">
        <v>1</v>
      </c>
      <c r="D17" s="855">
        <f t="shared" si="0"/>
        <v>1750541</v>
      </c>
      <c r="E17" s="830" t="s">
        <v>2672</v>
      </c>
      <c r="F17" s="830" t="s">
        <v>2495</v>
      </c>
      <c r="G17" s="830" t="s">
        <v>2677</v>
      </c>
      <c r="H17" s="830" t="s">
        <v>2676</v>
      </c>
      <c r="I17" s="829" t="b">
        <v>1</v>
      </c>
      <c r="J17" s="829">
        <v>4</v>
      </c>
      <c r="K17" s="830" t="s">
        <v>2675</v>
      </c>
      <c r="L17" s="830">
        <v>2008</v>
      </c>
      <c r="M17" s="837">
        <v>39387</v>
      </c>
      <c r="N17" s="837">
        <v>39961</v>
      </c>
      <c r="O17" s="835"/>
      <c r="P17" s="829">
        <v>162</v>
      </c>
      <c r="Q17" s="829">
        <v>42</v>
      </c>
      <c r="R17" s="836">
        <v>78752</v>
      </c>
      <c r="S17" s="835"/>
      <c r="T17" s="834">
        <v>52995</v>
      </c>
      <c r="V17" s="833">
        <v>6681</v>
      </c>
      <c r="W17" s="833">
        <v>4</v>
      </c>
      <c r="X17" s="833">
        <v>3</v>
      </c>
      <c r="Y17" s="830" t="s">
        <v>2599</v>
      </c>
      <c r="Z17" s="830" t="s">
        <v>2674</v>
      </c>
      <c r="AC17" s="832">
        <v>480000</v>
      </c>
      <c r="AD17" s="830" t="s">
        <v>2673</v>
      </c>
      <c r="AE17" s="829">
        <v>2007</v>
      </c>
      <c r="AF17" s="829">
        <v>218</v>
      </c>
      <c r="AG17" s="830" t="s">
        <v>2488</v>
      </c>
      <c r="AH17" s="830" t="s">
        <v>2488</v>
      </c>
      <c r="AI17" s="830" t="s">
        <v>2488</v>
      </c>
      <c r="AJ17" s="829">
        <v>36</v>
      </c>
      <c r="AK17" s="829">
        <v>2</v>
      </c>
      <c r="AL17" s="829">
        <v>5</v>
      </c>
      <c r="AM17" s="829">
        <v>1825</v>
      </c>
    </row>
    <row r="18" spans="1:39" ht="15">
      <c r="A18" s="830" t="s">
        <v>2488</v>
      </c>
      <c r="B18" s="855"/>
      <c r="D18" s="855">
        <f t="shared" si="0"/>
        <v>0</v>
      </c>
      <c r="E18" s="830" t="s">
        <v>1589</v>
      </c>
      <c r="F18" s="830" t="s">
        <v>2495</v>
      </c>
      <c r="G18" s="830" t="s">
        <v>889</v>
      </c>
      <c r="H18" s="830" t="s">
        <v>2671</v>
      </c>
      <c r="I18" s="829" t="b">
        <v>0</v>
      </c>
      <c r="J18" s="829">
        <v>1</v>
      </c>
      <c r="K18" s="830" t="s">
        <v>2488</v>
      </c>
      <c r="L18" s="830">
        <v>2008</v>
      </c>
      <c r="M18" s="837">
        <v>39393</v>
      </c>
      <c r="N18" s="837">
        <v>39393</v>
      </c>
      <c r="P18" s="844"/>
      <c r="Q18" s="844"/>
      <c r="R18" s="836">
        <v>17000</v>
      </c>
      <c r="S18" s="845">
        <v>34219</v>
      </c>
      <c r="Y18" s="830" t="s">
        <v>2488</v>
      </c>
      <c r="Z18" s="830" t="s">
        <v>2576</v>
      </c>
      <c r="AD18" s="830" t="s">
        <v>2488</v>
      </c>
      <c r="AE18" s="829">
        <v>2007</v>
      </c>
      <c r="AF18" s="829">
        <v>56</v>
      </c>
      <c r="AG18" s="830" t="s">
        <v>2488</v>
      </c>
      <c r="AH18" s="830" t="s">
        <v>2488</v>
      </c>
      <c r="AI18" s="830" t="s">
        <v>2488</v>
      </c>
      <c r="AJ18" s="829">
        <v>36</v>
      </c>
      <c r="AK18" s="829">
        <v>2</v>
      </c>
      <c r="AL18" s="829">
        <v>5</v>
      </c>
      <c r="AM18" s="829">
        <v>1631</v>
      </c>
    </row>
    <row r="19" spans="1:39" ht="30">
      <c r="A19" s="858" t="s">
        <v>2665</v>
      </c>
      <c r="B19" s="855">
        <v>24483160</v>
      </c>
      <c r="C19" s="849">
        <v>0.8</v>
      </c>
      <c r="D19" s="855">
        <f t="shared" si="0"/>
        <v>19586528</v>
      </c>
      <c r="E19" s="830" t="s">
        <v>1943</v>
      </c>
      <c r="F19" s="830" t="s">
        <v>2495</v>
      </c>
      <c r="G19" s="830" t="s">
        <v>2670</v>
      </c>
      <c r="H19" s="830" t="s">
        <v>2669</v>
      </c>
      <c r="I19" s="829" t="b">
        <v>1</v>
      </c>
      <c r="J19" s="829">
        <v>1</v>
      </c>
      <c r="K19" s="830" t="s">
        <v>2668</v>
      </c>
      <c r="L19" s="830">
        <v>2008</v>
      </c>
      <c r="M19" s="837">
        <v>39399</v>
      </c>
      <c r="N19" s="837">
        <v>40234</v>
      </c>
      <c r="O19" s="843">
        <v>52808</v>
      </c>
      <c r="P19" s="833">
        <v>4400</v>
      </c>
      <c r="Q19" s="833">
        <v>871</v>
      </c>
      <c r="R19" s="834">
        <v>8923259</v>
      </c>
      <c r="S19" s="834">
        <v>1500000</v>
      </c>
      <c r="T19" s="834">
        <v>1215000</v>
      </c>
      <c r="V19" s="833">
        <v>42000</v>
      </c>
      <c r="W19" s="833">
        <v>4</v>
      </c>
      <c r="X19" s="833">
        <v>1</v>
      </c>
      <c r="Y19" s="830" t="s">
        <v>2498</v>
      </c>
      <c r="Z19" s="830" t="s">
        <v>2667</v>
      </c>
      <c r="AA19" s="833">
        <v>1</v>
      </c>
      <c r="AB19" s="833">
        <v>1</v>
      </c>
      <c r="AC19" s="832">
        <v>250000</v>
      </c>
      <c r="AD19" s="830" t="s">
        <v>2666</v>
      </c>
      <c r="AE19" s="829">
        <v>2007</v>
      </c>
      <c r="AF19" s="829">
        <v>18</v>
      </c>
      <c r="AG19" s="830" t="s">
        <v>2488</v>
      </c>
      <c r="AH19" s="830" t="s">
        <v>2488</v>
      </c>
      <c r="AI19" s="830" t="s">
        <v>2488</v>
      </c>
      <c r="AJ19" s="829">
        <v>36</v>
      </c>
      <c r="AK19" s="829">
        <v>3</v>
      </c>
      <c r="AL19" s="829">
        <v>11</v>
      </c>
      <c r="AM19" s="829">
        <v>1625</v>
      </c>
    </row>
    <row r="20" spans="1:39" ht="30">
      <c r="A20" s="857" t="s">
        <v>429</v>
      </c>
      <c r="B20" s="855">
        <v>740642</v>
      </c>
      <c r="C20" s="849">
        <v>0.76</v>
      </c>
      <c r="D20" s="855">
        <f t="shared" si="0"/>
        <v>562887.92000000004</v>
      </c>
      <c r="E20" s="830" t="s">
        <v>898</v>
      </c>
      <c r="F20" s="830" t="s">
        <v>2495</v>
      </c>
      <c r="G20" s="830" t="s">
        <v>899</v>
      </c>
      <c r="H20" s="830" t="s">
        <v>430</v>
      </c>
      <c r="I20" s="829" t="b">
        <v>1</v>
      </c>
      <c r="J20" s="829">
        <v>8</v>
      </c>
      <c r="K20" s="830" t="s">
        <v>2664</v>
      </c>
      <c r="L20" s="830">
        <v>2008</v>
      </c>
      <c r="M20" s="837">
        <v>39403</v>
      </c>
      <c r="N20" s="837">
        <v>39962</v>
      </c>
      <c r="P20" s="833">
        <v>175</v>
      </c>
      <c r="Q20" s="833">
        <v>55</v>
      </c>
      <c r="R20" s="836">
        <v>53000</v>
      </c>
      <c r="S20" s="845">
        <v>13000</v>
      </c>
      <c r="T20" s="834">
        <v>13000</v>
      </c>
      <c r="U20" s="833">
        <v>16</v>
      </c>
      <c r="V20" s="829">
        <v>200</v>
      </c>
      <c r="Y20" s="830" t="s">
        <v>2488</v>
      </c>
      <c r="Z20" s="830" t="s">
        <v>2663</v>
      </c>
      <c r="AC20" s="832">
        <v>25000</v>
      </c>
      <c r="AD20" s="830" t="s">
        <v>2662</v>
      </c>
      <c r="AE20" s="829">
        <v>2007</v>
      </c>
      <c r="AF20" s="829">
        <v>172</v>
      </c>
      <c r="AG20" s="830" t="s">
        <v>2488</v>
      </c>
      <c r="AH20" s="830" t="s">
        <v>2488</v>
      </c>
      <c r="AI20" s="830" t="s">
        <v>2488</v>
      </c>
      <c r="AJ20" s="829">
        <v>36</v>
      </c>
      <c r="AK20" s="829">
        <v>3</v>
      </c>
      <c r="AL20" s="829">
        <v>10</v>
      </c>
      <c r="AM20" s="829">
        <v>1638</v>
      </c>
    </row>
    <row r="21" spans="1:39" ht="60">
      <c r="A21" s="857" t="s">
        <v>2484</v>
      </c>
      <c r="B21" s="855">
        <v>8773852</v>
      </c>
      <c r="C21" s="849">
        <v>0.66</v>
      </c>
      <c r="D21" s="855">
        <f t="shared" si="0"/>
        <v>5790742.3200000003</v>
      </c>
      <c r="E21" s="830" t="s">
        <v>594</v>
      </c>
      <c r="F21" s="830" t="s">
        <v>2495</v>
      </c>
      <c r="G21" s="830" t="s">
        <v>2661</v>
      </c>
      <c r="H21" s="830" t="s">
        <v>2660</v>
      </c>
      <c r="I21" s="829" t="b">
        <v>1</v>
      </c>
      <c r="J21" s="829">
        <v>8</v>
      </c>
      <c r="K21" s="830" t="s">
        <v>2659</v>
      </c>
      <c r="L21" s="830">
        <v>2008</v>
      </c>
      <c r="M21" s="837">
        <v>39458</v>
      </c>
      <c r="N21" s="837">
        <v>39911</v>
      </c>
      <c r="O21" s="835"/>
      <c r="P21" s="843">
        <v>60</v>
      </c>
      <c r="Q21" s="843">
        <v>1</v>
      </c>
      <c r="R21" s="845">
        <v>401650</v>
      </c>
      <c r="S21" s="844"/>
      <c r="T21" s="834">
        <v>154150</v>
      </c>
      <c r="X21" s="833">
        <v>3</v>
      </c>
      <c r="Y21" s="830" t="s">
        <v>2498</v>
      </c>
      <c r="Z21" s="830" t="s">
        <v>2658</v>
      </c>
      <c r="AA21" s="833">
        <v>1</v>
      </c>
      <c r="AC21" s="832">
        <v>1191647</v>
      </c>
      <c r="AD21" s="830" t="s">
        <v>2657</v>
      </c>
      <c r="AE21" s="829">
        <v>2008</v>
      </c>
      <c r="AF21" s="829">
        <v>125</v>
      </c>
      <c r="AG21" s="830" t="s">
        <v>2488</v>
      </c>
      <c r="AH21" s="830" t="s">
        <v>2488</v>
      </c>
      <c r="AI21" s="830" t="s">
        <v>2488</v>
      </c>
      <c r="AJ21" s="829">
        <v>25</v>
      </c>
      <c r="AK21" s="829">
        <v>1</v>
      </c>
      <c r="AL21" s="829">
        <v>3</v>
      </c>
      <c r="AM21" s="829">
        <v>1753</v>
      </c>
    </row>
    <row r="22" spans="1:39" ht="30">
      <c r="A22" s="857" t="s">
        <v>2649</v>
      </c>
      <c r="B22" s="855">
        <v>5377198</v>
      </c>
      <c r="C22" s="849">
        <v>0.47</v>
      </c>
      <c r="D22" s="855">
        <f t="shared" si="0"/>
        <v>2527283.06</v>
      </c>
      <c r="E22" s="830" t="s">
        <v>1005</v>
      </c>
      <c r="F22" s="830" t="s">
        <v>2495</v>
      </c>
      <c r="G22" s="830" t="s">
        <v>2652</v>
      </c>
      <c r="H22" s="830" t="s">
        <v>2488</v>
      </c>
      <c r="I22" s="829" t="b">
        <v>0</v>
      </c>
      <c r="J22" s="829">
        <v>1</v>
      </c>
      <c r="K22" s="830" t="s">
        <v>2488</v>
      </c>
      <c r="L22" s="830">
        <v>2008</v>
      </c>
      <c r="M22" s="837">
        <v>39490</v>
      </c>
      <c r="N22" s="837">
        <v>39957</v>
      </c>
      <c r="R22" s="835"/>
      <c r="S22" s="834">
        <v>10000</v>
      </c>
      <c r="T22" s="845">
        <v>50000</v>
      </c>
      <c r="U22" s="833">
        <v>3200</v>
      </c>
      <c r="V22" s="833">
        <v>10000</v>
      </c>
      <c r="Y22" s="830" t="s">
        <v>2488</v>
      </c>
      <c r="Z22" s="830" t="s">
        <v>2651</v>
      </c>
      <c r="AD22" s="830" t="s">
        <v>2650</v>
      </c>
      <c r="AE22" s="829">
        <v>2008</v>
      </c>
      <c r="AF22" s="829">
        <v>104</v>
      </c>
      <c r="AG22" s="830" t="s">
        <v>2488</v>
      </c>
      <c r="AH22" s="830" t="s">
        <v>2488</v>
      </c>
      <c r="AI22" s="830" t="s">
        <v>2488</v>
      </c>
      <c r="AJ22" s="829">
        <v>17</v>
      </c>
      <c r="AK22" s="829">
        <v>5</v>
      </c>
      <c r="AL22" s="829">
        <v>19</v>
      </c>
      <c r="AM22" s="829">
        <v>1764</v>
      </c>
    </row>
    <row r="23" spans="1:39" ht="45">
      <c r="A23" s="857" t="s">
        <v>2486</v>
      </c>
      <c r="B23" s="855">
        <v>572678</v>
      </c>
      <c r="C23" s="849">
        <v>0.86</v>
      </c>
      <c r="D23" s="855">
        <f t="shared" si="0"/>
        <v>492503.08</v>
      </c>
      <c r="E23" s="830" t="s">
        <v>355</v>
      </c>
      <c r="F23" s="830" t="s">
        <v>2495</v>
      </c>
      <c r="G23" s="830" t="s">
        <v>2488</v>
      </c>
      <c r="H23" s="830" t="s">
        <v>2656</v>
      </c>
      <c r="I23" s="829" t="b">
        <v>1</v>
      </c>
      <c r="J23" s="829">
        <v>1</v>
      </c>
      <c r="K23" s="830" t="s">
        <v>2655</v>
      </c>
      <c r="L23" s="830">
        <v>2008</v>
      </c>
      <c r="M23" s="837">
        <v>39490</v>
      </c>
      <c r="N23" s="837">
        <v>39785</v>
      </c>
      <c r="O23" s="844"/>
      <c r="R23" s="844"/>
      <c r="S23" s="844"/>
      <c r="T23" s="836">
        <v>5097</v>
      </c>
      <c r="Y23" s="830" t="s">
        <v>2488</v>
      </c>
      <c r="Z23" s="830" t="s">
        <v>2654</v>
      </c>
      <c r="AC23" s="832">
        <v>172062</v>
      </c>
      <c r="AD23" s="830" t="s">
        <v>2653</v>
      </c>
      <c r="AE23" s="829">
        <v>2008</v>
      </c>
      <c r="AF23" s="829">
        <v>215</v>
      </c>
      <c r="AG23" s="830" t="s">
        <v>2488</v>
      </c>
      <c r="AH23" s="830" t="s">
        <v>2488</v>
      </c>
      <c r="AI23" s="830" t="s">
        <v>2488</v>
      </c>
      <c r="AJ23" s="829">
        <v>16</v>
      </c>
      <c r="AK23" s="829">
        <v>4</v>
      </c>
      <c r="AL23" s="829">
        <v>16</v>
      </c>
      <c r="AM23" s="829">
        <v>1849</v>
      </c>
    </row>
    <row r="24" spans="1:39" ht="45">
      <c r="A24" s="857" t="s">
        <v>2485</v>
      </c>
      <c r="B24" s="855">
        <v>2023398</v>
      </c>
      <c r="C24" s="849">
        <v>0.71</v>
      </c>
      <c r="D24" s="855">
        <f t="shared" si="0"/>
        <v>1436612.5799999998</v>
      </c>
      <c r="E24" s="830" t="s">
        <v>2243</v>
      </c>
      <c r="F24" s="830" t="s">
        <v>2495</v>
      </c>
      <c r="G24" s="830" t="s">
        <v>2648</v>
      </c>
      <c r="H24" s="830" t="s">
        <v>2488</v>
      </c>
      <c r="I24" s="829" t="b">
        <v>1</v>
      </c>
      <c r="J24" s="829">
        <v>1</v>
      </c>
      <c r="K24" s="830" t="s">
        <v>2647</v>
      </c>
      <c r="L24" s="830">
        <v>2008</v>
      </c>
      <c r="M24" s="837">
        <v>39491</v>
      </c>
      <c r="N24" s="837">
        <v>39940</v>
      </c>
      <c r="P24" s="833">
        <v>600</v>
      </c>
      <c r="R24" s="835"/>
      <c r="S24" s="835"/>
      <c r="T24" s="845">
        <v>10000</v>
      </c>
      <c r="U24" s="833">
        <v>2</v>
      </c>
      <c r="V24" s="829">
        <v>100</v>
      </c>
      <c r="W24" s="833">
        <v>1</v>
      </c>
      <c r="X24" s="833">
        <v>1</v>
      </c>
      <c r="Y24" s="830" t="s">
        <v>2498</v>
      </c>
      <c r="Z24" s="830" t="s">
        <v>2646</v>
      </c>
      <c r="AB24" s="833">
        <v>1</v>
      </c>
      <c r="AC24" s="832">
        <v>300000</v>
      </c>
      <c r="AD24" s="830" t="s">
        <v>2645</v>
      </c>
      <c r="AE24" s="829">
        <v>2008</v>
      </c>
      <c r="AF24" s="829">
        <v>38</v>
      </c>
      <c r="AG24" s="830" t="s">
        <v>2488</v>
      </c>
      <c r="AH24" s="830" t="s">
        <v>2488</v>
      </c>
      <c r="AI24" s="830" t="s">
        <v>2488</v>
      </c>
      <c r="AJ24" s="829">
        <v>41</v>
      </c>
      <c r="AK24" s="829">
        <v>1</v>
      </c>
      <c r="AL24" s="829">
        <v>1</v>
      </c>
      <c r="AM24" s="829">
        <v>1765</v>
      </c>
    </row>
    <row r="25" spans="1:39" ht="15">
      <c r="A25" s="830" t="s">
        <v>65</v>
      </c>
      <c r="B25" s="855">
        <v>1074880</v>
      </c>
      <c r="C25" s="849">
        <v>0.65</v>
      </c>
      <c r="D25" s="855">
        <f t="shared" si="0"/>
        <v>698672</v>
      </c>
      <c r="E25" s="830" t="s">
        <v>1564</v>
      </c>
      <c r="F25" s="830" t="s">
        <v>2495</v>
      </c>
      <c r="G25" s="830" t="s">
        <v>2644</v>
      </c>
      <c r="H25" s="830" t="s">
        <v>2643</v>
      </c>
      <c r="I25" s="829" t="b">
        <v>1</v>
      </c>
      <c r="J25" s="829">
        <v>1</v>
      </c>
      <c r="K25" s="830" t="s">
        <v>2642</v>
      </c>
      <c r="L25" s="830">
        <v>2008</v>
      </c>
      <c r="M25" s="837">
        <v>39496</v>
      </c>
      <c r="N25" s="837">
        <v>39583</v>
      </c>
      <c r="O25" s="833">
        <v>580</v>
      </c>
      <c r="P25" s="829">
        <v>93</v>
      </c>
      <c r="R25" s="834">
        <v>332391</v>
      </c>
      <c r="S25" s="834">
        <v>3000</v>
      </c>
      <c r="T25" s="834">
        <v>50000</v>
      </c>
      <c r="V25" s="833">
        <v>360</v>
      </c>
      <c r="Y25" s="830" t="s">
        <v>2498</v>
      </c>
      <c r="Z25" s="830" t="s">
        <v>2641</v>
      </c>
      <c r="AC25" s="832">
        <v>108719</v>
      </c>
      <c r="AD25" s="830" t="s">
        <v>2640</v>
      </c>
      <c r="AE25" s="829">
        <v>2008</v>
      </c>
      <c r="AF25" s="829">
        <v>132</v>
      </c>
      <c r="AG25" s="830" t="s">
        <v>2488</v>
      </c>
      <c r="AH25" s="830" t="s">
        <v>2488</v>
      </c>
      <c r="AI25" s="830" t="s">
        <v>2488</v>
      </c>
      <c r="AJ25" s="829">
        <v>36</v>
      </c>
      <c r="AK25" s="829">
        <v>1</v>
      </c>
      <c r="AL25" s="829">
        <v>2</v>
      </c>
      <c r="AM25" s="829">
        <v>1821</v>
      </c>
    </row>
    <row r="26" spans="1:39" ht="30">
      <c r="A26" s="830" t="s">
        <v>63</v>
      </c>
      <c r="B26" s="855">
        <v>73987907</v>
      </c>
      <c r="C26" s="849">
        <v>1.02</v>
      </c>
      <c r="D26" s="855">
        <f t="shared" si="0"/>
        <v>75467665.140000001</v>
      </c>
      <c r="E26" s="830" t="s">
        <v>1394</v>
      </c>
      <c r="F26" s="830" t="s">
        <v>2495</v>
      </c>
      <c r="G26" s="830" t="s">
        <v>2639</v>
      </c>
      <c r="H26" s="830" t="s">
        <v>61</v>
      </c>
      <c r="I26" s="829" t="b">
        <v>1</v>
      </c>
      <c r="J26" s="829">
        <v>1</v>
      </c>
      <c r="K26" s="830" t="s">
        <v>2638</v>
      </c>
      <c r="L26" s="830">
        <v>2008</v>
      </c>
      <c r="M26" s="837">
        <v>39568</v>
      </c>
      <c r="N26" s="837">
        <v>40865</v>
      </c>
      <c r="P26" s="843">
        <v>84500</v>
      </c>
      <c r="Q26" s="843">
        <v>53800</v>
      </c>
      <c r="R26" s="834">
        <v>2400000</v>
      </c>
      <c r="T26" s="834">
        <v>518985</v>
      </c>
      <c r="U26" s="833">
        <v>17800</v>
      </c>
      <c r="V26" s="833">
        <v>10000</v>
      </c>
      <c r="X26" s="833">
        <v>1</v>
      </c>
      <c r="Y26" s="830" t="s">
        <v>2498</v>
      </c>
      <c r="Z26" s="830" t="s">
        <v>2637</v>
      </c>
      <c r="AA26" s="833">
        <v>1</v>
      </c>
      <c r="AB26" s="833">
        <v>3</v>
      </c>
      <c r="AC26" s="832">
        <v>200000</v>
      </c>
      <c r="AD26" s="830" t="s">
        <v>2636</v>
      </c>
      <c r="AE26" s="829">
        <v>2008</v>
      </c>
      <c r="AF26" s="829">
        <v>152</v>
      </c>
      <c r="AG26" s="830" t="s">
        <v>2635</v>
      </c>
      <c r="AH26" s="830" t="s">
        <v>2488</v>
      </c>
      <c r="AI26" s="830" t="s">
        <v>2488</v>
      </c>
      <c r="AJ26" s="829">
        <v>36</v>
      </c>
      <c r="AK26" s="829">
        <v>3</v>
      </c>
      <c r="AL26" s="829">
        <v>12</v>
      </c>
      <c r="AM26" s="829">
        <v>2032</v>
      </c>
    </row>
    <row r="27" spans="1:39" ht="45">
      <c r="A27" s="830" t="s">
        <v>64</v>
      </c>
      <c r="B27" s="855">
        <v>8157607</v>
      </c>
      <c r="C27" s="849">
        <v>0.87</v>
      </c>
      <c r="D27" s="855">
        <f t="shared" si="0"/>
        <v>7097118.0899999999</v>
      </c>
      <c r="E27" s="830" t="s">
        <v>1873</v>
      </c>
      <c r="F27" s="830" t="s">
        <v>2495</v>
      </c>
      <c r="G27" s="830" t="s">
        <v>2023</v>
      </c>
      <c r="H27" s="830" t="s">
        <v>368</v>
      </c>
      <c r="I27" s="829" t="b">
        <v>1</v>
      </c>
      <c r="J27" s="829">
        <v>1</v>
      </c>
      <c r="K27" s="830" t="s">
        <v>2488</v>
      </c>
      <c r="L27" s="830">
        <v>2008</v>
      </c>
      <c r="M27" s="837">
        <v>39582</v>
      </c>
      <c r="N27" s="837">
        <v>40161</v>
      </c>
      <c r="R27" s="834">
        <v>375000</v>
      </c>
      <c r="S27" s="844"/>
      <c r="T27" s="834">
        <v>76075</v>
      </c>
      <c r="X27" s="833">
        <v>1</v>
      </c>
      <c r="Y27" s="830" t="s">
        <v>2498</v>
      </c>
      <c r="Z27" s="830" t="s">
        <v>2634</v>
      </c>
      <c r="AC27" s="832">
        <v>474150</v>
      </c>
      <c r="AD27" s="830" t="s">
        <v>2633</v>
      </c>
      <c r="AE27" s="829">
        <v>2008</v>
      </c>
      <c r="AF27" s="829">
        <v>69</v>
      </c>
      <c r="AG27" s="830" t="s">
        <v>2488</v>
      </c>
      <c r="AH27" s="830" t="s">
        <v>2488</v>
      </c>
      <c r="AI27" s="830" t="s">
        <v>2488</v>
      </c>
      <c r="AJ27" s="829">
        <v>18</v>
      </c>
      <c r="AK27" s="829">
        <v>1</v>
      </c>
      <c r="AL27" s="829">
        <v>2</v>
      </c>
      <c r="AM27" s="829">
        <v>2051</v>
      </c>
    </row>
    <row r="28" spans="1:39" ht="30">
      <c r="A28" s="857" t="s">
        <v>59</v>
      </c>
      <c r="B28" s="855">
        <v>152857777</v>
      </c>
      <c r="C28" s="849">
        <v>1</v>
      </c>
      <c r="D28" s="855">
        <f t="shared" si="0"/>
        <v>152857777</v>
      </c>
      <c r="E28" s="830" t="s">
        <v>1879</v>
      </c>
      <c r="F28" s="830" t="s">
        <v>2495</v>
      </c>
      <c r="G28" s="830" t="s">
        <v>2632</v>
      </c>
      <c r="H28" s="830" t="s">
        <v>60</v>
      </c>
      <c r="I28" s="829" t="b">
        <v>1</v>
      </c>
      <c r="J28" s="829">
        <v>5</v>
      </c>
      <c r="K28" s="830" t="s">
        <v>2631</v>
      </c>
      <c r="L28" s="830">
        <v>2008</v>
      </c>
      <c r="M28" s="837">
        <v>39583</v>
      </c>
      <c r="N28" s="837">
        <v>40898</v>
      </c>
      <c r="O28" s="829">
        <v>375000</v>
      </c>
      <c r="P28" s="829">
        <v>87449</v>
      </c>
      <c r="Q28" s="833">
        <v>18222</v>
      </c>
      <c r="R28" s="834">
        <v>10000000</v>
      </c>
      <c r="S28" s="834">
        <v>15000000</v>
      </c>
      <c r="T28" s="834">
        <v>1000000</v>
      </c>
      <c r="U28" s="833">
        <v>400</v>
      </c>
      <c r="V28" s="833">
        <v>35000</v>
      </c>
      <c r="Y28" s="830" t="s">
        <v>2488</v>
      </c>
      <c r="Z28" s="830" t="s">
        <v>2630</v>
      </c>
      <c r="AB28" s="833">
        <v>4</v>
      </c>
      <c r="AC28" s="832">
        <v>250000</v>
      </c>
      <c r="AD28" s="830" t="s">
        <v>2629</v>
      </c>
      <c r="AE28" s="829">
        <v>2008</v>
      </c>
      <c r="AF28" s="829">
        <v>45</v>
      </c>
      <c r="AG28" s="830" t="s">
        <v>2628</v>
      </c>
      <c r="AH28" s="830" t="s">
        <v>2627</v>
      </c>
      <c r="AI28" s="830" t="s">
        <v>2488</v>
      </c>
      <c r="AJ28" s="829">
        <v>19</v>
      </c>
      <c r="AK28" s="829">
        <v>3</v>
      </c>
      <c r="AL28" s="829">
        <v>9</v>
      </c>
      <c r="AM28" s="829">
        <v>2053</v>
      </c>
    </row>
    <row r="29" spans="1:39" ht="30">
      <c r="A29" s="857" t="s">
        <v>634</v>
      </c>
      <c r="B29" s="855">
        <v>911135</v>
      </c>
      <c r="C29" s="849">
        <v>1</v>
      </c>
      <c r="D29" s="855">
        <f t="shared" si="0"/>
        <v>911135</v>
      </c>
      <c r="E29" s="830" t="s">
        <v>196</v>
      </c>
      <c r="F29" s="830" t="s">
        <v>2495</v>
      </c>
      <c r="G29" s="830" t="s">
        <v>2626</v>
      </c>
      <c r="H29" s="830" t="s">
        <v>55</v>
      </c>
      <c r="I29" s="829" t="b">
        <v>1</v>
      </c>
      <c r="J29" s="829">
        <v>1</v>
      </c>
      <c r="K29" s="830" t="s">
        <v>2625</v>
      </c>
      <c r="L29" s="830">
        <v>2008</v>
      </c>
      <c r="M29" s="837">
        <v>39619</v>
      </c>
      <c r="N29" s="837">
        <v>40045</v>
      </c>
      <c r="P29" s="843">
        <v>2</v>
      </c>
      <c r="R29" s="834">
        <v>6548</v>
      </c>
      <c r="T29" s="834">
        <v>15000</v>
      </c>
      <c r="V29" s="833">
        <v>41</v>
      </c>
      <c r="X29" s="833">
        <v>2</v>
      </c>
      <c r="Y29" s="830" t="s">
        <v>2583</v>
      </c>
      <c r="Z29" s="830" t="s">
        <v>2624</v>
      </c>
      <c r="AC29" s="832">
        <v>140000</v>
      </c>
      <c r="AD29" s="830" t="s">
        <v>2623</v>
      </c>
      <c r="AE29" s="829">
        <v>2008</v>
      </c>
      <c r="AF29" s="829">
        <v>209</v>
      </c>
      <c r="AG29" s="830" t="s">
        <v>2488</v>
      </c>
      <c r="AH29" s="830" t="s">
        <v>2488</v>
      </c>
      <c r="AI29" s="830" t="s">
        <v>2488</v>
      </c>
      <c r="AJ29" s="829">
        <v>25</v>
      </c>
      <c r="AK29" s="829">
        <v>2</v>
      </c>
      <c r="AL29" s="829">
        <v>5</v>
      </c>
      <c r="AM29" s="829">
        <v>2135</v>
      </c>
    </row>
    <row r="30" spans="1:39" ht="15">
      <c r="A30" s="830" t="s">
        <v>118</v>
      </c>
      <c r="B30" s="855">
        <v>8310213</v>
      </c>
      <c r="C30" s="849">
        <v>1</v>
      </c>
      <c r="D30" s="855">
        <f t="shared" si="0"/>
        <v>8310213</v>
      </c>
      <c r="E30" s="830" t="s">
        <v>2026</v>
      </c>
      <c r="F30" s="830" t="s">
        <v>2495</v>
      </c>
      <c r="G30" s="830" t="s">
        <v>2622</v>
      </c>
      <c r="H30" s="830" t="s">
        <v>45</v>
      </c>
      <c r="I30" s="829" t="b">
        <v>1</v>
      </c>
      <c r="J30" s="829">
        <v>1</v>
      </c>
      <c r="K30" s="830" t="s">
        <v>2621</v>
      </c>
      <c r="L30" s="830">
        <v>2008</v>
      </c>
      <c r="M30" s="837">
        <v>39623</v>
      </c>
      <c r="N30" s="837">
        <v>40079</v>
      </c>
      <c r="O30" s="833">
        <v>826</v>
      </c>
      <c r="P30" s="833">
        <v>557</v>
      </c>
      <c r="Q30" s="833">
        <v>87</v>
      </c>
      <c r="R30" s="845">
        <v>2500000</v>
      </c>
      <c r="S30" s="835"/>
      <c r="T30" s="834">
        <v>30000</v>
      </c>
      <c r="U30" s="844"/>
      <c r="V30" s="844"/>
      <c r="X30" s="833">
        <v>1</v>
      </c>
      <c r="Y30" s="830" t="s">
        <v>2498</v>
      </c>
      <c r="Z30" s="830" t="s">
        <v>2620</v>
      </c>
      <c r="AB30" s="833">
        <v>1</v>
      </c>
      <c r="AC30" s="832">
        <v>200000</v>
      </c>
      <c r="AD30" s="830" t="s">
        <v>2619</v>
      </c>
      <c r="AE30" s="829">
        <v>2008</v>
      </c>
      <c r="AF30" s="829">
        <v>175</v>
      </c>
      <c r="AG30" s="830" t="s">
        <v>2488</v>
      </c>
      <c r="AH30" s="830" t="s">
        <v>2488</v>
      </c>
      <c r="AI30" s="830" t="s">
        <v>2488</v>
      </c>
      <c r="AJ30" s="829">
        <v>36</v>
      </c>
      <c r="AK30" s="829">
        <v>3</v>
      </c>
      <c r="AL30" s="829">
        <v>12</v>
      </c>
      <c r="AM30" s="829">
        <v>2127</v>
      </c>
    </row>
    <row r="31" spans="1:39" ht="45">
      <c r="A31" s="830" t="s">
        <v>80</v>
      </c>
      <c r="B31" s="855">
        <v>10170233</v>
      </c>
      <c r="C31" s="849">
        <v>0.48</v>
      </c>
      <c r="D31" s="855">
        <f t="shared" si="0"/>
        <v>4881711.84</v>
      </c>
      <c r="E31" s="830" t="s">
        <v>1562</v>
      </c>
      <c r="F31" s="830" t="s">
        <v>2495</v>
      </c>
      <c r="G31" s="830" t="s">
        <v>976</v>
      </c>
      <c r="H31" s="830" t="s">
        <v>70</v>
      </c>
      <c r="I31" s="829" t="b">
        <v>0</v>
      </c>
      <c r="J31" s="829">
        <v>1</v>
      </c>
      <c r="K31" s="830" t="s">
        <v>2488</v>
      </c>
      <c r="L31" s="830">
        <v>2009</v>
      </c>
      <c r="M31" s="837">
        <v>39637</v>
      </c>
      <c r="N31" s="837">
        <v>40221</v>
      </c>
      <c r="P31" s="843">
        <v>4288</v>
      </c>
      <c r="R31" s="845">
        <v>98592</v>
      </c>
      <c r="S31" s="844"/>
      <c r="T31" s="834">
        <v>1500000</v>
      </c>
      <c r="V31" s="833">
        <v>800</v>
      </c>
      <c r="Y31" s="830" t="s">
        <v>2488</v>
      </c>
      <c r="Z31" s="830" t="s">
        <v>2618</v>
      </c>
      <c r="AB31" s="833">
        <v>7</v>
      </c>
      <c r="AC31" s="832">
        <v>403302</v>
      </c>
      <c r="AD31" s="830" t="s">
        <v>2617</v>
      </c>
      <c r="AE31" s="829">
        <v>2008</v>
      </c>
      <c r="AF31" s="829">
        <v>248</v>
      </c>
      <c r="AG31" s="830">
        <v>10170233</v>
      </c>
      <c r="AH31" s="830" t="s">
        <v>2488</v>
      </c>
      <c r="AI31" s="830" t="s">
        <v>2488</v>
      </c>
      <c r="AJ31" s="829">
        <v>20</v>
      </c>
      <c r="AK31" s="829">
        <v>1</v>
      </c>
      <c r="AL31" s="829">
        <v>3</v>
      </c>
      <c r="AM31" s="829">
        <v>2484</v>
      </c>
    </row>
    <row r="32" spans="1:39" ht="30">
      <c r="A32" s="830" t="s">
        <v>2483</v>
      </c>
      <c r="B32" s="855">
        <v>947079</v>
      </c>
      <c r="C32" s="849">
        <v>0.16</v>
      </c>
      <c r="D32" s="855">
        <f t="shared" si="0"/>
        <v>151532.64000000001</v>
      </c>
      <c r="E32" s="830" t="s">
        <v>1116</v>
      </c>
      <c r="F32" s="830" t="s">
        <v>2495</v>
      </c>
      <c r="G32" s="830" t="s">
        <v>2616</v>
      </c>
      <c r="H32" s="830" t="s">
        <v>2615</v>
      </c>
      <c r="I32" s="829" t="b">
        <v>1</v>
      </c>
      <c r="J32" s="829">
        <v>1</v>
      </c>
      <c r="K32" s="830" t="s">
        <v>2614</v>
      </c>
      <c r="L32" s="830">
        <v>2009</v>
      </c>
      <c r="M32" s="837">
        <v>39639</v>
      </c>
      <c r="N32" s="837">
        <v>40057</v>
      </c>
      <c r="O32" s="844"/>
      <c r="P32" s="833">
        <v>67</v>
      </c>
      <c r="R32" s="845">
        <v>3530</v>
      </c>
      <c r="T32" s="834">
        <v>425095</v>
      </c>
      <c r="Y32" s="830" t="s">
        <v>2488</v>
      </c>
      <c r="Z32" s="830" t="s">
        <v>2613</v>
      </c>
      <c r="AC32" s="832">
        <v>100000</v>
      </c>
      <c r="AD32" s="830" t="s">
        <v>2501</v>
      </c>
      <c r="AE32" s="829">
        <v>2008</v>
      </c>
      <c r="AF32" s="829">
        <v>230</v>
      </c>
      <c r="AG32" s="830" t="s">
        <v>2488</v>
      </c>
      <c r="AH32" s="830" t="s">
        <v>2488</v>
      </c>
      <c r="AI32" s="830" t="s">
        <v>2488</v>
      </c>
      <c r="AJ32" s="829">
        <v>20</v>
      </c>
      <c r="AK32" s="829">
        <v>1</v>
      </c>
      <c r="AL32" s="829">
        <v>2</v>
      </c>
      <c r="AM32" s="829">
        <v>2152</v>
      </c>
    </row>
    <row r="33" spans="1:39" ht="90">
      <c r="A33" s="830" t="s">
        <v>2482</v>
      </c>
      <c r="B33" s="855">
        <v>1209435</v>
      </c>
      <c r="C33" s="849">
        <v>1</v>
      </c>
      <c r="D33" s="855">
        <f t="shared" si="0"/>
        <v>1209435</v>
      </c>
      <c r="E33" s="857" t="s">
        <v>887</v>
      </c>
      <c r="F33" s="830" t="s">
        <v>2495</v>
      </c>
      <c r="G33" s="830" t="s">
        <v>2612</v>
      </c>
      <c r="H33" s="830" t="s">
        <v>2488</v>
      </c>
      <c r="I33" s="829" t="b">
        <v>0</v>
      </c>
      <c r="J33" s="829">
        <v>2</v>
      </c>
      <c r="K33" s="830" t="s">
        <v>2488</v>
      </c>
      <c r="L33" s="830">
        <v>2009</v>
      </c>
      <c r="M33" s="837">
        <v>39640</v>
      </c>
      <c r="N33" s="837">
        <v>40046</v>
      </c>
      <c r="O33" s="844"/>
      <c r="P33" s="843">
        <v>15</v>
      </c>
      <c r="R33" s="836">
        <v>51718</v>
      </c>
      <c r="T33" s="834">
        <v>47500</v>
      </c>
      <c r="V33" s="844"/>
      <c r="X33" s="833">
        <v>1</v>
      </c>
      <c r="Y33" s="830" t="s">
        <v>2498</v>
      </c>
      <c r="Z33" s="830" t="s">
        <v>2611</v>
      </c>
      <c r="AC33" s="832">
        <v>483047</v>
      </c>
      <c r="AD33" s="830" t="s">
        <v>2610</v>
      </c>
      <c r="AE33" s="829">
        <v>2008</v>
      </c>
      <c r="AF33" s="829">
        <v>221</v>
      </c>
      <c r="AG33" s="830" t="s">
        <v>2488</v>
      </c>
      <c r="AH33" s="830" t="s">
        <v>2488</v>
      </c>
      <c r="AI33" s="830" t="s">
        <v>2488</v>
      </c>
      <c r="AJ33" s="829">
        <v>25</v>
      </c>
      <c r="AK33" s="829">
        <v>1</v>
      </c>
      <c r="AL33" s="829">
        <v>1</v>
      </c>
      <c r="AM33" s="829">
        <v>2153</v>
      </c>
    </row>
    <row r="34" spans="1:39" ht="60">
      <c r="A34" s="830" t="s">
        <v>1318</v>
      </c>
      <c r="B34" s="855">
        <v>1250355</v>
      </c>
      <c r="C34" s="849">
        <v>1.02</v>
      </c>
      <c r="D34" s="855">
        <f t="shared" si="0"/>
        <v>1275362.1000000001</v>
      </c>
      <c r="E34" s="830" t="s">
        <v>2604</v>
      </c>
      <c r="F34" s="830" t="s">
        <v>2495</v>
      </c>
      <c r="G34" s="830" t="s">
        <v>2609</v>
      </c>
      <c r="H34" s="830" t="s">
        <v>2608</v>
      </c>
      <c r="I34" s="829" t="b">
        <v>1</v>
      </c>
      <c r="J34" s="829">
        <v>2</v>
      </c>
      <c r="K34" s="830" t="s">
        <v>2607</v>
      </c>
      <c r="L34" s="830">
        <v>2009</v>
      </c>
      <c r="M34" s="837">
        <v>39665</v>
      </c>
      <c r="N34" s="837">
        <v>39735</v>
      </c>
      <c r="P34" s="829">
        <v>40</v>
      </c>
      <c r="Q34" s="835"/>
      <c r="R34" s="844"/>
      <c r="S34" s="836">
        <v>30000</v>
      </c>
      <c r="T34" s="834">
        <v>60000</v>
      </c>
      <c r="V34" s="844"/>
      <c r="Y34" s="830" t="s">
        <v>2488</v>
      </c>
      <c r="Z34" s="830" t="s">
        <v>2606</v>
      </c>
      <c r="AC34" s="832">
        <v>636942</v>
      </c>
      <c r="AD34" s="830" t="s">
        <v>2605</v>
      </c>
      <c r="AE34" s="829">
        <v>2008</v>
      </c>
      <c r="AF34" s="829">
        <v>146</v>
      </c>
      <c r="AG34" s="830" t="s">
        <v>2488</v>
      </c>
      <c r="AH34" s="830" t="s">
        <v>2488</v>
      </c>
      <c r="AI34" s="830" t="s">
        <v>2488</v>
      </c>
      <c r="AJ34" s="829">
        <v>25</v>
      </c>
      <c r="AK34" s="829">
        <v>4</v>
      </c>
      <c r="AL34" s="829">
        <v>13</v>
      </c>
      <c r="AM34" s="829">
        <v>2177</v>
      </c>
    </row>
    <row r="35" spans="1:39" ht="30">
      <c r="A35" s="830" t="s">
        <v>2481</v>
      </c>
      <c r="B35" s="855">
        <v>38424042</v>
      </c>
      <c r="C35" s="849">
        <v>0.35</v>
      </c>
      <c r="D35" s="855">
        <f t="shared" si="0"/>
        <v>13448414.699999999</v>
      </c>
      <c r="E35" s="830" t="s">
        <v>1562</v>
      </c>
      <c r="F35" s="830" t="s">
        <v>2495</v>
      </c>
      <c r="G35" s="830" t="s">
        <v>2023</v>
      </c>
      <c r="H35" s="830" t="s">
        <v>2603</v>
      </c>
      <c r="I35" s="829" t="b">
        <v>0</v>
      </c>
      <c r="J35" s="829">
        <v>1</v>
      </c>
      <c r="K35" s="830" t="s">
        <v>2488</v>
      </c>
      <c r="L35" s="830">
        <v>2009</v>
      </c>
      <c r="M35" s="837">
        <v>39666</v>
      </c>
      <c r="N35" s="837">
        <v>40528</v>
      </c>
      <c r="P35" s="835"/>
      <c r="Q35" s="835"/>
      <c r="R35" s="834">
        <v>5100000</v>
      </c>
      <c r="S35" s="835"/>
      <c r="T35" s="834">
        <v>260787</v>
      </c>
      <c r="V35" s="835"/>
      <c r="Y35" s="830" t="s">
        <v>2488</v>
      </c>
      <c r="Z35" s="830" t="s">
        <v>2602</v>
      </c>
      <c r="AD35" s="830" t="s">
        <v>2601</v>
      </c>
      <c r="AE35" s="829">
        <v>2008</v>
      </c>
      <c r="AF35" s="829">
        <v>248</v>
      </c>
      <c r="AG35" s="830" t="s">
        <v>2488</v>
      </c>
      <c r="AH35" s="830" t="s">
        <v>2488</v>
      </c>
      <c r="AI35" s="830" t="s">
        <v>2488</v>
      </c>
      <c r="AJ35" s="829">
        <v>22</v>
      </c>
      <c r="AK35" s="829">
        <v>1</v>
      </c>
      <c r="AL35" s="829">
        <v>3</v>
      </c>
      <c r="AM35" s="829">
        <v>2181</v>
      </c>
    </row>
    <row r="36" spans="1:39" ht="45">
      <c r="A36" s="830" t="s">
        <v>1316</v>
      </c>
      <c r="B36" s="855">
        <v>8475870</v>
      </c>
      <c r="C36" s="849">
        <v>1</v>
      </c>
      <c r="D36" s="855">
        <f t="shared" si="0"/>
        <v>8475870</v>
      </c>
      <c r="E36" s="830" t="s">
        <v>682</v>
      </c>
      <c r="F36" s="830" t="s">
        <v>2495</v>
      </c>
      <c r="G36" s="830" t="s">
        <v>2591</v>
      </c>
      <c r="H36" s="830" t="s">
        <v>72</v>
      </c>
      <c r="I36" s="829" t="b">
        <v>1</v>
      </c>
      <c r="J36" s="829">
        <v>6</v>
      </c>
      <c r="K36" s="830" t="s">
        <v>2600</v>
      </c>
      <c r="L36" s="830">
        <v>2009</v>
      </c>
      <c r="M36" s="837">
        <v>39687</v>
      </c>
      <c r="N36" s="837">
        <v>40470</v>
      </c>
      <c r="O36" s="833">
        <v>548</v>
      </c>
      <c r="P36" s="833">
        <v>793</v>
      </c>
      <c r="Q36" s="833">
        <v>310</v>
      </c>
      <c r="R36" s="834">
        <v>826685</v>
      </c>
      <c r="T36" s="834">
        <v>50000</v>
      </c>
      <c r="W36" s="833">
        <v>1</v>
      </c>
      <c r="X36" s="833">
        <v>1</v>
      </c>
      <c r="Y36" s="830" t="s">
        <v>2599</v>
      </c>
      <c r="Z36" s="830" t="s">
        <v>2598</v>
      </c>
      <c r="AA36" s="833">
        <v>1</v>
      </c>
      <c r="AB36" s="833">
        <v>5</v>
      </c>
      <c r="AC36" s="832">
        <v>300000</v>
      </c>
      <c r="AD36" s="830" t="s">
        <v>2597</v>
      </c>
      <c r="AE36" s="829">
        <v>2008</v>
      </c>
      <c r="AF36" s="829">
        <v>95</v>
      </c>
      <c r="AG36" s="830" t="s">
        <v>2596</v>
      </c>
      <c r="AH36" s="830" t="s">
        <v>2488</v>
      </c>
      <c r="AI36" s="830" t="s">
        <v>2488</v>
      </c>
      <c r="AJ36" s="829">
        <v>36</v>
      </c>
      <c r="AK36" s="829">
        <v>2</v>
      </c>
      <c r="AL36" s="829">
        <v>5</v>
      </c>
      <c r="AM36" s="829">
        <v>2263</v>
      </c>
    </row>
    <row r="37" spans="1:39" ht="45">
      <c r="A37" s="830" t="s">
        <v>1317</v>
      </c>
      <c r="B37" s="855">
        <v>2650000</v>
      </c>
      <c r="C37" s="849">
        <v>1</v>
      </c>
      <c r="D37" s="855">
        <f t="shared" si="0"/>
        <v>2650000</v>
      </c>
      <c r="E37" s="830" t="s">
        <v>35</v>
      </c>
      <c r="F37" s="830" t="s">
        <v>2495</v>
      </c>
      <c r="G37" s="830" t="s">
        <v>2595</v>
      </c>
      <c r="H37" s="830" t="s">
        <v>58</v>
      </c>
      <c r="I37" s="829" t="b">
        <v>1</v>
      </c>
      <c r="J37" s="829">
        <v>1</v>
      </c>
      <c r="K37" s="830" t="s">
        <v>2594</v>
      </c>
      <c r="L37" s="830">
        <v>2009</v>
      </c>
      <c r="M37" s="837">
        <v>39689</v>
      </c>
      <c r="N37" s="837">
        <v>40143</v>
      </c>
      <c r="P37" s="829">
        <v>60</v>
      </c>
      <c r="Q37" s="829">
        <v>4</v>
      </c>
      <c r="R37" s="834">
        <v>200000</v>
      </c>
      <c r="S37" s="834">
        <v>70000</v>
      </c>
      <c r="T37" s="834">
        <v>100000</v>
      </c>
      <c r="U37" s="833">
        <v>18</v>
      </c>
      <c r="V37" s="833">
        <v>2800</v>
      </c>
      <c r="Y37" s="830" t="s">
        <v>2488</v>
      </c>
      <c r="Z37" s="830" t="s">
        <v>2593</v>
      </c>
      <c r="AC37" s="832">
        <v>250000</v>
      </c>
      <c r="AD37" s="830" t="s">
        <v>2592</v>
      </c>
      <c r="AE37" s="829">
        <v>2008</v>
      </c>
      <c r="AF37" s="829">
        <v>155</v>
      </c>
      <c r="AG37" s="830" t="s">
        <v>2488</v>
      </c>
      <c r="AH37" s="830" t="s">
        <v>2488</v>
      </c>
      <c r="AI37" s="830" t="s">
        <v>2488</v>
      </c>
      <c r="AJ37" s="829">
        <v>25</v>
      </c>
      <c r="AK37" s="829">
        <v>3</v>
      </c>
      <c r="AL37" s="829">
        <v>11</v>
      </c>
      <c r="AM37" s="829">
        <v>2248</v>
      </c>
    </row>
    <row r="38" spans="1:39" ht="60">
      <c r="A38" s="857" t="s">
        <v>1315</v>
      </c>
      <c r="B38" s="855">
        <v>2010991</v>
      </c>
      <c r="C38" s="849">
        <v>0.87</v>
      </c>
      <c r="D38" s="855">
        <f t="shared" si="0"/>
        <v>1749562.17</v>
      </c>
      <c r="E38" s="830" t="s">
        <v>1590</v>
      </c>
      <c r="F38" s="830" t="s">
        <v>2495</v>
      </c>
      <c r="G38" s="830" t="s">
        <v>2591</v>
      </c>
      <c r="H38" s="830" t="s">
        <v>2590</v>
      </c>
      <c r="I38" s="829" t="b">
        <v>1</v>
      </c>
      <c r="J38" s="829">
        <v>5</v>
      </c>
      <c r="K38" s="830" t="s">
        <v>2589</v>
      </c>
      <c r="L38" s="830">
        <v>2009</v>
      </c>
      <c r="M38" s="837">
        <v>39693</v>
      </c>
      <c r="N38" s="837">
        <v>40168</v>
      </c>
      <c r="P38" s="833">
        <v>12</v>
      </c>
      <c r="R38" s="834">
        <v>25000</v>
      </c>
      <c r="T38" s="834">
        <v>35000</v>
      </c>
      <c r="V38" s="833">
        <v>25</v>
      </c>
      <c r="X38" s="833">
        <v>2</v>
      </c>
      <c r="Y38" s="830" t="s">
        <v>2583</v>
      </c>
      <c r="Z38" s="830" t="s">
        <v>2588</v>
      </c>
      <c r="AC38" s="832">
        <v>320000</v>
      </c>
      <c r="AD38" s="830" t="s">
        <v>2587</v>
      </c>
      <c r="AE38" s="829">
        <v>2008</v>
      </c>
      <c r="AF38" s="829">
        <v>109</v>
      </c>
      <c r="AG38" s="830" t="s">
        <v>2488</v>
      </c>
      <c r="AH38" s="830" t="s">
        <v>2488</v>
      </c>
      <c r="AI38" s="830" t="s">
        <v>2488</v>
      </c>
      <c r="AJ38" s="829">
        <v>36</v>
      </c>
      <c r="AK38" s="829">
        <v>2</v>
      </c>
      <c r="AL38" s="829">
        <v>5</v>
      </c>
      <c r="AM38" s="829">
        <v>2267</v>
      </c>
    </row>
    <row r="39" spans="1:39" ht="30">
      <c r="A39" s="830" t="s">
        <v>1320</v>
      </c>
      <c r="B39" s="855">
        <v>9604366</v>
      </c>
      <c r="C39" s="849">
        <v>0.96</v>
      </c>
      <c r="D39" s="855">
        <f t="shared" si="0"/>
        <v>9220191.3599999994</v>
      </c>
      <c r="E39" s="830" t="s">
        <v>1589</v>
      </c>
      <c r="F39" s="830" t="s">
        <v>2495</v>
      </c>
      <c r="G39" s="830" t="s">
        <v>2586</v>
      </c>
      <c r="H39" s="830" t="s">
        <v>2585</v>
      </c>
      <c r="I39" s="829" t="b">
        <v>1</v>
      </c>
      <c r="J39" s="835"/>
      <c r="K39" s="830" t="s">
        <v>2584</v>
      </c>
      <c r="L39" s="830">
        <v>2009</v>
      </c>
      <c r="M39" s="837">
        <v>39699</v>
      </c>
      <c r="N39" s="837">
        <v>40329</v>
      </c>
      <c r="O39" s="833">
        <v>19</v>
      </c>
      <c r="R39" s="834">
        <v>87000</v>
      </c>
      <c r="S39" s="834">
        <v>2700000</v>
      </c>
      <c r="T39" s="834">
        <v>60000</v>
      </c>
      <c r="V39" s="833">
        <v>5381</v>
      </c>
      <c r="X39" s="833">
        <v>2</v>
      </c>
      <c r="Y39" s="830" t="s">
        <v>2583</v>
      </c>
      <c r="Z39" s="830" t="s">
        <v>2582</v>
      </c>
      <c r="AC39" s="832">
        <v>150000</v>
      </c>
      <c r="AD39" s="830" t="s">
        <v>2581</v>
      </c>
      <c r="AE39" s="829">
        <v>2008</v>
      </c>
      <c r="AF39" s="829">
        <v>56</v>
      </c>
      <c r="AG39" s="830" t="s">
        <v>2488</v>
      </c>
      <c r="AH39" s="830" t="s">
        <v>2488</v>
      </c>
      <c r="AI39" s="830" t="s">
        <v>2488</v>
      </c>
      <c r="AJ39" s="829">
        <v>36</v>
      </c>
      <c r="AK39" s="829">
        <v>2</v>
      </c>
      <c r="AL39" s="829">
        <v>5</v>
      </c>
      <c r="AM39" s="829">
        <v>2265</v>
      </c>
    </row>
    <row r="40" spans="1:39" ht="15">
      <c r="A40" s="830" t="s">
        <v>2480</v>
      </c>
      <c r="B40" s="855">
        <v>790350</v>
      </c>
      <c r="C40" s="849">
        <v>0.01</v>
      </c>
      <c r="D40" s="855">
        <f t="shared" si="0"/>
        <v>7903.5</v>
      </c>
      <c r="E40" s="830" t="s">
        <v>1598</v>
      </c>
      <c r="F40" s="830" t="s">
        <v>2495</v>
      </c>
      <c r="G40" s="830" t="s">
        <v>2488</v>
      </c>
      <c r="H40" s="830" t="s">
        <v>2488</v>
      </c>
      <c r="I40" s="829" t="b">
        <v>0</v>
      </c>
      <c r="J40" s="829">
        <v>1</v>
      </c>
      <c r="K40" s="830" t="s">
        <v>2488</v>
      </c>
      <c r="L40" s="830">
        <v>2009</v>
      </c>
      <c r="M40" s="837">
        <v>39715</v>
      </c>
      <c r="N40" s="837">
        <v>40010</v>
      </c>
      <c r="T40" s="834">
        <v>2500</v>
      </c>
      <c r="X40" s="833">
        <v>1</v>
      </c>
      <c r="Y40" s="830" t="s">
        <v>2498</v>
      </c>
      <c r="Z40" s="830" t="s">
        <v>2580</v>
      </c>
      <c r="AA40" s="833">
        <v>1</v>
      </c>
      <c r="AC40" s="832">
        <v>75939</v>
      </c>
      <c r="AD40" s="830" t="s">
        <v>2570</v>
      </c>
      <c r="AE40" s="829">
        <v>2008</v>
      </c>
      <c r="AF40" s="829">
        <v>162</v>
      </c>
      <c r="AG40" s="830" t="s">
        <v>2488</v>
      </c>
      <c r="AH40" s="830" t="s">
        <v>2488</v>
      </c>
      <c r="AI40" s="830" t="s">
        <v>2488</v>
      </c>
      <c r="AJ40" s="829">
        <v>41</v>
      </c>
      <c r="AK40" s="829">
        <v>1</v>
      </c>
      <c r="AL40" s="829">
        <v>4</v>
      </c>
      <c r="AM40" s="829">
        <v>2420</v>
      </c>
    </row>
    <row r="41" spans="1:39" ht="75">
      <c r="A41" s="846" t="s">
        <v>2574</v>
      </c>
      <c r="B41" s="855">
        <v>438119</v>
      </c>
      <c r="C41" s="849">
        <v>0.105</v>
      </c>
      <c r="D41" s="855">
        <f t="shared" si="0"/>
        <v>46002.494999999995</v>
      </c>
      <c r="E41" s="830" t="s">
        <v>687</v>
      </c>
      <c r="F41" s="830" t="s">
        <v>2495</v>
      </c>
      <c r="G41" s="830" t="s">
        <v>2579</v>
      </c>
      <c r="H41" s="830" t="s">
        <v>2578</v>
      </c>
      <c r="I41" s="829" t="b">
        <v>1</v>
      </c>
      <c r="J41" s="829">
        <v>2</v>
      </c>
      <c r="K41" s="830" t="s">
        <v>2577</v>
      </c>
      <c r="L41" s="830">
        <v>2009</v>
      </c>
      <c r="M41" s="837">
        <v>39720</v>
      </c>
      <c r="N41" s="837">
        <v>39813</v>
      </c>
      <c r="O41" s="835"/>
      <c r="P41" s="844"/>
      <c r="Q41" s="835"/>
      <c r="R41" s="834">
        <v>13001</v>
      </c>
      <c r="S41" s="835"/>
      <c r="T41" s="834">
        <v>23030</v>
      </c>
      <c r="V41" s="829">
        <v>30</v>
      </c>
      <c r="Y41" s="830" t="s">
        <v>2488</v>
      </c>
      <c r="Z41" s="830" t="s">
        <v>2576</v>
      </c>
      <c r="AC41" s="832">
        <v>46402</v>
      </c>
      <c r="AD41" s="830" t="s">
        <v>2575</v>
      </c>
      <c r="AE41" s="829">
        <v>2008</v>
      </c>
      <c r="AF41" s="829">
        <v>43</v>
      </c>
      <c r="AG41" s="830" t="s">
        <v>2488</v>
      </c>
      <c r="AH41" s="830" t="s">
        <v>2488</v>
      </c>
      <c r="AI41" s="830" t="s">
        <v>2488</v>
      </c>
      <c r="AJ41" s="829">
        <v>25</v>
      </c>
      <c r="AK41" s="829">
        <v>1</v>
      </c>
      <c r="AL41" s="829">
        <v>1</v>
      </c>
      <c r="AM41" s="829">
        <v>2312</v>
      </c>
    </row>
    <row r="42" spans="1:39" ht="15">
      <c r="A42" s="830" t="s">
        <v>2569</v>
      </c>
      <c r="B42" s="855">
        <v>809626</v>
      </c>
      <c r="C42" s="849">
        <v>0.33</v>
      </c>
      <c r="D42" s="855">
        <f t="shared" si="0"/>
        <v>267176.58</v>
      </c>
      <c r="E42" s="830" t="s">
        <v>1543</v>
      </c>
      <c r="F42" s="830" t="s">
        <v>2495</v>
      </c>
      <c r="G42" s="830" t="s">
        <v>2573</v>
      </c>
      <c r="H42" s="830" t="s">
        <v>2572</v>
      </c>
      <c r="I42" s="829" t="b">
        <v>0</v>
      </c>
      <c r="J42" s="843">
        <v>1</v>
      </c>
      <c r="K42" s="830" t="s">
        <v>2488</v>
      </c>
      <c r="L42" s="830">
        <v>2009</v>
      </c>
      <c r="M42" s="837">
        <v>39738</v>
      </c>
      <c r="N42" s="837">
        <v>40027</v>
      </c>
      <c r="O42" s="843">
        <v>50</v>
      </c>
      <c r="P42" s="843">
        <v>89</v>
      </c>
      <c r="R42" s="834">
        <v>59000</v>
      </c>
      <c r="T42" s="834">
        <v>12000</v>
      </c>
      <c r="Y42" s="830" t="s">
        <v>2488</v>
      </c>
      <c r="Z42" s="830" t="s">
        <v>2571</v>
      </c>
      <c r="AC42" s="832">
        <v>187166</v>
      </c>
      <c r="AD42" s="830" t="s">
        <v>2570</v>
      </c>
      <c r="AE42" s="829">
        <v>2008</v>
      </c>
      <c r="AF42" s="829">
        <v>3</v>
      </c>
      <c r="AG42" s="830" t="s">
        <v>2488</v>
      </c>
      <c r="AH42" s="830" t="s">
        <v>2488</v>
      </c>
      <c r="AI42" s="830" t="s">
        <v>2488</v>
      </c>
      <c r="AJ42" s="829">
        <v>24</v>
      </c>
      <c r="AK42" s="829">
        <v>5</v>
      </c>
      <c r="AL42" s="829">
        <v>19</v>
      </c>
      <c r="AM42" s="829">
        <v>2351</v>
      </c>
    </row>
    <row r="43" spans="1:39" ht="90">
      <c r="A43" s="830" t="s">
        <v>1321</v>
      </c>
      <c r="B43" s="855">
        <v>1469778</v>
      </c>
      <c r="C43" s="849">
        <v>0.83</v>
      </c>
      <c r="D43" s="855">
        <f t="shared" si="0"/>
        <v>1219915.74</v>
      </c>
      <c r="E43" s="830" t="s">
        <v>1660</v>
      </c>
      <c r="F43" s="830" t="s">
        <v>2495</v>
      </c>
      <c r="G43" s="830" t="s">
        <v>2568</v>
      </c>
      <c r="H43" s="830" t="s">
        <v>2567</v>
      </c>
      <c r="I43" s="829" t="b">
        <v>1</v>
      </c>
      <c r="J43" s="843">
        <v>3</v>
      </c>
      <c r="K43" s="830" t="s">
        <v>2566</v>
      </c>
      <c r="L43" s="830">
        <v>2009</v>
      </c>
      <c r="M43" s="837">
        <v>39745</v>
      </c>
      <c r="N43" s="837">
        <v>40115</v>
      </c>
      <c r="P43" s="833">
        <v>22</v>
      </c>
      <c r="Q43" s="833">
        <v>5</v>
      </c>
      <c r="R43" s="845">
        <v>234965</v>
      </c>
      <c r="S43" s="834">
        <v>44937</v>
      </c>
      <c r="T43" s="834">
        <v>32000</v>
      </c>
      <c r="V43" s="844"/>
      <c r="X43" s="833">
        <v>3</v>
      </c>
      <c r="Y43" s="830" t="s">
        <v>2565</v>
      </c>
      <c r="Z43" s="830" t="s">
        <v>2564</v>
      </c>
      <c r="AC43" s="832">
        <v>271000</v>
      </c>
      <c r="AD43" s="830" t="s">
        <v>2563</v>
      </c>
      <c r="AE43" s="829">
        <v>2008</v>
      </c>
      <c r="AF43" s="829">
        <v>97</v>
      </c>
      <c r="AG43" s="830" t="s">
        <v>2488</v>
      </c>
      <c r="AH43" s="830" t="s">
        <v>2488</v>
      </c>
      <c r="AI43" s="830" t="s">
        <v>2488</v>
      </c>
      <c r="AJ43" s="829">
        <v>25</v>
      </c>
      <c r="AK43" s="829">
        <v>2</v>
      </c>
      <c r="AL43" s="829">
        <v>6</v>
      </c>
      <c r="AM43" s="829">
        <v>2382</v>
      </c>
    </row>
    <row r="44" spans="1:39" ht="60">
      <c r="A44" s="830" t="s">
        <v>2559</v>
      </c>
      <c r="B44" s="855">
        <v>1997283</v>
      </c>
      <c r="C44" s="849">
        <v>0.7</v>
      </c>
      <c r="D44" s="855">
        <f t="shared" si="0"/>
        <v>1398098.0999999999</v>
      </c>
      <c r="E44" s="830" t="s">
        <v>195</v>
      </c>
      <c r="F44" s="830" t="s">
        <v>2495</v>
      </c>
      <c r="G44" s="830" t="s">
        <v>2562</v>
      </c>
      <c r="H44" s="830" t="s">
        <v>2561</v>
      </c>
      <c r="I44" s="829" t="b">
        <v>0</v>
      </c>
      <c r="J44" s="829">
        <v>1</v>
      </c>
      <c r="K44" s="830" t="s">
        <v>2488</v>
      </c>
      <c r="L44" s="830">
        <v>2009</v>
      </c>
      <c r="M44" s="837">
        <v>39750</v>
      </c>
      <c r="N44" s="837">
        <v>40239</v>
      </c>
      <c r="O44" s="833">
        <v>61</v>
      </c>
      <c r="P44" s="843">
        <v>180</v>
      </c>
      <c r="Q44" s="833">
        <v>30</v>
      </c>
      <c r="R44" s="835"/>
      <c r="S44" s="836">
        <v>25000</v>
      </c>
      <c r="T44" s="834">
        <v>21000</v>
      </c>
      <c r="V44" s="844"/>
      <c r="Y44" s="830" t="s">
        <v>2488</v>
      </c>
      <c r="Z44" s="830" t="s">
        <v>2560</v>
      </c>
      <c r="AA44" s="833">
        <v>1</v>
      </c>
      <c r="AC44" s="832">
        <v>270067</v>
      </c>
      <c r="AD44" s="830" t="s">
        <v>2556</v>
      </c>
      <c r="AE44" s="829">
        <v>2008</v>
      </c>
      <c r="AF44" s="829">
        <v>246</v>
      </c>
      <c r="AG44" s="830" t="s">
        <v>2488</v>
      </c>
      <c r="AH44" s="830" t="s">
        <v>2488</v>
      </c>
      <c r="AI44" s="830" t="s">
        <v>2488</v>
      </c>
      <c r="AJ44" s="829">
        <v>24</v>
      </c>
      <c r="AK44" s="829">
        <v>5</v>
      </c>
      <c r="AL44" s="829">
        <v>19</v>
      </c>
      <c r="AM44" s="829">
        <v>2416</v>
      </c>
    </row>
    <row r="45" spans="1:39" ht="15">
      <c r="A45" s="830" t="s">
        <v>2555</v>
      </c>
      <c r="B45" s="855">
        <v>1618182</v>
      </c>
      <c r="C45" s="849">
        <v>0.15</v>
      </c>
      <c r="D45" s="855">
        <f t="shared" si="0"/>
        <v>242727.3</v>
      </c>
      <c r="E45" s="830" t="s">
        <v>2281</v>
      </c>
      <c r="F45" s="830" t="s">
        <v>2495</v>
      </c>
      <c r="G45" s="830" t="s">
        <v>2488</v>
      </c>
      <c r="H45" s="830" t="s">
        <v>2558</v>
      </c>
      <c r="I45" s="829" t="b">
        <v>1</v>
      </c>
      <c r="J45" s="829">
        <v>1</v>
      </c>
      <c r="K45" s="830" t="s">
        <v>2557</v>
      </c>
      <c r="L45" s="830">
        <v>2009</v>
      </c>
      <c r="M45" s="837">
        <v>39759</v>
      </c>
      <c r="N45" s="837">
        <v>40066</v>
      </c>
      <c r="P45" s="843">
        <v>70</v>
      </c>
      <c r="Q45" s="844"/>
      <c r="R45" s="836">
        <v>20000</v>
      </c>
      <c r="S45" s="845">
        <v>5000</v>
      </c>
      <c r="T45" s="834">
        <v>10000</v>
      </c>
      <c r="U45" s="829">
        <v>40</v>
      </c>
      <c r="V45" s="829">
        <v>250</v>
      </c>
      <c r="Y45" s="830" t="s">
        <v>2488</v>
      </c>
      <c r="Z45" s="830" t="s">
        <v>365</v>
      </c>
      <c r="AD45" s="830" t="s">
        <v>2556</v>
      </c>
      <c r="AE45" s="829">
        <v>2008</v>
      </c>
      <c r="AF45" s="829">
        <v>150</v>
      </c>
      <c r="AG45" s="830" t="s">
        <v>2488</v>
      </c>
      <c r="AH45" s="830" t="s">
        <v>2488</v>
      </c>
      <c r="AI45" s="830" t="s">
        <v>2488</v>
      </c>
      <c r="AJ45" s="829">
        <v>25</v>
      </c>
      <c r="AK45" s="829">
        <v>5</v>
      </c>
      <c r="AL45" s="829">
        <v>19</v>
      </c>
      <c r="AM45" s="829">
        <v>2411</v>
      </c>
    </row>
    <row r="46" spans="1:39" ht="15">
      <c r="A46" s="830" t="s">
        <v>2478</v>
      </c>
      <c r="B46" s="855">
        <v>6179532</v>
      </c>
      <c r="C46" s="852">
        <v>7.0000000000000007E-2</v>
      </c>
      <c r="D46" s="855">
        <f t="shared" si="0"/>
        <v>432567.24000000005</v>
      </c>
      <c r="E46" s="830" t="s">
        <v>1605</v>
      </c>
      <c r="F46" s="830" t="s">
        <v>2495</v>
      </c>
      <c r="G46" s="830" t="s">
        <v>2554</v>
      </c>
      <c r="H46" s="830" t="s">
        <v>2553</v>
      </c>
      <c r="I46" s="829" t="b">
        <v>1</v>
      </c>
      <c r="J46" s="829">
        <v>1</v>
      </c>
      <c r="K46" s="830" t="s">
        <v>2552</v>
      </c>
      <c r="L46" s="830">
        <v>2009</v>
      </c>
      <c r="M46" s="837">
        <v>39762</v>
      </c>
      <c r="N46" s="837">
        <v>40085</v>
      </c>
      <c r="P46" s="829">
        <v>12</v>
      </c>
      <c r="R46" s="836">
        <v>120000</v>
      </c>
      <c r="S46" s="835"/>
      <c r="T46" s="836">
        <v>300000</v>
      </c>
      <c r="Y46" s="830" t="s">
        <v>2488</v>
      </c>
      <c r="Z46" s="830" t="s">
        <v>2488</v>
      </c>
      <c r="AC46" s="832">
        <v>211787</v>
      </c>
      <c r="AD46" s="830" t="s">
        <v>2501</v>
      </c>
      <c r="AE46" s="829">
        <v>2008</v>
      </c>
      <c r="AF46" s="829">
        <v>118</v>
      </c>
      <c r="AG46" s="830" t="s">
        <v>2488</v>
      </c>
      <c r="AH46" s="830" t="s">
        <v>2488</v>
      </c>
      <c r="AI46" s="830" t="s">
        <v>2488</v>
      </c>
      <c r="AJ46" s="829">
        <v>25</v>
      </c>
      <c r="AK46" s="829">
        <v>1</v>
      </c>
      <c r="AL46" s="829">
        <v>2</v>
      </c>
      <c r="AM46" s="829">
        <v>2442</v>
      </c>
    </row>
    <row r="47" spans="1:39" ht="30">
      <c r="A47" s="830" t="s">
        <v>117</v>
      </c>
      <c r="B47" s="855">
        <v>4779037</v>
      </c>
      <c r="C47" s="849">
        <v>0.47</v>
      </c>
      <c r="D47" s="855">
        <f t="shared" si="0"/>
        <v>2246147.3899999997</v>
      </c>
      <c r="E47" s="830" t="s">
        <v>1947</v>
      </c>
      <c r="F47" s="830" t="s">
        <v>2495</v>
      </c>
      <c r="G47" s="830" t="s">
        <v>2551</v>
      </c>
      <c r="H47" s="830" t="s">
        <v>76</v>
      </c>
      <c r="I47" s="829" t="b">
        <v>1</v>
      </c>
      <c r="J47" s="829">
        <v>1</v>
      </c>
      <c r="K47" s="830" t="s">
        <v>2550</v>
      </c>
      <c r="L47" s="830">
        <v>2009</v>
      </c>
      <c r="M47" s="837">
        <v>39764</v>
      </c>
      <c r="N47" s="837">
        <v>40170</v>
      </c>
      <c r="P47" s="833">
        <v>89</v>
      </c>
      <c r="R47" s="836">
        <v>600000</v>
      </c>
      <c r="S47" s="834">
        <v>92000</v>
      </c>
      <c r="T47" s="834">
        <v>293860</v>
      </c>
      <c r="U47" s="835"/>
      <c r="V47" s="835"/>
      <c r="Y47" s="830" t="s">
        <v>2488</v>
      </c>
      <c r="Z47" s="830" t="s">
        <v>2549</v>
      </c>
      <c r="AD47" s="830" t="s">
        <v>2548</v>
      </c>
      <c r="AE47" s="829">
        <v>2008</v>
      </c>
      <c r="AF47" s="829">
        <v>240</v>
      </c>
      <c r="AG47" s="830" t="s">
        <v>2488</v>
      </c>
      <c r="AH47" s="830" t="s">
        <v>2488</v>
      </c>
      <c r="AI47" s="830" t="s">
        <v>2488</v>
      </c>
      <c r="AJ47" s="829">
        <v>25</v>
      </c>
      <c r="AK47" s="829">
        <v>3</v>
      </c>
      <c r="AL47" s="829">
        <v>12</v>
      </c>
      <c r="AM47" s="829">
        <v>2419</v>
      </c>
    </row>
    <row r="48" spans="1:39" ht="15">
      <c r="A48" s="830" t="s">
        <v>2479</v>
      </c>
      <c r="B48" s="855">
        <v>2500000</v>
      </c>
      <c r="C48" s="853">
        <v>0.8</v>
      </c>
      <c r="D48" s="855">
        <f t="shared" si="0"/>
        <v>2000000</v>
      </c>
      <c r="E48" s="830" t="s">
        <v>1668</v>
      </c>
      <c r="F48" s="830" t="s">
        <v>2495</v>
      </c>
      <c r="G48" s="830" t="s">
        <v>2547</v>
      </c>
      <c r="H48" s="830" t="s">
        <v>75</v>
      </c>
      <c r="I48" s="829" t="b">
        <v>1</v>
      </c>
      <c r="J48" s="829">
        <v>1</v>
      </c>
      <c r="K48" s="830" t="s">
        <v>2546</v>
      </c>
      <c r="L48" s="830">
        <v>2009</v>
      </c>
      <c r="M48" s="837">
        <v>39771</v>
      </c>
      <c r="N48" s="837">
        <v>40053</v>
      </c>
      <c r="O48" s="833">
        <v>320</v>
      </c>
      <c r="P48" s="843">
        <v>166</v>
      </c>
      <c r="R48" s="836">
        <v>80000</v>
      </c>
      <c r="S48" s="844"/>
      <c r="T48" s="845">
        <v>40000</v>
      </c>
      <c r="U48" s="833">
        <v>10</v>
      </c>
      <c r="V48" s="833">
        <v>58</v>
      </c>
      <c r="Y48" s="830" t="s">
        <v>2488</v>
      </c>
      <c r="Z48" s="830" t="s">
        <v>2545</v>
      </c>
      <c r="AD48" s="830" t="s">
        <v>2544</v>
      </c>
      <c r="AE48" s="829">
        <v>2008</v>
      </c>
      <c r="AF48" s="829">
        <v>169</v>
      </c>
      <c r="AG48" s="830" t="s">
        <v>2488</v>
      </c>
      <c r="AH48" s="830" t="s">
        <v>2488</v>
      </c>
      <c r="AI48" s="830" t="s">
        <v>2488</v>
      </c>
      <c r="AJ48" s="829">
        <v>19</v>
      </c>
      <c r="AK48" s="829">
        <v>3</v>
      </c>
      <c r="AL48" s="829">
        <v>11</v>
      </c>
      <c r="AM48" s="829">
        <v>2439</v>
      </c>
    </row>
    <row r="49" spans="1:39" ht="75">
      <c r="A49" s="830" t="s">
        <v>116</v>
      </c>
      <c r="B49" s="855">
        <v>651961</v>
      </c>
      <c r="C49" s="849">
        <v>1</v>
      </c>
      <c r="D49" s="855">
        <f t="shared" si="0"/>
        <v>651961</v>
      </c>
      <c r="E49" s="830" t="s">
        <v>1878</v>
      </c>
      <c r="F49" s="830" t="s">
        <v>2495</v>
      </c>
      <c r="G49" s="830" t="s">
        <v>2488</v>
      </c>
      <c r="H49" s="830" t="s">
        <v>77</v>
      </c>
      <c r="I49" s="829" t="b">
        <v>1</v>
      </c>
      <c r="J49" s="829">
        <v>2</v>
      </c>
      <c r="K49" s="830" t="s">
        <v>2543</v>
      </c>
      <c r="L49" s="830">
        <v>2009</v>
      </c>
      <c r="M49" s="837">
        <v>39783</v>
      </c>
      <c r="N49" s="837">
        <v>40597</v>
      </c>
      <c r="O49" s="833">
        <v>15</v>
      </c>
      <c r="P49" s="829">
        <v>13</v>
      </c>
      <c r="Q49" s="833">
        <v>19</v>
      </c>
      <c r="R49" s="845">
        <v>46600</v>
      </c>
      <c r="S49" s="834">
        <v>525</v>
      </c>
      <c r="T49" s="834">
        <v>12500</v>
      </c>
      <c r="U49" s="844"/>
      <c r="V49" s="843">
        <v>350</v>
      </c>
      <c r="X49" s="833">
        <v>2</v>
      </c>
      <c r="Y49" s="830" t="s">
        <v>2542</v>
      </c>
      <c r="Z49" s="830" t="s">
        <v>2541</v>
      </c>
      <c r="AC49" s="832">
        <v>110501</v>
      </c>
      <c r="AD49" s="830" t="s">
        <v>2540</v>
      </c>
      <c r="AE49" s="829">
        <v>2008</v>
      </c>
      <c r="AF49" s="829">
        <v>53</v>
      </c>
      <c r="AG49" s="830" t="s">
        <v>2488</v>
      </c>
      <c r="AH49" s="830" t="s">
        <v>2488</v>
      </c>
      <c r="AI49" s="830" t="s">
        <v>2488</v>
      </c>
      <c r="AJ49" s="829">
        <v>25</v>
      </c>
      <c r="AK49" s="829">
        <v>2</v>
      </c>
      <c r="AL49" s="829">
        <v>6</v>
      </c>
      <c r="AM49" s="829">
        <v>2444</v>
      </c>
    </row>
    <row r="50" spans="1:39" ht="60">
      <c r="A50" s="858" t="s">
        <v>81</v>
      </c>
      <c r="B50" s="855">
        <v>1300299</v>
      </c>
      <c r="C50" s="849">
        <v>0.64</v>
      </c>
      <c r="D50" s="855">
        <f t="shared" si="0"/>
        <v>832191.36</v>
      </c>
      <c r="E50" s="830" t="s">
        <v>1116</v>
      </c>
      <c r="F50" s="830" t="s">
        <v>2495</v>
      </c>
      <c r="G50" s="830" t="s">
        <v>2539</v>
      </c>
      <c r="H50" s="830" t="s">
        <v>2488</v>
      </c>
      <c r="I50" s="829" t="b">
        <v>1</v>
      </c>
      <c r="J50" s="829">
        <v>3</v>
      </c>
      <c r="K50" s="830" t="s">
        <v>2538</v>
      </c>
      <c r="L50" s="830">
        <v>2009</v>
      </c>
      <c r="M50" s="837">
        <v>39788</v>
      </c>
      <c r="N50" s="837">
        <v>40198</v>
      </c>
      <c r="O50" s="835"/>
      <c r="S50" s="835"/>
      <c r="T50" s="834">
        <v>60000</v>
      </c>
      <c r="Y50" s="830" t="s">
        <v>2488</v>
      </c>
      <c r="Z50" s="830" t="s">
        <v>2537</v>
      </c>
      <c r="AA50" s="833">
        <v>1</v>
      </c>
      <c r="AC50" s="832">
        <v>211650</v>
      </c>
      <c r="AD50" s="830" t="s">
        <v>2536</v>
      </c>
      <c r="AE50" s="829">
        <v>2008</v>
      </c>
      <c r="AF50" s="829">
        <v>230</v>
      </c>
      <c r="AG50" s="830" t="s">
        <v>2488</v>
      </c>
      <c r="AH50" s="830" t="s">
        <v>2488</v>
      </c>
      <c r="AI50" s="830" t="s">
        <v>2488</v>
      </c>
      <c r="AJ50" s="829">
        <v>41</v>
      </c>
      <c r="AK50" s="829">
        <v>1</v>
      </c>
      <c r="AL50" s="829">
        <v>2</v>
      </c>
      <c r="AM50" s="829">
        <v>2447</v>
      </c>
    </row>
    <row r="51" spans="1:39" ht="60">
      <c r="A51" s="830" t="s">
        <v>115</v>
      </c>
      <c r="B51" s="855">
        <v>75760326</v>
      </c>
      <c r="C51" s="849">
        <v>0.17</v>
      </c>
      <c r="D51" s="855">
        <f t="shared" si="0"/>
        <v>12879255.420000002</v>
      </c>
      <c r="E51" s="830" t="s">
        <v>973</v>
      </c>
      <c r="F51" s="830" t="s">
        <v>2495</v>
      </c>
      <c r="G51" s="830" t="s">
        <v>2535</v>
      </c>
      <c r="H51" s="830" t="s">
        <v>2534</v>
      </c>
      <c r="I51" s="829" t="b">
        <v>1</v>
      </c>
      <c r="J51" s="829">
        <v>30</v>
      </c>
      <c r="K51" s="830" t="s">
        <v>2533</v>
      </c>
      <c r="L51" s="830">
        <v>2009</v>
      </c>
      <c r="M51" s="837">
        <v>39793</v>
      </c>
      <c r="N51" s="837">
        <v>40574</v>
      </c>
      <c r="R51" s="845">
        <v>20000000</v>
      </c>
      <c r="T51" s="834">
        <v>2200000</v>
      </c>
      <c r="Y51" s="830" t="s">
        <v>2488</v>
      </c>
      <c r="Z51" s="830" t="s">
        <v>2532</v>
      </c>
      <c r="AC51" s="832">
        <v>130000</v>
      </c>
      <c r="AD51" s="830" t="s">
        <v>2531</v>
      </c>
      <c r="AE51" s="829">
        <v>2008</v>
      </c>
      <c r="AF51" s="829">
        <v>60</v>
      </c>
      <c r="AG51" s="830" t="s">
        <v>2488</v>
      </c>
      <c r="AH51" s="830" t="s">
        <v>2488</v>
      </c>
      <c r="AI51" s="830" t="s">
        <v>2488</v>
      </c>
      <c r="AJ51" s="829">
        <v>22</v>
      </c>
      <c r="AK51" s="829">
        <v>1</v>
      </c>
      <c r="AL51" s="829">
        <v>2</v>
      </c>
      <c r="AM51" s="829">
        <v>2472</v>
      </c>
    </row>
    <row r="52" spans="1:39" ht="30">
      <c r="A52" s="830" t="s">
        <v>1664</v>
      </c>
      <c r="B52" s="855">
        <v>1110665</v>
      </c>
      <c r="C52" s="849">
        <v>1</v>
      </c>
      <c r="D52" s="855">
        <f t="shared" si="0"/>
        <v>1110665</v>
      </c>
      <c r="E52" s="830" t="s">
        <v>717</v>
      </c>
      <c r="F52" s="830" t="s">
        <v>2495</v>
      </c>
      <c r="G52" s="830" t="s">
        <v>2488</v>
      </c>
      <c r="H52" s="830" t="s">
        <v>1663</v>
      </c>
      <c r="I52" s="829" t="b">
        <v>1</v>
      </c>
      <c r="J52" s="829">
        <v>1</v>
      </c>
      <c r="K52" s="830" t="s">
        <v>2530</v>
      </c>
      <c r="L52" s="830">
        <v>2009</v>
      </c>
      <c r="M52" s="837">
        <v>39863</v>
      </c>
      <c r="N52" s="837">
        <v>40233</v>
      </c>
      <c r="P52" s="833">
        <v>8</v>
      </c>
      <c r="Q52" s="833">
        <v>22</v>
      </c>
      <c r="R52" s="834">
        <v>31250</v>
      </c>
      <c r="T52" s="834">
        <v>25000</v>
      </c>
      <c r="V52" s="833">
        <v>65</v>
      </c>
      <c r="X52" s="833">
        <v>3</v>
      </c>
      <c r="Y52" s="830" t="s">
        <v>2529</v>
      </c>
      <c r="Z52" s="830" t="s">
        <v>2528</v>
      </c>
      <c r="AC52" s="832">
        <v>177000</v>
      </c>
      <c r="AD52" s="830" t="s">
        <v>2527</v>
      </c>
      <c r="AE52" s="829">
        <v>2009</v>
      </c>
      <c r="AF52" s="829">
        <v>48</v>
      </c>
      <c r="AG52" s="830" t="s">
        <v>2488</v>
      </c>
      <c r="AH52" s="830" t="s">
        <v>2488</v>
      </c>
      <c r="AI52" s="830" t="s">
        <v>2488</v>
      </c>
      <c r="AJ52" s="829">
        <v>25</v>
      </c>
      <c r="AK52" s="829">
        <v>2</v>
      </c>
      <c r="AL52" s="829">
        <v>8</v>
      </c>
      <c r="AM52" s="829">
        <v>2565</v>
      </c>
    </row>
    <row r="53" spans="1:39" ht="45">
      <c r="A53" s="830" t="s">
        <v>86</v>
      </c>
      <c r="B53" s="855">
        <v>2121518</v>
      </c>
      <c r="C53" s="849">
        <v>0.97</v>
      </c>
      <c r="D53" s="855">
        <f t="shared" si="0"/>
        <v>2057872.46</v>
      </c>
      <c r="E53" s="830" t="s">
        <v>85</v>
      </c>
      <c r="F53" s="830" t="s">
        <v>2495</v>
      </c>
      <c r="G53" s="830" t="s">
        <v>2526</v>
      </c>
      <c r="H53" s="830" t="s">
        <v>2525</v>
      </c>
      <c r="I53" s="829" t="b">
        <v>1</v>
      </c>
      <c r="J53" s="829">
        <v>1</v>
      </c>
      <c r="K53" s="830" t="s">
        <v>2524</v>
      </c>
      <c r="L53" s="830">
        <v>2009</v>
      </c>
      <c r="M53" s="837">
        <v>39883</v>
      </c>
      <c r="N53" s="837">
        <v>40329</v>
      </c>
      <c r="P53" s="829">
        <v>92</v>
      </c>
      <c r="R53" s="836">
        <v>700000</v>
      </c>
      <c r="S53" s="834">
        <v>54581</v>
      </c>
      <c r="T53" s="834">
        <v>10000</v>
      </c>
      <c r="V53" s="833">
        <v>204</v>
      </c>
      <c r="X53" s="833">
        <v>1</v>
      </c>
      <c r="Y53" s="830" t="s">
        <v>2498</v>
      </c>
      <c r="Z53" s="830" t="s">
        <v>2523</v>
      </c>
      <c r="AC53" s="832">
        <v>275695</v>
      </c>
      <c r="AD53" s="830" t="s">
        <v>2522</v>
      </c>
      <c r="AE53" s="829">
        <v>2009</v>
      </c>
      <c r="AF53" s="829">
        <v>153</v>
      </c>
      <c r="AG53" s="830" t="s">
        <v>2488</v>
      </c>
      <c r="AH53" s="830" t="s">
        <v>2488</v>
      </c>
      <c r="AI53" s="830" t="s">
        <v>2488</v>
      </c>
      <c r="AJ53" s="829">
        <v>25</v>
      </c>
      <c r="AK53" s="829">
        <v>1</v>
      </c>
      <c r="AL53" s="829">
        <v>3</v>
      </c>
      <c r="AM53" s="829">
        <v>2570</v>
      </c>
    </row>
    <row r="54" spans="1:39" ht="45">
      <c r="A54" s="846" t="s">
        <v>2518</v>
      </c>
      <c r="B54" s="855">
        <v>2432933</v>
      </c>
      <c r="C54" s="849">
        <v>0.61</v>
      </c>
      <c r="D54" s="855">
        <f t="shared" si="0"/>
        <v>1484089.13</v>
      </c>
      <c r="E54" s="830" t="s">
        <v>416</v>
      </c>
      <c r="F54" s="830" t="s">
        <v>2495</v>
      </c>
      <c r="G54" s="830" t="s">
        <v>2521</v>
      </c>
      <c r="H54" s="830" t="s">
        <v>2488</v>
      </c>
      <c r="I54" s="829" t="b">
        <v>0</v>
      </c>
      <c r="J54" s="829">
        <v>15</v>
      </c>
      <c r="K54" s="830" t="s">
        <v>2488</v>
      </c>
      <c r="L54" s="830">
        <v>2009</v>
      </c>
      <c r="M54" s="837">
        <v>39910</v>
      </c>
      <c r="N54" s="837">
        <v>40360</v>
      </c>
      <c r="O54" s="829">
        <v>730</v>
      </c>
      <c r="R54" s="835"/>
      <c r="S54" s="844"/>
      <c r="T54" s="834">
        <v>25000000</v>
      </c>
      <c r="V54" s="833">
        <v>12640</v>
      </c>
      <c r="Y54" s="830" t="s">
        <v>2488</v>
      </c>
      <c r="Z54" s="830" t="s">
        <v>2520</v>
      </c>
      <c r="AC54" s="832">
        <v>517842</v>
      </c>
      <c r="AD54" s="830" t="s">
        <v>2519</v>
      </c>
      <c r="AE54" s="829">
        <v>2009</v>
      </c>
      <c r="AF54" s="829">
        <v>6</v>
      </c>
      <c r="AG54" s="830" t="s">
        <v>2488</v>
      </c>
      <c r="AH54" s="830" t="s">
        <v>2488</v>
      </c>
      <c r="AI54" s="830" t="s">
        <v>2488</v>
      </c>
      <c r="AJ54" s="829">
        <v>20</v>
      </c>
      <c r="AK54" s="829">
        <v>1</v>
      </c>
      <c r="AL54" s="829">
        <v>3</v>
      </c>
      <c r="AM54" s="829">
        <v>2719</v>
      </c>
    </row>
    <row r="55" spans="1:39" ht="45">
      <c r="A55" s="857" t="s">
        <v>356</v>
      </c>
      <c r="B55" s="855">
        <v>892624</v>
      </c>
      <c r="C55" s="849">
        <v>0.91</v>
      </c>
      <c r="D55" s="855">
        <f t="shared" si="0"/>
        <v>812287.84000000008</v>
      </c>
      <c r="E55" s="830" t="s">
        <v>355</v>
      </c>
      <c r="F55" s="830" t="s">
        <v>2495</v>
      </c>
      <c r="G55" s="830" t="s">
        <v>2517</v>
      </c>
      <c r="H55" s="830" t="s">
        <v>2516</v>
      </c>
      <c r="I55" s="829" t="b">
        <v>1</v>
      </c>
      <c r="J55" s="829">
        <v>1</v>
      </c>
      <c r="K55" s="830" t="s">
        <v>2515</v>
      </c>
      <c r="L55" s="830">
        <v>2009</v>
      </c>
      <c r="M55" s="837">
        <v>39925</v>
      </c>
      <c r="N55" s="837">
        <v>40352</v>
      </c>
      <c r="P55" s="833">
        <v>26</v>
      </c>
      <c r="R55" s="834">
        <v>7930</v>
      </c>
      <c r="S55" s="834">
        <v>2814</v>
      </c>
      <c r="T55" s="834">
        <v>4320</v>
      </c>
      <c r="U55" s="833">
        <v>56</v>
      </c>
      <c r="V55" s="829">
        <v>28</v>
      </c>
      <c r="X55" s="833">
        <v>2</v>
      </c>
      <c r="Y55" s="830" t="s">
        <v>2514</v>
      </c>
      <c r="Z55" s="830" t="s">
        <v>2513</v>
      </c>
      <c r="AC55" s="832">
        <v>292342</v>
      </c>
      <c r="AD55" s="830" t="s">
        <v>2512</v>
      </c>
      <c r="AE55" s="829">
        <v>2009</v>
      </c>
      <c r="AF55" s="829">
        <v>215</v>
      </c>
      <c r="AG55" s="830" t="s">
        <v>2488</v>
      </c>
      <c r="AH55" s="830" t="s">
        <v>2488</v>
      </c>
      <c r="AI55" s="830" t="s">
        <v>2488</v>
      </c>
      <c r="AJ55" s="829">
        <v>28</v>
      </c>
      <c r="AK55" s="829">
        <v>4</v>
      </c>
      <c r="AL55" s="829">
        <v>16</v>
      </c>
      <c r="AM55" s="829">
        <v>2612</v>
      </c>
    </row>
    <row r="56" spans="1:39" ht="30">
      <c r="A56" s="857" t="s">
        <v>2506</v>
      </c>
      <c r="B56" s="855">
        <v>0</v>
      </c>
      <c r="C56" s="849">
        <v>0</v>
      </c>
      <c r="D56" s="855">
        <f t="shared" si="0"/>
        <v>0</v>
      </c>
      <c r="E56" s="830" t="s">
        <v>1876</v>
      </c>
      <c r="F56" s="830" t="s">
        <v>2495</v>
      </c>
      <c r="G56" s="830" t="s">
        <v>2511</v>
      </c>
      <c r="H56" s="830" t="s">
        <v>2510</v>
      </c>
      <c r="I56" s="829" t="b">
        <v>1</v>
      </c>
      <c r="J56" s="829">
        <v>1</v>
      </c>
      <c r="K56" s="830" t="s">
        <v>2509</v>
      </c>
      <c r="L56" s="830">
        <v>2009</v>
      </c>
      <c r="M56" s="837">
        <v>39928</v>
      </c>
      <c r="N56" s="837">
        <v>40147</v>
      </c>
      <c r="P56" s="833">
        <v>159</v>
      </c>
      <c r="R56" s="845">
        <v>6497</v>
      </c>
      <c r="T56" s="834">
        <v>2000000</v>
      </c>
      <c r="Y56" s="830" t="s">
        <v>2488</v>
      </c>
      <c r="Z56" s="830" t="s">
        <v>2508</v>
      </c>
      <c r="AC56" s="832">
        <v>550000</v>
      </c>
      <c r="AD56" s="830" t="s">
        <v>2507</v>
      </c>
      <c r="AE56" s="829">
        <v>2009</v>
      </c>
      <c r="AF56" s="829">
        <v>143</v>
      </c>
      <c r="AG56" s="830" t="s">
        <v>2488</v>
      </c>
      <c r="AH56" s="830" t="s">
        <v>2488</v>
      </c>
      <c r="AI56" s="830" t="s">
        <v>2488</v>
      </c>
      <c r="AJ56" s="829">
        <v>20</v>
      </c>
      <c r="AK56" s="829">
        <v>2</v>
      </c>
      <c r="AL56" s="829">
        <v>7</v>
      </c>
      <c r="AM56" s="829">
        <v>2615</v>
      </c>
    </row>
    <row r="57" spans="1:39" ht="45">
      <c r="A57" s="857" t="s">
        <v>33</v>
      </c>
      <c r="B57" s="855">
        <v>3635713</v>
      </c>
      <c r="C57" s="849">
        <v>0.98</v>
      </c>
      <c r="D57" s="855">
        <f t="shared" si="0"/>
        <v>3562998.7399999998</v>
      </c>
      <c r="E57" s="830" t="s">
        <v>1668</v>
      </c>
      <c r="F57" s="830" t="s">
        <v>2495</v>
      </c>
      <c r="G57" s="830" t="s">
        <v>2500</v>
      </c>
      <c r="H57" s="830" t="s">
        <v>2488</v>
      </c>
      <c r="I57" s="829" t="b">
        <v>1</v>
      </c>
      <c r="J57" s="829">
        <v>1</v>
      </c>
      <c r="K57" s="830" t="s">
        <v>2499</v>
      </c>
      <c r="L57" s="830">
        <v>2009</v>
      </c>
      <c r="M57" s="837">
        <v>39944</v>
      </c>
      <c r="N57" s="837">
        <v>40511</v>
      </c>
      <c r="P57" s="835"/>
      <c r="R57" s="835"/>
      <c r="S57" s="834">
        <v>91000</v>
      </c>
      <c r="T57" s="834">
        <v>42000</v>
      </c>
      <c r="U57" s="844"/>
      <c r="V57" s="829">
        <v>93</v>
      </c>
      <c r="X57" s="833">
        <v>1</v>
      </c>
      <c r="Y57" s="830" t="s">
        <v>2498</v>
      </c>
      <c r="Z57" s="830" t="s">
        <v>2497</v>
      </c>
      <c r="AD57" s="830" t="s">
        <v>2496</v>
      </c>
      <c r="AE57" s="829">
        <v>2009</v>
      </c>
      <c r="AF57" s="829">
        <v>169</v>
      </c>
      <c r="AG57" s="830" t="s">
        <v>2488</v>
      </c>
      <c r="AH57" s="830" t="s">
        <v>2488</v>
      </c>
      <c r="AI57" s="830" t="s">
        <v>2488</v>
      </c>
      <c r="AJ57" s="829">
        <v>41</v>
      </c>
      <c r="AK57" s="829">
        <v>3</v>
      </c>
      <c r="AL57" s="829">
        <v>11</v>
      </c>
      <c r="AM57" s="829">
        <v>2641</v>
      </c>
    </row>
    <row r="58" spans="1:39" ht="15">
      <c r="A58" s="830" t="s">
        <v>2477</v>
      </c>
      <c r="B58" s="855">
        <v>545134</v>
      </c>
      <c r="C58" s="849">
        <v>0.42</v>
      </c>
      <c r="D58" s="855">
        <f t="shared" si="0"/>
        <v>228956.28</v>
      </c>
      <c r="E58" s="830" t="s">
        <v>1379</v>
      </c>
      <c r="F58" s="830" t="s">
        <v>2495</v>
      </c>
      <c r="G58" s="830" t="s">
        <v>2505</v>
      </c>
      <c r="H58" s="830" t="s">
        <v>2504</v>
      </c>
      <c r="I58" s="829" t="b">
        <v>1</v>
      </c>
      <c r="J58" s="829">
        <v>1</v>
      </c>
      <c r="K58" s="830" t="s">
        <v>2503</v>
      </c>
      <c r="L58" s="830">
        <v>2009</v>
      </c>
      <c r="M58" s="837">
        <v>39944</v>
      </c>
      <c r="N58" s="837">
        <v>40211</v>
      </c>
      <c r="O58" s="833">
        <v>500</v>
      </c>
      <c r="P58" s="843">
        <v>20</v>
      </c>
      <c r="R58" s="844"/>
      <c r="S58" s="834">
        <v>1244</v>
      </c>
      <c r="T58" s="834">
        <v>18866</v>
      </c>
      <c r="V58" s="844"/>
      <c r="Y58" s="830" t="s">
        <v>2488</v>
      </c>
      <c r="Z58" s="830" t="s">
        <v>2502</v>
      </c>
      <c r="AC58" s="832">
        <v>100535</v>
      </c>
      <c r="AD58" s="830" t="s">
        <v>2501</v>
      </c>
      <c r="AE58" s="829">
        <v>2009</v>
      </c>
      <c r="AF58" s="829">
        <v>216</v>
      </c>
      <c r="AG58" s="830" t="s">
        <v>2488</v>
      </c>
      <c r="AH58" s="830" t="s">
        <v>2488</v>
      </c>
      <c r="AI58" s="830" t="s">
        <v>2488</v>
      </c>
      <c r="AJ58" s="829">
        <v>30</v>
      </c>
      <c r="AK58" s="829">
        <v>1</v>
      </c>
      <c r="AL58" s="829">
        <v>2</v>
      </c>
      <c r="AM58" s="829">
        <v>2635</v>
      </c>
    </row>
    <row r="59" spans="1:39" ht="135">
      <c r="A59" s="830" t="s">
        <v>31</v>
      </c>
      <c r="B59" s="855">
        <v>1153737</v>
      </c>
      <c r="C59" s="849">
        <v>0.86</v>
      </c>
      <c r="D59" s="855">
        <f t="shared" si="0"/>
        <v>992213.82</v>
      </c>
      <c r="E59" s="830" t="s">
        <v>1943</v>
      </c>
      <c r="F59" s="830" t="s">
        <v>2495</v>
      </c>
      <c r="G59" s="830" t="s">
        <v>2494</v>
      </c>
      <c r="H59" s="830" t="s">
        <v>30</v>
      </c>
      <c r="I59" s="829" t="b">
        <v>1</v>
      </c>
      <c r="J59" s="829">
        <v>1</v>
      </c>
      <c r="K59" s="830" t="s">
        <v>2493</v>
      </c>
      <c r="L59" s="830">
        <v>2009</v>
      </c>
      <c r="M59" s="837">
        <v>39959</v>
      </c>
      <c r="N59" s="837">
        <v>40359</v>
      </c>
      <c r="O59" s="833">
        <v>6551</v>
      </c>
      <c r="P59" s="829">
        <v>190</v>
      </c>
      <c r="Q59" s="833">
        <v>1131</v>
      </c>
      <c r="R59" s="836">
        <v>3928238</v>
      </c>
      <c r="S59" s="835"/>
      <c r="T59" s="834">
        <v>150000</v>
      </c>
      <c r="W59" s="833">
        <v>1</v>
      </c>
      <c r="Y59" s="830" t="s">
        <v>2488</v>
      </c>
      <c r="Z59" s="830" t="s">
        <v>2492</v>
      </c>
      <c r="AC59" s="832">
        <v>253000</v>
      </c>
      <c r="AD59" s="830" t="s">
        <v>2491</v>
      </c>
      <c r="AE59" s="829">
        <v>2009</v>
      </c>
      <c r="AF59" s="829">
        <v>18</v>
      </c>
      <c r="AG59" s="830" t="s">
        <v>2490</v>
      </c>
      <c r="AH59" s="830" t="s">
        <v>2489</v>
      </c>
      <c r="AI59" s="830" t="s">
        <v>2488</v>
      </c>
      <c r="AJ59" s="829">
        <v>36</v>
      </c>
      <c r="AK59" s="829">
        <v>3</v>
      </c>
      <c r="AL59" s="829">
        <v>11</v>
      </c>
      <c r="AM59" s="829">
        <v>2648</v>
      </c>
    </row>
    <row r="60" spans="1:39" ht="30">
      <c r="A60" s="871" t="s">
        <v>2304</v>
      </c>
      <c r="B60" s="855">
        <v>805260</v>
      </c>
      <c r="C60" s="872"/>
      <c r="D60" s="872"/>
      <c r="E60" s="871" t="s">
        <v>2305</v>
      </c>
      <c r="F60" s="871" t="s">
        <v>2495</v>
      </c>
      <c r="G60" s="871" t="s">
        <v>2814</v>
      </c>
      <c r="H60" s="871" t="s">
        <v>2815</v>
      </c>
      <c r="I60" s="873" t="b">
        <v>1</v>
      </c>
      <c r="J60" s="873">
        <v>1</v>
      </c>
      <c r="K60" s="871" t="s">
        <v>2816</v>
      </c>
      <c r="L60" s="874">
        <v>40004</v>
      </c>
      <c r="M60" s="874">
        <v>40360</v>
      </c>
      <c r="N60" s="873">
        <v>14</v>
      </c>
      <c r="O60" s="873">
        <v>2</v>
      </c>
      <c r="P60"/>
      <c r="Q60" s="875">
        <v>15000</v>
      </c>
      <c r="R60" s="875">
        <v>13575</v>
      </c>
      <c r="S60" s="875">
        <v>11000</v>
      </c>
      <c r="T60" s="873">
        <v>5</v>
      </c>
      <c r="U60" s="873">
        <v>60</v>
      </c>
      <c r="V60"/>
      <c r="W60" s="873">
        <v>1</v>
      </c>
      <c r="X60" s="871" t="s">
        <v>2498</v>
      </c>
      <c r="Y60" s="871" t="s">
        <v>2817</v>
      </c>
      <c r="Z60"/>
      <c r="AA60"/>
      <c r="AB60" s="876">
        <v>35302</v>
      </c>
      <c r="AC60" s="871" t="s">
        <v>2818</v>
      </c>
      <c r="AD60" s="873">
        <v>2009</v>
      </c>
      <c r="AE60" s="873">
        <v>42</v>
      </c>
      <c r="AF60" s="871" t="s">
        <v>2488</v>
      </c>
      <c r="AG60" s="871" t="s">
        <v>2488</v>
      </c>
      <c r="AH60" s="871" t="s">
        <v>2488</v>
      </c>
      <c r="AI60" s="873">
        <v>25</v>
      </c>
      <c r="AJ60" s="873">
        <v>1</v>
      </c>
      <c r="AK60" s="873">
        <v>1</v>
      </c>
      <c r="AL60" s="873">
        <v>2699</v>
      </c>
    </row>
    <row r="61" spans="1:39" ht="30">
      <c r="A61" s="871" t="s">
        <v>341</v>
      </c>
      <c r="B61" s="855">
        <v>3255615</v>
      </c>
      <c r="C61" s="872"/>
      <c r="D61" s="872"/>
      <c r="E61" s="871" t="s">
        <v>1608</v>
      </c>
      <c r="F61" s="871" t="s">
        <v>2495</v>
      </c>
      <c r="G61" s="871" t="s">
        <v>2488</v>
      </c>
      <c r="H61" s="871" t="s">
        <v>2819</v>
      </c>
      <c r="I61" s="873" t="b">
        <v>0</v>
      </c>
      <c r="J61" s="873">
        <v>1</v>
      </c>
      <c r="K61" s="871" t="s">
        <v>2488</v>
      </c>
      <c r="L61" s="874">
        <v>40021</v>
      </c>
      <c r="M61" s="874">
        <v>40629</v>
      </c>
      <c r="N61"/>
      <c r="O61"/>
      <c r="P61"/>
      <c r="Q61" s="875">
        <v>1300000</v>
      </c>
      <c r="R61"/>
      <c r="S61" s="875">
        <v>260000</v>
      </c>
      <c r="T61"/>
      <c r="U61"/>
      <c r="V61"/>
      <c r="W61"/>
      <c r="X61" s="871" t="s">
        <v>2488</v>
      </c>
      <c r="Y61" s="871" t="s">
        <v>2820</v>
      </c>
      <c r="Z61" s="873">
        <v>1</v>
      </c>
      <c r="AA61"/>
      <c r="AB61" s="876">
        <v>320856</v>
      </c>
      <c r="AC61" s="871" t="s">
        <v>2821</v>
      </c>
      <c r="AD61" s="873">
        <v>2009</v>
      </c>
      <c r="AE61" s="873">
        <v>214</v>
      </c>
      <c r="AF61" s="871" t="s">
        <v>2488</v>
      </c>
      <c r="AG61" s="871" t="s">
        <v>2488</v>
      </c>
      <c r="AH61" s="871" t="s">
        <v>2488</v>
      </c>
      <c r="AI61" s="873">
        <v>18</v>
      </c>
      <c r="AJ61" s="873">
        <v>5</v>
      </c>
      <c r="AK61" s="873">
        <v>19</v>
      </c>
      <c r="AL61" s="873">
        <v>2721</v>
      </c>
    </row>
    <row r="62" spans="1:39" ht="120">
      <c r="A62" s="871" t="s">
        <v>2307</v>
      </c>
      <c r="B62" s="855">
        <v>918517</v>
      </c>
      <c r="C62" s="872"/>
      <c r="D62" s="872"/>
      <c r="E62" s="871" t="s">
        <v>2822</v>
      </c>
      <c r="F62" s="871" t="s">
        <v>2495</v>
      </c>
      <c r="G62" s="871" t="s">
        <v>2823</v>
      </c>
      <c r="H62" s="871" t="s">
        <v>2488</v>
      </c>
      <c r="I62" s="873" t="b">
        <v>0</v>
      </c>
      <c r="J62" s="873">
        <v>14</v>
      </c>
      <c r="K62" s="871" t="s">
        <v>2488</v>
      </c>
      <c r="L62" s="874">
        <v>40031</v>
      </c>
      <c r="M62" s="874">
        <v>40555</v>
      </c>
      <c r="N62"/>
      <c r="O62"/>
      <c r="P62"/>
      <c r="Q62"/>
      <c r="R62"/>
      <c r="S62" s="875">
        <v>25000</v>
      </c>
      <c r="T62"/>
      <c r="U62"/>
      <c r="V62"/>
      <c r="W62" s="873">
        <v>3</v>
      </c>
      <c r="X62" s="871" t="s">
        <v>2824</v>
      </c>
      <c r="Y62" s="871" t="s">
        <v>2825</v>
      </c>
      <c r="Z62"/>
      <c r="AA62"/>
      <c r="AB62" s="876">
        <v>200000</v>
      </c>
      <c r="AC62" s="871" t="s">
        <v>2826</v>
      </c>
      <c r="AD62" s="873">
        <v>2009</v>
      </c>
      <c r="AE62" s="873">
        <v>23</v>
      </c>
      <c r="AF62" s="871" t="s">
        <v>2488</v>
      </c>
      <c r="AG62" s="871" t="s">
        <v>2488</v>
      </c>
      <c r="AH62" s="871" t="s">
        <v>2488</v>
      </c>
      <c r="AI62" s="873">
        <v>30</v>
      </c>
      <c r="AJ62" s="873">
        <v>1</v>
      </c>
      <c r="AK62" s="873">
        <v>4</v>
      </c>
      <c r="AL62" s="873">
        <v>2731</v>
      </c>
    </row>
    <row r="63" spans="1:39" ht="15">
      <c r="A63" s="871" t="s">
        <v>2310</v>
      </c>
      <c r="B63" s="855">
        <v>1950241</v>
      </c>
      <c r="C63" s="872"/>
      <c r="D63" s="872"/>
      <c r="E63" s="871" t="s">
        <v>1992</v>
      </c>
      <c r="F63" s="871" t="s">
        <v>2495</v>
      </c>
      <c r="G63" s="871" t="s">
        <v>2827</v>
      </c>
      <c r="H63" s="871" t="s">
        <v>2828</v>
      </c>
      <c r="I63" s="873" t="b">
        <v>1</v>
      </c>
      <c r="J63" s="873">
        <v>1</v>
      </c>
      <c r="K63" s="871" t="s">
        <v>2829</v>
      </c>
      <c r="L63" s="874">
        <v>40051</v>
      </c>
      <c r="M63" s="874">
        <v>40291</v>
      </c>
      <c r="N63" s="873">
        <v>3</v>
      </c>
      <c r="O63" s="873">
        <v>4</v>
      </c>
      <c r="P63"/>
      <c r="Q63" s="875">
        <v>50000</v>
      </c>
      <c r="R63"/>
      <c r="S63" s="875">
        <v>15000</v>
      </c>
      <c r="T63"/>
      <c r="U63" s="873">
        <v>25</v>
      </c>
      <c r="V63"/>
      <c r="W63"/>
      <c r="X63" s="871" t="s">
        <v>2488</v>
      </c>
      <c r="Y63" s="871" t="s">
        <v>2830</v>
      </c>
      <c r="Z63"/>
      <c r="AA63"/>
      <c r="AB63" s="876">
        <v>244663</v>
      </c>
      <c r="AC63" s="871" t="s">
        <v>2831</v>
      </c>
      <c r="AD63" s="873">
        <v>2009</v>
      </c>
      <c r="AE63" s="873">
        <v>208</v>
      </c>
      <c r="AF63" s="871" t="s">
        <v>2488</v>
      </c>
      <c r="AG63" s="871" t="s">
        <v>2488</v>
      </c>
      <c r="AH63" s="871" t="s">
        <v>2488</v>
      </c>
      <c r="AI63" s="873">
        <v>24</v>
      </c>
      <c r="AJ63" s="873">
        <v>1</v>
      </c>
      <c r="AK63" s="873">
        <v>2</v>
      </c>
      <c r="AL63" s="873">
        <v>2756</v>
      </c>
    </row>
    <row r="64" spans="1:39" ht="165">
      <c r="A64" s="871" t="s">
        <v>2315</v>
      </c>
      <c r="B64" s="855">
        <v>2113583</v>
      </c>
      <c r="C64" s="872"/>
      <c r="D64" s="872"/>
      <c r="E64" s="871" t="s">
        <v>1902</v>
      </c>
      <c r="F64" s="871" t="s">
        <v>2495</v>
      </c>
      <c r="G64" s="871" t="s">
        <v>2832</v>
      </c>
      <c r="H64" s="871" t="s">
        <v>2833</v>
      </c>
      <c r="I64" s="873" t="b">
        <v>1</v>
      </c>
      <c r="J64" s="873">
        <v>16</v>
      </c>
      <c r="K64" s="871" t="s">
        <v>2834</v>
      </c>
      <c r="L64" s="874">
        <v>40053</v>
      </c>
      <c r="M64" s="874">
        <v>40332</v>
      </c>
      <c r="N64"/>
      <c r="O64"/>
      <c r="P64"/>
      <c r="Q64" s="875">
        <v>200000</v>
      </c>
      <c r="R64"/>
      <c r="S64" s="875">
        <v>17000</v>
      </c>
      <c r="T64"/>
      <c r="U64" s="873">
        <v>232</v>
      </c>
      <c r="V64"/>
      <c r="W64" s="873">
        <v>1</v>
      </c>
      <c r="X64" s="871" t="s">
        <v>2498</v>
      </c>
      <c r="Y64" s="871" t="s">
        <v>2835</v>
      </c>
      <c r="Z64" s="873">
        <v>1</v>
      </c>
      <c r="AA64" s="873">
        <v>2</v>
      </c>
      <c r="AB64" s="876">
        <v>200000</v>
      </c>
      <c r="AC64" s="871" t="s">
        <v>2836</v>
      </c>
      <c r="AD64" s="873">
        <v>2009</v>
      </c>
      <c r="AE64" s="873">
        <v>189</v>
      </c>
      <c r="AF64" s="871" t="s">
        <v>2488</v>
      </c>
      <c r="AG64" s="871" t="s">
        <v>2488</v>
      </c>
      <c r="AH64" s="871" t="s">
        <v>2488</v>
      </c>
      <c r="AI64" s="873">
        <v>25</v>
      </c>
      <c r="AJ64" s="873">
        <v>1</v>
      </c>
      <c r="AK64" s="873">
        <v>4</v>
      </c>
      <c r="AL64" s="873">
        <v>2759</v>
      </c>
    </row>
    <row r="65" spans="1:38" ht="30">
      <c r="A65" s="871" t="s">
        <v>2313</v>
      </c>
      <c r="B65" s="855">
        <v>3500000</v>
      </c>
      <c r="C65" s="872"/>
      <c r="D65" s="872"/>
      <c r="E65" s="871" t="s">
        <v>1420</v>
      </c>
      <c r="F65" s="871" t="s">
        <v>2495</v>
      </c>
      <c r="G65" s="871" t="s">
        <v>2488</v>
      </c>
      <c r="H65" s="871" t="s">
        <v>2837</v>
      </c>
      <c r="I65" s="873" t="b">
        <v>1</v>
      </c>
      <c r="J65" s="873">
        <v>1</v>
      </c>
      <c r="K65" s="871" t="s">
        <v>2838</v>
      </c>
      <c r="L65" s="874">
        <v>40065</v>
      </c>
      <c r="M65" s="874">
        <v>40602</v>
      </c>
      <c r="N65" s="873">
        <v>1000</v>
      </c>
      <c r="O65" s="873">
        <v>9</v>
      </c>
      <c r="P65"/>
      <c r="Q65" s="875">
        <v>150000</v>
      </c>
      <c r="R65" s="875">
        <v>48000</v>
      </c>
      <c r="S65" s="875">
        <v>40000</v>
      </c>
      <c r="T65"/>
      <c r="U65" s="873">
        <v>180</v>
      </c>
      <c r="V65"/>
      <c r="W65"/>
      <c r="X65" s="871" t="s">
        <v>2488</v>
      </c>
      <c r="Y65" s="871" t="s">
        <v>2839</v>
      </c>
      <c r="Z65" s="873">
        <v>1</v>
      </c>
      <c r="AA65" s="873">
        <v>1</v>
      </c>
      <c r="AB65" s="876">
        <v>200000</v>
      </c>
      <c r="AC65" s="871" t="s">
        <v>2840</v>
      </c>
      <c r="AD65" s="873">
        <v>2009</v>
      </c>
      <c r="AE65" s="873">
        <v>35</v>
      </c>
      <c r="AF65" s="871" t="s">
        <v>2841</v>
      </c>
      <c r="AG65" s="871" t="s">
        <v>2842</v>
      </c>
      <c r="AH65" s="871" t="s">
        <v>2843</v>
      </c>
      <c r="AI65" s="873">
        <v>25</v>
      </c>
      <c r="AJ65" s="873">
        <v>1</v>
      </c>
      <c r="AK65" s="873">
        <v>4</v>
      </c>
      <c r="AL65" s="873">
        <v>2786</v>
      </c>
    </row>
    <row r="66" spans="1:38" ht="180">
      <c r="A66" s="871" t="s">
        <v>40</v>
      </c>
      <c r="B66" s="855">
        <v>2056046</v>
      </c>
      <c r="C66" s="872"/>
      <c r="D66" s="872"/>
      <c r="E66" s="871" t="s">
        <v>1605</v>
      </c>
      <c r="F66" s="871" t="s">
        <v>2495</v>
      </c>
      <c r="G66" s="871" t="s">
        <v>2488</v>
      </c>
      <c r="H66" s="871" t="s">
        <v>39</v>
      </c>
      <c r="I66" s="873" t="b">
        <v>0</v>
      </c>
      <c r="J66" s="873">
        <v>1</v>
      </c>
      <c r="K66" s="871" t="s">
        <v>2488</v>
      </c>
      <c r="L66" s="874">
        <v>40073</v>
      </c>
      <c r="M66" s="874">
        <v>40755</v>
      </c>
      <c r="N66"/>
      <c r="O66"/>
      <c r="P66"/>
      <c r="Q66" s="875">
        <v>3200000</v>
      </c>
      <c r="R66"/>
      <c r="S66" s="875">
        <v>293000</v>
      </c>
      <c r="T66"/>
      <c r="U66"/>
      <c r="V66"/>
      <c r="W66"/>
      <c r="X66" s="871" t="s">
        <v>2488</v>
      </c>
      <c r="Y66" s="871" t="s">
        <v>2844</v>
      </c>
      <c r="Z66"/>
      <c r="AA66"/>
      <c r="AB66" s="876">
        <v>500000</v>
      </c>
      <c r="AC66" s="871" t="s">
        <v>2845</v>
      </c>
      <c r="AD66" s="873">
        <v>2009</v>
      </c>
      <c r="AE66" s="873">
        <v>118</v>
      </c>
      <c r="AF66" s="871" t="s">
        <v>2846</v>
      </c>
      <c r="AG66" s="871" t="s">
        <v>2488</v>
      </c>
      <c r="AH66" s="871" t="s">
        <v>2488</v>
      </c>
      <c r="AI66" s="873">
        <v>18</v>
      </c>
      <c r="AJ66" s="873">
        <v>1</v>
      </c>
      <c r="AK66" s="873">
        <v>2</v>
      </c>
      <c r="AL66" s="873">
        <v>2788</v>
      </c>
    </row>
    <row r="67" spans="1:38" ht="30">
      <c r="A67" s="871" t="s">
        <v>110</v>
      </c>
      <c r="B67" s="855">
        <v>12724570</v>
      </c>
      <c r="C67" s="872"/>
      <c r="D67" s="872"/>
      <c r="E67" s="871" t="s">
        <v>2026</v>
      </c>
      <c r="F67" s="871" t="s">
        <v>2495</v>
      </c>
      <c r="G67" s="871" t="s">
        <v>2847</v>
      </c>
      <c r="H67" s="871" t="s">
        <v>109</v>
      </c>
      <c r="I67" s="873" t="b">
        <v>1</v>
      </c>
      <c r="J67" s="873">
        <v>1</v>
      </c>
      <c r="K67" s="871" t="s">
        <v>2848</v>
      </c>
      <c r="L67" s="874">
        <v>40083</v>
      </c>
      <c r="M67" s="874">
        <v>40879</v>
      </c>
      <c r="N67" s="873">
        <v>756</v>
      </c>
      <c r="O67" s="873">
        <v>963</v>
      </c>
      <c r="P67" s="873">
        <v>89</v>
      </c>
      <c r="Q67" s="875">
        <v>10308092</v>
      </c>
      <c r="R67" s="875">
        <v>561242</v>
      </c>
      <c r="S67" s="875">
        <v>317100</v>
      </c>
      <c r="T67" s="873">
        <v>160</v>
      </c>
      <c r="U67" s="873">
        <v>280</v>
      </c>
      <c r="V67"/>
      <c r="W67" s="873">
        <v>1</v>
      </c>
      <c r="X67" s="871" t="s">
        <v>2498</v>
      </c>
      <c r="Y67" s="871" t="s">
        <v>2849</v>
      </c>
      <c r="Z67" s="873">
        <v>1</v>
      </c>
      <c r="AA67"/>
      <c r="AB67" s="876">
        <v>200000</v>
      </c>
      <c r="AC67" s="871" t="s">
        <v>2850</v>
      </c>
      <c r="AD67" s="873">
        <v>2009</v>
      </c>
      <c r="AE67" s="873">
        <v>175</v>
      </c>
      <c r="AF67" s="871" t="s">
        <v>2488</v>
      </c>
      <c r="AG67" s="871" t="s">
        <v>2488</v>
      </c>
      <c r="AH67" s="871" t="s">
        <v>2488</v>
      </c>
      <c r="AI67" s="873">
        <v>36</v>
      </c>
      <c r="AJ67" s="873">
        <v>3</v>
      </c>
      <c r="AK67" s="873">
        <v>12</v>
      </c>
      <c r="AL67" s="873">
        <v>2811</v>
      </c>
    </row>
    <row r="68" spans="1:38" ht="30">
      <c r="A68" s="871" t="s">
        <v>2231</v>
      </c>
      <c r="B68" s="855">
        <v>4464332</v>
      </c>
      <c r="C68" s="872"/>
      <c r="D68" s="872"/>
      <c r="E68" s="871" t="s">
        <v>1947</v>
      </c>
      <c r="F68" s="871" t="s">
        <v>2495</v>
      </c>
      <c r="G68" s="871" t="s">
        <v>2851</v>
      </c>
      <c r="H68" s="871" t="s">
        <v>108</v>
      </c>
      <c r="I68" s="873" t="b">
        <v>1</v>
      </c>
      <c r="J68" s="873">
        <v>1</v>
      </c>
      <c r="K68" s="871" t="s">
        <v>2852</v>
      </c>
      <c r="L68" s="874">
        <v>40083</v>
      </c>
      <c r="M68" s="874">
        <v>40604</v>
      </c>
      <c r="N68" s="873">
        <v>860</v>
      </c>
      <c r="O68" s="873">
        <v>170</v>
      </c>
      <c r="P68" s="873">
        <v>12</v>
      </c>
      <c r="Q68" s="875">
        <v>60000</v>
      </c>
      <c r="R68" s="875">
        <v>356790</v>
      </c>
      <c r="S68" s="875">
        <v>270000</v>
      </c>
      <c r="T68" s="873">
        <v>11</v>
      </c>
      <c r="U68" s="873">
        <v>2000</v>
      </c>
      <c r="V68"/>
      <c r="W68" s="873">
        <v>1</v>
      </c>
      <c r="X68" s="871" t="s">
        <v>2498</v>
      </c>
      <c r="Y68" s="871" t="s">
        <v>2853</v>
      </c>
      <c r="Z68" s="873">
        <v>1</v>
      </c>
      <c r="AA68"/>
      <c r="AB68" s="876">
        <v>314064</v>
      </c>
      <c r="AC68" s="871" t="s">
        <v>2854</v>
      </c>
      <c r="AD68" s="873">
        <v>2009</v>
      </c>
      <c r="AE68" s="873">
        <v>240</v>
      </c>
      <c r="AF68" s="871" t="s">
        <v>2488</v>
      </c>
      <c r="AG68" s="871" t="s">
        <v>2488</v>
      </c>
      <c r="AH68" s="871" t="s">
        <v>2488</v>
      </c>
      <c r="AI68" s="873">
        <v>36</v>
      </c>
      <c r="AJ68" s="873">
        <v>3</v>
      </c>
      <c r="AK68" s="873">
        <v>12</v>
      </c>
      <c r="AL68" s="873">
        <v>2790</v>
      </c>
    </row>
    <row r="69" spans="1:38" ht="30">
      <c r="A69" s="871" t="s">
        <v>541</v>
      </c>
      <c r="B69" s="855">
        <v>2506427</v>
      </c>
      <c r="C69" s="872"/>
      <c r="D69" s="872"/>
      <c r="E69" s="871" t="s">
        <v>47</v>
      </c>
      <c r="F69" s="871" t="s">
        <v>2495</v>
      </c>
      <c r="G69" s="871" t="s">
        <v>2855</v>
      </c>
      <c r="H69" s="871" t="s">
        <v>2856</v>
      </c>
      <c r="I69" s="873" t="b">
        <v>1</v>
      </c>
      <c r="J69" s="873">
        <v>1</v>
      </c>
      <c r="K69" s="871" t="s">
        <v>2857</v>
      </c>
      <c r="L69" s="874">
        <v>40086</v>
      </c>
      <c r="M69" s="874">
        <v>40829</v>
      </c>
      <c r="N69" s="873">
        <v>335</v>
      </c>
      <c r="O69" s="873">
        <v>223</v>
      </c>
      <c r="P69" s="873">
        <v>6</v>
      </c>
      <c r="Q69" s="875">
        <v>30000</v>
      </c>
      <c r="R69" s="875">
        <v>2000</v>
      </c>
      <c r="S69" s="875">
        <v>5000</v>
      </c>
      <c r="T69"/>
      <c r="U69" s="873">
        <v>200</v>
      </c>
      <c r="V69"/>
      <c r="W69" s="873">
        <v>1</v>
      </c>
      <c r="X69" s="871" t="s">
        <v>2498</v>
      </c>
      <c r="Y69" s="871" t="s">
        <v>2858</v>
      </c>
      <c r="Z69" s="873">
        <v>2</v>
      </c>
      <c r="AA69" s="873">
        <v>1</v>
      </c>
      <c r="AB69" s="876">
        <v>325134</v>
      </c>
      <c r="AC69" s="871" t="s">
        <v>2859</v>
      </c>
      <c r="AD69" s="873">
        <v>2009</v>
      </c>
      <c r="AE69" s="873">
        <v>185</v>
      </c>
      <c r="AF69" s="871" t="s">
        <v>2488</v>
      </c>
      <c r="AG69" s="871" t="s">
        <v>2488</v>
      </c>
      <c r="AH69" s="871" t="s">
        <v>2488</v>
      </c>
      <c r="AI69" s="873">
        <v>37</v>
      </c>
      <c r="AJ69" s="873">
        <v>3</v>
      </c>
      <c r="AK69" s="873">
        <v>10</v>
      </c>
      <c r="AL69" s="873">
        <v>2794</v>
      </c>
    </row>
    <row r="70" spans="1:38" ht="30">
      <c r="A70" s="871" t="s">
        <v>543</v>
      </c>
      <c r="B70" s="855">
        <v>14219542</v>
      </c>
      <c r="C70" s="872"/>
      <c r="D70" s="872"/>
      <c r="E70" s="871" t="s">
        <v>1565</v>
      </c>
      <c r="F70" s="871" t="s">
        <v>2495</v>
      </c>
      <c r="G70" s="871" t="s">
        <v>2860</v>
      </c>
      <c r="H70" s="871" t="s">
        <v>1841</v>
      </c>
      <c r="I70" s="873" t="b">
        <v>1</v>
      </c>
      <c r="J70" s="873">
        <v>1</v>
      </c>
      <c r="K70" s="871" t="s">
        <v>2861</v>
      </c>
      <c r="L70" s="874">
        <v>40086</v>
      </c>
      <c r="M70" s="874">
        <v>40877</v>
      </c>
      <c r="N70" s="873">
        <v>2902</v>
      </c>
      <c r="O70" s="873">
        <v>1117</v>
      </c>
      <c r="P70" s="873">
        <v>295</v>
      </c>
      <c r="Q70" s="875">
        <v>777893</v>
      </c>
      <c r="R70"/>
      <c r="S70" s="875">
        <v>100000</v>
      </c>
      <c r="T70"/>
      <c r="U70" s="873">
        <v>326</v>
      </c>
      <c r="V70" s="873">
        <v>1</v>
      </c>
      <c r="W70"/>
      <c r="X70" s="871" t="s">
        <v>2488</v>
      </c>
      <c r="Y70" s="871" t="s">
        <v>2862</v>
      </c>
      <c r="Z70" s="873">
        <v>1</v>
      </c>
      <c r="AA70" s="873">
        <v>1</v>
      </c>
      <c r="AB70" s="876">
        <v>235000</v>
      </c>
      <c r="AC70" s="871" t="s">
        <v>2863</v>
      </c>
      <c r="AD70" s="873">
        <v>2009</v>
      </c>
      <c r="AE70" s="873">
        <v>102</v>
      </c>
      <c r="AF70" s="871" t="s">
        <v>2488</v>
      </c>
      <c r="AG70" s="871" t="s">
        <v>2488</v>
      </c>
      <c r="AH70" s="871" t="s">
        <v>2488</v>
      </c>
      <c r="AI70" s="873">
        <v>19</v>
      </c>
      <c r="AJ70" s="873">
        <v>3</v>
      </c>
      <c r="AK70" s="873">
        <v>12</v>
      </c>
      <c r="AL70" s="873">
        <v>2812</v>
      </c>
    </row>
    <row r="71" spans="1:38" ht="60">
      <c r="A71" s="871" t="s">
        <v>2864</v>
      </c>
      <c r="B71" s="855">
        <v>1124682</v>
      </c>
      <c r="C71" s="872"/>
      <c r="D71" s="872"/>
      <c r="E71" s="871" t="s">
        <v>1605</v>
      </c>
      <c r="F71" s="871" t="s">
        <v>2495</v>
      </c>
      <c r="G71" s="871" t="s">
        <v>2865</v>
      </c>
      <c r="H71" s="871" t="s">
        <v>2488</v>
      </c>
      <c r="I71" s="873" t="b">
        <v>0</v>
      </c>
      <c r="J71" s="873">
        <v>5</v>
      </c>
      <c r="K71" s="871" t="s">
        <v>2488</v>
      </c>
      <c r="L71" s="874">
        <v>40099</v>
      </c>
      <c r="M71" s="874">
        <v>40291</v>
      </c>
      <c r="N71"/>
      <c r="O71"/>
      <c r="P71"/>
      <c r="Q71"/>
      <c r="R71"/>
      <c r="S71" s="875">
        <v>25000</v>
      </c>
      <c r="T71"/>
      <c r="U71"/>
      <c r="V71"/>
      <c r="W71" s="873">
        <v>2</v>
      </c>
      <c r="X71" s="871" t="s">
        <v>2866</v>
      </c>
      <c r="Y71" s="871" t="s">
        <v>2867</v>
      </c>
      <c r="Z71"/>
      <c r="AA71"/>
      <c r="AB71" s="876">
        <v>161487</v>
      </c>
      <c r="AC71" s="871" t="s">
        <v>2868</v>
      </c>
      <c r="AD71" s="873">
        <v>2009</v>
      </c>
      <c r="AE71" s="873">
        <v>118</v>
      </c>
      <c r="AF71" s="871" t="s">
        <v>2488</v>
      </c>
      <c r="AG71" s="871" t="s">
        <v>2488</v>
      </c>
      <c r="AH71" s="871" t="s">
        <v>2488</v>
      </c>
      <c r="AI71" s="873">
        <v>30</v>
      </c>
      <c r="AJ71" s="873">
        <v>1</v>
      </c>
      <c r="AK71" s="873">
        <v>2</v>
      </c>
      <c r="AL71" s="873">
        <v>2826</v>
      </c>
    </row>
    <row r="72" spans="1:38" ht="210">
      <c r="A72" s="871" t="s">
        <v>1215</v>
      </c>
      <c r="B72" s="855">
        <v>1680178</v>
      </c>
      <c r="C72" s="872"/>
      <c r="D72" s="872"/>
      <c r="E72" s="871" t="s">
        <v>1641</v>
      </c>
      <c r="F72" s="871" t="s">
        <v>2495</v>
      </c>
      <c r="G72" s="871" t="s">
        <v>2488</v>
      </c>
      <c r="H72" s="871" t="s">
        <v>507</v>
      </c>
      <c r="I72" s="873" t="b">
        <v>1</v>
      </c>
      <c r="J72" s="873">
        <v>1</v>
      </c>
      <c r="K72" s="871" t="s">
        <v>2869</v>
      </c>
      <c r="L72" s="874">
        <v>40125</v>
      </c>
      <c r="M72" s="874">
        <v>40863</v>
      </c>
      <c r="N72"/>
      <c r="O72" s="873">
        <v>192</v>
      </c>
      <c r="P72" s="873">
        <v>80</v>
      </c>
      <c r="Q72" s="875">
        <v>10400</v>
      </c>
      <c r="R72"/>
      <c r="S72" s="875">
        <v>10000</v>
      </c>
      <c r="T72"/>
      <c r="U72"/>
      <c r="V72" s="873">
        <v>1</v>
      </c>
      <c r="W72" s="873">
        <v>2</v>
      </c>
      <c r="X72" s="871" t="s">
        <v>2583</v>
      </c>
      <c r="Y72" s="871" t="s">
        <v>2870</v>
      </c>
      <c r="Z72"/>
      <c r="AA72"/>
      <c r="AB72" s="876">
        <v>182501</v>
      </c>
      <c r="AC72" s="871" t="s">
        <v>2871</v>
      </c>
      <c r="AD72" s="873">
        <v>2009</v>
      </c>
      <c r="AE72" s="873">
        <v>65</v>
      </c>
      <c r="AF72" s="871" t="s">
        <v>2872</v>
      </c>
      <c r="AG72" s="871" t="s">
        <v>2488</v>
      </c>
      <c r="AH72" s="871" t="s">
        <v>2488</v>
      </c>
      <c r="AI72" s="873">
        <v>25</v>
      </c>
      <c r="AJ72" s="873">
        <v>2</v>
      </c>
      <c r="AK72" s="873">
        <v>6</v>
      </c>
      <c r="AL72" s="873">
        <v>2845</v>
      </c>
    </row>
    <row r="73" spans="1:38" ht="30">
      <c r="A73" s="871" t="s">
        <v>2873</v>
      </c>
      <c r="B73" s="855">
        <v>30579088</v>
      </c>
      <c r="C73" s="872"/>
      <c r="D73" s="872"/>
      <c r="E73" s="871" t="s">
        <v>1873</v>
      </c>
      <c r="F73" s="871" t="s">
        <v>2495</v>
      </c>
      <c r="G73" s="871" t="s">
        <v>2874</v>
      </c>
      <c r="H73" s="871" t="s">
        <v>2875</v>
      </c>
      <c r="I73" s="873" t="b">
        <v>0</v>
      </c>
      <c r="J73" s="873">
        <v>1</v>
      </c>
      <c r="K73" s="871" t="s">
        <v>2488</v>
      </c>
      <c r="L73" s="874">
        <v>40143</v>
      </c>
      <c r="M73" s="874">
        <v>40876</v>
      </c>
      <c r="N73"/>
      <c r="O73"/>
      <c r="P73"/>
      <c r="Q73" s="875">
        <v>6200000</v>
      </c>
      <c r="R73"/>
      <c r="S73" s="875">
        <v>330621</v>
      </c>
      <c r="T73"/>
      <c r="U73"/>
      <c r="V73"/>
      <c r="W73"/>
      <c r="X73" s="871" t="s">
        <v>2488</v>
      </c>
      <c r="Y73" s="871" t="s">
        <v>2876</v>
      </c>
      <c r="Z73" s="873">
        <v>1</v>
      </c>
      <c r="AA73"/>
      <c r="AB73" s="876">
        <v>50000</v>
      </c>
      <c r="AC73" s="871" t="s">
        <v>2877</v>
      </c>
      <c r="AD73" s="873">
        <v>2009</v>
      </c>
      <c r="AE73" s="873">
        <v>69</v>
      </c>
      <c r="AF73" s="871" t="s">
        <v>2878</v>
      </c>
      <c r="AG73" s="871" t="s">
        <v>2879</v>
      </c>
      <c r="AH73" s="871" t="s">
        <v>2488</v>
      </c>
      <c r="AI73" s="873">
        <v>22</v>
      </c>
      <c r="AJ73" s="873">
        <v>1</v>
      </c>
      <c r="AK73" s="873">
        <v>2</v>
      </c>
      <c r="AL73" s="873">
        <v>2931</v>
      </c>
    </row>
    <row r="74" spans="1:38" ht="30">
      <c r="A74" s="871" t="s">
        <v>2880</v>
      </c>
      <c r="B74" s="855">
        <v>4649444.5999999996</v>
      </c>
      <c r="C74" s="872"/>
      <c r="D74" s="872"/>
      <c r="E74" s="871" t="s">
        <v>1608</v>
      </c>
      <c r="F74" s="871" t="s">
        <v>2495</v>
      </c>
      <c r="G74" s="871" t="s">
        <v>2881</v>
      </c>
      <c r="H74" s="871" t="s">
        <v>2488</v>
      </c>
      <c r="I74" s="873" t="b">
        <v>0</v>
      </c>
      <c r="J74" s="873">
        <v>1</v>
      </c>
      <c r="K74" s="871" t="s">
        <v>2488</v>
      </c>
      <c r="L74" s="874">
        <v>40164</v>
      </c>
      <c r="M74" s="874">
        <v>40777</v>
      </c>
      <c r="N74"/>
      <c r="O74"/>
      <c r="P74"/>
      <c r="Q74"/>
      <c r="R74"/>
      <c r="S74" s="875">
        <v>124315</v>
      </c>
      <c r="T74"/>
      <c r="U74"/>
      <c r="V74"/>
      <c r="W74"/>
      <c r="X74" s="871" t="s">
        <v>2488</v>
      </c>
      <c r="Y74" s="871" t="s">
        <v>2882</v>
      </c>
      <c r="Z74"/>
      <c r="AA74"/>
      <c r="AB74"/>
      <c r="AC74" s="871" t="s">
        <v>2883</v>
      </c>
      <c r="AD74" s="873">
        <v>2009</v>
      </c>
      <c r="AE74" s="873">
        <v>214</v>
      </c>
      <c r="AF74" s="871" t="s">
        <v>2488</v>
      </c>
      <c r="AG74" s="871" t="s">
        <v>2488</v>
      </c>
      <c r="AH74" s="871" t="s">
        <v>2488</v>
      </c>
      <c r="AI74" s="873">
        <v>41</v>
      </c>
      <c r="AJ74" s="873">
        <v>5</v>
      </c>
      <c r="AK74" s="873">
        <v>19</v>
      </c>
      <c r="AL74" s="873">
        <v>2884</v>
      </c>
    </row>
    <row r="75" spans="1:38" ht="30">
      <c r="A75" s="871" t="s">
        <v>499</v>
      </c>
      <c r="B75" s="855">
        <v>923594</v>
      </c>
      <c r="C75" s="872"/>
      <c r="D75" s="872"/>
      <c r="E75" s="871" t="s">
        <v>1379</v>
      </c>
      <c r="F75" s="871" t="s">
        <v>2495</v>
      </c>
      <c r="G75" s="871" t="s">
        <v>2488</v>
      </c>
      <c r="H75" s="871" t="s">
        <v>497</v>
      </c>
      <c r="I75" s="873" t="b">
        <v>1</v>
      </c>
      <c r="J75" s="873">
        <v>1</v>
      </c>
      <c r="K75" s="871" t="s">
        <v>2884</v>
      </c>
      <c r="L75" s="874">
        <v>40184</v>
      </c>
      <c r="M75" s="874">
        <v>40673</v>
      </c>
      <c r="N75"/>
      <c r="O75"/>
      <c r="P75"/>
      <c r="Q75" s="875">
        <v>50000</v>
      </c>
      <c r="R75" s="875">
        <v>23980</v>
      </c>
      <c r="S75" s="875">
        <v>23000</v>
      </c>
      <c r="T75"/>
      <c r="U75" s="873">
        <v>120</v>
      </c>
      <c r="V75"/>
      <c r="W75" s="873">
        <v>1</v>
      </c>
      <c r="X75" s="871" t="s">
        <v>2498</v>
      </c>
      <c r="Y75" s="871" t="s">
        <v>2885</v>
      </c>
      <c r="Z75"/>
      <c r="AA75"/>
      <c r="AB75" s="876">
        <v>326078</v>
      </c>
      <c r="AC75" s="871" t="s">
        <v>2886</v>
      </c>
      <c r="AD75" s="873">
        <v>2010</v>
      </c>
      <c r="AE75" s="873">
        <v>216</v>
      </c>
      <c r="AF75" s="871" t="s">
        <v>2887</v>
      </c>
      <c r="AG75" s="871" t="s">
        <v>2888</v>
      </c>
      <c r="AH75" s="871" t="s">
        <v>2488</v>
      </c>
      <c r="AI75" s="873">
        <v>25</v>
      </c>
      <c r="AJ75" s="873">
        <v>1</v>
      </c>
      <c r="AK75" s="873">
        <v>2</v>
      </c>
      <c r="AL75" s="873">
        <v>2895</v>
      </c>
    </row>
    <row r="76" spans="1:38" ht="30">
      <c r="A76" s="871" t="s">
        <v>657</v>
      </c>
      <c r="B76" s="855">
        <v>314329971</v>
      </c>
      <c r="C76" s="872"/>
      <c r="D76" s="872"/>
      <c r="E76" s="871" t="s">
        <v>682</v>
      </c>
      <c r="F76" s="871" t="s">
        <v>2495</v>
      </c>
      <c r="G76" s="871" t="s">
        <v>2889</v>
      </c>
      <c r="H76" s="871" t="s">
        <v>655</v>
      </c>
      <c r="I76" s="873" t="b">
        <v>1</v>
      </c>
      <c r="J76" s="873">
        <v>1</v>
      </c>
      <c r="K76" s="871" t="s">
        <v>2890</v>
      </c>
      <c r="L76" s="874">
        <v>40191</v>
      </c>
      <c r="M76" s="874">
        <v>40906</v>
      </c>
      <c r="N76"/>
      <c r="O76"/>
      <c r="P76" s="873">
        <v>100</v>
      </c>
      <c r="Q76" s="875">
        <v>3725615</v>
      </c>
      <c r="R76" s="875">
        <v>604215</v>
      </c>
      <c r="S76" s="875">
        <v>800000</v>
      </c>
      <c r="T76"/>
      <c r="U76" s="873">
        <v>150</v>
      </c>
      <c r="V76"/>
      <c r="W76" s="873">
        <v>17</v>
      </c>
      <c r="X76" s="871" t="s">
        <v>2583</v>
      </c>
      <c r="Y76" s="871" t="s">
        <v>2891</v>
      </c>
      <c r="Z76" s="873">
        <v>1</v>
      </c>
      <c r="AA76" s="873">
        <v>23</v>
      </c>
      <c r="AB76" s="876">
        <v>500000</v>
      </c>
      <c r="AC76" s="871" t="s">
        <v>2892</v>
      </c>
      <c r="AD76" s="873">
        <v>2010</v>
      </c>
      <c r="AE76" s="873">
        <v>95</v>
      </c>
      <c r="AF76" s="871" t="s">
        <v>2488</v>
      </c>
      <c r="AG76" s="871" t="s">
        <v>2488</v>
      </c>
      <c r="AH76" s="871" t="s">
        <v>2488</v>
      </c>
      <c r="AI76" s="873">
        <v>19</v>
      </c>
      <c r="AJ76" s="873">
        <v>2</v>
      </c>
      <c r="AK76" s="873">
        <v>5</v>
      </c>
      <c r="AL76" s="873">
        <v>2919</v>
      </c>
    </row>
    <row r="77" spans="1:38" ht="45">
      <c r="A77" s="871" t="s">
        <v>2893</v>
      </c>
      <c r="B77" s="855">
        <v>3670607</v>
      </c>
      <c r="C77" s="872"/>
      <c r="D77" s="872"/>
      <c r="E77" s="871" t="s">
        <v>2022</v>
      </c>
      <c r="F77" s="871" t="s">
        <v>2495</v>
      </c>
      <c r="G77" s="871" t="s">
        <v>2894</v>
      </c>
      <c r="H77" s="871" t="s">
        <v>2895</v>
      </c>
      <c r="I77" s="873" t="b">
        <v>1</v>
      </c>
      <c r="J77" s="873">
        <v>5</v>
      </c>
      <c r="K77" s="871" t="s">
        <v>2896</v>
      </c>
      <c r="L77" s="874">
        <v>40222</v>
      </c>
      <c r="M77" s="874">
        <v>40847</v>
      </c>
      <c r="N77"/>
      <c r="O77"/>
      <c r="P77"/>
      <c r="Q77" s="875">
        <v>7100000</v>
      </c>
      <c r="R77"/>
      <c r="S77" s="875">
        <v>300000</v>
      </c>
      <c r="T77"/>
      <c r="U77"/>
      <c r="V77"/>
      <c r="W77"/>
      <c r="X77" s="871" t="s">
        <v>2488</v>
      </c>
      <c r="Y77" s="871" t="s">
        <v>2897</v>
      </c>
      <c r="Z77"/>
      <c r="AA77"/>
      <c r="AB77" s="876">
        <v>229046</v>
      </c>
      <c r="AC77" s="871" t="s">
        <v>2898</v>
      </c>
      <c r="AD77" s="873">
        <v>2010</v>
      </c>
      <c r="AE77" s="873">
        <v>161</v>
      </c>
      <c r="AF77" s="871" t="s">
        <v>2899</v>
      </c>
      <c r="AG77" s="871" t="s">
        <v>2488</v>
      </c>
      <c r="AH77" s="871" t="s">
        <v>2488</v>
      </c>
      <c r="AI77" s="873">
        <v>18</v>
      </c>
      <c r="AJ77" s="873">
        <v>1</v>
      </c>
      <c r="AK77" s="873">
        <v>4</v>
      </c>
      <c r="AL77" s="873">
        <v>2950</v>
      </c>
    </row>
    <row r="78" spans="1:38" ht="75">
      <c r="A78" s="871" t="s">
        <v>498</v>
      </c>
      <c r="B78" s="855">
        <v>16075870</v>
      </c>
      <c r="C78" s="872"/>
      <c r="D78" s="872"/>
      <c r="E78" s="871" t="s">
        <v>1400</v>
      </c>
      <c r="F78" s="871" t="s">
        <v>2495</v>
      </c>
      <c r="G78" s="871" t="s">
        <v>2900</v>
      </c>
      <c r="H78" s="871" t="s">
        <v>2901</v>
      </c>
      <c r="I78" s="873" t="b">
        <v>1</v>
      </c>
      <c r="J78" s="873">
        <v>10</v>
      </c>
      <c r="K78" s="871" t="s">
        <v>2902</v>
      </c>
      <c r="L78" s="874">
        <v>40236</v>
      </c>
      <c r="M78" s="874">
        <v>40883</v>
      </c>
      <c r="N78" s="873">
        <v>10334</v>
      </c>
      <c r="O78" s="873">
        <v>507</v>
      </c>
      <c r="P78"/>
      <c r="Q78" s="875">
        <v>1861222</v>
      </c>
      <c r="R78"/>
      <c r="S78" s="875">
        <v>90000</v>
      </c>
      <c r="T78" s="873">
        <v>1731</v>
      </c>
      <c r="U78" s="873">
        <v>1750</v>
      </c>
      <c r="V78" s="873">
        <v>1</v>
      </c>
      <c r="W78" s="873">
        <v>2</v>
      </c>
      <c r="X78" s="871" t="s">
        <v>2903</v>
      </c>
      <c r="Y78" s="871" t="s">
        <v>2904</v>
      </c>
      <c r="Z78"/>
      <c r="AA78" s="873">
        <v>4</v>
      </c>
      <c r="AB78" s="876">
        <v>300000</v>
      </c>
      <c r="AC78" s="871" t="s">
        <v>2905</v>
      </c>
      <c r="AD78" s="873">
        <v>2010</v>
      </c>
      <c r="AE78" s="873">
        <v>44</v>
      </c>
      <c r="AF78" s="871" t="s">
        <v>2906</v>
      </c>
      <c r="AG78" s="871" t="s">
        <v>2907</v>
      </c>
      <c r="AH78" s="871" t="s">
        <v>2488</v>
      </c>
      <c r="AI78" s="873">
        <v>19</v>
      </c>
      <c r="AJ78" s="873">
        <v>2</v>
      </c>
      <c r="AK78" s="873">
        <v>8</v>
      </c>
      <c r="AL78" s="873">
        <v>2954</v>
      </c>
    </row>
    <row r="79" spans="1:38" ht="75">
      <c r="A79" s="871" t="s">
        <v>2908</v>
      </c>
      <c r="B79" s="855">
        <v>1252369</v>
      </c>
      <c r="C79" s="872"/>
      <c r="D79" s="872"/>
      <c r="E79" s="871" t="s">
        <v>687</v>
      </c>
      <c r="F79" s="871" t="s">
        <v>2495</v>
      </c>
      <c r="G79" s="871" t="s">
        <v>2488</v>
      </c>
      <c r="H79" s="871" t="s">
        <v>2909</v>
      </c>
      <c r="I79" s="873" t="b">
        <v>1</v>
      </c>
      <c r="J79" s="873">
        <v>2</v>
      </c>
      <c r="K79" s="871" t="s">
        <v>2910</v>
      </c>
      <c r="L79" s="874">
        <v>40253</v>
      </c>
      <c r="M79" s="874">
        <v>40662</v>
      </c>
      <c r="N79"/>
      <c r="O79"/>
      <c r="P79"/>
      <c r="Q79"/>
      <c r="R79"/>
      <c r="S79" s="875">
        <v>400425</v>
      </c>
      <c r="T79"/>
      <c r="U79" s="873">
        <v>519</v>
      </c>
      <c r="V79" s="873">
        <v>1</v>
      </c>
      <c r="W79"/>
      <c r="X79" s="871" t="s">
        <v>2488</v>
      </c>
      <c r="Y79" s="871" t="s">
        <v>2911</v>
      </c>
      <c r="Z79"/>
      <c r="AA79"/>
      <c r="AB79" s="876">
        <v>251862</v>
      </c>
      <c r="AC79" s="871" t="s">
        <v>2912</v>
      </c>
      <c r="AD79" s="873">
        <v>2010</v>
      </c>
      <c r="AE79" s="873">
        <v>43</v>
      </c>
      <c r="AF79" s="871" t="s">
        <v>2913</v>
      </c>
      <c r="AG79" s="871" t="s">
        <v>2488</v>
      </c>
      <c r="AH79" s="871" t="s">
        <v>2488</v>
      </c>
      <c r="AI79" s="873">
        <v>22</v>
      </c>
      <c r="AJ79" s="873">
        <v>1</v>
      </c>
      <c r="AK79" s="873">
        <v>1</v>
      </c>
      <c r="AL79" s="873">
        <v>3030</v>
      </c>
    </row>
    <row r="80" spans="1:38" ht="180">
      <c r="A80" s="871" t="s">
        <v>2230</v>
      </c>
      <c r="B80" s="855">
        <v>1312669</v>
      </c>
      <c r="C80" s="872"/>
      <c r="D80" s="872"/>
      <c r="E80" s="871" t="s">
        <v>1071</v>
      </c>
      <c r="F80" s="871" t="s">
        <v>2495</v>
      </c>
      <c r="G80" s="871" t="s">
        <v>2488</v>
      </c>
      <c r="H80" s="871" t="s">
        <v>10</v>
      </c>
      <c r="I80" s="873" t="b">
        <v>0</v>
      </c>
      <c r="J80" s="873">
        <v>1</v>
      </c>
      <c r="K80" s="871" t="s">
        <v>2488</v>
      </c>
      <c r="L80" s="874">
        <v>40266</v>
      </c>
      <c r="M80" s="874">
        <v>40634</v>
      </c>
      <c r="N80"/>
      <c r="O80"/>
      <c r="P80"/>
      <c r="Q80" s="875">
        <v>77000</v>
      </c>
      <c r="R80"/>
      <c r="S80" s="875">
        <v>13200</v>
      </c>
      <c r="T80"/>
      <c r="U80"/>
      <c r="V80" s="873">
        <v>1</v>
      </c>
      <c r="W80"/>
      <c r="X80" s="871" t="s">
        <v>2488</v>
      </c>
      <c r="Y80" s="871" t="s">
        <v>2914</v>
      </c>
      <c r="Z80"/>
      <c r="AA80"/>
      <c r="AB80" s="876">
        <v>100000</v>
      </c>
      <c r="AC80" s="871" t="s">
        <v>2915</v>
      </c>
      <c r="AD80" s="873">
        <v>2010</v>
      </c>
      <c r="AE80" s="873">
        <v>148</v>
      </c>
      <c r="AF80" s="871" t="s">
        <v>2916</v>
      </c>
      <c r="AG80" s="871" t="s">
        <v>2488</v>
      </c>
      <c r="AH80" s="871" t="s">
        <v>2488</v>
      </c>
      <c r="AI80" s="873">
        <v>16</v>
      </c>
      <c r="AJ80" s="873">
        <v>3</v>
      </c>
      <c r="AK80" s="873">
        <v>9</v>
      </c>
      <c r="AL80" s="873">
        <v>3026</v>
      </c>
    </row>
    <row r="81" spans="1:38" ht="150">
      <c r="A81" s="871" t="s">
        <v>2917</v>
      </c>
      <c r="B81" s="855">
        <v>6170000</v>
      </c>
      <c r="C81" s="872"/>
      <c r="D81" s="872"/>
      <c r="E81" s="871" t="s">
        <v>1637</v>
      </c>
      <c r="F81" s="871" t="s">
        <v>2495</v>
      </c>
      <c r="G81" s="871" t="s">
        <v>2488</v>
      </c>
      <c r="H81" s="871" t="s">
        <v>2488</v>
      </c>
      <c r="I81" s="873" t="b">
        <v>0</v>
      </c>
      <c r="J81" s="873">
        <v>1</v>
      </c>
      <c r="K81" s="871" t="s">
        <v>2488</v>
      </c>
      <c r="L81" s="874">
        <v>40280</v>
      </c>
      <c r="M81" s="874">
        <v>40862</v>
      </c>
      <c r="N81"/>
      <c r="O81"/>
      <c r="P81"/>
      <c r="Q81" s="875">
        <v>369955</v>
      </c>
      <c r="R81" s="875">
        <v>369955</v>
      </c>
      <c r="S81" s="875">
        <v>35000</v>
      </c>
      <c r="T81"/>
      <c r="U81"/>
      <c r="V81"/>
      <c r="W81"/>
      <c r="X81" s="871" t="s">
        <v>2488</v>
      </c>
      <c r="Y81" s="871" t="s">
        <v>2918</v>
      </c>
      <c r="Z81"/>
      <c r="AA81"/>
      <c r="AB81"/>
      <c r="AC81" s="871" t="s">
        <v>2919</v>
      </c>
      <c r="AD81" s="873">
        <v>2010</v>
      </c>
      <c r="AE81" s="873">
        <v>202</v>
      </c>
      <c r="AF81" s="871" t="s">
        <v>2920</v>
      </c>
      <c r="AG81" s="871" t="s">
        <v>2921</v>
      </c>
      <c r="AH81" s="871" t="s">
        <v>2488</v>
      </c>
      <c r="AI81" s="873">
        <v>41</v>
      </c>
      <c r="AJ81" s="873">
        <v>3</v>
      </c>
      <c r="AK81" s="873">
        <v>11</v>
      </c>
      <c r="AL81" s="873">
        <v>3007</v>
      </c>
    </row>
    <row r="82" spans="1:38" ht="150">
      <c r="A82" s="871" t="s">
        <v>2229</v>
      </c>
      <c r="B82" s="855">
        <v>738960</v>
      </c>
      <c r="C82" s="872"/>
      <c r="D82" s="872"/>
      <c r="E82" s="871" t="s">
        <v>35</v>
      </c>
      <c r="F82" s="871" t="s">
        <v>2495</v>
      </c>
      <c r="G82" s="871" t="s">
        <v>2922</v>
      </c>
      <c r="H82" s="871" t="s">
        <v>2488</v>
      </c>
      <c r="I82" s="873" t="b">
        <v>1</v>
      </c>
      <c r="J82" s="873">
        <v>1</v>
      </c>
      <c r="K82" s="871" t="s">
        <v>2923</v>
      </c>
      <c r="L82" s="874">
        <v>40303</v>
      </c>
      <c r="M82" s="874">
        <v>40687</v>
      </c>
      <c r="N82"/>
      <c r="O82" s="873">
        <v>58</v>
      </c>
      <c r="P82"/>
      <c r="Q82" s="875">
        <v>3621</v>
      </c>
      <c r="R82"/>
      <c r="S82" s="875">
        <v>189000</v>
      </c>
      <c r="T82" s="873">
        <v>10</v>
      </c>
      <c r="U82" s="873">
        <v>240</v>
      </c>
      <c r="V82" s="873">
        <v>1</v>
      </c>
      <c r="W82"/>
      <c r="X82" s="871" t="s">
        <v>2488</v>
      </c>
      <c r="Y82" s="871" t="s">
        <v>2924</v>
      </c>
      <c r="Z82"/>
      <c r="AA82"/>
      <c r="AB82" s="876">
        <v>200000</v>
      </c>
      <c r="AC82" s="871" t="s">
        <v>2925</v>
      </c>
      <c r="AD82" s="873">
        <v>2010</v>
      </c>
      <c r="AE82" s="873">
        <v>155</v>
      </c>
      <c r="AF82" s="871" t="s">
        <v>2926</v>
      </c>
      <c r="AG82" s="871" t="s">
        <v>2927</v>
      </c>
      <c r="AH82" s="871" t="s">
        <v>2488</v>
      </c>
      <c r="AI82" s="873">
        <v>20</v>
      </c>
      <c r="AJ82" s="873">
        <v>3</v>
      </c>
      <c r="AK82" s="873">
        <v>11</v>
      </c>
      <c r="AL82" s="873">
        <v>3034</v>
      </c>
    </row>
    <row r="83" spans="1:38" ht="120">
      <c r="A83" s="871" t="s">
        <v>2928</v>
      </c>
      <c r="B83" s="855">
        <v>7311822</v>
      </c>
      <c r="C83" s="872"/>
      <c r="D83" s="872"/>
      <c r="E83" s="871" t="s">
        <v>1605</v>
      </c>
      <c r="F83" s="871" t="s">
        <v>2495</v>
      </c>
      <c r="G83" s="871" t="s">
        <v>2488</v>
      </c>
      <c r="H83" s="871" t="s">
        <v>2929</v>
      </c>
      <c r="I83" s="873" t="b">
        <v>0</v>
      </c>
      <c r="J83" s="873">
        <v>1</v>
      </c>
      <c r="K83" s="871" t="s">
        <v>2488</v>
      </c>
      <c r="L83" s="874">
        <v>40312</v>
      </c>
      <c r="M83" s="874">
        <v>40631</v>
      </c>
      <c r="N83"/>
      <c r="O83" s="873">
        <v>66</v>
      </c>
      <c r="P83"/>
      <c r="Q83" s="875">
        <v>111743</v>
      </c>
      <c r="R83" s="875">
        <v>44270</v>
      </c>
      <c r="S83" s="875">
        <v>141164</v>
      </c>
      <c r="T83" s="873">
        <v>600</v>
      </c>
      <c r="U83"/>
      <c r="V83" s="873">
        <v>0</v>
      </c>
      <c r="W83" s="873">
        <v>2</v>
      </c>
      <c r="X83" s="871" t="s">
        <v>2930</v>
      </c>
      <c r="Y83" s="871" t="s">
        <v>2576</v>
      </c>
      <c r="Z83"/>
      <c r="AA83"/>
      <c r="AB83"/>
      <c r="AC83" s="871" t="s">
        <v>2556</v>
      </c>
      <c r="AD83" s="873">
        <v>2010</v>
      </c>
      <c r="AE83" s="873">
        <v>118</v>
      </c>
      <c r="AF83" s="871" t="s">
        <v>2931</v>
      </c>
      <c r="AG83" s="871" t="s">
        <v>2488</v>
      </c>
      <c r="AH83" s="871" t="s">
        <v>2488</v>
      </c>
      <c r="AI83" s="873">
        <v>25</v>
      </c>
      <c r="AJ83" s="873">
        <v>1</v>
      </c>
      <c r="AK83" s="873">
        <v>2</v>
      </c>
      <c r="AL83" s="873">
        <v>3052</v>
      </c>
    </row>
    <row r="84" spans="1:38" ht="165">
      <c r="A84" s="871" t="s">
        <v>1958</v>
      </c>
      <c r="B84" s="855">
        <v>1286382</v>
      </c>
      <c r="C84" s="872"/>
      <c r="D84" s="872"/>
      <c r="E84" s="871" t="s">
        <v>1661</v>
      </c>
      <c r="F84" s="871" t="s">
        <v>2495</v>
      </c>
      <c r="G84" s="871" t="s">
        <v>2932</v>
      </c>
      <c r="H84" s="871" t="s">
        <v>9</v>
      </c>
      <c r="I84" s="873" t="b">
        <v>1</v>
      </c>
      <c r="J84" s="873">
        <v>1</v>
      </c>
      <c r="K84" s="871" t="s">
        <v>2933</v>
      </c>
      <c r="L84" s="874">
        <v>40327</v>
      </c>
      <c r="M84" s="874">
        <v>40547</v>
      </c>
      <c r="N84" s="873">
        <v>154</v>
      </c>
      <c r="O84" s="873">
        <v>174</v>
      </c>
      <c r="P84" s="873">
        <v>113</v>
      </c>
      <c r="Q84" s="875">
        <v>397808</v>
      </c>
      <c r="R84" s="875">
        <v>133102</v>
      </c>
      <c r="S84" s="875">
        <v>7500</v>
      </c>
      <c r="T84"/>
      <c r="U84" s="873">
        <v>76</v>
      </c>
      <c r="V84" s="873">
        <v>1</v>
      </c>
      <c r="W84" s="873">
        <v>3</v>
      </c>
      <c r="X84" s="871" t="s">
        <v>2934</v>
      </c>
      <c r="Y84" s="871" t="s">
        <v>2935</v>
      </c>
      <c r="Z84"/>
      <c r="AA84"/>
      <c r="AB84" s="876">
        <v>172274</v>
      </c>
      <c r="AC84" s="871" t="s">
        <v>2936</v>
      </c>
      <c r="AD84" s="873">
        <v>2010</v>
      </c>
      <c r="AE84" s="873">
        <v>90</v>
      </c>
      <c r="AF84" s="871" t="s">
        <v>2937</v>
      </c>
      <c r="AG84" s="871" t="s">
        <v>2488</v>
      </c>
      <c r="AH84" s="871" t="s">
        <v>2488</v>
      </c>
      <c r="AI84" s="873">
        <v>36</v>
      </c>
      <c r="AJ84" s="873">
        <v>2</v>
      </c>
      <c r="AK84" s="873">
        <v>6</v>
      </c>
      <c r="AL84" s="873">
        <v>3067</v>
      </c>
    </row>
    <row r="85" spans="1:38" ht="45">
      <c r="A85" s="871" t="s">
        <v>1334</v>
      </c>
      <c r="B85" s="855">
        <v>965069</v>
      </c>
      <c r="C85" s="872"/>
      <c r="D85" s="872"/>
      <c r="E85" s="871" t="s">
        <v>1753</v>
      </c>
      <c r="F85" s="871" t="s">
        <v>2495</v>
      </c>
      <c r="G85" s="871" t="s">
        <v>2488</v>
      </c>
      <c r="H85" s="871" t="s">
        <v>8</v>
      </c>
      <c r="I85" s="873" t="b">
        <v>1</v>
      </c>
      <c r="J85" s="873">
        <v>1</v>
      </c>
      <c r="K85" s="871" t="s">
        <v>2938</v>
      </c>
      <c r="L85" s="874">
        <v>40340</v>
      </c>
      <c r="M85" s="874">
        <v>40786</v>
      </c>
      <c r="N85" s="873">
        <v>1900</v>
      </c>
      <c r="O85" s="873">
        <v>191</v>
      </c>
      <c r="P85"/>
      <c r="Q85" s="875">
        <v>375000</v>
      </c>
      <c r="R85" s="875">
        <v>300000</v>
      </c>
      <c r="S85" s="875">
        <v>5625</v>
      </c>
      <c r="T85" s="873">
        <v>3</v>
      </c>
      <c r="U85" s="873">
        <v>17</v>
      </c>
      <c r="V85" s="873">
        <v>1</v>
      </c>
      <c r="W85"/>
      <c r="X85" s="871" t="s">
        <v>2488</v>
      </c>
      <c r="Y85" s="871" t="s">
        <v>2939</v>
      </c>
      <c r="Z85"/>
      <c r="AA85"/>
      <c r="AB85" s="876">
        <v>171625</v>
      </c>
      <c r="AC85" s="871" t="s">
        <v>2940</v>
      </c>
      <c r="AD85" s="873">
        <v>2010</v>
      </c>
      <c r="AE85" s="873">
        <v>121</v>
      </c>
      <c r="AF85" s="871" t="s">
        <v>2941</v>
      </c>
      <c r="AG85" s="871" t="s">
        <v>2942</v>
      </c>
      <c r="AH85" s="871" t="s">
        <v>2488</v>
      </c>
      <c r="AI85" s="873">
        <v>42</v>
      </c>
      <c r="AJ85" s="873">
        <v>4</v>
      </c>
      <c r="AK85" s="873">
        <v>16</v>
      </c>
      <c r="AL85" s="873">
        <v>3078</v>
      </c>
    </row>
    <row r="86" spans="1:38" ht="90">
      <c r="A86" s="871" t="s">
        <v>1957</v>
      </c>
      <c r="B86" s="855">
        <v>4150000</v>
      </c>
      <c r="C86" s="872"/>
      <c r="D86" s="872"/>
      <c r="E86" s="871" t="s">
        <v>1669</v>
      </c>
      <c r="F86" s="871" t="s">
        <v>2495</v>
      </c>
      <c r="G86" s="871" t="s">
        <v>2488</v>
      </c>
      <c r="H86" s="871" t="s">
        <v>2943</v>
      </c>
      <c r="I86" s="873" t="b">
        <v>1</v>
      </c>
      <c r="J86" s="873">
        <v>1</v>
      </c>
      <c r="K86" s="871" t="s">
        <v>2944</v>
      </c>
      <c r="L86" s="874">
        <v>40341</v>
      </c>
      <c r="M86" s="874">
        <v>40633</v>
      </c>
      <c r="N86" s="873">
        <v>1609</v>
      </c>
      <c r="O86" s="873">
        <v>118</v>
      </c>
      <c r="P86"/>
      <c r="Q86"/>
      <c r="R86" s="875">
        <v>92000</v>
      </c>
      <c r="S86" s="875">
        <v>24000</v>
      </c>
      <c r="T86"/>
      <c r="U86"/>
      <c r="V86" s="873">
        <v>1</v>
      </c>
      <c r="W86" s="873">
        <v>1</v>
      </c>
      <c r="X86" s="871" t="s">
        <v>2498</v>
      </c>
      <c r="Y86" s="871" t="s">
        <v>2945</v>
      </c>
      <c r="Z86" s="873">
        <v>1</v>
      </c>
      <c r="AA86"/>
      <c r="AB86" s="876">
        <v>300000</v>
      </c>
      <c r="AC86" s="871" t="s">
        <v>2946</v>
      </c>
      <c r="AD86" s="873">
        <v>2010</v>
      </c>
      <c r="AE86" s="873">
        <v>236</v>
      </c>
      <c r="AF86" s="871" t="s">
        <v>2947</v>
      </c>
      <c r="AG86" s="871" t="s">
        <v>2947</v>
      </c>
      <c r="AH86" s="871" t="s">
        <v>2488</v>
      </c>
      <c r="AI86" s="873">
        <v>41</v>
      </c>
      <c r="AJ86" s="873">
        <v>4</v>
      </c>
      <c r="AK86" s="873">
        <v>16</v>
      </c>
      <c r="AL86" s="873">
        <v>3079</v>
      </c>
    </row>
    <row r="87" spans="1:38" ht="210">
      <c r="A87" s="871" t="s">
        <v>2948</v>
      </c>
      <c r="B87" s="855">
        <v>2318438</v>
      </c>
      <c r="C87" s="872"/>
      <c r="D87" s="872"/>
      <c r="E87" s="871" t="s">
        <v>1992</v>
      </c>
      <c r="F87" s="871" t="s">
        <v>2495</v>
      </c>
      <c r="G87" s="871" t="s">
        <v>2488</v>
      </c>
      <c r="H87" s="871" t="s">
        <v>2949</v>
      </c>
      <c r="I87" s="873" t="b">
        <v>1</v>
      </c>
      <c r="J87" s="873">
        <v>1</v>
      </c>
      <c r="K87" s="871" t="s">
        <v>2950</v>
      </c>
      <c r="L87" s="874">
        <v>40380</v>
      </c>
      <c r="M87" s="874">
        <v>40755</v>
      </c>
      <c r="N87" s="873">
        <v>12</v>
      </c>
      <c r="O87" s="873">
        <v>3</v>
      </c>
      <c r="P87"/>
      <c r="Q87" s="875">
        <v>128385</v>
      </c>
      <c r="R87"/>
      <c r="S87" s="875">
        <v>51354</v>
      </c>
      <c r="T87"/>
      <c r="U87" s="873">
        <v>2410</v>
      </c>
      <c r="V87" s="873">
        <v>1</v>
      </c>
      <c r="W87"/>
      <c r="X87" s="871" t="s">
        <v>2488</v>
      </c>
      <c r="Y87" s="871" t="s">
        <v>2951</v>
      </c>
      <c r="Z87"/>
      <c r="AA87"/>
      <c r="AB87" s="876">
        <v>346944</v>
      </c>
      <c r="AC87" s="871" t="s">
        <v>2952</v>
      </c>
      <c r="AD87" s="873">
        <v>2010</v>
      </c>
      <c r="AE87" s="873">
        <v>208</v>
      </c>
      <c r="AF87" s="871" t="s">
        <v>2953</v>
      </c>
      <c r="AG87" s="871" t="s">
        <v>2488</v>
      </c>
      <c r="AH87" s="871" t="s">
        <v>2488</v>
      </c>
      <c r="AI87" s="873">
        <v>25</v>
      </c>
      <c r="AJ87" s="873">
        <v>1</v>
      </c>
      <c r="AK87" s="873">
        <v>2</v>
      </c>
      <c r="AL87" s="873">
        <v>3114</v>
      </c>
    </row>
    <row r="88" spans="1:38" ht="60">
      <c r="A88" s="871" t="s">
        <v>1267</v>
      </c>
      <c r="B88" s="855">
        <v>130673677</v>
      </c>
      <c r="C88" s="872"/>
      <c r="D88" s="872"/>
      <c r="E88" s="871" t="s">
        <v>1668</v>
      </c>
      <c r="F88" s="871" t="s">
        <v>2495</v>
      </c>
      <c r="G88" s="871" t="s">
        <v>2954</v>
      </c>
      <c r="H88" s="871" t="s">
        <v>2955</v>
      </c>
      <c r="I88" s="873" t="b">
        <v>1</v>
      </c>
      <c r="J88" s="873">
        <v>1</v>
      </c>
      <c r="K88" s="871" t="s">
        <v>2956</v>
      </c>
      <c r="L88" s="874">
        <v>40382</v>
      </c>
      <c r="M88" s="874">
        <v>40785</v>
      </c>
      <c r="N88" s="873">
        <v>2927</v>
      </c>
      <c r="O88" s="873">
        <v>1963</v>
      </c>
      <c r="P88" s="873">
        <v>100</v>
      </c>
      <c r="Q88" s="875">
        <v>20000000</v>
      </c>
      <c r="R88" s="875">
        <v>680000</v>
      </c>
      <c r="S88" s="875">
        <v>2250255</v>
      </c>
      <c r="T88" s="873">
        <v>100</v>
      </c>
      <c r="U88" s="873">
        <v>100000</v>
      </c>
      <c r="V88" s="873">
        <v>1</v>
      </c>
      <c r="W88" s="873">
        <v>2</v>
      </c>
      <c r="X88" s="871" t="s">
        <v>2498</v>
      </c>
      <c r="Y88" s="871" t="s">
        <v>2957</v>
      </c>
      <c r="Z88" s="873">
        <v>1</v>
      </c>
      <c r="AA88" s="873">
        <v>10</v>
      </c>
      <c r="AB88" s="876">
        <v>250000</v>
      </c>
      <c r="AC88" s="871" t="s">
        <v>2958</v>
      </c>
      <c r="AD88" s="873">
        <v>2010</v>
      </c>
      <c r="AE88" s="873">
        <v>169</v>
      </c>
      <c r="AF88" s="871" t="s">
        <v>2959</v>
      </c>
      <c r="AG88" s="871" t="s">
        <v>2488</v>
      </c>
      <c r="AH88" s="871" t="s">
        <v>2488</v>
      </c>
      <c r="AI88" s="873">
        <v>25</v>
      </c>
      <c r="AJ88" s="873">
        <v>3</v>
      </c>
      <c r="AK88" s="873">
        <v>11</v>
      </c>
      <c r="AL88" s="873">
        <v>3101</v>
      </c>
    </row>
    <row r="89" spans="1:38" ht="330">
      <c r="A89" s="871" t="s">
        <v>2960</v>
      </c>
      <c r="B89" s="855">
        <v>2803535</v>
      </c>
      <c r="C89" s="872"/>
      <c r="D89" s="872"/>
      <c r="E89" s="871" t="s">
        <v>1420</v>
      </c>
      <c r="F89" s="871" t="s">
        <v>2495</v>
      </c>
      <c r="G89" s="871" t="s">
        <v>2488</v>
      </c>
      <c r="H89" s="871" t="s">
        <v>2961</v>
      </c>
      <c r="I89" s="873" t="b">
        <v>1</v>
      </c>
      <c r="J89" s="873">
        <v>1</v>
      </c>
      <c r="K89" s="871" t="s">
        <v>2962</v>
      </c>
      <c r="L89" s="874">
        <v>40382</v>
      </c>
      <c r="M89" s="874">
        <v>40843</v>
      </c>
      <c r="N89"/>
      <c r="O89" s="873">
        <v>14</v>
      </c>
      <c r="P89"/>
      <c r="Q89" s="875">
        <v>133362</v>
      </c>
      <c r="R89"/>
      <c r="S89" s="875">
        <v>80000</v>
      </c>
      <c r="T89"/>
      <c r="U89" s="873">
        <v>150</v>
      </c>
      <c r="V89" s="873">
        <v>1</v>
      </c>
      <c r="W89"/>
      <c r="X89" s="871" t="s">
        <v>2488</v>
      </c>
      <c r="Y89" s="871" t="s">
        <v>2734</v>
      </c>
      <c r="Z89"/>
      <c r="AA89"/>
      <c r="AB89" s="876">
        <v>270987</v>
      </c>
      <c r="AC89" s="871" t="s">
        <v>2963</v>
      </c>
      <c r="AD89" s="873">
        <v>2010</v>
      </c>
      <c r="AE89" s="873">
        <v>35</v>
      </c>
      <c r="AF89" s="871" t="s">
        <v>2964</v>
      </c>
      <c r="AG89" s="871" t="s">
        <v>2488</v>
      </c>
      <c r="AH89" s="871" t="s">
        <v>2488</v>
      </c>
      <c r="AI89" s="873">
        <v>25</v>
      </c>
      <c r="AJ89" s="873">
        <v>1</v>
      </c>
      <c r="AK89" s="873">
        <v>4</v>
      </c>
      <c r="AL89" s="873">
        <v>3106</v>
      </c>
    </row>
    <row r="90" spans="1:38" ht="45">
      <c r="A90" s="871" t="s">
        <v>2965</v>
      </c>
      <c r="B90" s="855">
        <v>1283953</v>
      </c>
      <c r="C90" s="872"/>
      <c r="D90" s="872"/>
      <c r="E90" s="871" t="s">
        <v>687</v>
      </c>
      <c r="F90" s="871" t="s">
        <v>2495</v>
      </c>
      <c r="G90" s="871" t="s">
        <v>976</v>
      </c>
      <c r="H90" s="871" t="s">
        <v>2966</v>
      </c>
      <c r="I90" s="873" t="b">
        <v>1</v>
      </c>
      <c r="J90" s="873">
        <v>1</v>
      </c>
      <c r="K90" s="871" t="s">
        <v>2967</v>
      </c>
      <c r="L90" s="874">
        <v>40414</v>
      </c>
      <c r="M90" s="874">
        <v>40786</v>
      </c>
      <c r="N90" s="873">
        <v>1730</v>
      </c>
      <c r="O90" s="873">
        <v>92</v>
      </c>
      <c r="P90"/>
      <c r="Q90" s="875">
        <v>3555000</v>
      </c>
      <c r="R90" s="875">
        <v>111735</v>
      </c>
      <c r="S90" s="875">
        <v>31675</v>
      </c>
      <c r="T90"/>
      <c r="U90"/>
      <c r="V90" s="873">
        <v>1</v>
      </c>
      <c r="W90"/>
      <c r="X90" s="871" t="s">
        <v>2488</v>
      </c>
      <c r="Y90" s="871" t="s">
        <v>2734</v>
      </c>
      <c r="Z90"/>
      <c r="AA90"/>
      <c r="AB90" s="876">
        <v>289750</v>
      </c>
      <c r="AC90" s="871" t="s">
        <v>2968</v>
      </c>
      <c r="AD90" s="873">
        <v>2010</v>
      </c>
      <c r="AE90" s="873">
        <v>43</v>
      </c>
      <c r="AF90" s="871" t="s">
        <v>2969</v>
      </c>
      <c r="AG90" s="871" t="s">
        <v>2970</v>
      </c>
      <c r="AH90" s="871" t="s">
        <v>2488</v>
      </c>
      <c r="AI90" s="873">
        <v>20</v>
      </c>
      <c r="AJ90" s="873">
        <v>1</v>
      </c>
      <c r="AK90" s="873">
        <v>1</v>
      </c>
      <c r="AL90" s="873">
        <v>3111</v>
      </c>
    </row>
    <row r="91" spans="1:38" ht="120">
      <c r="A91" s="871" t="s">
        <v>1282</v>
      </c>
      <c r="B91" s="855">
        <v>1070620</v>
      </c>
      <c r="C91" s="872"/>
      <c r="D91" s="872"/>
      <c r="E91" s="871" t="s">
        <v>1947</v>
      </c>
      <c r="F91" s="871" t="s">
        <v>2495</v>
      </c>
      <c r="G91" s="871" t="s">
        <v>2488</v>
      </c>
      <c r="H91" s="871" t="s">
        <v>2971</v>
      </c>
      <c r="I91" s="873" t="b">
        <v>1</v>
      </c>
      <c r="J91" s="873">
        <v>1</v>
      </c>
      <c r="K91" s="871" t="s">
        <v>2972</v>
      </c>
      <c r="L91" s="874">
        <v>40455</v>
      </c>
      <c r="M91" s="874">
        <v>40832</v>
      </c>
      <c r="N91" s="873">
        <v>128</v>
      </c>
      <c r="O91" s="873">
        <v>143</v>
      </c>
      <c r="P91" s="873">
        <v>24</v>
      </c>
      <c r="Q91" s="875">
        <v>1170000</v>
      </c>
      <c r="R91"/>
      <c r="S91" s="875">
        <v>120000</v>
      </c>
      <c r="T91"/>
      <c r="U91" s="873">
        <v>126</v>
      </c>
      <c r="V91" s="873">
        <v>1</v>
      </c>
      <c r="W91"/>
      <c r="X91" s="871" t="s">
        <v>2488</v>
      </c>
      <c r="Y91" s="871" t="s">
        <v>2576</v>
      </c>
      <c r="Z91"/>
      <c r="AA91"/>
      <c r="AB91" s="876">
        <v>155064</v>
      </c>
      <c r="AC91" s="871" t="s">
        <v>2973</v>
      </c>
      <c r="AD91" s="873">
        <v>2010</v>
      </c>
      <c r="AE91" s="873">
        <v>240</v>
      </c>
      <c r="AF91" s="871" t="s">
        <v>2974</v>
      </c>
      <c r="AG91" s="871" t="s">
        <v>2975</v>
      </c>
      <c r="AH91" s="871" t="s">
        <v>2488</v>
      </c>
      <c r="AI91" s="873">
        <v>25</v>
      </c>
      <c r="AJ91" s="873">
        <v>3</v>
      </c>
      <c r="AK91" s="873">
        <v>12</v>
      </c>
      <c r="AL91" s="873">
        <v>3133</v>
      </c>
    </row>
    <row r="92" spans="1:38" ht="105">
      <c r="A92" s="871" t="s">
        <v>1921</v>
      </c>
      <c r="B92" s="855">
        <v>4183640</v>
      </c>
      <c r="C92" s="872"/>
      <c r="D92" s="872"/>
      <c r="E92" s="871" t="s">
        <v>2026</v>
      </c>
      <c r="F92" s="871" t="s">
        <v>2495</v>
      </c>
      <c r="G92" s="871" t="s">
        <v>2976</v>
      </c>
      <c r="H92" s="871" t="s">
        <v>1919</v>
      </c>
      <c r="I92" s="873" t="b">
        <v>1</v>
      </c>
      <c r="J92" s="873">
        <v>1</v>
      </c>
      <c r="K92" s="871" t="s">
        <v>2977</v>
      </c>
      <c r="L92" s="874">
        <v>40467</v>
      </c>
      <c r="M92" s="874">
        <v>40869</v>
      </c>
      <c r="N92" s="873">
        <v>42</v>
      </c>
      <c r="O92" s="873">
        <v>31</v>
      </c>
      <c r="P92" s="873">
        <v>4</v>
      </c>
      <c r="Q92" s="875">
        <v>2008984</v>
      </c>
      <c r="R92" s="875">
        <v>471954</v>
      </c>
      <c r="S92" s="875">
        <v>60000</v>
      </c>
      <c r="T92"/>
      <c r="U92"/>
      <c r="V92" s="873">
        <v>1</v>
      </c>
      <c r="W92"/>
      <c r="X92" s="871" t="s">
        <v>2488</v>
      </c>
      <c r="Y92" s="871" t="s">
        <v>2904</v>
      </c>
      <c r="Z92"/>
      <c r="AA92"/>
      <c r="AB92" s="876">
        <v>214855</v>
      </c>
      <c r="AC92" s="871" t="s">
        <v>2978</v>
      </c>
      <c r="AD92" s="873">
        <v>2010</v>
      </c>
      <c r="AE92" s="873">
        <v>175</v>
      </c>
      <c r="AF92" s="871" t="s">
        <v>2979</v>
      </c>
      <c r="AG92" s="871" t="s">
        <v>2980</v>
      </c>
      <c r="AH92" s="871" t="s">
        <v>2488</v>
      </c>
      <c r="AI92" s="873">
        <v>36</v>
      </c>
      <c r="AJ92" s="873">
        <v>3</v>
      </c>
      <c r="AK92" s="873">
        <v>12</v>
      </c>
      <c r="AL92" s="873">
        <v>3141</v>
      </c>
    </row>
    <row r="93" spans="1:38" ht="60">
      <c r="A93" s="871" t="s">
        <v>1286</v>
      </c>
      <c r="B93" s="855">
        <v>13371804</v>
      </c>
      <c r="C93" s="872"/>
      <c r="D93" s="872"/>
      <c r="E93" s="871" t="s">
        <v>2251</v>
      </c>
      <c r="F93" s="871" t="s">
        <v>2495</v>
      </c>
      <c r="G93" s="871" t="s">
        <v>2981</v>
      </c>
      <c r="H93" s="871" t="s">
        <v>1285</v>
      </c>
      <c r="I93" s="873" t="b">
        <v>1</v>
      </c>
      <c r="J93" s="873">
        <v>2</v>
      </c>
      <c r="K93" s="871" t="s">
        <v>2488</v>
      </c>
      <c r="L93" s="874">
        <v>40473</v>
      </c>
      <c r="M93" s="874">
        <v>40822</v>
      </c>
      <c r="N93" s="873">
        <v>233427</v>
      </c>
      <c r="O93" s="873">
        <v>6396</v>
      </c>
      <c r="P93"/>
      <c r="Q93" s="875">
        <v>466925</v>
      </c>
      <c r="R93"/>
      <c r="S93" s="875">
        <v>650000</v>
      </c>
      <c r="T93"/>
      <c r="U93" s="873">
        <v>653</v>
      </c>
      <c r="V93" s="873">
        <v>1</v>
      </c>
      <c r="W93"/>
      <c r="X93" s="871" t="s">
        <v>2488</v>
      </c>
      <c r="Y93" s="871" t="s">
        <v>2982</v>
      </c>
      <c r="Z93"/>
      <c r="AA93" s="873">
        <v>3</v>
      </c>
      <c r="AB93" s="876">
        <v>78852</v>
      </c>
      <c r="AC93" s="871" t="s">
        <v>2983</v>
      </c>
      <c r="AD93" s="873">
        <v>2010</v>
      </c>
      <c r="AE93" s="873">
        <v>95</v>
      </c>
      <c r="AF93" s="871" t="s">
        <v>2984</v>
      </c>
      <c r="AG93" s="871" t="s">
        <v>2488</v>
      </c>
      <c r="AH93" s="871" t="s">
        <v>2488</v>
      </c>
      <c r="AI93" s="873">
        <v>20</v>
      </c>
      <c r="AJ93" s="873">
        <v>2</v>
      </c>
      <c r="AK93" s="873">
        <v>5</v>
      </c>
      <c r="AL93" s="873">
        <v>3152</v>
      </c>
    </row>
    <row r="94" spans="1:38" ht="45">
      <c r="A94" s="871" t="s">
        <v>1923</v>
      </c>
      <c r="B94" s="855">
        <v>5038980</v>
      </c>
      <c r="C94" s="872"/>
      <c r="D94" s="872"/>
      <c r="E94" s="871" t="s">
        <v>1565</v>
      </c>
      <c r="F94" s="871" t="s">
        <v>2495</v>
      </c>
      <c r="G94" s="871" t="s">
        <v>2985</v>
      </c>
      <c r="H94" s="871" t="s">
        <v>2986</v>
      </c>
      <c r="I94" s="873" t="b">
        <v>1</v>
      </c>
      <c r="J94" s="873">
        <v>1</v>
      </c>
      <c r="K94" s="871" t="s">
        <v>2987</v>
      </c>
      <c r="L94" s="874">
        <v>40477</v>
      </c>
      <c r="M94" s="874">
        <v>40816</v>
      </c>
      <c r="N94" s="873">
        <v>412</v>
      </c>
      <c r="O94" s="873">
        <v>831</v>
      </c>
      <c r="P94" s="873">
        <v>76</v>
      </c>
      <c r="Q94" s="875">
        <v>15000</v>
      </c>
      <c r="R94" s="875">
        <v>315940</v>
      </c>
      <c r="S94" s="875">
        <v>103750</v>
      </c>
      <c r="T94" s="873">
        <v>161</v>
      </c>
      <c r="U94"/>
      <c r="V94" s="873">
        <v>1</v>
      </c>
      <c r="W94"/>
      <c r="X94" s="871" t="s">
        <v>2488</v>
      </c>
      <c r="Y94" s="871" t="s">
        <v>2988</v>
      </c>
      <c r="Z94"/>
      <c r="AA94"/>
      <c r="AB94"/>
      <c r="AC94" s="871" t="s">
        <v>2989</v>
      </c>
      <c r="AD94" s="873">
        <v>2010</v>
      </c>
      <c r="AE94" s="873">
        <v>102</v>
      </c>
      <c r="AF94" s="871" t="s">
        <v>2990</v>
      </c>
      <c r="AG94" s="871" t="s">
        <v>2991</v>
      </c>
      <c r="AH94" s="871" t="s">
        <v>2488</v>
      </c>
      <c r="AI94" s="873">
        <v>37</v>
      </c>
      <c r="AJ94" s="873">
        <v>3</v>
      </c>
      <c r="AK94" s="873">
        <v>12</v>
      </c>
      <c r="AL94" s="873">
        <v>3147</v>
      </c>
    </row>
    <row r="95" spans="1:38" ht="360">
      <c r="A95" s="871" t="s">
        <v>1925</v>
      </c>
      <c r="B95" s="855">
        <v>1045054</v>
      </c>
      <c r="C95" s="872"/>
      <c r="D95" s="872"/>
      <c r="E95" s="871" t="s">
        <v>2251</v>
      </c>
      <c r="F95" s="871" t="s">
        <v>2495</v>
      </c>
      <c r="G95" s="871" t="s">
        <v>2992</v>
      </c>
      <c r="H95" s="871" t="s">
        <v>2993</v>
      </c>
      <c r="I95" s="873" t="b">
        <v>1</v>
      </c>
      <c r="J95" s="873">
        <v>4</v>
      </c>
      <c r="K95" s="871" t="s">
        <v>2488</v>
      </c>
      <c r="L95" s="874">
        <v>40485</v>
      </c>
      <c r="M95" s="874">
        <v>40904</v>
      </c>
      <c r="N95"/>
      <c r="O95" s="873">
        <v>8</v>
      </c>
      <c r="P95"/>
      <c r="Q95" s="875">
        <v>184000</v>
      </c>
      <c r="R95"/>
      <c r="S95" s="875">
        <v>10250</v>
      </c>
      <c r="T95"/>
      <c r="U95"/>
      <c r="V95" s="873">
        <v>1</v>
      </c>
      <c r="W95" s="873">
        <v>5</v>
      </c>
      <c r="X95" s="871" t="s">
        <v>1076</v>
      </c>
      <c r="Y95" s="871" t="s">
        <v>2734</v>
      </c>
      <c r="Z95"/>
      <c r="AA95"/>
      <c r="AB95" s="876">
        <v>51653</v>
      </c>
      <c r="AC95" s="871" t="s">
        <v>2994</v>
      </c>
      <c r="AD95" s="873">
        <v>2010</v>
      </c>
      <c r="AE95" s="873">
        <v>19</v>
      </c>
      <c r="AF95" s="871" t="s">
        <v>2995</v>
      </c>
      <c r="AG95" s="871" t="s">
        <v>2488</v>
      </c>
      <c r="AH95" s="871" t="s">
        <v>2488</v>
      </c>
      <c r="AI95" s="873">
        <v>36</v>
      </c>
      <c r="AJ95" s="873">
        <v>2</v>
      </c>
      <c r="AK95" s="873">
        <v>5</v>
      </c>
      <c r="AL95" s="873">
        <v>3164</v>
      </c>
    </row>
    <row r="96" spans="1:38" ht="30">
      <c r="A96" s="871" t="s">
        <v>2389</v>
      </c>
      <c r="B96" s="855">
        <v>1501011</v>
      </c>
      <c r="C96" s="872"/>
      <c r="D96" s="872"/>
      <c r="E96" s="871" t="s">
        <v>2996</v>
      </c>
      <c r="F96" s="871" t="s">
        <v>2495</v>
      </c>
      <c r="G96" s="871" t="s">
        <v>2997</v>
      </c>
      <c r="H96" s="871" t="s">
        <v>2998</v>
      </c>
      <c r="I96" s="873" t="b">
        <v>1</v>
      </c>
      <c r="J96" s="873">
        <v>1</v>
      </c>
      <c r="K96" s="871" t="s">
        <v>2999</v>
      </c>
      <c r="L96" s="874">
        <v>40485</v>
      </c>
      <c r="M96" s="874">
        <v>40704</v>
      </c>
      <c r="N96"/>
      <c r="O96" s="873">
        <v>219</v>
      </c>
      <c r="P96"/>
      <c r="Q96" s="875">
        <v>524</v>
      </c>
      <c r="R96"/>
      <c r="S96" s="875">
        <v>4000000</v>
      </c>
      <c r="T96" s="873">
        <v>17</v>
      </c>
      <c r="U96" s="873">
        <v>500</v>
      </c>
      <c r="V96" s="873">
        <v>1</v>
      </c>
      <c r="W96"/>
      <c r="X96" s="871" t="s">
        <v>2488</v>
      </c>
      <c r="Y96" s="871" t="s">
        <v>2734</v>
      </c>
      <c r="Z96"/>
      <c r="AA96"/>
      <c r="AB96" s="876">
        <v>200000</v>
      </c>
      <c r="AC96" s="871" t="s">
        <v>3000</v>
      </c>
      <c r="AD96" s="873">
        <v>2010</v>
      </c>
      <c r="AE96" s="873">
        <v>50</v>
      </c>
      <c r="AF96" s="871" t="s">
        <v>2488</v>
      </c>
      <c r="AG96" s="871" t="s">
        <v>2488</v>
      </c>
      <c r="AH96" s="871" t="s">
        <v>2488</v>
      </c>
      <c r="AI96" s="873">
        <v>20</v>
      </c>
      <c r="AJ96" s="873">
        <v>1</v>
      </c>
      <c r="AK96" s="873">
        <v>1</v>
      </c>
      <c r="AL96" s="873">
        <v>3162</v>
      </c>
    </row>
    <row r="97" spans="1:38" ht="30">
      <c r="A97" s="871" t="s">
        <v>3001</v>
      </c>
      <c r="B97" s="855">
        <v>409759</v>
      </c>
      <c r="C97" s="872"/>
      <c r="D97" s="872"/>
      <c r="E97" s="871" t="s">
        <v>2395</v>
      </c>
      <c r="F97" s="871" t="s">
        <v>2495</v>
      </c>
      <c r="G97" s="871" t="s">
        <v>3002</v>
      </c>
      <c r="H97" s="871" t="s">
        <v>3003</v>
      </c>
      <c r="I97" s="873" t="b">
        <v>1</v>
      </c>
      <c r="J97" s="873">
        <v>1</v>
      </c>
      <c r="K97" s="871" t="s">
        <v>3004</v>
      </c>
      <c r="L97" s="874">
        <v>40485</v>
      </c>
      <c r="M97" s="874">
        <v>40786</v>
      </c>
      <c r="N97" s="873">
        <v>120</v>
      </c>
      <c r="O97" s="873">
        <v>3</v>
      </c>
      <c r="P97"/>
      <c r="Q97" s="875">
        <v>25000</v>
      </c>
      <c r="R97"/>
      <c r="S97" s="875">
        <v>8000</v>
      </c>
      <c r="T97"/>
      <c r="U97"/>
      <c r="V97" s="873">
        <v>1</v>
      </c>
      <c r="W97"/>
      <c r="X97" s="871" t="s">
        <v>2488</v>
      </c>
      <c r="Y97" s="871" t="s">
        <v>3005</v>
      </c>
      <c r="Z97"/>
      <c r="AA97"/>
      <c r="AB97" s="876">
        <v>102347</v>
      </c>
      <c r="AC97" s="871" t="s">
        <v>3006</v>
      </c>
      <c r="AD97" s="873">
        <v>2010</v>
      </c>
      <c r="AE97" s="873">
        <v>190</v>
      </c>
      <c r="AF97" s="871" t="s">
        <v>3007</v>
      </c>
      <c r="AG97" s="871" t="s">
        <v>3008</v>
      </c>
      <c r="AH97" s="871" t="s">
        <v>3009</v>
      </c>
      <c r="AI97" s="873">
        <v>19</v>
      </c>
      <c r="AJ97" s="873">
        <v>4</v>
      </c>
      <c r="AK97" s="873">
        <v>15</v>
      </c>
      <c r="AL97" s="873">
        <v>3158</v>
      </c>
    </row>
    <row r="98" spans="1:38" ht="165">
      <c r="A98" s="871" t="s">
        <v>868</v>
      </c>
      <c r="B98" s="855">
        <v>701023</v>
      </c>
      <c r="C98" s="872"/>
      <c r="D98" s="872"/>
      <c r="E98" s="871" t="s">
        <v>1604</v>
      </c>
      <c r="F98" s="871" t="s">
        <v>2495</v>
      </c>
      <c r="G98" s="871" t="s">
        <v>2488</v>
      </c>
      <c r="H98" s="871" t="s">
        <v>869</v>
      </c>
      <c r="I98" s="873" t="b">
        <v>1</v>
      </c>
      <c r="J98" s="873">
        <v>1</v>
      </c>
      <c r="K98" s="871" t="s">
        <v>3010</v>
      </c>
      <c r="L98" s="874">
        <v>40488</v>
      </c>
      <c r="M98" s="874">
        <v>40625</v>
      </c>
      <c r="N98" s="873">
        <v>203</v>
      </c>
      <c r="O98" s="873">
        <v>13</v>
      </c>
      <c r="P98" s="873">
        <v>3</v>
      </c>
      <c r="Q98" s="875">
        <v>42416</v>
      </c>
      <c r="R98" s="875">
        <v>2542</v>
      </c>
      <c r="S98" s="875">
        <v>12725</v>
      </c>
      <c r="T98" s="873">
        <v>50</v>
      </c>
      <c r="U98" s="873">
        <v>200</v>
      </c>
      <c r="V98" s="873">
        <v>1</v>
      </c>
      <c r="W98" s="873">
        <v>28</v>
      </c>
      <c r="X98" s="871" t="s">
        <v>3011</v>
      </c>
      <c r="Y98" s="871" t="s">
        <v>2576</v>
      </c>
      <c r="Z98"/>
      <c r="AA98"/>
      <c r="AB98" s="876">
        <v>162563</v>
      </c>
      <c r="AC98" s="871" t="s">
        <v>3012</v>
      </c>
      <c r="AD98" s="873">
        <v>2010</v>
      </c>
      <c r="AE98" s="873">
        <v>171</v>
      </c>
      <c r="AF98" s="871" t="s">
        <v>3013</v>
      </c>
      <c r="AG98" s="871" t="s">
        <v>3014</v>
      </c>
      <c r="AH98" s="871" t="s">
        <v>2488</v>
      </c>
      <c r="AI98" s="873">
        <v>25</v>
      </c>
      <c r="AJ98" s="873">
        <v>2</v>
      </c>
      <c r="AK98" s="873">
        <v>6</v>
      </c>
      <c r="AL98" s="873">
        <v>3159</v>
      </c>
    </row>
    <row r="99" spans="1:38" ht="150">
      <c r="A99" s="871" t="s">
        <v>867</v>
      </c>
      <c r="B99" s="855">
        <v>1320879</v>
      </c>
      <c r="C99" s="872"/>
      <c r="D99" s="872"/>
      <c r="E99" s="871" t="s">
        <v>717</v>
      </c>
      <c r="F99" s="871" t="s">
        <v>2495</v>
      </c>
      <c r="G99" s="871" t="s">
        <v>3015</v>
      </c>
      <c r="H99" s="871" t="s">
        <v>866</v>
      </c>
      <c r="I99" s="873" t="b">
        <v>1</v>
      </c>
      <c r="J99" s="873">
        <v>1</v>
      </c>
      <c r="K99" s="871" t="s">
        <v>3016</v>
      </c>
      <c r="L99" s="874">
        <v>40493</v>
      </c>
      <c r="M99" s="874">
        <v>40786</v>
      </c>
      <c r="N99" s="873">
        <v>271</v>
      </c>
      <c r="O99" s="873">
        <v>281</v>
      </c>
      <c r="P99" s="873">
        <v>63</v>
      </c>
      <c r="Q99" s="875">
        <v>2125880</v>
      </c>
      <c r="R99"/>
      <c r="S99" s="875">
        <v>71860</v>
      </c>
      <c r="T99"/>
      <c r="U99"/>
      <c r="V99" s="873">
        <v>1</v>
      </c>
      <c r="W99"/>
      <c r="X99" s="871" t="s">
        <v>2488</v>
      </c>
      <c r="Y99" s="871" t="s">
        <v>2734</v>
      </c>
      <c r="Z99"/>
      <c r="AA99"/>
      <c r="AB99" s="876">
        <v>25000</v>
      </c>
      <c r="AC99" s="871" t="s">
        <v>3017</v>
      </c>
      <c r="AD99" s="873">
        <v>2010</v>
      </c>
      <c r="AE99" s="873">
        <v>48</v>
      </c>
      <c r="AF99" s="871" t="s">
        <v>3018</v>
      </c>
      <c r="AG99" s="871" t="s">
        <v>2488</v>
      </c>
      <c r="AH99" s="871" t="s">
        <v>2488</v>
      </c>
      <c r="AI99" s="873">
        <v>25</v>
      </c>
      <c r="AJ99" s="873">
        <v>2</v>
      </c>
      <c r="AK99" s="873">
        <v>8</v>
      </c>
      <c r="AL99" s="873">
        <v>3167</v>
      </c>
    </row>
    <row r="100" spans="1:38" ht="15">
      <c r="A100" s="871" t="s">
        <v>3019</v>
      </c>
      <c r="B100" s="855">
        <v>3030275</v>
      </c>
      <c r="C100" s="872"/>
      <c r="D100" s="872"/>
      <c r="E100" s="871" t="s">
        <v>1992</v>
      </c>
      <c r="F100" s="871" t="s">
        <v>2495</v>
      </c>
      <c r="G100" s="871" t="s">
        <v>3020</v>
      </c>
      <c r="H100" s="871" t="s">
        <v>2488</v>
      </c>
      <c r="I100" s="873" t="b">
        <v>0</v>
      </c>
      <c r="J100" s="873">
        <v>1</v>
      </c>
      <c r="K100" s="871" t="s">
        <v>2488</v>
      </c>
      <c r="L100" s="874">
        <v>40494</v>
      </c>
      <c r="M100" s="874">
        <v>40619</v>
      </c>
      <c r="N100"/>
      <c r="O100"/>
      <c r="P100"/>
      <c r="Q100"/>
      <c r="R100"/>
      <c r="S100" s="875">
        <v>105000</v>
      </c>
      <c r="T100"/>
      <c r="U100"/>
      <c r="V100" s="873">
        <v>1</v>
      </c>
      <c r="W100"/>
      <c r="X100" s="871" t="s">
        <v>2488</v>
      </c>
      <c r="Y100" s="871" t="s">
        <v>3021</v>
      </c>
      <c r="Z100"/>
      <c r="AA100"/>
      <c r="AB100" s="876">
        <v>200000</v>
      </c>
      <c r="AC100" s="871" t="s">
        <v>3022</v>
      </c>
      <c r="AD100" s="873">
        <v>2010</v>
      </c>
      <c r="AE100" s="873">
        <v>208</v>
      </c>
      <c r="AF100" s="871" t="s">
        <v>2488</v>
      </c>
      <c r="AG100" s="871" t="s">
        <v>2488</v>
      </c>
      <c r="AH100" s="871" t="s">
        <v>2488</v>
      </c>
      <c r="AI100" s="873">
        <v>42</v>
      </c>
      <c r="AJ100" s="873">
        <v>1</v>
      </c>
      <c r="AK100" s="873">
        <v>2</v>
      </c>
      <c r="AL100" s="873">
        <v>3161</v>
      </c>
    </row>
    <row r="101" spans="1:38" ht="405">
      <c r="A101" s="871" t="s">
        <v>2404</v>
      </c>
      <c r="B101" s="855">
        <v>4622804</v>
      </c>
      <c r="C101" s="872"/>
      <c r="D101" s="872"/>
      <c r="E101" s="871" t="s">
        <v>1637</v>
      </c>
      <c r="F101" s="871" t="s">
        <v>2495</v>
      </c>
      <c r="G101" s="871" t="s">
        <v>3023</v>
      </c>
      <c r="H101" s="871" t="s">
        <v>3024</v>
      </c>
      <c r="I101" s="873" t="b">
        <v>1</v>
      </c>
      <c r="J101" s="873">
        <v>1</v>
      </c>
      <c r="K101" s="871" t="s">
        <v>3025</v>
      </c>
      <c r="L101" s="874">
        <v>40521</v>
      </c>
      <c r="M101" s="874">
        <v>40799</v>
      </c>
      <c r="N101"/>
      <c r="O101" s="873">
        <v>18</v>
      </c>
      <c r="P101"/>
      <c r="Q101" s="875">
        <v>1000000</v>
      </c>
      <c r="R101" s="875">
        <v>300000</v>
      </c>
      <c r="S101" s="875">
        <v>75000</v>
      </c>
      <c r="T101"/>
      <c r="U101"/>
      <c r="V101" s="873">
        <v>1</v>
      </c>
      <c r="W101"/>
      <c r="X101" s="871" t="s">
        <v>2488</v>
      </c>
      <c r="Y101" s="871" t="s">
        <v>2734</v>
      </c>
      <c r="Z101"/>
      <c r="AA101"/>
      <c r="AB101" s="876">
        <v>100166</v>
      </c>
      <c r="AC101" s="871" t="s">
        <v>3026</v>
      </c>
      <c r="AD101" s="873">
        <v>2010</v>
      </c>
      <c r="AE101" s="873">
        <v>202</v>
      </c>
      <c r="AF101" s="871" t="s">
        <v>3027</v>
      </c>
      <c r="AG101" s="871" t="s">
        <v>2488</v>
      </c>
      <c r="AH101" s="871" t="s">
        <v>2488</v>
      </c>
      <c r="AI101" s="873">
        <v>25</v>
      </c>
      <c r="AJ101" s="873">
        <v>3</v>
      </c>
      <c r="AK101" s="873">
        <v>11</v>
      </c>
      <c r="AL101" s="873">
        <v>3317</v>
      </c>
    </row>
    <row r="102" spans="1:38" ht="15">
      <c r="A102" s="871" t="s">
        <v>2413</v>
      </c>
      <c r="B102" s="855">
        <v>6702008</v>
      </c>
      <c r="C102" s="872"/>
      <c r="D102" s="872"/>
      <c r="E102" s="871" t="s">
        <v>3028</v>
      </c>
      <c r="F102" s="871" t="s">
        <v>2495</v>
      </c>
      <c r="G102" s="871" t="s">
        <v>3029</v>
      </c>
      <c r="H102" s="871" t="s">
        <v>579</v>
      </c>
      <c r="I102" s="873" t="b">
        <v>1</v>
      </c>
      <c r="J102" s="873">
        <v>1</v>
      </c>
      <c r="K102" s="871" t="s">
        <v>3030</v>
      </c>
      <c r="L102" s="874">
        <v>40525</v>
      </c>
      <c r="M102" s="874">
        <v>40755</v>
      </c>
      <c r="N102" s="873">
        <v>445</v>
      </c>
      <c r="O102" s="873">
        <v>1</v>
      </c>
      <c r="P102"/>
      <c r="Q102"/>
      <c r="R102" s="875">
        <v>1000000</v>
      </c>
      <c r="S102" s="875">
        <v>60000</v>
      </c>
      <c r="T102"/>
      <c r="U102"/>
      <c r="V102"/>
      <c r="W102"/>
      <c r="X102" s="871" t="s">
        <v>2488</v>
      </c>
      <c r="Y102" s="871" t="s">
        <v>2918</v>
      </c>
      <c r="Z102" s="873">
        <v>1</v>
      </c>
      <c r="AA102"/>
      <c r="AB102" s="876">
        <v>247613</v>
      </c>
      <c r="AC102" s="871" t="s">
        <v>3031</v>
      </c>
      <c r="AD102" s="873">
        <v>2010</v>
      </c>
      <c r="AE102" s="873">
        <v>54</v>
      </c>
      <c r="AF102" s="871" t="s">
        <v>2488</v>
      </c>
      <c r="AG102" s="871" t="s">
        <v>2488</v>
      </c>
      <c r="AH102" s="871" t="s">
        <v>2488</v>
      </c>
      <c r="AI102" s="873">
        <v>42</v>
      </c>
      <c r="AJ102" s="873">
        <v>1</v>
      </c>
      <c r="AK102" s="873">
        <v>4</v>
      </c>
      <c r="AL102" s="873">
        <v>3320</v>
      </c>
    </row>
    <row r="103" spans="1:38" ht="165">
      <c r="A103" s="871" t="s">
        <v>3032</v>
      </c>
      <c r="B103" s="855">
        <v>575146</v>
      </c>
      <c r="C103" s="872"/>
      <c r="D103" s="872"/>
      <c r="E103" s="871" t="s">
        <v>1558</v>
      </c>
      <c r="F103" s="871" t="s">
        <v>2495</v>
      </c>
      <c r="G103" s="871" t="s">
        <v>2488</v>
      </c>
      <c r="H103" s="871" t="s">
        <v>3033</v>
      </c>
      <c r="I103" s="873" t="b">
        <v>0</v>
      </c>
      <c r="J103" s="873">
        <v>1</v>
      </c>
      <c r="K103" s="871" t="s">
        <v>2488</v>
      </c>
      <c r="L103" s="874">
        <v>40533</v>
      </c>
      <c r="M103" s="874">
        <v>40815</v>
      </c>
      <c r="N103"/>
      <c r="O103" s="873">
        <v>35</v>
      </c>
      <c r="P103"/>
      <c r="Q103" s="875">
        <v>206250</v>
      </c>
      <c r="R103" s="875">
        <v>124000</v>
      </c>
      <c r="S103" s="875">
        <v>15850</v>
      </c>
      <c r="T103"/>
      <c r="U103" s="873">
        <v>580</v>
      </c>
      <c r="V103"/>
      <c r="W103"/>
      <c r="X103" s="871" t="s">
        <v>2488</v>
      </c>
      <c r="Y103" s="871" t="s">
        <v>2576</v>
      </c>
      <c r="Z103"/>
      <c r="AA103"/>
      <c r="AB103"/>
      <c r="AC103" s="871" t="s">
        <v>3000</v>
      </c>
      <c r="AD103" s="873">
        <v>2010</v>
      </c>
      <c r="AE103" s="873">
        <v>239</v>
      </c>
      <c r="AF103" s="871" t="s">
        <v>3034</v>
      </c>
      <c r="AG103" s="871" t="s">
        <v>2488</v>
      </c>
      <c r="AH103" s="871" t="s">
        <v>2488</v>
      </c>
      <c r="AI103" s="873">
        <v>25</v>
      </c>
      <c r="AJ103" s="873">
        <v>4</v>
      </c>
      <c r="AK103" s="873">
        <v>15</v>
      </c>
      <c r="AL103" s="873">
        <v>3329</v>
      </c>
    </row>
    <row r="104" spans="1:38" ht="60">
      <c r="A104" s="871" t="s">
        <v>587</v>
      </c>
      <c r="B104" s="855">
        <v>4872842</v>
      </c>
      <c r="C104" s="872"/>
      <c r="D104" s="872"/>
      <c r="E104" s="871" t="s">
        <v>1544</v>
      </c>
      <c r="F104" s="871" t="s">
        <v>2495</v>
      </c>
      <c r="G104" s="871" t="s">
        <v>3035</v>
      </c>
      <c r="H104" s="871" t="s">
        <v>579</v>
      </c>
      <c r="I104" s="873" t="b">
        <v>0</v>
      </c>
      <c r="J104" s="873">
        <v>1</v>
      </c>
      <c r="K104" s="871" t="s">
        <v>2488</v>
      </c>
      <c r="L104" s="874">
        <v>40535</v>
      </c>
      <c r="M104" s="874">
        <v>40889</v>
      </c>
      <c r="N104"/>
      <c r="O104"/>
      <c r="P104"/>
      <c r="Q104"/>
      <c r="R104" s="875">
        <v>1000000</v>
      </c>
      <c r="S104" s="875">
        <v>124500</v>
      </c>
      <c r="T104"/>
      <c r="U104"/>
      <c r="V104" s="873">
        <v>1</v>
      </c>
      <c r="W104"/>
      <c r="X104" s="871" t="s">
        <v>2488</v>
      </c>
      <c r="Y104" s="871" t="s">
        <v>2488</v>
      </c>
      <c r="Z104"/>
      <c r="AA104"/>
      <c r="AB104" s="876">
        <v>200000</v>
      </c>
      <c r="AC104" s="871" t="s">
        <v>3036</v>
      </c>
      <c r="AD104" s="873">
        <v>2010</v>
      </c>
      <c r="AE104" s="873">
        <v>126</v>
      </c>
      <c r="AF104" s="871" t="s">
        <v>2488</v>
      </c>
      <c r="AG104" s="871" t="s">
        <v>2488</v>
      </c>
      <c r="AH104" s="871" t="s">
        <v>2488</v>
      </c>
      <c r="AI104" s="873">
        <v>16</v>
      </c>
      <c r="AJ104" s="873">
        <v>1</v>
      </c>
      <c r="AK104" s="873">
        <v>4</v>
      </c>
      <c r="AL104" s="873">
        <v>3332</v>
      </c>
    </row>
    <row r="105" spans="1:38" ht="45">
      <c r="A105" s="871" t="s">
        <v>2446</v>
      </c>
      <c r="B105" s="855">
        <v>15145920</v>
      </c>
      <c r="C105" s="872"/>
      <c r="D105" s="872"/>
      <c r="E105" s="871" t="s">
        <v>3037</v>
      </c>
      <c r="F105" s="871" t="s">
        <v>2495</v>
      </c>
      <c r="G105" s="871" t="s">
        <v>3038</v>
      </c>
      <c r="H105" s="871" t="s">
        <v>3039</v>
      </c>
      <c r="I105" s="873" t="b">
        <v>0</v>
      </c>
      <c r="J105" s="873">
        <v>3</v>
      </c>
      <c r="K105" s="871" t="s">
        <v>2488</v>
      </c>
      <c r="L105" s="874">
        <v>40599</v>
      </c>
      <c r="M105" s="874">
        <v>40906</v>
      </c>
      <c r="N105"/>
      <c r="O105"/>
      <c r="P105"/>
      <c r="Q105"/>
      <c r="R105"/>
      <c r="S105" s="875">
        <v>300000</v>
      </c>
      <c r="T105"/>
      <c r="U105"/>
      <c r="V105"/>
      <c r="W105"/>
      <c r="X105" s="871" t="s">
        <v>2488</v>
      </c>
      <c r="Y105" s="871" t="s">
        <v>2488</v>
      </c>
      <c r="Z105" s="873">
        <v>1</v>
      </c>
      <c r="AA105"/>
      <c r="AB105" s="876">
        <v>59374</v>
      </c>
      <c r="AC105" s="871" t="s">
        <v>3040</v>
      </c>
      <c r="AD105" s="873">
        <v>2011</v>
      </c>
      <c r="AE105" s="873">
        <v>127</v>
      </c>
      <c r="AF105" s="871" t="s">
        <v>3041</v>
      </c>
      <c r="AG105" s="871" t="s">
        <v>2488</v>
      </c>
      <c r="AH105" s="871" t="s">
        <v>2488</v>
      </c>
      <c r="AI105" s="873">
        <v>42</v>
      </c>
      <c r="AJ105" s="873">
        <v>5</v>
      </c>
      <c r="AK105" s="873">
        <v>19</v>
      </c>
      <c r="AL105" s="873">
        <v>3363</v>
      </c>
    </row>
    <row r="106" spans="1:38" ht="105">
      <c r="A106" s="871" t="s">
        <v>583</v>
      </c>
      <c r="B106" s="855">
        <v>518725</v>
      </c>
      <c r="C106" s="872"/>
      <c r="D106" s="872"/>
      <c r="E106" s="871" t="s">
        <v>1653</v>
      </c>
      <c r="F106" s="871" t="s">
        <v>2495</v>
      </c>
      <c r="G106" s="871" t="s">
        <v>2488</v>
      </c>
      <c r="H106" s="871" t="s">
        <v>582</v>
      </c>
      <c r="I106" s="873" t="b">
        <v>1</v>
      </c>
      <c r="J106" s="873">
        <v>1</v>
      </c>
      <c r="K106" s="871" t="s">
        <v>3042</v>
      </c>
      <c r="L106" s="874">
        <v>40603</v>
      </c>
      <c r="M106" s="874">
        <v>40876</v>
      </c>
      <c r="N106"/>
      <c r="O106" s="873">
        <v>56</v>
      </c>
      <c r="P106"/>
      <c r="Q106" s="875">
        <v>70000</v>
      </c>
      <c r="R106"/>
      <c r="S106" s="875">
        <v>15000</v>
      </c>
      <c r="T106"/>
      <c r="U106"/>
      <c r="V106"/>
      <c r="W106" s="873">
        <v>1</v>
      </c>
      <c r="X106" s="871" t="s">
        <v>2599</v>
      </c>
      <c r="Y106" s="871" t="s">
        <v>3043</v>
      </c>
      <c r="Z106"/>
      <c r="AA106"/>
      <c r="AB106" s="876">
        <v>78074</v>
      </c>
      <c r="AC106" s="871" t="s">
        <v>3044</v>
      </c>
      <c r="AD106" s="873">
        <v>2011</v>
      </c>
      <c r="AE106" s="873">
        <v>26</v>
      </c>
      <c r="AF106" s="871" t="s">
        <v>3045</v>
      </c>
      <c r="AG106" s="871" t="s">
        <v>2488</v>
      </c>
      <c r="AH106" s="871" t="s">
        <v>2488</v>
      </c>
      <c r="AI106" s="873">
        <v>25</v>
      </c>
      <c r="AJ106" s="873">
        <v>2</v>
      </c>
      <c r="AK106" s="873">
        <v>8</v>
      </c>
      <c r="AL106" s="873">
        <v>3364</v>
      </c>
    </row>
    <row r="107" spans="1:38" ht="165">
      <c r="A107" s="871" t="s">
        <v>1026</v>
      </c>
      <c r="B107" s="855">
        <v>1811530</v>
      </c>
      <c r="C107" s="872"/>
      <c r="D107" s="872"/>
      <c r="E107" s="871" t="s">
        <v>85</v>
      </c>
      <c r="F107" s="871" t="s">
        <v>2495</v>
      </c>
      <c r="G107" s="871" t="s">
        <v>2488</v>
      </c>
      <c r="H107" s="871" t="s">
        <v>2488</v>
      </c>
      <c r="I107" s="873" t="b">
        <v>0</v>
      </c>
      <c r="J107" s="873">
        <v>1</v>
      </c>
      <c r="K107" s="871" t="s">
        <v>3046</v>
      </c>
      <c r="L107" s="874">
        <v>40603</v>
      </c>
      <c r="M107" s="874">
        <v>40847</v>
      </c>
      <c r="N107"/>
      <c r="O107" s="873">
        <v>65</v>
      </c>
      <c r="P107"/>
      <c r="Q107" s="875">
        <v>500000</v>
      </c>
      <c r="R107" s="875">
        <v>60000</v>
      </c>
      <c r="S107" s="875">
        <v>37457</v>
      </c>
      <c r="T107"/>
      <c r="U107"/>
      <c r="V107"/>
      <c r="W107"/>
      <c r="X107" s="871" t="s">
        <v>2488</v>
      </c>
      <c r="Y107" s="871" t="s">
        <v>2741</v>
      </c>
      <c r="Z107"/>
      <c r="AA107"/>
      <c r="AB107" s="876">
        <v>296472</v>
      </c>
      <c r="AC107" s="871" t="s">
        <v>3000</v>
      </c>
      <c r="AD107" s="873">
        <v>2011</v>
      </c>
      <c r="AE107" s="873">
        <v>153</v>
      </c>
      <c r="AF107" s="871" t="s">
        <v>3047</v>
      </c>
      <c r="AG107" s="871" t="s">
        <v>2488</v>
      </c>
      <c r="AH107" s="871" t="s">
        <v>2488</v>
      </c>
      <c r="AI107" s="873">
        <v>25</v>
      </c>
      <c r="AJ107" s="873">
        <v>1</v>
      </c>
      <c r="AK107" s="873">
        <v>3</v>
      </c>
      <c r="AL107" s="873">
        <v>3368</v>
      </c>
    </row>
    <row r="108" spans="1:38" ht="30">
      <c r="A108" s="871" t="s">
        <v>2407</v>
      </c>
      <c r="B108" s="855">
        <v>3586226</v>
      </c>
      <c r="C108" s="872"/>
      <c r="D108" s="872"/>
      <c r="E108" s="871" t="s">
        <v>1605</v>
      </c>
      <c r="F108" s="871" t="s">
        <v>2495</v>
      </c>
      <c r="G108" s="871" t="s">
        <v>2488</v>
      </c>
      <c r="H108" s="871" t="s">
        <v>2488</v>
      </c>
      <c r="I108" s="873" t="b">
        <v>0</v>
      </c>
      <c r="J108" s="873">
        <v>1</v>
      </c>
      <c r="K108" s="871" t="s">
        <v>2488</v>
      </c>
      <c r="L108" s="874">
        <v>40611</v>
      </c>
      <c r="M108" s="874">
        <v>40847</v>
      </c>
      <c r="N108"/>
      <c r="O108"/>
      <c r="P108"/>
      <c r="Q108"/>
      <c r="R108" s="875">
        <v>22000</v>
      </c>
      <c r="S108" s="875">
        <v>20000</v>
      </c>
      <c r="T108"/>
      <c r="U108"/>
      <c r="V108"/>
      <c r="W108"/>
      <c r="X108" s="871" t="s">
        <v>2488</v>
      </c>
      <c r="Y108" s="871" t="s">
        <v>2939</v>
      </c>
      <c r="Z108"/>
      <c r="AA108"/>
      <c r="AB108"/>
      <c r="AC108" s="871" t="s">
        <v>3048</v>
      </c>
      <c r="AD108" s="873">
        <v>2011</v>
      </c>
      <c r="AE108" s="873">
        <v>118</v>
      </c>
      <c r="AF108" s="871" t="s">
        <v>3049</v>
      </c>
      <c r="AG108" s="871" t="s">
        <v>3050</v>
      </c>
      <c r="AH108" s="871" t="s">
        <v>3050</v>
      </c>
      <c r="AI108" s="873">
        <v>41</v>
      </c>
      <c r="AJ108" s="873">
        <v>1</v>
      </c>
      <c r="AK108" s="873">
        <v>2</v>
      </c>
      <c r="AL108" s="873">
        <v>3366</v>
      </c>
    </row>
    <row r="109" spans="1:38" ht="409.5">
      <c r="A109" s="871" t="s">
        <v>2409</v>
      </c>
      <c r="B109" s="855">
        <v>30438354</v>
      </c>
      <c r="C109" s="872"/>
      <c r="D109" s="872"/>
      <c r="E109" s="871" t="s">
        <v>1605</v>
      </c>
      <c r="F109" s="871" t="s">
        <v>2495</v>
      </c>
      <c r="G109" s="871" t="s">
        <v>2488</v>
      </c>
      <c r="H109" s="871" t="s">
        <v>1933</v>
      </c>
      <c r="I109" s="873" t="b">
        <v>0</v>
      </c>
      <c r="J109" s="873">
        <v>1</v>
      </c>
      <c r="K109" s="871" t="s">
        <v>2488</v>
      </c>
      <c r="L109" s="874">
        <v>40625</v>
      </c>
      <c r="M109" s="874">
        <v>40847</v>
      </c>
      <c r="N109"/>
      <c r="O109"/>
      <c r="P109"/>
      <c r="Q109" s="875">
        <v>3750000</v>
      </c>
      <c r="R109"/>
      <c r="S109" s="875">
        <v>1000000</v>
      </c>
      <c r="T109"/>
      <c r="U109"/>
      <c r="V109"/>
      <c r="W109"/>
      <c r="X109" s="871" t="s">
        <v>2488</v>
      </c>
      <c r="Y109" s="871" t="s">
        <v>3051</v>
      </c>
      <c r="Z109"/>
      <c r="AA109"/>
      <c r="AB109"/>
      <c r="AC109" s="871" t="s">
        <v>3052</v>
      </c>
      <c r="AD109" s="873">
        <v>2011</v>
      </c>
      <c r="AE109" s="873">
        <v>118</v>
      </c>
      <c r="AF109" s="871" t="s">
        <v>3053</v>
      </c>
      <c r="AG109" s="871" t="s">
        <v>2488</v>
      </c>
      <c r="AH109" s="871" t="s">
        <v>2488</v>
      </c>
      <c r="AI109" s="873">
        <v>18</v>
      </c>
      <c r="AJ109" s="873">
        <v>1</v>
      </c>
      <c r="AK109" s="873">
        <v>2</v>
      </c>
      <c r="AL109" s="873">
        <v>3370</v>
      </c>
    </row>
    <row r="110" spans="1:38" ht="90">
      <c r="A110" s="871" t="s">
        <v>2410</v>
      </c>
      <c r="B110" s="855">
        <v>1361331</v>
      </c>
      <c r="C110" s="872"/>
      <c r="D110" s="872"/>
      <c r="E110" s="871" t="s">
        <v>2243</v>
      </c>
      <c r="F110" s="871" t="s">
        <v>2495</v>
      </c>
      <c r="G110" s="871" t="s">
        <v>976</v>
      </c>
      <c r="H110" s="871" t="s">
        <v>3054</v>
      </c>
      <c r="I110" s="873" t="b">
        <v>1</v>
      </c>
      <c r="J110" s="873">
        <v>1</v>
      </c>
      <c r="K110" s="871" t="s">
        <v>3055</v>
      </c>
      <c r="L110" s="874">
        <v>40626</v>
      </c>
      <c r="M110" s="874">
        <v>40828</v>
      </c>
      <c r="N110" s="873">
        <v>10000</v>
      </c>
      <c r="O110" s="873">
        <v>650</v>
      </c>
      <c r="P110"/>
      <c r="Q110"/>
      <c r="R110"/>
      <c r="S110" s="875">
        <v>360000</v>
      </c>
      <c r="T110"/>
      <c r="U110" s="873">
        <v>300</v>
      </c>
      <c r="V110"/>
      <c r="W110"/>
      <c r="X110" s="871" t="s">
        <v>2488</v>
      </c>
      <c r="Y110" s="871" t="s">
        <v>3056</v>
      </c>
      <c r="Z110"/>
      <c r="AA110"/>
      <c r="AB110" s="876">
        <v>150000</v>
      </c>
      <c r="AC110" s="871" t="s">
        <v>3057</v>
      </c>
      <c r="AD110" s="873">
        <v>2011</v>
      </c>
      <c r="AE110" s="873">
        <v>38</v>
      </c>
      <c r="AF110" s="871" t="s">
        <v>3058</v>
      </c>
      <c r="AG110" s="871" t="s">
        <v>2488</v>
      </c>
      <c r="AH110" s="871" t="s">
        <v>2488</v>
      </c>
      <c r="AI110" s="873">
        <v>20</v>
      </c>
      <c r="AJ110" s="873">
        <v>1</v>
      </c>
      <c r="AK110" s="873">
        <v>1</v>
      </c>
      <c r="AL110" s="873">
        <v>3375</v>
      </c>
    </row>
    <row r="111" spans="1:38" ht="45">
      <c r="A111" s="871" t="s">
        <v>2416</v>
      </c>
      <c r="B111" s="855">
        <v>3930089</v>
      </c>
      <c r="C111" s="872"/>
      <c r="D111" s="872"/>
      <c r="E111" s="871" t="s">
        <v>1992</v>
      </c>
      <c r="F111" s="871" t="s">
        <v>2495</v>
      </c>
      <c r="G111" s="871" t="s">
        <v>2488</v>
      </c>
      <c r="H111" s="871" t="s">
        <v>3059</v>
      </c>
      <c r="I111" s="873" t="b">
        <v>1</v>
      </c>
      <c r="J111" s="873">
        <v>1</v>
      </c>
      <c r="K111" s="871" t="s">
        <v>3060</v>
      </c>
      <c r="L111" s="874">
        <v>40705</v>
      </c>
      <c r="M111" s="874">
        <v>40875</v>
      </c>
      <c r="N111"/>
      <c r="O111"/>
      <c r="P111"/>
      <c r="Q111" s="875">
        <v>70000</v>
      </c>
      <c r="R111"/>
      <c r="S111" s="875">
        <v>173000</v>
      </c>
      <c r="T111"/>
      <c r="U111"/>
      <c r="V111"/>
      <c r="W111"/>
      <c r="X111" s="871" t="s">
        <v>2488</v>
      </c>
      <c r="Y111" s="871" t="s">
        <v>365</v>
      </c>
      <c r="Z111"/>
      <c r="AA111"/>
      <c r="AB111" s="876">
        <v>200000</v>
      </c>
      <c r="AC111" s="871" t="s">
        <v>3061</v>
      </c>
      <c r="AD111" s="873">
        <v>2011</v>
      </c>
      <c r="AE111" s="873">
        <v>208</v>
      </c>
      <c r="AF111" s="871" t="s">
        <v>3062</v>
      </c>
      <c r="AG111" s="871" t="s">
        <v>2488</v>
      </c>
      <c r="AH111" s="871" t="s">
        <v>2488</v>
      </c>
      <c r="AI111" s="873">
        <v>17</v>
      </c>
      <c r="AJ111" s="873">
        <v>1</v>
      </c>
      <c r="AK111" s="873">
        <v>2</v>
      </c>
      <c r="AL111" s="873">
        <v>3497</v>
      </c>
    </row>
    <row r="112" spans="1:38" ht="285">
      <c r="A112" s="871" t="s">
        <v>1412</v>
      </c>
      <c r="B112" s="855">
        <v>1267094</v>
      </c>
      <c r="C112" s="872"/>
      <c r="D112" s="872"/>
      <c r="E112" s="871" t="s">
        <v>1943</v>
      </c>
      <c r="F112" s="871" t="s">
        <v>2495</v>
      </c>
      <c r="G112" s="871" t="s">
        <v>2488</v>
      </c>
      <c r="H112" s="871" t="s">
        <v>745</v>
      </c>
      <c r="I112" s="873" t="b">
        <v>1</v>
      </c>
      <c r="J112" s="873">
        <v>1</v>
      </c>
      <c r="K112" s="871" t="s">
        <v>3063</v>
      </c>
      <c r="L112" s="874">
        <v>40724</v>
      </c>
      <c r="M112" s="874">
        <v>40907</v>
      </c>
      <c r="N112" s="873">
        <v>100</v>
      </c>
      <c r="O112"/>
      <c r="P112"/>
      <c r="Q112" s="875">
        <v>550000</v>
      </c>
      <c r="R112" s="875">
        <v>700</v>
      </c>
      <c r="S112" s="875">
        <v>50000</v>
      </c>
      <c r="T112" s="873">
        <v>4</v>
      </c>
      <c r="U112" s="873">
        <v>50</v>
      </c>
      <c r="V112" s="873">
        <v>1</v>
      </c>
      <c r="W112"/>
      <c r="X112" s="871" t="s">
        <v>2488</v>
      </c>
      <c r="Y112" s="871" t="s">
        <v>3064</v>
      </c>
      <c r="Z112"/>
      <c r="AA112"/>
      <c r="AB112" s="876">
        <v>262770</v>
      </c>
      <c r="AC112" s="871" t="s">
        <v>3022</v>
      </c>
      <c r="AD112" s="873">
        <v>2011</v>
      </c>
      <c r="AE112" s="873">
        <v>18</v>
      </c>
      <c r="AF112" s="871" t="s">
        <v>3065</v>
      </c>
      <c r="AG112" s="871" t="s">
        <v>3066</v>
      </c>
      <c r="AH112" s="871" t="s">
        <v>2488</v>
      </c>
      <c r="AI112" s="873">
        <v>25</v>
      </c>
      <c r="AJ112" s="873">
        <v>3</v>
      </c>
      <c r="AK112" s="873">
        <v>11</v>
      </c>
      <c r="AL112" s="873">
        <v>3540</v>
      </c>
    </row>
  </sheetData>
  <sortState ref="A2:AN59">
    <sortCondition ref="M1"/>
  </sortState>
  <pageMargins left="0.75" right="0.75" top="1" bottom="1" header="0.5" footer="0.5"/>
  <headerFooter alignWithMargins="0"/>
  <legacyDrawing r:id="rId1"/>
</worksheet>
</file>

<file path=xl/worksheets/sheet2.xml><?xml version="1.0" encoding="utf-8"?>
<worksheet xmlns="http://schemas.openxmlformats.org/spreadsheetml/2006/main" xmlns:r="http://schemas.openxmlformats.org/officeDocument/2006/relationships">
  <sheetPr codeName="Sheet1" filterMode="1"/>
  <dimension ref="A1:O147"/>
  <sheetViews>
    <sheetView workbookViewId="0">
      <pane ySplit="1" topLeftCell="A68" activePane="bottomLeft" state="frozen"/>
      <selection pane="bottomLeft" activeCell="A121" sqref="A121"/>
    </sheetView>
  </sheetViews>
  <sheetFormatPr defaultRowHeight="15.75" customHeight="1"/>
  <cols>
    <col min="1" max="4" width="14.42578125" style="764" customWidth="1"/>
    <col min="5" max="5" width="14.42578125" style="819" customWidth="1"/>
    <col min="6" max="6" width="14.42578125" style="821" customWidth="1"/>
    <col min="7" max="7" width="16.5703125" style="810" customWidth="1"/>
    <col min="8" max="8" width="35.5703125" style="810" customWidth="1"/>
    <col min="9" max="9" width="43.7109375" style="810" customWidth="1"/>
    <col min="10" max="10" width="22.140625" style="810" customWidth="1"/>
    <col min="11" max="11" width="39.85546875" style="810" customWidth="1"/>
    <col min="12" max="12" width="10.42578125" style="811" customWidth="1"/>
    <col min="13" max="13" width="9.140625" style="812"/>
    <col min="14" max="14" width="21.42578125" style="813" customWidth="1"/>
    <col min="15" max="15" width="21.28515625" style="813" customWidth="1"/>
    <col min="16" max="261" width="9.140625" style="764"/>
    <col min="262" max="262" width="14.42578125" style="764" customWidth="1"/>
    <col min="263" max="263" width="16.5703125" style="764" customWidth="1"/>
    <col min="264" max="264" width="35.5703125" style="764" customWidth="1"/>
    <col min="265" max="265" width="39.42578125" style="764" customWidth="1"/>
    <col min="266" max="266" width="22.140625" style="764" customWidth="1"/>
    <col min="267" max="267" width="39.85546875" style="764" customWidth="1"/>
    <col min="268" max="268" width="10.42578125" style="764" customWidth="1"/>
    <col min="269" max="269" width="9.140625" style="764"/>
    <col min="270" max="270" width="21.42578125" style="764" customWidth="1"/>
    <col min="271" max="271" width="21.28515625" style="764" customWidth="1"/>
    <col min="272" max="517" width="9.140625" style="764"/>
    <col min="518" max="518" width="14.42578125" style="764" customWidth="1"/>
    <col min="519" max="519" width="16.5703125" style="764" customWidth="1"/>
    <col min="520" max="520" width="35.5703125" style="764" customWidth="1"/>
    <col min="521" max="521" width="39.42578125" style="764" customWidth="1"/>
    <col min="522" max="522" width="22.140625" style="764" customWidth="1"/>
    <col min="523" max="523" width="39.85546875" style="764" customWidth="1"/>
    <col min="524" max="524" width="10.42578125" style="764" customWidth="1"/>
    <col min="525" max="525" width="9.140625" style="764"/>
    <col min="526" max="526" width="21.42578125" style="764" customWidth="1"/>
    <col min="527" max="527" width="21.28515625" style="764" customWidth="1"/>
    <col min="528" max="773" width="9.140625" style="764"/>
    <col min="774" max="774" width="14.42578125" style="764" customWidth="1"/>
    <col min="775" max="775" width="16.5703125" style="764" customWidth="1"/>
    <col min="776" max="776" width="35.5703125" style="764" customWidth="1"/>
    <col min="777" max="777" width="39.42578125" style="764" customWidth="1"/>
    <col min="778" max="778" width="22.140625" style="764" customWidth="1"/>
    <col min="779" max="779" width="39.85546875" style="764" customWidth="1"/>
    <col min="780" max="780" width="10.42578125" style="764" customWidth="1"/>
    <col min="781" max="781" width="9.140625" style="764"/>
    <col min="782" max="782" width="21.42578125" style="764" customWidth="1"/>
    <col min="783" max="783" width="21.28515625" style="764" customWidth="1"/>
    <col min="784" max="1029" width="9.140625" style="764"/>
    <col min="1030" max="1030" width="14.42578125" style="764" customWidth="1"/>
    <col min="1031" max="1031" width="16.5703125" style="764" customWidth="1"/>
    <col min="1032" max="1032" width="35.5703125" style="764" customWidth="1"/>
    <col min="1033" max="1033" width="39.42578125" style="764" customWidth="1"/>
    <col min="1034" max="1034" width="22.140625" style="764" customWidth="1"/>
    <col min="1035" max="1035" width="39.85546875" style="764" customWidth="1"/>
    <col min="1036" max="1036" width="10.42578125" style="764" customWidth="1"/>
    <col min="1037" max="1037" width="9.140625" style="764"/>
    <col min="1038" max="1038" width="21.42578125" style="764" customWidth="1"/>
    <col min="1039" max="1039" width="21.28515625" style="764" customWidth="1"/>
    <col min="1040" max="1285" width="9.140625" style="764"/>
    <col min="1286" max="1286" width="14.42578125" style="764" customWidth="1"/>
    <col min="1287" max="1287" width="16.5703125" style="764" customWidth="1"/>
    <col min="1288" max="1288" width="35.5703125" style="764" customWidth="1"/>
    <col min="1289" max="1289" width="39.42578125" style="764" customWidth="1"/>
    <col min="1290" max="1290" width="22.140625" style="764" customWidth="1"/>
    <col min="1291" max="1291" width="39.85546875" style="764" customWidth="1"/>
    <col min="1292" max="1292" width="10.42578125" style="764" customWidth="1"/>
    <col min="1293" max="1293" width="9.140625" style="764"/>
    <col min="1294" max="1294" width="21.42578125" style="764" customWidth="1"/>
    <col min="1295" max="1295" width="21.28515625" style="764" customWidth="1"/>
    <col min="1296" max="1541" width="9.140625" style="764"/>
    <col min="1542" max="1542" width="14.42578125" style="764" customWidth="1"/>
    <col min="1543" max="1543" width="16.5703125" style="764" customWidth="1"/>
    <col min="1544" max="1544" width="35.5703125" style="764" customWidth="1"/>
    <col min="1545" max="1545" width="39.42578125" style="764" customWidth="1"/>
    <col min="1546" max="1546" width="22.140625" style="764" customWidth="1"/>
    <col min="1547" max="1547" width="39.85546875" style="764" customWidth="1"/>
    <col min="1548" max="1548" width="10.42578125" style="764" customWidth="1"/>
    <col min="1549" max="1549" width="9.140625" style="764"/>
    <col min="1550" max="1550" width="21.42578125" style="764" customWidth="1"/>
    <col min="1551" max="1551" width="21.28515625" style="764" customWidth="1"/>
    <col min="1552" max="1797" width="9.140625" style="764"/>
    <col min="1798" max="1798" width="14.42578125" style="764" customWidth="1"/>
    <col min="1799" max="1799" width="16.5703125" style="764" customWidth="1"/>
    <col min="1800" max="1800" width="35.5703125" style="764" customWidth="1"/>
    <col min="1801" max="1801" width="39.42578125" style="764" customWidth="1"/>
    <col min="1802" max="1802" width="22.140625" style="764" customWidth="1"/>
    <col min="1803" max="1803" width="39.85546875" style="764" customWidth="1"/>
    <col min="1804" max="1804" width="10.42578125" style="764" customWidth="1"/>
    <col min="1805" max="1805" width="9.140625" style="764"/>
    <col min="1806" max="1806" width="21.42578125" style="764" customWidth="1"/>
    <col min="1807" max="1807" width="21.28515625" style="764" customWidth="1"/>
    <col min="1808" max="2053" width="9.140625" style="764"/>
    <col min="2054" max="2054" width="14.42578125" style="764" customWidth="1"/>
    <col min="2055" max="2055" width="16.5703125" style="764" customWidth="1"/>
    <col min="2056" max="2056" width="35.5703125" style="764" customWidth="1"/>
    <col min="2057" max="2057" width="39.42578125" style="764" customWidth="1"/>
    <col min="2058" max="2058" width="22.140625" style="764" customWidth="1"/>
    <col min="2059" max="2059" width="39.85546875" style="764" customWidth="1"/>
    <col min="2060" max="2060" width="10.42578125" style="764" customWidth="1"/>
    <col min="2061" max="2061" width="9.140625" style="764"/>
    <col min="2062" max="2062" width="21.42578125" style="764" customWidth="1"/>
    <col min="2063" max="2063" width="21.28515625" style="764" customWidth="1"/>
    <col min="2064" max="2309" width="9.140625" style="764"/>
    <col min="2310" max="2310" width="14.42578125" style="764" customWidth="1"/>
    <col min="2311" max="2311" width="16.5703125" style="764" customWidth="1"/>
    <col min="2312" max="2312" width="35.5703125" style="764" customWidth="1"/>
    <col min="2313" max="2313" width="39.42578125" style="764" customWidth="1"/>
    <col min="2314" max="2314" width="22.140625" style="764" customWidth="1"/>
    <col min="2315" max="2315" width="39.85546875" style="764" customWidth="1"/>
    <col min="2316" max="2316" width="10.42578125" style="764" customWidth="1"/>
    <col min="2317" max="2317" width="9.140625" style="764"/>
    <col min="2318" max="2318" width="21.42578125" style="764" customWidth="1"/>
    <col min="2319" max="2319" width="21.28515625" style="764" customWidth="1"/>
    <col min="2320" max="2565" width="9.140625" style="764"/>
    <col min="2566" max="2566" width="14.42578125" style="764" customWidth="1"/>
    <col min="2567" max="2567" width="16.5703125" style="764" customWidth="1"/>
    <col min="2568" max="2568" width="35.5703125" style="764" customWidth="1"/>
    <col min="2569" max="2569" width="39.42578125" style="764" customWidth="1"/>
    <col min="2570" max="2570" width="22.140625" style="764" customWidth="1"/>
    <col min="2571" max="2571" width="39.85546875" style="764" customWidth="1"/>
    <col min="2572" max="2572" width="10.42578125" style="764" customWidth="1"/>
    <col min="2573" max="2573" width="9.140625" style="764"/>
    <col min="2574" max="2574" width="21.42578125" style="764" customWidth="1"/>
    <col min="2575" max="2575" width="21.28515625" style="764" customWidth="1"/>
    <col min="2576" max="2821" width="9.140625" style="764"/>
    <col min="2822" max="2822" width="14.42578125" style="764" customWidth="1"/>
    <col min="2823" max="2823" width="16.5703125" style="764" customWidth="1"/>
    <col min="2824" max="2824" width="35.5703125" style="764" customWidth="1"/>
    <col min="2825" max="2825" width="39.42578125" style="764" customWidth="1"/>
    <col min="2826" max="2826" width="22.140625" style="764" customWidth="1"/>
    <col min="2827" max="2827" width="39.85546875" style="764" customWidth="1"/>
    <col min="2828" max="2828" width="10.42578125" style="764" customWidth="1"/>
    <col min="2829" max="2829" width="9.140625" style="764"/>
    <col min="2830" max="2830" width="21.42578125" style="764" customWidth="1"/>
    <col min="2831" max="2831" width="21.28515625" style="764" customWidth="1"/>
    <col min="2832" max="3077" width="9.140625" style="764"/>
    <col min="3078" max="3078" width="14.42578125" style="764" customWidth="1"/>
    <col min="3079" max="3079" width="16.5703125" style="764" customWidth="1"/>
    <col min="3080" max="3080" width="35.5703125" style="764" customWidth="1"/>
    <col min="3081" max="3081" width="39.42578125" style="764" customWidth="1"/>
    <col min="3082" max="3082" width="22.140625" style="764" customWidth="1"/>
    <col min="3083" max="3083" width="39.85546875" style="764" customWidth="1"/>
    <col min="3084" max="3084" width="10.42578125" style="764" customWidth="1"/>
    <col min="3085" max="3085" width="9.140625" style="764"/>
    <col min="3086" max="3086" width="21.42578125" style="764" customWidth="1"/>
    <col min="3087" max="3087" width="21.28515625" style="764" customWidth="1"/>
    <col min="3088" max="3333" width="9.140625" style="764"/>
    <col min="3334" max="3334" width="14.42578125" style="764" customWidth="1"/>
    <col min="3335" max="3335" width="16.5703125" style="764" customWidth="1"/>
    <col min="3336" max="3336" width="35.5703125" style="764" customWidth="1"/>
    <col min="3337" max="3337" width="39.42578125" style="764" customWidth="1"/>
    <col min="3338" max="3338" width="22.140625" style="764" customWidth="1"/>
    <col min="3339" max="3339" width="39.85546875" style="764" customWidth="1"/>
    <col min="3340" max="3340" width="10.42578125" style="764" customWidth="1"/>
    <col min="3341" max="3341" width="9.140625" style="764"/>
    <col min="3342" max="3342" width="21.42578125" style="764" customWidth="1"/>
    <col min="3343" max="3343" width="21.28515625" style="764" customWidth="1"/>
    <col min="3344" max="3589" width="9.140625" style="764"/>
    <col min="3590" max="3590" width="14.42578125" style="764" customWidth="1"/>
    <col min="3591" max="3591" width="16.5703125" style="764" customWidth="1"/>
    <col min="3592" max="3592" width="35.5703125" style="764" customWidth="1"/>
    <col min="3593" max="3593" width="39.42578125" style="764" customWidth="1"/>
    <col min="3594" max="3594" width="22.140625" style="764" customWidth="1"/>
    <col min="3595" max="3595" width="39.85546875" style="764" customWidth="1"/>
    <col min="3596" max="3596" width="10.42578125" style="764" customWidth="1"/>
    <col min="3597" max="3597" width="9.140625" style="764"/>
    <col min="3598" max="3598" width="21.42578125" style="764" customWidth="1"/>
    <col min="3599" max="3599" width="21.28515625" style="764" customWidth="1"/>
    <col min="3600" max="3845" width="9.140625" style="764"/>
    <col min="3846" max="3846" width="14.42578125" style="764" customWidth="1"/>
    <col min="3847" max="3847" width="16.5703125" style="764" customWidth="1"/>
    <col min="3848" max="3848" width="35.5703125" style="764" customWidth="1"/>
    <col min="3849" max="3849" width="39.42578125" style="764" customWidth="1"/>
    <col min="3850" max="3850" width="22.140625" style="764" customWidth="1"/>
    <col min="3851" max="3851" width="39.85546875" style="764" customWidth="1"/>
    <col min="3852" max="3852" width="10.42578125" style="764" customWidth="1"/>
    <col min="3853" max="3853" width="9.140625" style="764"/>
    <col min="3854" max="3854" width="21.42578125" style="764" customWidth="1"/>
    <col min="3855" max="3855" width="21.28515625" style="764" customWidth="1"/>
    <col min="3856" max="4101" width="9.140625" style="764"/>
    <col min="4102" max="4102" width="14.42578125" style="764" customWidth="1"/>
    <col min="4103" max="4103" width="16.5703125" style="764" customWidth="1"/>
    <col min="4104" max="4104" width="35.5703125" style="764" customWidth="1"/>
    <col min="4105" max="4105" width="39.42578125" style="764" customWidth="1"/>
    <col min="4106" max="4106" width="22.140625" style="764" customWidth="1"/>
    <col min="4107" max="4107" width="39.85546875" style="764" customWidth="1"/>
    <col min="4108" max="4108" width="10.42578125" style="764" customWidth="1"/>
    <col min="4109" max="4109" width="9.140625" style="764"/>
    <col min="4110" max="4110" width="21.42578125" style="764" customWidth="1"/>
    <col min="4111" max="4111" width="21.28515625" style="764" customWidth="1"/>
    <col min="4112" max="4357" width="9.140625" style="764"/>
    <col min="4358" max="4358" width="14.42578125" style="764" customWidth="1"/>
    <col min="4359" max="4359" width="16.5703125" style="764" customWidth="1"/>
    <col min="4360" max="4360" width="35.5703125" style="764" customWidth="1"/>
    <col min="4361" max="4361" width="39.42578125" style="764" customWidth="1"/>
    <col min="4362" max="4362" width="22.140625" style="764" customWidth="1"/>
    <col min="4363" max="4363" width="39.85546875" style="764" customWidth="1"/>
    <col min="4364" max="4364" width="10.42578125" style="764" customWidth="1"/>
    <col min="4365" max="4365" width="9.140625" style="764"/>
    <col min="4366" max="4366" width="21.42578125" style="764" customWidth="1"/>
    <col min="4367" max="4367" width="21.28515625" style="764" customWidth="1"/>
    <col min="4368" max="4613" width="9.140625" style="764"/>
    <col min="4614" max="4614" width="14.42578125" style="764" customWidth="1"/>
    <col min="4615" max="4615" width="16.5703125" style="764" customWidth="1"/>
    <col min="4616" max="4616" width="35.5703125" style="764" customWidth="1"/>
    <col min="4617" max="4617" width="39.42578125" style="764" customWidth="1"/>
    <col min="4618" max="4618" width="22.140625" style="764" customWidth="1"/>
    <col min="4619" max="4619" width="39.85546875" style="764" customWidth="1"/>
    <col min="4620" max="4620" width="10.42578125" style="764" customWidth="1"/>
    <col min="4621" max="4621" width="9.140625" style="764"/>
    <col min="4622" max="4622" width="21.42578125" style="764" customWidth="1"/>
    <col min="4623" max="4623" width="21.28515625" style="764" customWidth="1"/>
    <col min="4624" max="4869" width="9.140625" style="764"/>
    <col min="4870" max="4870" width="14.42578125" style="764" customWidth="1"/>
    <col min="4871" max="4871" width="16.5703125" style="764" customWidth="1"/>
    <col min="4872" max="4872" width="35.5703125" style="764" customWidth="1"/>
    <col min="4873" max="4873" width="39.42578125" style="764" customWidth="1"/>
    <col min="4874" max="4874" width="22.140625" style="764" customWidth="1"/>
    <col min="4875" max="4875" width="39.85546875" style="764" customWidth="1"/>
    <col min="4876" max="4876" width="10.42578125" style="764" customWidth="1"/>
    <col min="4877" max="4877" width="9.140625" style="764"/>
    <col min="4878" max="4878" width="21.42578125" style="764" customWidth="1"/>
    <col min="4879" max="4879" width="21.28515625" style="764" customWidth="1"/>
    <col min="4880" max="5125" width="9.140625" style="764"/>
    <col min="5126" max="5126" width="14.42578125" style="764" customWidth="1"/>
    <col min="5127" max="5127" width="16.5703125" style="764" customWidth="1"/>
    <col min="5128" max="5128" width="35.5703125" style="764" customWidth="1"/>
    <col min="5129" max="5129" width="39.42578125" style="764" customWidth="1"/>
    <col min="5130" max="5130" width="22.140625" style="764" customWidth="1"/>
    <col min="5131" max="5131" width="39.85546875" style="764" customWidth="1"/>
    <col min="5132" max="5132" width="10.42578125" style="764" customWidth="1"/>
    <col min="5133" max="5133" width="9.140625" style="764"/>
    <col min="5134" max="5134" width="21.42578125" style="764" customWidth="1"/>
    <col min="5135" max="5135" width="21.28515625" style="764" customWidth="1"/>
    <col min="5136" max="5381" width="9.140625" style="764"/>
    <col min="5382" max="5382" width="14.42578125" style="764" customWidth="1"/>
    <col min="5383" max="5383" width="16.5703125" style="764" customWidth="1"/>
    <col min="5384" max="5384" width="35.5703125" style="764" customWidth="1"/>
    <col min="5385" max="5385" width="39.42578125" style="764" customWidth="1"/>
    <col min="5386" max="5386" width="22.140625" style="764" customWidth="1"/>
    <col min="5387" max="5387" width="39.85546875" style="764" customWidth="1"/>
    <col min="5388" max="5388" width="10.42578125" style="764" customWidth="1"/>
    <col min="5389" max="5389" width="9.140625" style="764"/>
    <col min="5390" max="5390" width="21.42578125" style="764" customWidth="1"/>
    <col min="5391" max="5391" width="21.28515625" style="764" customWidth="1"/>
    <col min="5392" max="5637" width="9.140625" style="764"/>
    <col min="5638" max="5638" width="14.42578125" style="764" customWidth="1"/>
    <col min="5639" max="5639" width="16.5703125" style="764" customWidth="1"/>
    <col min="5640" max="5640" width="35.5703125" style="764" customWidth="1"/>
    <col min="5641" max="5641" width="39.42578125" style="764" customWidth="1"/>
    <col min="5642" max="5642" width="22.140625" style="764" customWidth="1"/>
    <col min="5643" max="5643" width="39.85546875" style="764" customWidth="1"/>
    <col min="5644" max="5644" width="10.42578125" style="764" customWidth="1"/>
    <col min="5645" max="5645" width="9.140625" style="764"/>
    <col min="5646" max="5646" width="21.42578125" style="764" customWidth="1"/>
    <col min="5647" max="5647" width="21.28515625" style="764" customWidth="1"/>
    <col min="5648" max="5893" width="9.140625" style="764"/>
    <col min="5894" max="5894" width="14.42578125" style="764" customWidth="1"/>
    <col min="5895" max="5895" width="16.5703125" style="764" customWidth="1"/>
    <col min="5896" max="5896" width="35.5703125" style="764" customWidth="1"/>
    <col min="5897" max="5897" width="39.42578125" style="764" customWidth="1"/>
    <col min="5898" max="5898" width="22.140625" style="764" customWidth="1"/>
    <col min="5899" max="5899" width="39.85546875" style="764" customWidth="1"/>
    <col min="5900" max="5900" width="10.42578125" style="764" customWidth="1"/>
    <col min="5901" max="5901" width="9.140625" style="764"/>
    <col min="5902" max="5902" width="21.42578125" style="764" customWidth="1"/>
    <col min="5903" max="5903" width="21.28515625" style="764" customWidth="1"/>
    <col min="5904" max="6149" width="9.140625" style="764"/>
    <col min="6150" max="6150" width="14.42578125" style="764" customWidth="1"/>
    <col min="6151" max="6151" width="16.5703125" style="764" customWidth="1"/>
    <col min="6152" max="6152" width="35.5703125" style="764" customWidth="1"/>
    <col min="6153" max="6153" width="39.42578125" style="764" customWidth="1"/>
    <col min="6154" max="6154" width="22.140625" style="764" customWidth="1"/>
    <col min="6155" max="6155" width="39.85546875" style="764" customWidth="1"/>
    <col min="6156" max="6156" width="10.42578125" style="764" customWidth="1"/>
    <col min="6157" max="6157" width="9.140625" style="764"/>
    <col min="6158" max="6158" width="21.42578125" style="764" customWidth="1"/>
    <col min="6159" max="6159" width="21.28515625" style="764" customWidth="1"/>
    <col min="6160" max="6405" width="9.140625" style="764"/>
    <col min="6406" max="6406" width="14.42578125" style="764" customWidth="1"/>
    <col min="6407" max="6407" width="16.5703125" style="764" customWidth="1"/>
    <col min="6408" max="6408" width="35.5703125" style="764" customWidth="1"/>
    <col min="6409" max="6409" width="39.42578125" style="764" customWidth="1"/>
    <col min="6410" max="6410" width="22.140625" style="764" customWidth="1"/>
    <col min="6411" max="6411" width="39.85546875" style="764" customWidth="1"/>
    <col min="6412" max="6412" width="10.42578125" style="764" customWidth="1"/>
    <col min="6413" max="6413" width="9.140625" style="764"/>
    <col min="6414" max="6414" width="21.42578125" style="764" customWidth="1"/>
    <col min="6415" max="6415" width="21.28515625" style="764" customWidth="1"/>
    <col min="6416" max="6661" width="9.140625" style="764"/>
    <col min="6662" max="6662" width="14.42578125" style="764" customWidth="1"/>
    <col min="6663" max="6663" width="16.5703125" style="764" customWidth="1"/>
    <col min="6664" max="6664" width="35.5703125" style="764" customWidth="1"/>
    <col min="6665" max="6665" width="39.42578125" style="764" customWidth="1"/>
    <col min="6666" max="6666" width="22.140625" style="764" customWidth="1"/>
    <col min="6667" max="6667" width="39.85546875" style="764" customWidth="1"/>
    <col min="6668" max="6668" width="10.42578125" style="764" customWidth="1"/>
    <col min="6669" max="6669" width="9.140625" style="764"/>
    <col min="6670" max="6670" width="21.42578125" style="764" customWidth="1"/>
    <col min="6671" max="6671" width="21.28515625" style="764" customWidth="1"/>
    <col min="6672" max="6917" width="9.140625" style="764"/>
    <col min="6918" max="6918" width="14.42578125" style="764" customWidth="1"/>
    <col min="6919" max="6919" width="16.5703125" style="764" customWidth="1"/>
    <col min="6920" max="6920" width="35.5703125" style="764" customWidth="1"/>
    <col min="6921" max="6921" width="39.42578125" style="764" customWidth="1"/>
    <col min="6922" max="6922" width="22.140625" style="764" customWidth="1"/>
    <col min="6923" max="6923" width="39.85546875" style="764" customWidth="1"/>
    <col min="6924" max="6924" width="10.42578125" style="764" customWidth="1"/>
    <col min="6925" max="6925" width="9.140625" style="764"/>
    <col min="6926" max="6926" width="21.42578125" style="764" customWidth="1"/>
    <col min="6927" max="6927" width="21.28515625" style="764" customWidth="1"/>
    <col min="6928" max="7173" width="9.140625" style="764"/>
    <col min="7174" max="7174" width="14.42578125" style="764" customWidth="1"/>
    <col min="7175" max="7175" width="16.5703125" style="764" customWidth="1"/>
    <col min="7176" max="7176" width="35.5703125" style="764" customWidth="1"/>
    <col min="7177" max="7177" width="39.42578125" style="764" customWidth="1"/>
    <col min="7178" max="7178" width="22.140625" style="764" customWidth="1"/>
    <col min="7179" max="7179" width="39.85546875" style="764" customWidth="1"/>
    <col min="7180" max="7180" width="10.42578125" style="764" customWidth="1"/>
    <col min="7181" max="7181" width="9.140625" style="764"/>
    <col min="7182" max="7182" width="21.42578125" style="764" customWidth="1"/>
    <col min="7183" max="7183" width="21.28515625" style="764" customWidth="1"/>
    <col min="7184" max="7429" width="9.140625" style="764"/>
    <col min="7430" max="7430" width="14.42578125" style="764" customWidth="1"/>
    <col min="7431" max="7431" width="16.5703125" style="764" customWidth="1"/>
    <col min="7432" max="7432" width="35.5703125" style="764" customWidth="1"/>
    <col min="7433" max="7433" width="39.42578125" style="764" customWidth="1"/>
    <col min="7434" max="7434" width="22.140625" style="764" customWidth="1"/>
    <col min="7435" max="7435" width="39.85546875" style="764" customWidth="1"/>
    <col min="7436" max="7436" width="10.42578125" style="764" customWidth="1"/>
    <col min="7437" max="7437" width="9.140625" style="764"/>
    <col min="7438" max="7438" width="21.42578125" style="764" customWidth="1"/>
    <col min="7439" max="7439" width="21.28515625" style="764" customWidth="1"/>
    <col min="7440" max="7685" width="9.140625" style="764"/>
    <col min="7686" max="7686" width="14.42578125" style="764" customWidth="1"/>
    <col min="7687" max="7687" width="16.5703125" style="764" customWidth="1"/>
    <col min="7688" max="7688" width="35.5703125" style="764" customWidth="1"/>
    <col min="7689" max="7689" width="39.42578125" style="764" customWidth="1"/>
    <col min="7690" max="7690" width="22.140625" style="764" customWidth="1"/>
    <col min="7691" max="7691" width="39.85546875" style="764" customWidth="1"/>
    <col min="7692" max="7692" width="10.42578125" style="764" customWidth="1"/>
    <col min="7693" max="7693" width="9.140625" style="764"/>
    <col min="7694" max="7694" width="21.42578125" style="764" customWidth="1"/>
    <col min="7695" max="7695" width="21.28515625" style="764" customWidth="1"/>
    <col min="7696" max="7941" width="9.140625" style="764"/>
    <col min="7942" max="7942" width="14.42578125" style="764" customWidth="1"/>
    <col min="7943" max="7943" width="16.5703125" style="764" customWidth="1"/>
    <col min="7944" max="7944" width="35.5703125" style="764" customWidth="1"/>
    <col min="7945" max="7945" width="39.42578125" style="764" customWidth="1"/>
    <col min="7946" max="7946" width="22.140625" style="764" customWidth="1"/>
    <col min="7947" max="7947" width="39.85546875" style="764" customWidth="1"/>
    <col min="7948" max="7948" width="10.42578125" style="764" customWidth="1"/>
    <col min="7949" max="7949" width="9.140625" style="764"/>
    <col min="7950" max="7950" width="21.42578125" style="764" customWidth="1"/>
    <col min="7951" max="7951" width="21.28515625" style="764" customWidth="1"/>
    <col min="7952" max="8197" width="9.140625" style="764"/>
    <col min="8198" max="8198" width="14.42578125" style="764" customWidth="1"/>
    <col min="8199" max="8199" width="16.5703125" style="764" customWidth="1"/>
    <col min="8200" max="8200" width="35.5703125" style="764" customWidth="1"/>
    <col min="8201" max="8201" width="39.42578125" style="764" customWidth="1"/>
    <col min="8202" max="8202" width="22.140625" style="764" customWidth="1"/>
    <col min="8203" max="8203" width="39.85546875" style="764" customWidth="1"/>
    <col min="8204" max="8204" width="10.42578125" style="764" customWidth="1"/>
    <col min="8205" max="8205" width="9.140625" style="764"/>
    <col min="8206" max="8206" width="21.42578125" style="764" customWidth="1"/>
    <col min="8207" max="8207" width="21.28515625" style="764" customWidth="1"/>
    <col min="8208" max="8453" width="9.140625" style="764"/>
    <col min="8454" max="8454" width="14.42578125" style="764" customWidth="1"/>
    <col min="8455" max="8455" width="16.5703125" style="764" customWidth="1"/>
    <col min="8456" max="8456" width="35.5703125" style="764" customWidth="1"/>
    <col min="8457" max="8457" width="39.42578125" style="764" customWidth="1"/>
    <col min="8458" max="8458" width="22.140625" style="764" customWidth="1"/>
    <col min="8459" max="8459" width="39.85546875" style="764" customWidth="1"/>
    <col min="8460" max="8460" width="10.42578125" style="764" customWidth="1"/>
    <col min="8461" max="8461" width="9.140625" style="764"/>
    <col min="8462" max="8462" width="21.42578125" style="764" customWidth="1"/>
    <col min="8463" max="8463" width="21.28515625" style="764" customWidth="1"/>
    <col min="8464" max="8709" width="9.140625" style="764"/>
    <col min="8710" max="8710" width="14.42578125" style="764" customWidth="1"/>
    <col min="8711" max="8711" width="16.5703125" style="764" customWidth="1"/>
    <col min="8712" max="8712" width="35.5703125" style="764" customWidth="1"/>
    <col min="8713" max="8713" width="39.42578125" style="764" customWidth="1"/>
    <col min="8714" max="8714" width="22.140625" style="764" customWidth="1"/>
    <col min="8715" max="8715" width="39.85546875" style="764" customWidth="1"/>
    <col min="8716" max="8716" width="10.42578125" style="764" customWidth="1"/>
    <col min="8717" max="8717" width="9.140625" style="764"/>
    <col min="8718" max="8718" width="21.42578125" style="764" customWidth="1"/>
    <col min="8719" max="8719" width="21.28515625" style="764" customWidth="1"/>
    <col min="8720" max="8965" width="9.140625" style="764"/>
    <col min="8966" max="8966" width="14.42578125" style="764" customWidth="1"/>
    <col min="8967" max="8967" width="16.5703125" style="764" customWidth="1"/>
    <col min="8968" max="8968" width="35.5703125" style="764" customWidth="1"/>
    <col min="8969" max="8969" width="39.42578125" style="764" customWidth="1"/>
    <col min="8970" max="8970" width="22.140625" style="764" customWidth="1"/>
    <col min="8971" max="8971" width="39.85546875" style="764" customWidth="1"/>
    <col min="8972" max="8972" width="10.42578125" style="764" customWidth="1"/>
    <col min="8973" max="8973" width="9.140625" style="764"/>
    <col min="8974" max="8974" width="21.42578125" style="764" customWidth="1"/>
    <col min="8975" max="8975" width="21.28515625" style="764" customWidth="1"/>
    <col min="8976" max="9221" width="9.140625" style="764"/>
    <col min="9222" max="9222" width="14.42578125" style="764" customWidth="1"/>
    <col min="9223" max="9223" width="16.5703125" style="764" customWidth="1"/>
    <col min="9224" max="9224" width="35.5703125" style="764" customWidth="1"/>
    <col min="9225" max="9225" width="39.42578125" style="764" customWidth="1"/>
    <col min="9226" max="9226" width="22.140625" style="764" customWidth="1"/>
    <col min="9227" max="9227" width="39.85546875" style="764" customWidth="1"/>
    <col min="9228" max="9228" width="10.42578125" style="764" customWidth="1"/>
    <col min="9229" max="9229" width="9.140625" style="764"/>
    <col min="9230" max="9230" width="21.42578125" style="764" customWidth="1"/>
    <col min="9231" max="9231" width="21.28515625" style="764" customWidth="1"/>
    <col min="9232" max="9477" width="9.140625" style="764"/>
    <col min="9478" max="9478" width="14.42578125" style="764" customWidth="1"/>
    <col min="9479" max="9479" width="16.5703125" style="764" customWidth="1"/>
    <col min="9480" max="9480" width="35.5703125" style="764" customWidth="1"/>
    <col min="9481" max="9481" width="39.42578125" style="764" customWidth="1"/>
    <col min="9482" max="9482" width="22.140625" style="764" customWidth="1"/>
    <col min="9483" max="9483" width="39.85546875" style="764" customWidth="1"/>
    <col min="9484" max="9484" width="10.42578125" style="764" customWidth="1"/>
    <col min="9485" max="9485" width="9.140625" style="764"/>
    <col min="9486" max="9486" width="21.42578125" style="764" customWidth="1"/>
    <col min="9487" max="9487" width="21.28515625" style="764" customWidth="1"/>
    <col min="9488" max="9733" width="9.140625" style="764"/>
    <col min="9734" max="9734" width="14.42578125" style="764" customWidth="1"/>
    <col min="9735" max="9735" width="16.5703125" style="764" customWidth="1"/>
    <col min="9736" max="9736" width="35.5703125" style="764" customWidth="1"/>
    <col min="9737" max="9737" width="39.42578125" style="764" customWidth="1"/>
    <col min="9738" max="9738" width="22.140625" style="764" customWidth="1"/>
    <col min="9739" max="9739" width="39.85546875" style="764" customWidth="1"/>
    <col min="9740" max="9740" width="10.42578125" style="764" customWidth="1"/>
    <col min="9741" max="9741" width="9.140625" style="764"/>
    <col min="9742" max="9742" width="21.42578125" style="764" customWidth="1"/>
    <col min="9743" max="9743" width="21.28515625" style="764" customWidth="1"/>
    <col min="9744" max="9989" width="9.140625" style="764"/>
    <col min="9990" max="9990" width="14.42578125" style="764" customWidth="1"/>
    <col min="9991" max="9991" width="16.5703125" style="764" customWidth="1"/>
    <col min="9992" max="9992" width="35.5703125" style="764" customWidth="1"/>
    <col min="9993" max="9993" width="39.42578125" style="764" customWidth="1"/>
    <col min="9994" max="9994" width="22.140625" style="764" customWidth="1"/>
    <col min="9995" max="9995" width="39.85546875" style="764" customWidth="1"/>
    <col min="9996" max="9996" width="10.42578125" style="764" customWidth="1"/>
    <col min="9997" max="9997" width="9.140625" style="764"/>
    <col min="9998" max="9998" width="21.42578125" style="764" customWidth="1"/>
    <col min="9999" max="9999" width="21.28515625" style="764" customWidth="1"/>
    <col min="10000" max="10245" width="9.140625" style="764"/>
    <col min="10246" max="10246" width="14.42578125" style="764" customWidth="1"/>
    <col min="10247" max="10247" width="16.5703125" style="764" customWidth="1"/>
    <col min="10248" max="10248" width="35.5703125" style="764" customWidth="1"/>
    <col min="10249" max="10249" width="39.42578125" style="764" customWidth="1"/>
    <col min="10250" max="10250" width="22.140625" style="764" customWidth="1"/>
    <col min="10251" max="10251" width="39.85546875" style="764" customWidth="1"/>
    <col min="10252" max="10252" width="10.42578125" style="764" customWidth="1"/>
    <col min="10253" max="10253" width="9.140625" style="764"/>
    <col min="10254" max="10254" width="21.42578125" style="764" customWidth="1"/>
    <col min="10255" max="10255" width="21.28515625" style="764" customWidth="1"/>
    <col min="10256" max="10501" width="9.140625" style="764"/>
    <col min="10502" max="10502" width="14.42578125" style="764" customWidth="1"/>
    <col min="10503" max="10503" width="16.5703125" style="764" customWidth="1"/>
    <col min="10504" max="10504" width="35.5703125" style="764" customWidth="1"/>
    <col min="10505" max="10505" width="39.42578125" style="764" customWidth="1"/>
    <col min="10506" max="10506" width="22.140625" style="764" customWidth="1"/>
    <col min="10507" max="10507" width="39.85546875" style="764" customWidth="1"/>
    <col min="10508" max="10508" width="10.42578125" style="764" customWidth="1"/>
    <col min="10509" max="10509" width="9.140625" style="764"/>
    <col min="10510" max="10510" width="21.42578125" style="764" customWidth="1"/>
    <col min="10511" max="10511" width="21.28515625" style="764" customWidth="1"/>
    <col min="10512" max="10757" width="9.140625" style="764"/>
    <col min="10758" max="10758" width="14.42578125" style="764" customWidth="1"/>
    <col min="10759" max="10759" width="16.5703125" style="764" customWidth="1"/>
    <col min="10760" max="10760" width="35.5703125" style="764" customWidth="1"/>
    <col min="10761" max="10761" width="39.42578125" style="764" customWidth="1"/>
    <col min="10762" max="10762" width="22.140625" style="764" customWidth="1"/>
    <col min="10763" max="10763" width="39.85546875" style="764" customWidth="1"/>
    <col min="10764" max="10764" width="10.42578125" style="764" customWidth="1"/>
    <col min="10765" max="10765" width="9.140625" style="764"/>
    <col min="10766" max="10766" width="21.42578125" style="764" customWidth="1"/>
    <col min="10767" max="10767" width="21.28515625" style="764" customWidth="1"/>
    <col min="10768" max="11013" width="9.140625" style="764"/>
    <col min="11014" max="11014" width="14.42578125" style="764" customWidth="1"/>
    <col min="11015" max="11015" width="16.5703125" style="764" customWidth="1"/>
    <col min="11016" max="11016" width="35.5703125" style="764" customWidth="1"/>
    <col min="11017" max="11017" width="39.42578125" style="764" customWidth="1"/>
    <col min="11018" max="11018" width="22.140625" style="764" customWidth="1"/>
    <col min="11019" max="11019" width="39.85546875" style="764" customWidth="1"/>
    <col min="11020" max="11020" width="10.42578125" style="764" customWidth="1"/>
    <col min="11021" max="11021" width="9.140625" style="764"/>
    <col min="11022" max="11022" width="21.42578125" style="764" customWidth="1"/>
    <col min="11023" max="11023" width="21.28515625" style="764" customWidth="1"/>
    <col min="11024" max="11269" width="9.140625" style="764"/>
    <col min="11270" max="11270" width="14.42578125" style="764" customWidth="1"/>
    <col min="11271" max="11271" width="16.5703125" style="764" customWidth="1"/>
    <col min="11272" max="11272" width="35.5703125" style="764" customWidth="1"/>
    <col min="11273" max="11273" width="39.42578125" style="764" customWidth="1"/>
    <col min="11274" max="11274" width="22.140625" style="764" customWidth="1"/>
    <col min="11275" max="11275" width="39.85546875" style="764" customWidth="1"/>
    <col min="11276" max="11276" width="10.42578125" style="764" customWidth="1"/>
    <col min="11277" max="11277" width="9.140625" style="764"/>
    <col min="11278" max="11278" width="21.42578125" style="764" customWidth="1"/>
    <col min="11279" max="11279" width="21.28515625" style="764" customWidth="1"/>
    <col min="11280" max="11525" width="9.140625" style="764"/>
    <col min="11526" max="11526" width="14.42578125" style="764" customWidth="1"/>
    <col min="11527" max="11527" width="16.5703125" style="764" customWidth="1"/>
    <col min="11528" max="11528" width="35.5703125" style="764" customWidth="1"/>
    <col min="11529" max="11529" width="39.42578125" style="764" customWidth="1"/>
    <col min="11530" max="11530" width="22.140625" style="764" customWidth="1"/>
    <col min="11531" max="11531" width="39.85546875" style="764" customWidth="1"/>
    <col min="11532" max="11532" width="10.42578125" style="764" customWidth="1"/>
    <col min="11533" max="11533" width="9.140625" style="764"/>
    <col min="11534" max="11534" width="21.42578125" style="764" customWidth="1"/>
    <col min="11535" max="11535" width="21.28515625" style="764" customWidth="1"/>
    <col min="11536" max="11781" width="9.140625" style="764"/>
    <col min="11782" max="11782" width="14.42578125" style="764" customWidth="1"/>
    <col min="11783" max="11783" width="16.5703125" style="764" customWidth="1"/>
    <col min="11784" max="11784" width="35.5703125" style="764" customWidth="1"/>
    <col min="11785" max="11785" width="39.42578125" style="764" customWidth="1"/>
    <col min="11786" max="11786" width="22.140625" style="764" customWidth="1"/>
    <col min="11787" max="11787" width="39.85546875" style="764" customWidth="1"/>
    <col min="11788" max="11788" width="10.42578125" style="764" customWidth="1"/>
    <col min="11789" max="11789" width="9.140625" style="764"/>
    <col min="11790" max="11790" width="21.42578125" style="764" customWidth="1"/>
    <col min="11791" max="11791" width="21.28515625" style="764" customWidth="1"/>
    <col min="11792" max="12037" width="9.140625" style="764"/>
    <col min="12038" max="12038" width="14.42578125" style="764" customWidth="1"/>
    <col min="12039" max="12039" width="16.5703125" style="764" customWidth="1"/>
    <col min="12040" max="12040" width="35.5703125" style="764" customWidth="1"/>
    <col min="12041" max="12041" width="39.42578125" style="764" customWidth="1"/>
    <col min="12042" max="12042" width="22.140625" style="764" customWidth="1"/>
    <col min="12043" max="12043" width="39.85546875" style="764" customWidth="1"/>
    <col min="12044" max="12044" width="10.42578125" style="764" customWidth="1"/>
    <col min="12045" max="12045" width="9.140625" style="764"/>
    <col min="12046" max="12046" width="21.42578125" style="764" customWidth="1"/>
    <col min="12047" max="12047" width="21.28515625" style="764" customWidth="1"/>
    <col min="12048" max="12293" width="9.140625" style="764"/>
    <col min="12294" max="12294" width="14.42578125" style="764" customWidth="1"/>
    <col min="12295" max="12295" width="16.5703125" style="764" customWidth="1"/>
    <col min="12296" max="12296" width="35.5703125" style="764" customWidth="1"/>
    <col min="12297" max="12297" width="39.42578125" style="764" customWidth="1"/>
    <col min="12298" max="12298" width="22.140625" style="764" customWidth="1"/>
    <col min="12299" max="12299" width="39.85546875" style="764" customWidth="1"/>
    <col min="12300" max="12300" width="10.42578125" style="764" customWidth="1"/>
    <col min="12301" max="12301" width="9.140625" style="764"/>
    <col min="12302" max="12302" width="21.42578125" style="764" customWidth="1"/>
    <col min="12303" max="12303" width="21.28515625" style="764" customWidth="1"/>
    <col min="12304" max="12549" width="9.140625" style="764"/>
    <col min="12550" max="12550" width="14.42578125" style="764" customWidth="1"/>
    <col min="12551" max="12551" width="16.5703125" style="764" customWidth="1"/>
    <col min="12552" max="12552" width="35.5703125" style="764" customWidth="1"/>
    <col min="12553" max="12553" width="39.42578125" style="764" customWidth="1"/>
    <col min="12554" max="12554" width="22.140625" style="764" customWidth="1"/>
    <col min="12555" max="12555" width="39.85546875" style="764" customWidth="1"/>
    <col min="12556" max="12556" width="10.42578125" style="764" customWidth="1"/>
    <col min="12557" max="12557" width="9.140625" style="764"/>
    <col min="12558" max="12558" width="21.42578125" style="764" customWidth="1"/>
    <col min="12559" max="12559" width="21.28515625" style="764" customWidth="1"/>
    <col min="12560" max="12805" width="9.140625" style="764"/>
    <col min="12806" max="12806" width="14.42578125" style="764" customWidth="1"/>
    <col min="12807" max="12807" width="16.5703125" style="764" customWidth="1"/>
    <col min="12808" max="12808" width="35.5703125" style="764" customWidth="1"/>
    <col min="12809" max="12809" width="39.42578125" style="764" customWidth="1"/>
    <col min="12810" max="12810" width="22.140625" style="764" customWidth="1"/>
    <col min="12811" max="12811" width="39.85546875" style="764" customWidth="1"/>
    <col min="12812" max="12812" width="10.42578125" style="764" customWidth="1"/>
    <col min="12813" max="12813" width="9.140625" style="764"/>
    <col min="12814" max="12814" width="21.42578125" style="764" customWidth="1"/>
    <col min="12815" max="12815" width="21.28515625" style="764" customWidth="1"/>
    <col min="12816" max="13061" width="9.140625" style="764"/>
    <col min="13062" max="13062" width="14.42578125" style="764" customWidth="1"/>
    <col min="13063" max="13063" width="16.5703125" style="764" customWidth="1"/>
    <col min="13064" max="13064" width="35.5703125" style="764" customWidth="1"/>
    <col min="13065" max="13065" width="39.42578125" style="764" customWidth="1"/>
    <col min="13066" max="13066" width="22.140625" style="764" customWidth="1"/>
    <col min="13067" max="13067" width="39.85546875" style="764" customWidth="1"/>
    <col min="13068" max="13068" width="10.42578125" style="764" customWidth="1"/>
    <col min="13069" max="13069" width="9.140625" style="764"/>
    <col min="13070" max="13070" width="21.42578125" style="764" customWidth="1"/>
    <col min="13071" max="13071" width="21.28515625" style="764" customWidth="1"/>
    <col min="13072" max="13317" width="9.140625" style="764"/>
    <col min="13318" max="13318" width="14.42578125" style="764" customWidth="1"/>
    <col min="13319" max="13319" width="16.5703125" style="764" customWidth="1"/>
    <col min="13320" max="13320" width="35.5703125" style="764" customWidth="1"/>
    <col min="13321" max="13321" width="39.42578125" style="764" customWidth="1"/>
    <col min="13322" max="13322" width="22.140625" style="764" customWidth="1"/>
    <col min="13323" max="13323" width="39.85546875" style="764" customWidth="1"/>
    <col min="13324" max="13324" width="10.42578125" style="764" customWidth="1"/>
    <col min="13325" max="13325" width="9.140625" style="764"/>
    <col min="13326" max="13326" width="21.42578125" style="764" customWidth="1"/>
    <col min="13327" max="13327" width="21.28515625" style="764" customWidth="1"/>
    <col min="13328" max="13573" width="9.140625" style="764"/>
    <col min="13574" max="13574" width="14.42578125" style="764" customWidth="1"/>
    <col min="13575" max="13575" width="16.5703125" style="764" customWidth="1"/>
    <col min="13576" max="13576" width="35.5703125" style="764" customWidth="1"/>
    <col min="13577" max="13577" width="39.42578125" style="764" customWidth="1"/>
    <col min="13578" max="13578" width="22.140625" style="764" customWidth="1"/>
    <col min="13579" max="13579" width="39.85546875" style="764" customWidth="1"/>
    <col min="13580" max="13580" width="10.42578125" style="764" customWidth="1"/>
    <col min="13581" max="13581" width="9.140625" style="764"/>
    <col min="13582" max="13582" width="21.42578125" style="764" customWidth="1"/>
    <col min="13583" max="13583" width="21.28515625" style="764" customWidth="1"/>
    <col min="13584" max="13829" width="9.140625" style="764"/>
    <col min="13830" max="13830" width="14.42578125" style="764" customWidth="1"/>
    <col min="13831" max="13831" width="16.5703125" style="764" customWidth="1"/>
    <col min="13832" max="13832" width="35.5703125" style="764" customWidth="1"/>
    <col min="13833" max="13833" width="39.42578125" style="764" customWidth="1"/>
    <col min="13834" max="13834" width="22.140625" style="764" customWidth="1"/>
    <col min="13835" max="13835" width="39.85546875" style="764" customWidth="1"/>
    <col min="13836" max="13836" width="10.42578125" style="764" customWidth="1"/>
    <col min="13837" max="13837" width="9.140625" style="764"/>
    <col min="13838" max="13838" width="21.42578125" style="764" customWidth="1"/>
    <col min="13839" max="13839" width="21.28515625" style="764" customWidth="1"/>
    <col min="13840" max="14085" width="9.140625" style="764"/>
    <col min="14086" max="14086" width="14.42578125" style="764" customWidth="1"/>
    <col min="14087" max="14087" width="16.5703125" style="764" customWidth="1"/>
    <col min="14088" max="14088" width="35.5703125" style="764" customWidth="1"/>
    <col min="14089" max="14089" width="39.42578125" style="764" customWidth="1"/>
    <col min="14090" max="14090" width="22.140625" style="764" customWidth="1"/>
    <col min="14091" max="14091" width="39.85546875" style="764" customWidth="1"/>
    <col min="14092" max="14092" width="10.42578125" style="764" customWidth="1"/>
    <col min="14093" max="14093" width="9.140625" style="764"/>
    <col min="14094" max="14094" width="21.42578125" style="764" customWidth="1"/>
    <col min="14095" max="14095" width="21.28515625" style="764" customWidth="1"/>
    <col min="14096" max="14341" width="9.140625" style="764"/>
    <col min="14342" max="14342" width="14.42578125" style="764" customWidth="1"/>
    <col min="14343" max="14343" width="16.5703125" style="764" customWidth="1"/>
    <col min="14344" max="14344" width="35.5703125" style="764" customWidth="1"/>
    <col min="14345" max="14345" width="39.42578125" style="764" customWidth="1"/>
    <col min="14346" max="14346" width="22.140625" style="764" customWidth="1"/>
    <col min="14347" max="14347" width="39.85546875" style="764" customWidth="1"/>
    <col min="14348" max="14348" width="10.42578125" style="764" customWidth="1"/>
    <col min="14349" max="14349" width="9.140625" style="764"/>
    <col min="14350" max="14350" width="21.42578125" style="764" customWidth="1"/>
    <col min="14351" max="14351" width="21.28515625" style="764" customWidth="1"/>
    <col min="14352" max="14597" width="9.140625" style="764"/>
    <col min="14598" max="14598" width="14.42578125" style="764" customWidth="1"/>
    <col min="14599" max="14599" width="16.5703125" style="764" customWidth="1"/>
    <col min="14600" max="14600" width="35.5703125" style="764" customWidth="1"/>
    <col min="14601" max="14601" width="39.42578125" style="764" customWidth="1"/>
    <col min="14602" max="14602" width="22.140625" style="764" customWidth="1"/>
    <col min="14603" max="14603" width="39.85546875" style="764" customWidth="1"/>
    <col min="14604" max="14604" width="10.42578125" style="764" customWidth="1"/>
    <col min="14605" max="14605" width="9.140625" style="764"/>
    <col min="14606" max="14606" width="21.42578125" style="764" customWidth="1"/>
    <col min="14607" max="14607" width="21.28515625" style="764" customWidth="1"/>
    <col min="14608" max="14853" width="9.140625" style="764"/>
    <col min="14854" max="14854" width="14.42578125" style="764" customWidth="1"/>
    <col min="14855" max="14855" width="16.5703125" style="764" customWidth="1"/>
    <col min="14856" max="14856" width="35.5703125" style="764" customWidth="1"/>
    <col min="14857" max="14857" width="39.42578125" style="764" customWidth="1"/>
    <col min="14858" max="14858" width="22.140625" style="764" customWidth="1"/>
    <col min="14859" max="14859" width="39.85546875" style="764" customWidth="1"/>
    <col min="14860" max="14860" width="10.42578125" style="764" customWidth="1"/>
    <col min="14861" max="14861" width="9.140625" style="764"/>
    <col min="14862" max="14862" width="21.42578125" style="764" customWidth="1"/>
    <col min="14863" max="14863" width="21.28515625" style="764" customWidth="1"/>
    <col min="14864" max="15109" width="9.140625" style="764"/>
    <col min="15110" max="15110" width="14.42578125" style="764" customWidth="1"/>
    <col min="15111" max="15111" width="16.5703125" style="764" customWidth="1"/>
    <col min="15112" max="15112" width="35.5703125" style="764" customWidth="1"/>
    <col min="15113" max="15113" width="39.42578125" style="764" customWidth="1"/>
    <col min="15114" max="15114" width="22.140625" style="764" customWidth="1"/>
    <col min="15115" max="15115" width="39.85546875" style="764" customWidth="1"/>
    <col min="15116" max="15116" width="10.42578125" style="764" customWidth="1"/>
    <col min="15117" max="15117" width="9.140625" style="764"/>
    <col min="15118" max="15118" width="21.42578125" style="764" customWidth="1"/>
    <col min="15119" max="15119" width="21.28515625" style="764" customWidth="1"/>
    <col min="15120" max="15365" width="9.140625" style="764"/>
    <col min="15366" max="15366" width="14.42578125" style="764" customWidth="1"/>
    <col min="15367" max="15367" width="16.5703125" style="764" customWidth="1"/>
    <col min="15368" max="15368" width="35.5703125" style="764" customWidth="1"/>
    <col min="15369" max="15369" width="39.42578125" style="764" customWidth="1"/>
    <col min="15370" max="15370" width="22.140625" style="764" customWidth="1"/>
    <col min="15371" max="15371" width="39.85546875" style="764" customWidth="1"/>
    <col min="15372" max="15372" width="10.42578125" style="764" customWidth="1"/>
    <col min="15373" max="15373" width="9.140625" style="764"/>
    <col min="15374" max="15374" width="21.42578125" style="764" customWidth="1"/>
    <col min="15375" max="15375" width="21.28515625" style="764" customWidth="1"/>
    <col min="15376" max="15621" width="9.140625" style="764"/>
    <col min="15622" max="15622" width="14.42578125" style="764" customWidth="1"/>
    <col min="15623" max="15623" width="16.5703125" style="764" customWidth="1"/>
    <col min="15624" max="15624" width="35.5703125" style="764" customWidth="1"/>
    <col min="15625" max="15625" width="39.42578125" style="764" customWidth="1"/>
    <col min="15626" max="15626" width="22.140625" style="764" customWidth="1"/>
    <col min="15627" max="15627" width="39.85546875" style="764" customWidth="1"/>
    <col min="15628" max="15628" width="10.42578125" style="764" customWidth="1"/>
    <col min="15629" max="15629" width="9.140625" style="764"/>
    <col min="15630" max="15630" width="21.42578125" style="764" customWidth="1"/>
    <col min="15631" max="15631" width="21.28515625" style="764" customWidth="1"/>
    <col min="15632" max="15877" width="9.140625" style="764"/>
    <col min="15878" max="15878" width="14.42578125" style="764" customWidth="1"/>
    <col min="15879" max="15879" width="16.5703125" style="764" customWidth="1"/>
    <col min="15880" max="15880" width="35.5703125" style="764" customWidth="1"/>
    <col min="15881" max="15881" width="39.42578125" style="764" customWidth="1"/>
    <col min="15882" max="15882" width="22.140625" style="764" customWidth="1"/>
    <col min="15883" max="15883" width="39.85546875" style="764" customWidth="1"/>
    <col min="15884" max="15884" width="10.42578125" style="764" customWidth="1"/>
    <col min="15885" max="15885" width="9.140625" style="764"/>
    <col min="15886" max="15886" width="21.42578125" style="764" customWidth="1"/>
    <col min="15887" max="15887" width="21.28515625" style="764" customWidth="1"/>
    <col min="15888" max="16133" width="9.140625" style="764"/>
    <col min="16134" max="16134" width="14.42578125" style="764" customWidth="1"/>
    <col min="16135" max="16135" width="16.5703125" style="764" customWidth="1"/>
    <col min="16136" max="16136" width="35.5703125" style="764" customWidth="1"/>
    <col min="16137" max="16137" width="39.42578125" style="764" customWidth="1"/>
    <col min="16138" max="16138" width="22.140625" style="764" customWidth="1"/>
    <col min="16139" max="16139" width="39.85546875" style="764" customWidth="1"/>
    <col min="16140" max="16140" width="10.42578125" style="764" customWidth="1"/>
    <col min="16141" max="16141" width="9.140625" style="764"/>
    <col min="16142" max="16142" width="21.42578125" style="764" customWidth="1"/>
    <col min="16143" max="16143" width="21.28515625" style="764" customWidth="1"/>
    <col min="16144" max="16384" width="9.140625" style="764"/>
  </cols>
  <sheetData>
    <row r="1" spans="1:15" s="809" customFormat="1" ht="15.75" customHeight="1">
      <c r="A1" s="804" t="s">
        <v>79</v>
      </c>
      <c r="B1" s="804" t="s">
        <v>2449</v>
      </c>
      <c r="C1" s="804" t="s">
        <v>2447</v>
      </c>
      <c r="D1" s="804" t="s">
        <v>2450</v>
      </c>
      <c r="E1" s="818" t="s">
        <v>2448</v>
      </c>
      <c r="F1" s="823" t="s">
        <v>2452</v>
      </c>
      <c r="G1" s="805" t="s">
        <v>2232</v>
      </c>
      <c r="H1" s="805" t="s">
        <v>1868</v>
      </c>
      <c r="I1" s="805" t="s">
        <v>2233</v>
      </c>
      <c r="J1" s="805" t="s">
        <v>2234</v>
      </c>
      <c r="K1" s="805" t="s">
        <v>2235</v>
      </c>
      <c r="L1" s="806" t="s">
        <v>1472</v>
      </c>
      <c r="M1" s="807" t="s">
        <v>375</v>
      </c>
      <c r="N1" s="808" t="s">
        <v>2236</v>
      </c>
      <c r="O1" s="808" t="s">
        <v>210</v>
      </c>
    </row>
    <row r="2" spans="1:15" ht="15.75" customHeight="1">
      <c r="A2" s="810" t="s">
        <v>2296</v>
      </c>
      <c r="B2" s="764" t="e">
        <f>VLOOKUP(A2,IFRCDB!$A$2:$AM$59,25)</f>
        <v>#N/A</v>
      </c>
      <c r="C2" s="764">
        <v>5000000</v>
      </c>
      <c r="D2" s="821">
        <f t="shared" ref="D2:D33" si="0">C2*1.09327</f>
        <v>5466350</v>
      </c>
      <c r="E2" s="764"/>
      <c r="G2" s="810" t="s">
        <v>2297</v>
      </c>
      <c r="H2" s="810" t="s">
        <v>2297</v>
      </c>
      <c r="I2" s="810" t="s">
        <v>2298</v>
      </c>
      <c r="J2" s="810" t="s">
        <v>1963</v>
      </c>
      <c r="K2" s="810" t="s">
        <v>2247</v>
      </c>
      <c r="L2" s="811">
        <v>39931</v>
      </c>
      <c r="M2" s="812" t="s">
        <v>380</v>
      </c>
      <c r="N2" s="813">
        <v>2009</v>
      </c>
      <c r="O2" s="813">
        <v>2009</v>
      </c>
    </row>
    <row r="3" spans="1:15" ht="15.75" customHeight="1">
      <c r="A3" s="764" t="s">
        <v>1321</v>
      </c>
      <c r="B3" s="764" t="e">
        <f>VLOOKUP(A3,IFRCDB!$A$2:$AM$59,25)</f>
        <v>#N/A</v>
      </c>
      <c r="C3" s="764">
        <v>1469778</v>
      </c>
      <c r="D3" s="821">
        <f t="shared" si="0"/>
        <v>1606864.1940599999</v>
      </c>
      <c r="E3" s="764"/>
      <c r="G3" s="810" t="s">
        <v>2250</v>
      </c>
      <c r="H3" s="810" t="s">
        <v>2279</v>
      </c>
      <c r="I3" s="810" t="s">
        <v>2280</v>
      </c>
      <c r="J3" s="810" t="s">
        <v>2238</v>
      </c>
      <c r="K3" s="810" t="s">
        <v>2259</v>
      </c>
      <c r="L3" s="811">
        <v>39745</v>
      </c>
      <c r="M3" s="812" t="s">
        <v>378</v>
      </c>
      <c r="N3" s="813">
        <v>2009</v>
      </c>
      <c r="O3" s="813">
        <v>2008</v>
      </c>
    </row>
    <row r="4" spans="1:15" ht="15.75" customHeight="1">
      <c r="A4" s="764" t="s">
        <v>116</v>
      </c>
      <c r="B4" s="764" t="e">
        <f>VLOOKUP(A4,IFRCDB!$A$2:$AM$59,25)</f>
        <v>#N/A</v>
      </c>
      <c r="C4" s="764">
        <v>651961</v>
      </c>
      <c r="D4" s="821">
        <f t="shared" si="0"/>
        <v>712769.40246999997</v>
      </c>
      <c r="E4" s="764"/>
      <c r="G4" s="810" t="s">
        <v>2250</v>
      </c>
      <c r="H4" s="810" t="s">
        <v>2289</v>
      </c>
      <c r="I4" s="810" t="s">
        <v>2290</v>
      </c>
      <c r="J4" s="810" t="s">
        <v>2238</v>
      </c>
      <c r="K4" s="810" t="s">
        <v>2259</v>
      </c>
      <c r="L4" s="811">
        <v>39783</v>
      </c>
      <c r="M4" s="812" t="s">
        <v>378</v>
      </c>
      <c r="N4" s="813">
        <v>2009</v>
      </c>
      <c r="O4" s="813">
        <v>2008</v>
      </c>
    </row>
    <row r="5" spans="1:15" ht="15.75" customHeight="1">
      <c r="A5" s="764" t="s">
        <v>443</v>
      </c>
      <c r="B5" s="764" t="e">
        <f>VLOOKUP(A5,IFRCDB!$A$2:$AM$59,25)</f>
        <v>#N/A</v>
      </c>
      <c r="C5" s="764">
        <v>2927000</v>
      </c>
      <c r="D5" s="821">
        <f t="shared" si="0"/>
        <v>3200001.29</v>
      </c>
      <c r="E5" s="764"/>
      <c r="G5" s="810" t="s">
        <v>2250</v>
      </c>
      <c r="H5" s="810" t="s">
        <v>2251</v>
      </c>
      <c r="I5" s="810" t="s">
        <v>2252</v>
      </c>
      <c r="J5" s="810" t="s">
        <v>2238</v>
      </c>
      <c r="K5" s="810" t="s">
        <v>2253</v>
      </c>
      <c r="L5" s="811">
        <v>39559</v>
      </c>
      <c r="N5" s="813">
        <v>2008</v>
      </c>
      <c r="O5" s="813">
        <v>2008</v>
      </c>
    </row>
    <row r="6" spans="1:15" ht="15.75" customHeight="1">
      <c r="A6" s="764" t="s">
        <v>1315</v>
      </c>
      <c r="B6" s="764" t="e">
        <f>VLOOKUP(A6,IFRCDB!$A$2:$AM$59,25)</f>
        <v>#N/A</v>
      </c>
      <c r="C6" s="764">
        <v>2010991</v>
      </c>
      <c r="D6" s="821">
        <f t="shared" si="0"/>
        <v>2198556.13057</v>
      </c>
      <c r="E6" s="764"/>
      <c r="G6" s="810" t="s">
        <v>2250</v>
      </c>
      <c r="H6" s="810" t="s">
        <v>2251</v>
      </c>
      <c r="I6" s="810" t="s">
        <v>2273</v>
      </c>
      <c r="J6" s="810" t="s">
        <v>2238</v>
      </c>
      <c r="K6" s="810" t="s">
        <v>2259</v>
      </c>
      <c r="L6" s="811">
        <v>39700</v>
      </c>
      <c r="M6" s="812" t="s">
        <v>376</v>
      </c>
      <c r="N6" s="813">
        <v>2009</v>
      </c>
      <c r="O6" s="813">
        <v>2008</v>
      </c>
    </row>
    <row r="7" spans="1:15" ht="15.75" customHeight="1">
      <c r="A7" s="764" t="s">
        <v>2482</v>
      </c>
      <c r="B7" s="764" t="e">
        <f>VLOOKUP(A7,IFRCDB!$A$2:$AM$59,25)</f>
        <v>#N/A</v>
      </c>
      <c r="C7" s="764">
        <v>1209435</v>
      </c>
      <c r="D7" s="821">
        <f t="shared" si="0"/>
        <v>1322239.00245</v>
      </c>
      <c r="E7" s="764"/>
      <c r="G7" s="810" t="s">
        <v>1210</v>
      </c>
      <c r="H7" s="810" t="s">
        <v>2265</v>
      </c>
      <c r="I7" s="810" t="s">
        <v>2266</v>
      </c>
      <c r="J7" s="810" t="s">
        <v>2238</v>
      </c>
      <c r="K7" s="810" t="s">
        <v>2267</v>
      </c>
      <c r="L7" s="811">
        <v>39640</v>
      </c>
      <c r="M7" s="812" t="s">
        <v>376</v>
      </c>
      <c r="N7" s="813">
        <v>2009</v>
      </c>
      <c r="O7" s="813">
        <v>2008</v>
      </c>
    </row>
    <row r="8" spans="1:15" ht="15.75" customHeight="1">
      <c r="A8" s="764" t="s">
        <v>2574</v>
      </c>
      <c r="B8" s="764" t="e">
        <f>VLOOKUP(A8,IFRCDB!$A$2:$AM$59,25)</f>
        <v>#N/A</v>
      </c>
      <c r="C8" s="764">
        <v>1209435</v>
      </c>
      <c r="D8" s="821">
        <f t="shared" si="0"/>
        <v>1322239.00245</v>
      </c>
      <c r="E8" s="764"/>
      <c r="G8" s="810" t="s">
        <v>1210</v>
      </c>
      <c r="H8" s="810" t="s">
        <v>2274</v>
      </c>
      <c r="I8" s="810" t="s">
        <v>2275</v>
      </c>
      <c r="J8" s="810" t="s">
        <v>2238</v>
      </c>
      <c r="K8" s="810" t="s">
        <v>2247</v>
      </c>
      <c r="L8" s="811">
        <v>39720</v>
      </c>
      <c r="M8" s="812" t="s">
        <v>376</v>
      </c>
      <c r="N8" s="813">
        <v>2009</v>
      </c>
      <c r="O8" s="813">
        <v>2008</v>
      </c>
    </row>
    <row r="9" spans="1:15" ht="15.75" customHeight="1">
      <c r="A9" s="764" t="s">
        <v>2484</v>
      </c>
      <c r="B9" s="764" t="e">
        <f>VLOOKUP(A9,IFRCDB!$A$2:$AM$59,25)</f>
        <v>#N/A</v>
      </c>
      <c r="C9" s="764">
        <v>8773852</v>
      </c>
      <c r="D9" s="821">
        <f t="shared" si="0"/>
        <v>9592189.1760399994</v>
      </c>
      <c r="E9" s="764"/>
      <c r="G9" s="810" t="s">
        <v>1210</v>
      </c>
      <c r="H9" s="810" t="s">
        <v>1378</v>
      </c>
      <c r="I9" s="810" t="s">
        <v>2237</v>
      </c>
      <c r="J9" s="810" t="s">
        <v>2238</v>
      </c>
      <c r="K9" s="810" t="s">
        <v>2239</v>
      </c>
      <c r="L9" s="811">
        <v>39465</v>
      </c>
      <c r="N9" s="813">
        <v>2008</v>
      </c>
      <c r="O9" s="813">
        <v>2008</v>
      </c>
    </row>
    <row r="10" spans="1:15" ht="15.75" customHeight="1">
      <c r="A10" s="764" t="s">
        <v>115</v>
      </c>
      <c r="B10" s="764" t="e">
        <f>VLOOKUP(A10,IFRCDB!$A$2:$AM$59,25)</f>
        <v>#N/A</v>
      </c>
      <c r="C10" s="764">
        <v>75760326</v>
      </c>
      <c r="D10" s="821">
        <f t="shared" si="0"/>
        <v>82826491.606020004</v>
      </c>
      <c r="E10" s="764"/>
      <c r="G10" s="810" t="s">
        <v>1210</v>
      </c>
      <c r="H10" s="810" t="s">
        <v>1532</v>
      </c>
      <c r="I10" s="810" t="s">
        <v>2291</v>
      </c>
      <c r="J10" s="810" t="s">
        <v>1273</v>
      </c>
      <c r="K10" s="810" t="s">
        <v>2247</v>
      </c>
      <c r="L10" s="811">
        <v>39793</v>
      </c>
      <c r="M10" s="812" t="s">
        <v>378</v>
      </c>
      <c r="N10" s="813">
        <v>2009</v>
      </c>
      <c r="O10" s="813">
        <v>2008</v>
      </c>
    </row>
    <row r="11" spans="1:15" ht="15.75" customHeight="1">
      <c r="A11" s="764" t="s">
        <v>1318</v>
      </c>
      <c r="B11" s="764" t="e">
        <f>VLOOKUP(A11,IFRCDB!$A$2:$AM$59,25)</f>
        <v>#N/A</v>
      </c>
      <c r="C11" s="831">
        <v>1250355</v>
      </c>
      <c r="D11" s="821">
        <f t="shared" si="0"/>
        <v>1366975.6108500001</v>
      </c>
      <c r="E11" s="764"/>
      <c r="G11" s="810" t="s">
        <v>2248</v>
      </c>
      <c r="H11" s="810" t="s">
        <v>2268</v>
      </c>
      <c r="I11" s="810" t="s">
        <v>2269</v>
      </c>
      <c r="J11" s="810" t="s">
        <v>2238</v>
      </c>
      <c r="K11" s="810" t="s">
        <v>2247</v>
      </c>
      <c r="L11" s="811">
        <v>39665</v>
      </c>
      <c r="M11" s="812" t="s">
        <v>376</v>
      </c>
      <c r="N11" s="813">
        <v>2009</v>
      </c>
      <c r="O11" s="813">
        <v>2008</v>
      </c>
    </row>
    <row r="12" spans="1:15" ht="15.75" customHeight="1">
      <c r="A12" s="839" t="s">
        <v>31</v>
      </c>
      <c r="B12" s="764" t="e">
        <f>VLOOKUP(A12,IFRCDB!$A$2:$AM$59,25)</f>
        <v>#N/A</v>
      </c>
      <c r="C12" s="764">
        <v>1153737</v>
      </c>
      <c r="D12" s="821">
        <f t="shared" si="0"/>
        <v>1261346.04999</v>
      </c>
      <c r="E12" s="764"/>
      <c r="G12" s="810" t="s">
        <v>2254</v>
      </c>
      <c r="H12" s="810" t="s">
        <v>1943</v>
      </c>
      <c r="I12" s="810" t="s">
        <v>1055</v>
      </c>
      <c r="J12" s="810" t="s">
        <v>2238</v>
      </c>
      <c r="K12" s="810" t="s">
        <v>2247</v>
      </c>
      <c r="L12" s="811">
        <v>39988</v>
      </c>
      <c r="M12" s="812" t="s">
        <v>380</v>
      </c>
      <c r="N12" s="813">
        <v>2009</v>
      </c>
      <c r="O12" s="813">
        <v>2009</v>
      </c>
    </row>
    <row r="13" spans="1:15" ht="15.75" customHeight="1">
      <c r="A13" s="764" t="s">
        <v>2485</v>
      </c>
      <c r="B13" s="764" t="e">
        <f>VLOOKUP(A13,IFRCDB!$A$2:$AM$59,25)</f>
        <v>#N/A</v>
      </c>
      <c r="D13" s="821">
        <f t="shared" si="0"/>
        <v>0</v>
      </c>
      <c r="E13" s="764"/>
      <c r="G13" s="810" t="s">
        <v>1210</v>
      </c>
      <c r="H13" s="810" t="s">
        <v>2243</v>
      </c>
      <c r="I13" s="810" t="s">
        <v>2244</v>
      </c>
      <c r="J13" s="810" t="s">
        <v>1273</v>
      </c>
      <c r="K13" s="810" t="s">
        <v>2245</v>
      </c>
      <c r="L13" s="811">
        <v>39491</v>
      </c>
      <c r="N13" s="813">
        <v>2008</v>
      </c>
      <c r="O13" s="813">
        <v>2008</v>
      </c>
    </row>
    <row r="14" spans="1:15" ht="21" customHeight="1">
      <c r="A14" s="764" t="s">
        <v>59</v>
      </c>
      <c r="B14" s="764" t="str">
        <f>VLOOKUP(A14,IFRCDB!$A$2:$AM$59,25)</f>
        <v>RDMT</v>
      </c>
      <c r="D14" s="821">
        <f t="shared" si="0"/>
        <v>0</v>
      </c>
      <c r="E14" s="764"/>
      <c r="G14" s="810" t="s">
        <v>2254</v>
      </c>
      <c r="H14" s="810" t="s">
        <v>1879</v>
      </c>
      <c r="I14" s="810" t="s">
        <v>2260</v>
      </c>
      <c r="J14" s="810" t="s">
        <v>1961</v>
      </c>
      <c r="K14" s="810" t="s">
        <v>2245</v>
      </c>
      <c r="L14" s="811">
        <v>39583</v>
      </c>
      <c r="N14" s="813">
        <v>2008</v>
      </c>
      <c r="O14" s="813">
        <v>2008</v>
      </c>
    </row>
    <row r="15" spans="1:15" ht="15.75" customHeight="1">
      <c r="A15" s="810" t="s">
        <v>1664</v>
      </c>
      <c r="B15" s="764" t="str">
        <f>VLOOKUP(A15,IFRCDB!$A$2:$AM$59,25)</f>
        <v>RDMT</v>
      </c>
      <c r="D15" s="821">
        <f t="shared" si="0"/>
        <v>0</v>
      </c>
      <c r="E15" s="764"/>
      <c r="G15" s="810" t="s">
        <v>2250</v>
      </c>
      <c r="H15" s="810" t="s">
        <v>717</v>
      </c>
      <c r="I15" s="810" t="s">
        <v>2293</v>
      </c>
      <c r="J15" s="810" t="s">
        <v>2238</v>
      </c>
      <c r="K15" s="810" t="s">
        <v>2247</v>
      </c>
      <c r="L15" s="811">
        <v>39867</v>
      </c>
      <c r="M15" s="812" t="s">
        <v>379</v>
      </c>
      <c r="N15" s="813">
        <v>2009</v>
      </c>
      <c r="O15" s="813">
        <v>2009</v>
      </c>
    </row>
    <row r="16" spans="1:15" ht="15.75" customHeight="1">
      <c r="A16" s="764" t="s">
        <v>1320</v>
      </c>
      <c r="B16" s="764" t="str">
        <f>VLOOKUP(A16,IFRCDB!$A$2:$AM$59,25)</f>
        <v>RDMT</v>
      </c>
      <c r="D16" s="821">
        <f t="shared" si="0"/>
        <v>0</v>
      </c>
      <c r="E16" s="764"/>
      <c r="G16" s="810" t="s">
        <v>2250</v>
      </c>
      <c r="H16" s="810" t="s">
        <v>1589</v>
      </c>
      <c r="I16" s="810" t="s">
        <v>2272</v>
      </c>
      <c r="J16" s="810" t="s">
        <v>2238</v>
      </c>
      <c r="K16" s="810" t="s">
        <v>2267</v>
      </c>
      <c r="L16" s="811">
        <v>39699</v>
      </c>
      <c r="M16" s="812" t="s">
        <v>376</v>
      </c>
      <c r="N16" s="813">
        <v>2009</v>
      </c>
      <c r="O16" s="813">
        <v>2008</v>
      </c>
    </row>
    <row r="17" spans="1:15" ht="15.75" customHeight="1">
      <c r="A17" s="764" t="s">
        <v>64</v>
      </c>
      <c r="B17" s="764" t="str">
        <f>VLOOKUP(A17,IFRCDB!$A$2:$AM$59,25)</f>
        <v>RDMT</v>
      </c>
      <c r="D17" s="821">
        <f t="shared" si="0"/>
        <v>0</v>
      </c>
      <c r="E17" s="764"/>
      <c r="G17" s="810" t="s">
        <v>1210</v>
      </c>
      <c r="H17" s="810" t="s">
        <v>1873</v>
      </c>
      <c r="I17" s="810" t="s">
        <v>2258</v>
      </c>
      <c r="J17" s="810" t="s">
        <v>1273</v>
      </c>
      <c r="K17" s="810" t="s">
        <v>2259</v>
      </c>
      <c r="L17" s="811">
        <v>39582</v>
      </c>
      <c r="N17" s="813">
        <v>2008</v>
      </c>
      <c r="O17" s="813">
        <v>2008</v>
      </c>
    </row>
    <row r="18" spans="1:15" ht="15.75" customHeight="1">
      <c r="A18" s="764" t="s">
        <v>1316</v>
      </c>
      <c r="B18" s="764" t="str">
        <f>VLOOKUP(A18,IFRCDB!$A$2:$AM$59,25)</f>
        <v>RDMT</v>
      </c>
      <c r="D18" s="821">
        <f t="shared" si="0"/>
        <v>0</v>
      </c>
      <c r="E18" s="764"/>
      <c r="G18" s="810" t="s">
        <v>2250</v>
      </c>
      <c r="H18" s="810" t="s">
        <v>682</v>
      </c>
      <c r="I18" s="810" t="s">
        <v>2271</v>
      </c>
      <c r="J18" s="810" t="s">
        <v>2238</v>
      </c>
      <c r="K18" s="810" t="s">
        <v>2259</v>
      </c>
      <c r="L18" s="811">
        <v>39696</v>
      </c>
      <c r="M18" s="812" t="s">
        <v>376</v>
      </c>
      <c r="N18" s="813">
        <v>2009</v>
      </c>
      <c r="O18" s="813">
        <v>2008</v>
      </c>
    </row>
    <row r="19" spans="1:15" ht="15.75" customHeight="1">
      <c r="A19" s="764" t="s">
        <v>2478</v>
      </c>
      <c r="B19" s="764" t="str">
        <f>VLOOKUP(A19,IFRCDB!$A$2:$AM$59,25)</f>
        <v>RDMT</v>
      </c>
      <c r="D19" s="821">
        <f t="shared" si="0"/>
        <v>0</v>
      </c>
      <c r="E19" s="764"/>
      <c r="G19" s="810" t="s">
        <v>1210</v>
      </c>
      <c r="H19" s="810" t="s">
        <v>1605</v>
      </c>
      <c r="I19" s="810" t="s">
        <v>2288</v>
      </c>
      <c r="J19" s="810" t="s">
        <v>2238</v>
      </c>
      <c r="K19" s="810" t="s">
        <v>2239</v>
      </c>
      <c r="L19" s="811">
        <v>39777</v>
      </c>
      <c r="M19" s="812" t="s">
        <v>378</v>
      </c>
      <c r="N19" s="813">
        <v>2009</v>
      </c>
      <c r="O19" s="813">
        <v>2008</v>
      </c>
    </row>
    <row r="20" spans="1:15" ht="15.75" customHeight="1">
      <c r="A20" s="764" t="s">
        <v>65</v>
      </c>
      <c r="B20" s="764" t="str">
        <f>VLOOKUP(A20,IFRCDB!$A$2:$AM$59,25)</f>
        <v>RDMT</v>
      </c>
      <c r="D20" s="821">
        <f t="shared" si="0"/>
        <v>0</v>
      </c>
      <c r="E20" s="764"/>
      <c r="G20" s="810" t="s">
        <v>1210</v>
      </c>
      <c r="H20" s="810" t="s">
        <v>1564</v>
      </c>
      <c r="I20" s="810" t="s">
        <v>2246</v>
      </c>
      <c r="J20" s="810" t="s">
        <v>2238</v>
      </c>
      <c r="K20" s="810" t="s">
        <v>2247</v>
      </c>
      <c r="L20" s="811">
        <v>39513</v>
      </c>
      <c r="N20" s="813">
        <v>2008</v>
      </c>
      <c r="O20" s="813">
        <v>2008</v>
      </c>
    </row>
    <row r="21" spans="1:15" ht="15.75" customHeight="1">
      <c r="A21" s="764" t="s">
        <v>63</v>
      </c>
      <c r="B21" s="764" t="str">
        <f>VLOOKUP(A21,IFRCDB!$A$2:$AM$59,25)</f>
        <v>RDMT</v>
      </c>
      <c r="D21" s="821">
        <f t="shared" si="0"/>
        <v>0</v>
      </c>
      <c r="E21" s="764"/>
      <c r="G21" s="810" t="s">
        <v>2254</v>
      </c>
      <c r="H21" s="810" t="s">
        <v>1394</v>
      </c>
      <c r="I21" s="810" t="s">
        <v>2257</v>
      </c>
      <c r="J21" s="810" t="s">
        <v>2238</v>
      </c>
      <c r="K21" s="810" t="s">
        <v>2247</v>
      </c>
      <c r="L21" s="811">
        <v>39574</v>
      </c>
      <c r="N21" s="813">
        <v>2008</v>
      </c>
      <c r="O21" s="813">
        <v>2008</v>
      </c>
    </row>
    <row r="22" spans="1:15" ht="15.75" customHeight="1">
      <c r="A22" s="764" t="s">
        <v>86</v>
      </c>
      <c r="B22" s="764" t="str">
        <f>VLOOKUP(A22,IFRCDB!$A$2:$AM$59,25)</f>
        <v>RDMT</v>
      </c>
      <c r="D22" s="821">
        <f t="shared" si="0"/>
        <v>0</v>
      </c>
      <c r="E22" s="764"/>
      <c r="G22" s="810" t="s">
        <v>1210</v>
      </c>
      <c r="H22" s="810" t="s">
        <v>85</v>
      </c>
      <c r="I22" s="810" t="s">
        <v>2294</v>
      </c>
      <c r="J22" s="810" t="s">
        <v>2238</v>
      </c>
      <c r="K22" s="810" t="s">
        <v>2247</v>
      </c>
      <c r="L22" s="811">
        <v>39897</v>
      </c>
      <c r="M22" s="812" t="s">
        <v>379</v>
      </c>
      <c r="N22" s="813">
        <v>2009</v>
      </c>
      <c r="O22" s="813">
        <v>2009</v>
      </c>
    </row>
    <row r="23" spans="1:15" ht="15.75" customHeight="1">
      <c r="A23" s="764" t="s">
        <v>2480</v>
      </c>
      <c r="B23" s="764" t="str">
        <f>VLOOKUP(A23,IFRCDB!$A$2:$AM$59,25)</f>
        <v>RDMT</v>
      </c>
      <c r="D23" s="821">
        <f t="shared" si="0"/>
        <v>0</v>
      </c>
      <c r="E23" s="764"/>
      <c r="G23" s="810" t="s">
        <v>1210</v>
      </c>
      <c r="H23" s="810" t="s">
        <v>1598</v>
      </c>
      <c r="I23" s="810" t="s">
        <v>2285</v>
      </c>
      <c r="J23" s="810" t="s">
        <v>1273</v>
      </c>
      <c r="K23" s="810" t="s">
        <v>2247</v>
      </c>
      <c r="L23" s="811">
        <v>39763</v>
      </c>
      <c r="M23" s="812" t="s">
        <v>378</v>
      </c>
      <c r="N23" s="813">
        <v>2009</v>
      </c>
      <c r="O23" s="813">
        <v>2008</v>
      </c>
    </row>
    <row r="24" spans="1:15" ht="15.75" customHeight="1">
      <c r="A24" s="764" t="s">
        <v>2487</v>
      </c>
      <c r="B24" s="764" t="str">
        <f>VLOOKUP(A24,IFRCDB!$A$2:$AM$59,25)</f>
        <v>RDRT</v>
      </c>
      <c r="D24" s="821">
        <f t="shared" si="0"/>
        <v>0</v>
      </c>
      <c r="E24" s="764"/>
      <c r="G24" s="810" t="s">
        <v>2254</v>
      </c>
      <c r="H24" s="810" t="s">
        <v>35</v>
      </c>
      <c r="I24" s="810" t="s">
        <v>2255</v>
      </c>
      <c r="J24" s="810" t="s">
        <v>2238</v>
      </c>
      <c r="K24" s="810" t="s">
        <v>2256</v>
      </c>
      <c r="L24" s="811">
        <v>39562</v>
      </c>
      <c r="N24" s="813">
        <v>2008</v>
      </c>
      <c r="O24" s="813">
        <v>2008</v>
      </c>
    </row>
    <row r="25" spans="1:15" ht="15.75" customHeight="1">
      <c r="A25" s="764" t="s">
        <v>1317</v>
      </c>
      <c r="B25" s="764" t="str">
        <f>VLOOKUP(A25,IFRCDB!$A$2:$AM$59,25)</f>
        <v/>
      </c>
      <c r="D25" s="821">
        <f t="shared" si="0"/>
        <v>0</v>
      </c>
      <c r="E25" s="764"/>
      <c r="G25" s="810" t="s">
        <v>2254</v>
      </c>
      <c r="H25" s="810" t="s">
        <v>35</v>
      </c>
      <c r="I25" s="810" t="s">
        <v>2278</v>
      </c>
      <c r="J25" s="810" t="s">
        <v>2238</v>
      </c>
      <c r="K25" s="810" t="s">
        <v>2247</v>
      </c>
      <c r="L25" s="811">
        <v>39741</v>
      </c>
      <c r="M25" s="812" t="s">
        <v>378</v>
      </c>
      <c r="N25" s="813">
        <v>2009</v>
      </c>
      <c r="O25" s="813">
        <v>2008</v>
      </c>
    </row>
    <row r="26" spans="1:15" ht="15.75" customHeight="1">
      <c r="A26" s="764" t="s">
        <v>118</v>
      </c>
      <c r="B26" s="764" t="str">
        <f>VLOOKUP(A26,IFRCDB!$A$2:$AM$59,25)</f>
        <v>RDRT</v>
      </c>
      <c r="D26" s="821">
        <f t="shared" si="0"/>
        <v>0</v>
      </c>
      <c r="E26" s="764"/>
      <c r="G26" s="810" t="s">
        <v>2254</v>
      </c>
      <c r="H26" s="810" t="s">
        <v>2026</v>
      </c>
      <c r="I26" s="810" t="s">
        <v>2261</v>
      </c>
      <c r="J26" s="810" t="s">
        <v>2238</v>
      </c>
      <c r="K26" s="810" t="s">
        <v>2259</v>
      </c>
      <c r="L26" s="811">
        <v>39623</v>
      </c>
      <c r="N26" s="813">
        <v>2008</v>
      </c>
      <c r="O26" s="813">
        <v>2008</v>
      </c>
    </row>
    <row r="27" spans="1:15" ht="15.75" customHeight="1">
      <c r="A27" s="764" t="s">
        <v>2479</v>
      </c>
      <c r="B27" s="764" t="str">
        <f>VLOOKUP(A27,IFRCDB!$A$2:$AM$59,25)</f>
        <v/>
      </c>
      <c r="D27" s="821">
        <f t="shared" si="0"/>
        <v>0</v>
      </c>
      <c r="E27" s="764"/>
      <c r="G27" s="810" t="s">
        <v>2254</v>
      </c>
      <c r="H27" s="810" t="s">
        <v>1668</v>
      </c>
      <c r="I27" s="810" t="s">
        <v>2287</v>
      </c>
      <c r="J27" s="810" t="s">
        <v>1961</v>
      </c>
      <c r="K27" s="810" t="s">
        <v>2247</v>
      </c>
      <c r="L27" s="811">
        <v>39771</v>
      </c>
      <c r="M27" s="812" t="s">
        <v>378</v>
      </c>
      <c r="N27" s="813">
        <v>2009</v>
      </c>
      <c r="O27" s="813">
        <v>2008</v>
      </c>
    </row>
    <row r="28" spans="1:15" ht="15.75" customHeight="1">
      <c r="A28" s="764" t="s">
        <v>33</v>
      </c>
      <c r="B28" s="764" t="str">
        <f>VLOOKUP(A28,IFRCDB!$A$2:$AM$59,25)</f>
        <v>RDRT</v>
      </c>
      <c r="C28" s="764">
        <v>3635713</v>
      </c>
      <c r="D28" s="821">
        <f t="shared" si="0"/>
        <v>3974815.95151</v>
      </c>
      <c r="E28" s="764"/>
      <c r="G28" s="810" t="s">
        <v>2254</v>
      </c>
      <c r="H28" s="810" t="s">
        <v>1668</v>
      </c>
      <c r="I28" s="810" t="s">
        <v>2303</v>
      </c>
      <c r="J28" s="810" t="s">
        <v>1273</v>
      </c>
      <c r="K28" s="810" t="s">
        <v>2247</v>
      </c>
      <c r="L28" s="811">
        <v>39968</v>
      </c>
      <c r="M28" s="812" t="s">
        <v>380</v>
      </c>
      <c r="N28" s="813">
        <v>2009</v>
      </c>
      <c r="O28" s="813">
        <v>2009</v>
      </c>
    </row>
    <row r="29" spans="1:15" ht="15.75" customHeight="1">
      <c r="A29" s="764" t="s">
        <v>634</v>
      </c>
      <c r="B29" s="764" t="str">
        <f>VLOOKUP(A29,IFRCDB!$A$2:$AM$59,25)</f>
        <v>RDRT</v>
      </c>
      <c r="D29" s="821">
        <f t="shared" si="0"/>
        <v>0</v>
      </c>
      <c r="E29" s="764"/>
      <c r="G29" s="810" t="s">
        <v>2250</v>
      </c>
      <c r="H29" s="810" t="s">
        <v>2262</v>
      </c>
      <c r="I29" s="810" t="s">
        <v>2263</v>
      </c>
      <c r="J29" s="810" t="s">
        <v>2238</v>
      </c>
      <c r="K29" s="810" t="s">
        <v>2247</v>
      </c>
      <c r="L29" s="811">
        <v>39626</v>
      </c>
      <c r="N29" s="813">
        <v>2008</v>
      </c>
      <c r="O29" s="813">
        <v>2008</v>
      </c>
    </row>
    <row r="30" spans="1:15" ht="15.75" customHeight="1">
      <c r="A30" s="764" t="s">
        <v>2486</v>
      </c>
      <c r="B30" s="764" t="str">
        <f>VLOOKUP(A30,IFRCDB!$A$2:$AM$59,25)</f>
        <v>RDRT</v>
      </c>
      <c r="D30" s="821">
        <f t="shared" si="0"/>
        <v>0</v>
      </c>
      <c r="E30" s="764"/>
      <c r="G30" s="810" t="s">
        <v>2248</v>
      </c>
      <c r="H30" s="810" t="s">
        <v>355</v>
      </c>
      <c r="I30" s="810" t="s">
        <v>2249</v>
      </c>
      <c r="J30" s="810" t="s">
        <v>2238</v>
      </c>
      <c r="K30" s="810" t="s">
        <v>2247</v>
      </c>
      <c r="L30" s="811">
        <v>39513</v>
      </c>
      <c r="N30" s="813">
        <v>2008</v>
      </c>
      <c r="O30" s="813">
        <v>2008</v>
      </c>
    </row>
    <row r="31" spans="1:15" ht="15.75" customHeight="1">
      <c r="A31" s="764" t="s">
        <v>356</v>
      </c>
      <c r="B31" s="764" t="str">
        <f>VLOOKUP(A31,IFRCDB!$A$2:$AM$59,25)</f>
        <v>RDRT</v>
      </c>
      <c r="D31" s="821">
        <f t="shared" si="0"/>
        <v>0</v>
      </c>
      <c r="E31" s="764"/>
      <c r="G31" s="810" t="s">
        <v>2301</v>
      </c>
      <c r="H31" s="810" t="s">
        <v>355</v>
      </c>
      <c r="I31" s="810" t="s">
        <v>2302</v>
      </c>
      <c r="J31" s="810" t="s">
        <v>2238</v>
      </c>
      <c r="K31" s="810" t="s">
        <v>2245</v>
      </c>
      <c r="L31" s="811">
        <v>39955</v>
      </c>
      <c r="M31" s="812" t="s">
        <v>380</v>
      </c>
      <c r="N31" s="813">
        <v>2009</v>
      </c>
      <c r="O31" s="813">
        <v>2009</v>
      </c>
    </row>
    <row r="32" spans="1:15" ht="15.75" customHeight="1">
      <c r="A32" s="842" t="s">
        <v>2477</v>
      </c>
      <c r="B32" s="764" t="str">
        <f>VLOOKUP(A32,IFRCDB!$A$2:$AM$59,25)</f>
        <v/>
      </c>
      <c r="D32" s="821">
        <f t="shared" si="0"/>
        <v>0</v>
      </c>
      <c r="E32" s="764"/>
      <c r="G32" s="810" t="s">
        <v>1210</v>
      </c>
      <c r="H32" s="810" t="s">
        <v>1379</v>
      </c>
      <c r="I32" s="810" t="s">
        <v>2299</v>
      </c>
      <c r="J32" s="810" t="s">
        <v>2300</v>
      </c>
      <c r="K32" s="810" t="s">
        <v>2247</v>
      </c>
      <c r="L32" s="811">
        <v>39954</v>
      </c>
      <c r="M32" s="812" t="s">
        <v>380</v>
      </c>
      <c r="N32" s="813">
        <v>2009</v>
      </c>
      <c r="O32" s="813">
        <v>2009</v>
      </c>
    </row>
    <row r="33" spans="1:15" ht="15.75" customHeight="1">
      <c r="A33" s="840" t="s">
        <v>2483</v>
      </c>
      <c r="B33" s="764" t="str">
        <f>VLOOKUP(A33,IFRCDB!$A$2:$AM$59,25)</f>
        <v/>
      </c>
      <c r="D33" s="821">
        <f t="shared" si="0"/>
        <v>0</v>
      </c>
      <c r="E33" s="764"/>
      <c r="G33" s="810" t="s">
        <v>1210</v>
      </c>
      <c r="H33" s="810" t="s">
        <v>1116</v>
      </c>
      <c r="I33" s="810" t="s">
        <v>2264</v>
      </c>
      <c r="J33" s="810" t="s">
        <v>1963</v>
      </c>
      <c r="K33" s="810" t="s">
        <v>2247</v>
      </c>
      <c r="L33" s="811">
        <v>39639</v>
      </c>
      <c r="M33" s="812" t="s">
        <v>376</v>
      </c>
      <c r="N33" s="813">
        <v>2009</v>
      </c>
      <c r="O33" s="813">
        <v>2008</v>
      </c>
    </row>
    <row r="34" spans="1:15" ht="22.5" customHeight="1">
      <c r="A34" s="764" t="s">
        <v>117</v>
      </c>
      <c r="B34" s="764" t="str">
        <f>VLOOKUP(A34,IFRCDB!$A$2:$AM$59,25)</f>
        <v/>
      </c>
      <c r="D34" s="821">
        <f t="shared" ref="D34:D65" si="1">C34*1.09327</f>
        <v>0</v>
      </c>
      <c r="E34" s="764"/>
      <c r="G34" s="810" t="s">
        <v>2254</v>
      </c>
      <c r="H34" s="810" t="s">
        <v>1947</v>
      </c>
      <c r="I34" s="810" t="s">
        <v>2286</v>
      </c>
      <c r="J34" s="810" t="s">
        <v>2238</v>
      </c>
      <c r="K34" s="810" t="s">
        <v>2247</v>
      </c>
      <c r="L34" s="811">
        <v>39763</v>
      </c>
      <c r="M34" s="812" t="s">
        <v>378</v>
      </c>
      <c r="N34" s="813">
        <v>2009</v>
      </c>
      <c r="O34" s="813">
        <v>2008</v>
      </c>
    </row>
    <row r="35" spans="1:15" ht="15.75" customHeight="1">
      <c r="A35" s="764" t="s">
        <v>2481</v>
      </c>
      <c r="B35" s="764" t="str">
        <f>VLOOKUP(A35,IFRCDB!$A$2:$AM$59,25)</f>
        <v/>
      </c>
      <c r="D35" s="821">
        <f t="shared" si="1"/>
        <v>0</v>
      </c>
      <c r="E35" s="764"/>
      <c r="G35" s="810" t="s">
        <v>1210</v>
      </c>
      <c r="H35" s="810" t="s">
        <v>1562</v>
      </c>
      <c r="I35" s="810" t="s">
        <v>2270</v>
      </c>
      <c r="J35" s="810" t="s">
        <v>1273</v>
      </c>
      <c r="K35" s="810" t="s">
        <v>2259</v>
      </c>
      <c r="L35" s="811">
        <v>39667</v>
      </c>
      <c r="M35" s="812" t="s">
        <v>376</v>
      </c>
      <c r="N35" s="813">
        <v>2009</v>
      </c>
      <c r="O35" s="813">
        <v>2008</v>
      </c>
    </row>
    <row r="36" spans="1:15" ht="15.75" customHeight="1">
      <c r="A36" s="839" t="s">
        <v>80</v>
      </c>
      <c r="B36" s="764" t="str">
        <f>VLOOKUP(A36,IFRCDB!$A$2:$AM$59,25)</f>
        <v/>
      </c>
      <c r="C36" s="765">
        <v>10170233</v>
      </c>
      <c r="D36" s="821">
        <f t="shared" si="1"/>
        <v>11118810.63191</v>
      </c>
      <c r="E36" s="764"/>
      <c r="G36" s="810" t="s">
        <v>1210</v>
      </c>
      <c r="H36" s="810" t="s">
        <v>1562</v>
      </c>
      <c r="I36" s="810" t="s">
        <v>2292</v>
      </c>
      <c r="J36" s="810" t="s">
        <v>1963</v>
      </c>
      <c r="K36" s="810" t="s">
        <v>2247</v>
      </c>
      <c r="L36" s="811">
        <v>39805</v>
      </c>
      <c r="M36" s="812" t="s">
        <v>378</v>
      </c>
      <c r="N36" s="813">
        <v>2009</v>
      </c>
      <c r="O36" s="813">
        <v>2008</v>
      </c>
    </row>
    <row r="37" spans="1:15" ht="21.75" customHeight="1">
      <c r="A37" s="827"/>
      <c r="B37" s="764" t="e">
        <f>VLOOKUP(A37,IFRCDB!$A$2:$AM$59,25)</f>
        <v>#N/A</v>
      </c>
      <c r="D37" s="821">
        <f t="shared" si="1"/>
        <v>0</v>
      </c>
      <c r="E37" s="764"/>
      <c r="G37" s="810" t="s">
        <v>1210</v>
      </c>
      <c r="H37" s="810" t="s">
        <v>1210</v>
      </c>
      <c r="I37" s="826" t="s">
        <v>2295</v>
      </c>
      <c r="J37" s="810" t="s">
        <v>1963</v>
      </c>
      <c r="K37" s="810" t="s">
        <v>2247</v>
      </c>
      <c r="L37" s="811">
        <v>39910</v>
      </c>
      <c r="M37" s="812" t="s">
        <v>380</v>
      </c>
      <c r="N37" s="813">
        <v>2009</v>
      </c>
      <c r="O37" s="813">
        <v>2009</v>
      </c>
    </row>
    <row r="38" spans="1:15" ht="15.75" customHeight="1">
      <c r="A38" s="827"/>
      <c r="B38" s="764" t="e">
        <f>VLOOKUP(A38,IFRCDB!$A$2:$AM$59,25)</f>
        <v>#N/A</v>
      </c>
      <c r="D38" s="821">
        <f t="shared" si="1"/>
        <v>0</v>
      </c>
      <c r="E38" s="764"/>
      <c r="G38" s="810" t="s">
        <v>2240</v>
      </c>
      <c r="H38" s="810" t="s">
        <v>1005</v>
      </c>
      <c r="I38" s="810" t="s">
        <v>2241</v>
      </c>
      <c r="J38" s="810" t="s">
        <v>1273</v>
      </c>
      <c r="K38" s="810" t="s">
        <v>2242</v>
      </c>
      <c r="L38" s="811">
        <v>39490</v>
      </c>
      <c r="N38" s="813">
        <v>2008</v>
      </c>
      <c r="O38" s="813">
        <v>2008</v>
      </c>
    </row>
    <row r="39" spans="1:15" ht="15.75" customHeight="1">
      <c r="A39" s="827"/>
      <c r="B39" s="764" t="e">
        <f>VLOOKUP(A39,IFRCDB!$A$2:$AM$59,25)</f>
        <v>#N/A</v>
      </c>
      <c r="D39" s="821">
        <f t="shared" si="1"/>
        <v>0</v>
      </c>
      <c r="E39" s="764"/>
      <c r="G39" s="810" t="s">
        <v>2240</v>
      </c>
      <c r="H39" s="810" t="s">
        <v>1543</v>
      </c>
      <c r="I39" s="810" t="s">
        <v>2276</v>
      </c>
      <c r="J39" s="810" t="s">
        <v>2238</v>
      </c>
      <c r="K39" s="810" t="s">
        <v>2277</v>
      </c>
      <c r="L39" s="811">
        <v>39738</v>
      </c>
      <c r="M39" s="812" t="s">
        <v>378</v>
      </c>
      <c r="N39" s="813">
        <v>2009</v>
      </c>
      <c r="O39" s="813">
        <v>2008</v>
      </c>
    </row>
    <row r="40" spans="1:15" ht="15.75" customHeight="1">
      <c r="A40" s="827"/>
      <c r="B40" s="764" t="e">
        <f>VLOOKUP(A40,IFRCDB!$A$2:$AM$59,25)</f>
        <v>#N/A</v>
      </c>
      <c r="D40" s="821">
        <f t="shared" si="1"/>
        <v>0</v>
      </c>
      <c r="E40" s="764"/>
      <c r="G40" s="810" t="s">
        <v>2240</v>
      </c>
      <c r="H40" s="810" t="s">
        <v>2281</v>
      </c>
      <c r="I40" s="810" t="s">
        <v>1877</v>
      </c>
      <c r="J40" s="810" t="s">
        <v>2238</v>
      </c>
      <c r="K40" s="810" t="s">
        <v>2282</v>
      </c>
      <c r="L40" s="811">
        <v>39759</v>
      </c>
      <c r="M40" s="812" t="s">
        <v>378</v>
      </c>
      <c r="N40" s="813">
        <v>2009</v>
      </c>
      <c r="O40" s="813">
        <v>2008</v>
      </c>
    </row>
    <row r="41" spans="1:15" ht="15.75" customHeight="1">
      <c r="A41" s="841"/>
      <c r="B41" s="764" t="e">
        <f>VLOOKUP(A41,IFRCDB!$A$2:$AM$59,25)</f>
        <v>#N/A</v>
      </c>
      <c r="D41" s="821">
        <f t="shared" si="1"/>
        <v>0</v>
      </c>
      <c r="E41" s="764"/>
      <c r="G41" s="810" t="s">
        <v>2240</v>
      </c>
      <c r="H41" s="810" t="s">
        <v>195</v>
      </c>
      <c r="I41" s="810" t="s">
        <v>2283</v>
      </c>
      <c r="J41" s="810" t="s">
        <v>2238</v>
      </c>
      <c r="K41" s="810" t="s">
        <v>2284</v>
      </c>
      <c r="L41" s="811">
        <v>39762</v>
      </c>
      <c r="M41" s="812" t="s">
        <v>378</v>
      </c>
      <c r="N41" s="813">
        <v>2009</v>
      </c>
      <c r="O41" s="813">
        <v>2008</v>
      </c>
    </row>
    <row r="42" spans="1:15" ht="15.75" customHeight="1">
      <c r="A42" s="764" t="s">
        <v>2304</v>
      </c>
      <c r="B42" s="764">
        <f>VLOOKUP(A42,'Disaster Data'!$A$2:$BX$384,20)</f>
        <v>31000000</v>
      </c>
      <c r="C42" s="765">
        <v>805260</v>
      </c>
      <c r="D42" s="821">
        <f t="shared" si="1"/>
        <v>880366.60019999999</v>
      </c>
      <c r="E42" s="819">
        <v>0.22</v>
      </c>
      <c r="F42" s="821">
        <f t="shared" ref="F42:F73" si="2">D42*E42</f>
        <v>193680.65204399999</v>
      </c>
      <c r="G42" s="810" t="s">
        <v>1210</v>
      </c>
      <c r="H42" s="810" t="s">
        <v>2305</v>
      </c>
      <c r="I42" s="810" t="s">
        <v>2306</v>
      </c>
      <c r="J42" s="810" t="s">
        <v>2238</v>
      </c>
      <c r="K42" s="810" t="s">
        <v>2247</v>
      </c>
      <c r="L42" s="811">
        <v>40031</v>
      </c>
      <c r="M42" s="812" t="s">
        <v>376</v>
      </c>
      <c r="N42" s="813">
        <v>2010</v>
      </c>
      <c r="O42" s="813">
        <v>2009</v>
      </c>
    </row>
    <row r="43" spans="1:15" ht="15.75" customHeight="1">
      <c r="A43" s="764" t="s">
        <v>2307</v>
      </c>
      <c r="B43" s="764">
        <f>VLOOKUP(A43,'Disaster Data'!$A$2:$BX$384,20)</f>
        <v>31000000</v>
      </c>
      <c r="C43" s="765">
        <v>918563</v>
      </c>
      <c r="D43" s="821">
        <f t="shared" si="1"/>
        <v>1004237.37101</v>
      </c>
      <c r="E43" s="819">
        <v>1</v>
      </c>
      <c r="F43" s="821">
        <f t="shared" si="2"/>
        <v>1004237.37101</v>
      </c>
      <c r="G43" s="810" t="s">
        <v>1210</v>
      </c>
      <c r="H43" s="810" t="s">
        <v>2265</v>
      </c>
      <c r="I43" s="810" t="s">
        <v>2308</v>
      </c>
      <c r="J43" s="810" t="s">
        <v>1273</v>
      </c>
      <c r="K43" s="810" t="s">
        <v>2247</v>
      </c>
      <c r="L43" s="811">
        <v>40031</v>
      </c>
      <c r="M43" s="812" t="s">
        <v>376</v>
      </c>
      <c r="N43" s="813">
        <v>2010</v>
      </c>
      <c r="O43" s="813">
        <v>2009</v>
      </c>
    </row>
    <row r="44" spans="1:15" ht="15.75" customHeight="1">
      <c r="A44" s="764" t="s">
        <v>341</v>
      </c>
      <c r="B44" s="764">
        <f>VLOOKUP(A44,'Disaster Data'!$A$2:$BX$384,20)</f>
        <v>31000000</v>
      </c>
      <c r="C44" s="765">
        <v>3255615</v>
      </c>
      <c r="D44" s="821">
        <f t="shared" si="1"/>
        <v>3559266.21105</v>
      </c>
      <c r="E44" s="819">
        <v>0.49</v>
      </c>
      <c r="F44" s="821">
        <f t="shared" si="2"/>
        <v>1744040.4434145</v>
      </c>
      <c r="G44" s="810" t="s">
        <v>2240</v>
      </c>
      <c r="H44" s="810" t="s">
        <v>1608</v>
      </c>
      <c r="I44" s="810" t="s">
        <v>1874</v>
      </c>
      <c r="J44" s="810" t="s">
        <v>2238</v>
      </c>
      <c r="K44" s="810" t="s">
        <v>2309</v>
      </c>
      <c r="L44" s="811">
        <v>40051</v>
      </c>
      <c r="M44" s="812" t="s">
        <v>376</v>
      </c>
      <c r="N44" s="813">
        <v>2010</v>
      </c>
      <c r="O44" s="813">
        <v>2009</v>
      </c>
    </row>
    <row r="45" spans="1:15" ht="15.75" customHeight="1">
      <c r="A45" s="810" t="s">
        <v>2310</v>
      </c>
      <c r="B45" s="764">
        <f>VLOOKUP(A45,'Disaster Data'!$A$2:$BX$384,20)</f>
        <v>31000000</v>
      </c>
      <c r="C45" s="765">
        <v>1950241</v>
      </c>
      <c r="D45" s="821">
        <f t="shared" si="1"/>
        <v>2132139.9780699997</v>
      </c>
      <c r="E45" s="819">
        <v>0.12</v>
      </c>
      <c r="F45" s="821">
        <f t="shared" si="2"/>
        <v>255856.79736839994</v>
      </c>
      <c r="G45" s="810" t="s">
        <v>1210</v>
      </c>
      <c r="H45" s="810" t="s">
        <v>2311</v>
      </c>
      <c r="I45" s="810" t="s">
        <v>2312</v>
      </c>
      <c r="J45" s="810" t="s">
        <v>2238</v>
      </c>
      <c r="K45" s="810" t="s">
        <v>2247</v>
      </c>
      <c r="L45" s="811">
        <v>40058</v>
      </c>
      <c r="M45" s="812" t="s">
        <v>376</v>
      </c>
      <c r="N45" s="813">
        <v>2010</v>
      </c>
      <c r="O45" s="813">
        <v>2009</v>
      </c>
    </row>
    <row r="46" spans="1:15" ht="15.75" customHeight="1">
      <c r="A46" s="810" t="s">
        <v>2313</v>
      </c>
      <c r="B46" s="764">
        <f>VLOOKUP(A46,'Disaster Data'!$A$2:$BX$384,20)</f>
        <v>31000000</v>
      </c>
      <c r="C46" s="765">
        <v>3500000</v>
      </c>
      <c r="D46" s="821">
        <f t="shared" si="1"/>
        <v>3826445</v>
      </c>
      <c r="E46" s="819">
        <v>0.75</v>
      </c>
      <c r="F46" s="821">
        <f t="shared" si="2"/>
        <v>2869833.75</v>
      </c>
      <c r="G46" s="810" t="s">
        <v>1210</v>
      </c>
      <c r="H46" s="810" t="s">
        <v>1420</v>
      </c>
      <c r="I46" s="810" t="s">
        <v>2314</v>
      </c>
      <c r="J46" s="810" t="s">
        <v>2238</v>
      </c>
      <c r="K46" s="810" t="s">
        <v>2247</v>
      </c>
      <c r="L46" s="811">
        <v>40065</v>
      </c>
      <c r="M46" s="812" t="s">
        <v>376</v>
      </c>
      <c r="N46" s="813">
        <v>2010</v>
      </c>
      <c r="O46" s="813">
        <v>2009</v>
      </c>
    </row>
    <row r="47" spans="1:15" ht="15.75" customHeight="1">
      <c r="A47" s="810" t="s">
        <v>2315</v>
      </c>
      <c r="B47" s="764">
        <f>VLOOKUP(A47,'Disaster Data'!$A$2:$BX$384,20)</f>
        <v>31000000</v>
      </c>
      <c r="C47" s="765">
        <v>2100000</v>
      </c>
      <c r="D47" s="821">
        <f t="shared" si="1"/>
        <v>2295867</v>
      </c>
      <c r="E47" s="819">
        <v>0.49</v>
      </c>
      <c r="F47" s="821">
        <f t="shared" si="2"/>
        <v>1124974.83</v>
      </c>
      <c r="G47" s="810" t="s">
        <v>1210</v>
      </c>
      <c r="H47" s="810" t="s">
        <v>1902</v>
      </c>
      <c r="I47" s="810" t="s">
        <v>2316</v>
      </c>
      <c r="J47" s="810" t="s">
        <v>2238</v>
      </c>
      <c r="K47" s="810" t="s">
        <v>2247</v>
      </c>
      <c r="L47" s="811">
        <v>40065</v>
      </c>
      <c r="M47" s="812" t="s">
        <v>376</v>
      </c>
      <c r="N47" s="813">
        <v>2010</v>
      </c>
      <c r="O47" s="813">
        <v>2009</v>
      </c>
    </row>
    <row r="48" spans="1:15" ht="15.75" customHeight="1">
      <c r="A48" s="810" t="s">
        <v>40</v>
      </c>
      <c r="B48" s="764">
        <f>VLOOKUP(A48,'Disaster Data'!$A$2:$BX$384,20)</f>
        <v>31000000</v>
      </c>
      <c r="C48" s="765">
        <v>2056046</v>
      </c>
      <c r="D48" s="821">
        <f t="shared" si="1"/>
        <v>2247813.4104200001</v>
      </c>
      <c r="E48" s="819">
        <v>1</v>
      </c>
      <c r="F48" s="821">
        <f t="shared" si="2"/>
        <v>2247813.4104200001</v>
      </c>
      <c r="G48" s="810" t="s">
        <v>1210</v>
      </c>
      <c r="H48" s="810" t="s">
        <v>1605</v>
      </c>
      <c r="I48" s="810" t="s">
        <v>2317</v>
      </c>
      <c r="J48" s="810" t="s">
        <v>2238</v>
      </c>
      <c r="K48" s="810" t="s">
        <v>2247</v>
      </c>
      <c r="L48" s="811">
        <v>40073</v>
      </c>
      <c r="M48" s="812" t="s">
        <v>376</v>
      </c>
      <c r="N48" s="813">
        <v>2010</v>
      </c>
      <c r="O48" s="813">
        <v>2009</v>
      </c>
    </row>
    <row r="49" spans="1:15" ht="15.75" customHeight="1">
      <c r="A49" s="810" t="s">
        <v>2318</v>
      </c>
      <c r="B49" s="764">
        <f>VLOOKUP(A49,'Disaster Data'!$A$2:$BX$384,20)</f>
        <v>31000000</v>
      </c>
      <c r="C49" s="765">
        <v>12724570</v>
      </c>
      <c r="D49" s="821">
        <f t="shared" si="1"/>
        <v>13911390.6439</v>
      </c>
      <c r="E49" s="819">
        <v>0.87</v>
      </c>
      <c r="F49" s="821">
        <f t="shared" si="2"/>
        <v>12102909.860192999</v>
      </c>
      <c r="G49" s="810" t="s">
        <v>2254</v>
      </c>
      <c r="H49" s="810" t="s">
        <v>2026</v>
      </c>
      <c r="I49" s="810" t="s">
        <v>2319</v>
      </c>
      <c r="J49" s="810" t="s">
        <v>2238</v>
      </c>
      <c r="K49" s="810" t="s">
        <v>2247</v>
      </c>
      <c r="L49" s="811">
        <v>40084</v>
      </c>
      <c r="M49" s="812" t="s">
        <v>376</v>
      </c>
      <c r="N49" s="813">
        <v>2010</v>
      </c>
      <c r="O49" s="813">
        <v>2009</v>
      </c>
    </row>
    <row r="50" spans="1:15" ht="15.75" customHeight="1">
      <c r="A50" s="810" t="s">
        <v>2320</v>
      </c>
      <c r="B50" s="764">
        <f>VLOOKUP(A50,'Disaster Data'!$A$2:$BX$384,20)</f>
        <v>31000000</v>
      </c>
      <c r="C50" s="765">
        <v>4464332</v>
      </c>
      <c r="D50" s="821">
        <f t="shared" si="1"/>
        <v>4880720.2456399994</v>
      </c>
      <c r="E50" s="819">
        <v>1.01</v>
      </c>
      <c r="F50" s="821">
        <f t="shared" si="2"/>
        <v>4929527.4480963992</v>
      </c>
      <c r="G50" s="810" t="s">
        <v>2254</v>
      </c>
      <c r="H50" s="810" t="s">
        <v>1947</v>
      </c>
      <c r="I50" s="810" t="s">
        <v>2321</v>
      </c>
      <c r="J50" s="810" t="s">
        <v>2238</v>
      </c>
      <c r="K50" s="810" t="s">
        <v>2247</v>
      </c>
      <c r="L50" s="811">
        <v>40085</v>
      </c>
      <c r="M50" s="812" t="s">
        <v>376</v>
      </c>
      <c r="N50" s="813">
        <v>2010</v>
      </c>
      <c r="O50" s="813">
        <v>2009</v>
      </c>
    </row>
    <row r="51" spans="1:15" ht="15.75" customHeight="1">
      <c r="A51" s="810" t="s">
        <v>2322</v>
      </c>
      <c r="B51" s="764">
        <f>VLOOKUP(A51,'Disaster Data'!$A$2:$BX$384,20)</f>
        <v>31000000</v>
      </c>
      <c r="C51" s="765">
        <v>2506427</v>
      </c>
      <c r="D51" s="821">
        <f t="shared" si="1"/>
        <v>2740201.4462899999</v>
      </c>
      <c r="E51" s="819">
        <v>1.01</v>
      </c>
      <c r="F51" s="821">
        <f t="shared" si="2"/>
        <v>2767603.4607528998</v>
      </c>
      <c r="G51" s="810" t="s">
        <v>2254</v>
      </c>
      <c r="H51" s="810" t="s">
        <v>47</v>
      </c>
      <c r="I51" s="810" t="s">
        <v>2323</v>
      </c>
      <c r="J51" s="810" t="s">
        <v>2238</v>
      </c>
      <c r="K51" s="810" t="s">
        <v>2247</v>
      </c>
      <c r="L51" s="811">
        <v>40086</v>
      </c>
      <c r="M51" s="812" t="s">
        <v>376</v>
      </c>
      <c r="N51" s="813">
        <v>2010</v>
      </c>
      <c r="O51" s="813">
        <v>2009</v>
      </c>
    </row>
    <row r="52" spans="1:15" ht="15.75" customHeight="1">
      <c r="A52" s="810" t="s">
        <v>2324</v>
      </c>
      <c r="B52" s="764">
        <f>VLOOKUP(A52,'Disaster Data'!$A$2:$BX$384,20)</f>
        <v>31000000</v>
      </c>
      <c r="C52" s="765">
        <v>14219542</v>
      </c>
      <c r="D52" s="821">
        <f t="shared" si="1"/>
        <v>15545798.68234</v>
      </c>
      <c r="E52" s="819">
        <v>1.03</v>
      </c>
      <c r="F52" s="821">
        <f t="shared" si="2"/>
        <v>16012172.642810199</v>
      </c>
      <c r="G52" s="810" t="s">
        <v>2254</v>
      </c>
      <c r="H52" s="810" t="s">
        <v>1565</v>
      </c>
      <c r="I52" s="810" t="s">
        <v>2325</v>
      </c>
      <c r="J52" s="810" t="s">
        <v>1961</v>
      </c>
      <c r="K52" s="810" t="s">
        <v>2247</v>
      </c>
      <c r="L52" s="811">
        <v>40087</v>
      </c>
      <c r="M52" s="812" t="s">
        <v>378</v>
      </c>
      <c r="N52" s="813">
        <v>2010</v>
      </c>
      <c r="O52" s="813">
        <v>2009</v>
      </c>
    </row>
    <row r="53" spans="1:15" ht="15.75" customHeight="1">
      <c r="A53" s="810" t="s">
        <v>2326</v>
      </c>
      <c r="B53" s="764">
        <f>VLOOKUP(A53,'Disaster Data'!$A$2:$BX$384,20)</f>
        <v>31000000</v>
      </c>
      <c r="C53" s="765">
        <v>1124682</v>
      </c>
      <c r="D53" s="821">
        <f t="shared" si="1"/>
        <v>1229581.09014</v>
      </c>
      <c r="E53" s="819">
        <v>0.18</v>
      </c>
      <c r="F53" s="821">
        <f t="shared" si="2"/>
        <v>221324.59622519999</v>
      </c>
      <c r="G53" s="810" t="s">
        <v>1210</v>
      </c>
      <c r="H53" s="810" t="s">
        <v>1532</v>
      </c>
      <c r="I53" s="810" t="s">
        <v>2327</v>
      </c>
      <c r="J53" s="810" t="s">
        <v>2238</v>
      </c>
      <c r="K53" s="810" t="s">
        <v>2247</v>
      </c>
      <c r="L53" s="811">
        <v>40099</v>
      </c>
      <c r="M53" s="812" t="s">
        <v>378</v>
      </c>
      <c r="N53" s="813">
        <v>2010</v>
      </c>
      <c r="O53" s="813">
        <v>2009</v>
      </c>
    </row>
    <row r="54" spans="1:15" ht="15.75" customHeight="1">
      <c r="A54" s="810" t="s">
        <v>2328</v>
      </c>
      <c r="B54" s="764">
        <f>VLOOKUP(A54,'Disaster Data'!$A$2:$BX$384,20)</f>
        <v>31000000</v>
      </c>
      <c r="C54" s="765">
        <v>1680178</v>
      </c>
      <c r="D54" s="821">
        <f t="shared" si="1"/>
        <v>1836888.20206</v>
      </c>
      <c r="E54" s="819">
        <v>0.92</v>
      </c>
      <c r="F54" s="821">
        <f t="shared" si="2"/>
        <v>1689937.1458952001</v>
      </c>
      <c r="G54" s="810" t="s">
        <v>2250</v>
      </c>
      <c r="H54" s="810" t="s">
        <v>1641</v>
      </c>
      <c r="I54" s="810" t="s">
        <v>2329</v>
      </c>
      <c r="J54" s="810" t="s">
        <v>2238</v>
      </c>
      <c r="K54" s="810" t="s">
        <v>2247</v>
      </c>
      <c r="L54" s="811">
        <v>40126</v>
      </c>
      <c r="M54" s="812" t="s">
        <v>378</v>
      </c>
      <c r="N54" s="813">
        <v>2010</v>
      </c>
      <c r="O54" s="813">
        <v>2009</v>
      </c>
    </row>
    <row r="55" spans="1:15" ht="15.75" customHeight="1">
      <c r="A55" s="810" t="s">
        <v>2330</v>
      </c>
      <c r="B55" s="764">
        <f>VLOOKUP(A55,'Disaster Data'!$A$2:$BX$384,20)</f>
        <v>31000000</v>
      </c>
      <c r="C55" s="765">
        <v>4649445</v>
      </c>
      <c r="D55" s="821">
        <f t="shared" si="1"/>
        <v>5083098.7351500001</v>
      </c>
      <c r="E55" s="819">
        <v>0.95</v>
      </c>
      <c r="F55" s="821">
        <f t="shared" si="2"/>
        <v>4828943.7983924998</v>
      </c>
      <c r="G55" s="810" t="s">
        <v>2331</v>
      </c>
      <c r="H55" s="810" t="s">
        <v>1608</v>
      </c>
      <c r="I55" s="810" t="s">
        <v>2332</v>
      </c>
      <c r="J55" s="810" t="s">
        <v>1273</v>
      </c>
      <c r="K55" s="810" t="s">
        <v>2247</v>
      </c>
      <c r="L55" s="811">
        <v>40179</v>
      </c>
      <c r="M55" s="812" t="s">
        <v>379</v>
      </c>
      <c r="N55" s="813">
        <v>2010</v>
      </c>
      <c r="O55" s="813">
        <v>2010</v>
      </c>
    </row>
    <row r="56" spans="1:15" ht="15.75" customHeight="1">
      <c r="A56" s="810" t="s">
        <v>2333</v>
      </c>
      <c r="B56" s="764">
        <f>VLOOKUP(A56,'Disaster Data'!$A$2:$BX$384,20)</f>
        <v>31000000</v>
      </c>
      <c r="C56" s="765">
        <v>247279612</v>
      </c>
      <c r="D56" s="821">
        <f t="shared" si="1"/>
        <v>270343381.41123998</v>
      </c>
      <c r="E56" s="819">
        <v>0.94</v>
      </c>
      <c r="F56" s="821">
        <f t="shared" si="2"/>
        <v>254122778.52656558</v>
      </c>
      <c r="G56" s="810" t="s">
        <v>2250</v>
      </c>
      <c r="H56" s="810" t="s">
        <v>2334</v>
      </c>
      <c r="I56" s="810" t="s">
        <v>2335</v>
      </c>
      <c r="J56" s="810" t="s">
        <v>1961</v>
      </c>
      <c r="K56" s="810" t="s">
        <v>2247</v>
      </c>
      <c r="L56" s="811">
        <v>40191</v>
      </c>
      <c r="M56" s="812" t="s">
        <v>379</v>
      </c>
      <c r="N56" s="813">
        <v>2010</v>
      </c>
      <c r="O56" s="813">
        <v>2010</v>
      </c>
    </row>
    <row r="57" spans="1:15" ht="15.75" customHeight="1">
      <c r="A57" s="810" t="s">
        <v>2336</v>
      </c>
      <c r="B57" s="764">
        <f>VLOOKUP(A57,'Disaster Data'!$A$2:$BX$384,20)</f>
        <v>31000000</v>
      </c>
      <c r="C57" s="765">
        <v>923594</v>
      </c>
      <c r="D57" s="821">
        <f t="shared" si="1"/>
        <v>1009737.6123799999</v>
      </c>
      <c r="E57" s="819">
        <v>0.9</v>
      </c>
      <c r="F57" s="821">
        <f t="shared" si="2"/>
        <v>908763.85114199994</v>
      </c>
      <c r="G57" s="810" t="s">
        <v>1210</v>
      </c>
      <c r="H57" s="810" t="s">
        <v>1379</v>
      </c>
      <c r="I57" s="810" t="s">
        <v>2337</v>
      </c>
      <c r="J57" s="810" t="s">
        <v>2238</v>
      </c>
      <c r="K57" s="810" t="s">
        <v>2247</v>
      </c>
      <c r="L57" s="811">
        <v>40198</v>
      </c>
      <c r="M57" s="812" t="s">
        <v>379</v>
      </c>
      <c r="N57" s="813">
        <v>2010</v>
      </c>
      <c r="O57" s="813">
        <v>2010</v>
      </c>
    </row>
    <row r="58" spans="1:15" ht="15.75" customHeight="1">
      <c r="A58" s="810" t="s">
        <v>2338</v>
      </c>
      <c r="B58" s="764">
        <f>VLOOKUP(A58,'Disaster Data'!$A$2:$BX$384,20)</f>
        <v>31000000</v>
      </c>
      <c r="C58" s="765">
        <v>30579088</v>
      </c>
      <c r="D58" s="821">
        <f t="shared" si="1"/>
        <v>33431199.537760001</v>
      </c>
      <c r="E58" s="819">
        <v>0.17</v>
      </c>
      <c r="F58" s="821">
        <f t="shared" si="2"/>
        <v>5683303.9214192005</v>
      </c>
      <c r="G58" s="810" t="s">
        <v>1210</v>
      </c>
      <c r="H58" s="810" t="s">
        <v>2339</v>
      </c>
      <c r="I58" s="810" t="s">
        <v>2340</v>
      </c>
      <c r="J58" s="810" t="s">
        <v>2238</v>
      </c>
      <c r="K58" s="810" t="s">
        <v>2247</v>
      </c>
      <c r="L58" s="811">
        <v>40214</v>
      </c>
      <c r="M58" s="812" t="s">
        <v>379</v>
      </c>
      <c r="N58" s="813">
        <v>2010</v>
      </c>
      <c r="O58" s="813">
        <v>2010</v>
      </c>
    </row>
    <row r="59" spans="1:15" ht="15.75" customHeight="1">
      <c r="A59" s="810" t="s">
        <v>2341</v>
      </c>
      <c r="B59" s="764">
        <f>VLOOKUP(A59,'Disaster Data'!$A$2:$BX$384,20)</f>
        <v>31000000</v>
      </c>
      <c r="C59" s="765">
        <v>16075870</v>
      </c>
      <c r="D59" s="821">
        <f t="shared" si="1"/>
        <v>17575266.394899998</v>
      </c>
      <c r="E59" s="819">
        <v>0.93</v>
      </c>
      <c r="F59" s="821">
        <f t="shared" si="2"/>
        <v>16344997.747256998</v>
      </c>
      <c r="G59" s="810" t="s">
        <v>2250</v>
      </c>
      <c r="H59" s="810" t="s">
        <v>2342</v>
      </c>
      <c r="I59" s="810" t="s">
        <v>2342</v>
      </c>
      <c r="J59" s="810" t="s">
        <v>1961</v>
      </c>
      <c r="K59" s="810" t="s">
        <v>2247</v>
      </c>
      <c r="L59" s="811">
        <v>40239</v>
      </c>
      <c r="M59" s="812" t="s">
        <v>379</v>
      </c>
      <c r="N59" s="813">
        <v>2010</v>
      </c>
      <c r="O59" s="813">
        <v>2010</v>
      </c>
    </row>
    <row r="60" spans="1:15" ht="15.75" customHeight="1">
      <c r="A60" s="810" t="s">
        <v>2343</v>
      </c>
      <c r="B60" s="764">
        <f>VLOOKUP(A60,'Disaster Data'!$A$2:$BX$384,20)</f>
        <v>31000000</v>
      </c>
      <c r="C60" s="765">
        <v>3670686</v>
      </c>
      <c r="D60" s="821">
        <f t="shared" si="1"/>
        <v>4013050.8832199997</v>
      </c>
      <c r="E60" s="819">
        <v>0.54</v>
      </c>
      <c r="F60" s="821">
        <f t="shared" si="2"/>
        <v>2167047.4769388</v>
      </c>
      <c r="G60" s="810" t="s">
        <v>1210</v>
      </c>
      <c r="H60" s="810" t="s">
        <v>2344</v>
      </c>
      <c r="I60" s="810" t="s">
        <v>2345</v>
      </c>
      <c r="J60" s="810" t="s">
        <v>1273</v>
      </c>
      <c r="K60" s="810" t="s">
        <v>2247</v>
      </c>
      <c r="L60" s="811">
        <v>40255</v>
      </c>
      <c r="M60" s="812" t="s">
        <v>379</v>
      </c>
      <c r="N60" s="813">
        <v>2010</v>
      </c>
      <c r="O60" s="813">
        <v>2010</v>
      </c>
    </row>
    <row r="61" spans="1:15" ht="15.75" customHeight="1">
      <c r="A61" s="810" t="s">
        <v>2346</v>
      </c>
      <c r="B61" s="764">
        <f>VLOOKUP(A61,'Disaster Data'!$A$2:$BX$384,20)</f>
        <v>31000000</v>
      </c>
      <c r="C61" s="765">
        <v>1312670</v>
      </c>
      <c r="D61" s="821">
        <f t="shared" si="1"/>
        <v>1435102.7308999998</v>
      </c>
      <c r="E61" s="819">
        <v>1</v>
      </c>
      <c r="F61" s="821">
        <f t="shared" si="2"/>
        <v>1435102.7308999998</v>
      </c>
      <c r="G61" s="810" t="s">
        <v>2254</v>
      </c>
      <c r="H61" s="810" t="s">
        <v>2347</v>
      </c>
      <c r="I61" s="810" t="s">
        <v>2348</v>
      </c>
      <c r="J61" s="810" t="s">
        <v>2238</v>
      </c>
      <c r="K61" s="810" t="s">
        <v>2247</v>
      </c>
      <c r="L61" s="811">
        <v>40266</v>
      </c>
      <c r="M61" s="812" t="s">
        <v>379</v>
      </c>
      <c r="N61" s="813">
        <v>2010</v>
      </c>
      <c r="O61" s="813">
        <v>2010</v>
      </c>
    </row>
    <row r="62" spans="1:15" ht="15.75" customHeight="1">
      <c r="A62" s="810" t="s">
        <v>2349</v>
      </c>
      <c r="B62" s="764">
        <f>VLOOKUP(A62,'Disaster Data'!$A$2:$BX$384,20)</f>
        <v>31000000</v>
      </c>
      <c r="C62" s="765">
        <v>6170000</v>
      </c>
      <c r="D62" s="821">
        <f t="shared" si="1"/>
        <v>6745475.8999999994</v>
      </c>
      <c r="E62" s="819">
        <v>0.98</v>
      </c>
      <c r="F62" s="821">
        <f t="shared" si="2"/>
        <v>6610566.3819999993</v>
      </c>
      <c r="G62" s="810" t="s">
        <v>2254</v>
      </c>
      <c r="H62" s="810" t="s">
        <v>1637</v>
      </c>
      <c r="I62" s="810" t="s">
        <v>2350</v>
      </c>
      <c r="J62" s="810" t="s">
        <v>1273</v>
      </c>
      <c r="K62" s="810" t="s">
        <v>2247</v>
      </c>
      <c r="L62" s="811">
        <v>40280</v>
      </c>
      <c r="M62" s="812" t="s">
        <v>380</v>
      </c>
      <c r="N62" s="813">
        <v>2010</v>
      </c>
      <c r="O62" s="813">
        <v>2010</v>
      </c>
    </row>
    <row r="63" spans="1:15" ht="15.75" customHeight="1">
      <c r="A63" s="810" t="s">
        <v>2351</v>
      </c>
      <c r="B63" s="764">
        <f>VLOOKUP(A63,'Disaster Data'!$A$2:$BX$384,20)</f>
        <v>31000000</v>
      </c>
      <c r="C63" s="765">
        <v>1252369</v>
      </c>
      <c r="D63" s="821">
        <f t="shared" si="1"/>
        <v>1369177.4566299999</v>
      </c>
      <c r="E63" s="819">
        <v>0.84</v>
      </c>
      <c r="F63" s="821">
        <f t="shared" si="2"/>
        <v>1150109.0635692</v>
      </c>
      <c r="G63" s="810" t="s">
        <v>1210</v>
      </c>
      <c r="H63" s="810" t="s">
        <v>2352</v>
      </c>
      <c r="I63" s="810" t="s">
        <v>2353</v>
      </c>
      <c r="J63" s="810" t="s">
        <v>1273</v>
      </c>
      <c r="K63" s="810" t="s">
        <v>2247</v>
      </c>
      <c r="L63" s="811">
        <v>40294</v>
      </c>
      <c r="M63" s="812" t="s">
        <v>380</v>
      </c>
      <c r="N63" s="813">
        <v>2010</v>
      </c>
      <c r="O63" s="813">
        <v>2010</v>
      </c>
    </row>
    <row r="64" spans="1:15" ht="15.75" customHeight="1">
      <c r="A64" s="810" t="s">
        <v>2354</v>
      </c>
      <c r="B64" s="764">
        <f>VLOOKUP(A64,'Disaster Data'!$A$2:$BX$384,20)</f>
        <v>31000000</v>
      </c>
      <c r="C64" s="765">
        <v>738960</v>
      </c>
      <c r="D64" s="821">
        <f t="shared" si="1"/>
        <v>807882.79920000001</v>
      </c>
      <c r="E64" s="819">
        <v>0.59</v>
      </c>
      <c r="F64" s="821">
        <f t="shared" si="2"/>
        <v>476650.85152799997</v>
      </c>
      <c r="G64" s="810" t="s">
        <v>2254</v>
      </c>
      <c r="H64" s="810" t="s">
        <v>2355</v>
      </c>
      <c r="I64" s="810" t="s">
        <v>2356</v>
      </c>
      <c r="J64" s="810" t="s">
        <v>1963</v>
      </c>
      <c r="K64" s="810" t="s">
        <v>2247</v>
      </c>
      <c r="L64" s="811">
        <v>40311</v>
      </c>
      <c r="M64" s="812" t="s">
        <v>380</v>
      </c>
      <c r="N64" s="813">
        <v>2010</v>
      </c>
      <c r="O64" s="813">
        <v>2010</v>
      </c>
    </row>
    <row r="65" spans="1:15" ht="15.75" customHeight="1">
      <c r="A65" s="810" t="s">
        <v>2357</v>
      </c>
      <c r="B65" s="764">
        <f>VLOOKUP(A65,'Disaster Data'!$A$2:$BX$384,20)</f>
        <v>31000000</v>
      </c>
      <c r="C65" s="765">
        <v>8757898</v>
      </c>
      <c r="D65" s="821">
        <f t="shared" si="1"/>
        <v>9574747.1464600004</v>
      </c>
      <c r="E65" s="819">
        <v>0.27</v>
      </c>
      <c r="F65" s="821">
        <f t="shared" si="2"/>
        <v>2585181.7295442005</v>
      </c>
      <c r="G65" s="810" t="s">
        <v>1210</v>
      </c>
      <c r="H65" s="810" t="s">
        <v>2358</v>
      </c>
      <c r="I65" s="810" t="s">
        <v>2359</v>
      </c>
      <c r="J65" s="810" t="s">
        <v>2238</v>
      </c>
      <c r="K65" s="810" t="s">
        <v>2247</v>
      </c>
      <c r="L65" s="811">
        <v>40312</v>
      </c>
      <c r="M65" s="812" t="s">
        <v>380</v>
      </c>
      <c r="N65" s="813">
        <v>2010</v>
      </c>
      <c r="O65" s="813">
        <v>2010</v>
      </c>
    </row>
    <row r="66" spans="1:15" ht="15.75" customHeight="1">
      <c r="A66" s="810" t="s">
        <v>2360</v>
      </c>
      <c r="B66" s="764">
        <f>VLOOKUP(A66,'Disaster Data'!$A$2:$BX$384,20)</f>
        <v>31000000</v>
      </c>
      <c r="C66" s="765">
        <v>1286382</v>
      </c>
      <c r="D66" s="821">
        <f t="shared" ref="D66:D97" si="3">C66*1.09327</f>
        <v>1406362.8491400001</v>
      </c>
      <c r="E66" s="819">
        <v>1.03</v>
      </c>
      <c r="F66" s="821">
        <f t="shared" si="2"/>
        <v>1448553.7346142002</v>
      </c>
      <c r="G66" s="810" t="s">
        <v>2250</v>
      </c>
      <c r="H66" s="810" t="s">
        <v>2361</v>
      </c>
      <c r="I66" s="810" t="s">
        <v>2362</v>
      </c>
      <c r="J66" s="810" t="s">
        <v>2238</v>
      </c>
      <c r="K66" s="810" t="s">
        <v>2247</v>
      </c>
      <c r="L66" s="811">
        <v>40330</v>
      </c>
      <c r="M66" s="812" t="s">
        <v>380</v>
      </c>
      <c r="N66" s="813">
        <v>2010</v>
      </c>
      <c r="O66" s="813">
        <v>2010</v>
      </c>
    </row>
    <row r="67" spans="1:15" ht="15.75" customHeight="1">
      <c r="A67" s="810" t="s">
        <v>2363</v>
      </c>
      <c r="B67" s="764">
        <f>VLOOKUP(A67,'Disaster Data'!$A$2:$BX$384,20)</f>
        <v>31000000</v>
      </c>
      <c r="C67" s="765">
        <v>1166159</v>
      </c>
      <c r="D67" s="821">
        <f t="shared" si="3"/>
        <v>1274926.6499300001</v>
      </c>
      <c r="E67" s="819">
        <v>0.96</v>
      </c>
      <c r="F67" s="821">
        <f t="shared" si="2"/>
        <v>1223929.5839328</v>
      </c>
      <c r="G67" s="810" t="s">
        <v>2301</v>
      </c>
      <c r="H67" s="810" t="s">
        <v>2364</v>
      </c>
      <c r="I67" s="810" t="s">
        <v>2365</v>
      </c>
      <c r="J67" s="810" t="s">
        <v>1273</v>
      </c>
      <c r="K67" s="810" t="s">
        <v>2247</v>
      </c>
      <c r="L67" s="811">
        <v>40344</v>
      </c>
      <c r="M67" s="812" t="s">
        <v>380</v>
      </c>
      <c r="N67" s="813">
        <v>2010</v>
      </c>
      <c r="O67" s="813">
        <v>2010</v>
      </c>
    </row>
    <row r="68" spans="1:15" ht="15.75" customHeight="1">
      <c r="A68" s="810" t="s">
        <v>2366</v>
      </c>
      <c r="B68" s="764">
        <f>VLOOKUP(A68,'Disaster Data'!$A$2:$BX$384,20)</f>
        <v>31000000</v>
      </c>
      <c r="C68" s="765">
        <v>965069</v>
      </c>
      <c r="D68" s="821">
        <f t="shared" si="3"/>
        <v>1055080.98563</v>
      </c>
      <c r="E68" s="819">
        <v>0.46</v>
      </c>
      <c r="F68" s="821">
        <f t="shared" si="2"/>
        <v>485337.25338980003</v>
      </c>
      <c r="G68" s="810" t="s">
        <v>2301</v>
      </c>
      <c r="H68" s="810" t="s">
        <v>2367</v>
      </c>
      <c r="I68" s="810" t="s">
        <v>2368</v>
      </c>
      <c r="J68" s="810" t="s">
        <v>1273</v>
      </c>
      <c r="K68" s="810" t="s">
        <v>2247</v>
      </c>
      <c r="L68" s="811">
        <v>40374</v>
      </c>
      <c r="M68" s="812" t="s">
        <v>376</v>
      </c>
      <c r="N68" s="813">
        <v>2011</v>
      </c>
      <c r="O68" s="813">
        <v>2010</v>
      </c>
    </row>
    <row r="69" spans="1:15" ht="15.75" customHeight="1">
      <c r="A69" s="810" t="s">
        <v>2369</v>
      </c>
      <c r="B69" s="764">
        <f>VLOOKUP(A69,'Disaster Data'!$A$2:$BX$384,20)</f>
        <v>31000000</v>
      </c>
      <c r="C69" s="765">
        <v>130673677</v>
      </c>
      <c r="D69" s="821">
        <f t="shared" si="3"/>
        <v>142861610.85378999</v>
      </c>
      <c r="E69" s="819">
        <v>0.71</v>
      </c>
      <c r="F69" s="821">
        <f t="shared" si="2"/>
        <v>101431743.70619088</v>
      </c>
      <c r="G69" s="810" t="s">
        <v>2254</v>
      </c>
      <c r="H69" s="810" t="s">
        <v>1668</v>
      </c>
      <c r="I69" s="810" t="s">
        <v>2370</v>
      </c>
      <c r="J69" s="810" t="s">
        <v>2238</v>
      </c>
      <c r="K69" s="810" t="s">
        <v>2247</v>
      </c>
      <c r="L69" s="811">
        <v>40392</v>
      </c>
      <c r="M69" s="812" t="s">
        <v>376</v>
      </c>
      <c r="N69" s="813">
        <v>2011</v>
      </c>
      <c r="O69" s="813">
        <v>2010</v>
      </c>
    </row>
    <row r="70" spans="1:15" ht="15.75" customHeight="1">
      <c r="A70" s="810" t="s">
        <v>2371</v>
      </c>
      <c r="B70" s="764">
        <f>VLOOKUP(A70,'Disaster Data'!$A$2:$BX$384,20)</f>
        <v>31000000</v>
      </c>
      <c r="C70" s="765">
        <v>1283953</v>
      </c>
      <c r="D70" s="821">
        <f t="shared" si="3"/>
        <v>1403707.2963099999</v>
      </c>
      <c r="E70" s="819">
        <v>0.27</v>
      </c>
      <c r="F70" s="821">
        <f t="shared" si="2"/>
        <v>379000.9700037</v>
      </c>
      <c r="G70" s="810" t="s">
        <v>1210</v>
      </c>
      <c r="H70" s="810" t="s">
        <v>687</v>
      </c>
      <c r="I70" s="810" t="s">
        <v>2372</v>
      </c>
      <c r="J70" s="810" t="s">
        <v>2238</v>
      </c>
      <c r="K70" s="810" t="s">
        <v>2247</v>
      </c>
      <c r="L70" s="811">
        <v>40459</v>
      </c>
      <c r="M70" s="812" t="s">
        <v>378</v>
      </c>
      <c r="N70" s="813">
        <v>2011</v>
      </c>
      <c r="O70" s="813">
        <v>2010</v>
      </c>
    </row>
    <row r="71" spans="1:15" ht="15.75" customHeight="1">
      <c r="A71" s="810" t="s">
        <v>2373</v>
      </c>
      <c r="B71" s="764">
        <f>VLOOKUP(A71,'Disaster Data'!$A$2:$BX$384,20)</f>
        <v>31000000</v>
      </c>
      <c r="C71" s="765">
        <v>2803535</v>
      </c>
      <c r="D71" s="821">
        <f t="shared" si="3"/>
        <v>3065020.70945</v>
      </c>
      <c r="E71" s="819">
        <v>0.2</v>
      </c>
      <c r="F71" s="821">
        <f t="shared" si="2"/>
        <v>613004.14188999997</v>
      </c>
      <c r="G71" s="810" t="s">
        <v>1210</v>
      </c>
      <c r="H71" s="810" t="s">
        <v>1420</v>
      </c>
      <c r="I71" s="810" t="s">
        <v>2374</v>
      </c>
      <c r="J71" s="810" t="s">
        <v>2238</v>
      </c>
      <c r="K71" s="810" t="s">
        <v>2247</v>
      </c>
      <c r="L71" s="811">
        <v>40462</v>
      </c>
      <c r="M71" s="812" t="s">
        <v>378</v>
      </c>
      <c r="N71" s="813">
        <v>2011</v>
      </c>
      <c r="O71" s="813">
        <v>2010</v>
      </c>
    </row>
    <row r="72" spans="1:15" ht="15.75" customHeight="1">
      <c r="A72" s="810" t="s">
        <v>2375</v>
      </c>
      <c r="B72" s="764">
        <f>VLOOKUP(A72,'Disaster Data'!$A$2:$BX$384,20)</f>
        <v>31000000</v>
      </c>
      <c r="C72" s="765">
        <v>1070620</v>
      </c>
      <c r="D72" s="821">
        <f t="shared" si="3"/>
        <v>1170476.7274</v>
      </c>
      <c r="E72" s="819">
        <v>0.99</v>
      </c>
      <c r="F72" s="821">
        <f t="shared" si="2"/>
        <v>1158771.960126</v>
      </c>
      <c r="G72" s="810" t="s">
        <v>2254</v>
      </c>
      <c r="H72" s="810" t="s">
        <v>1947</v>
      </c>
      <c r="I72" s="810" t="s">
        <v>2376</v>
      </c>
      <c r="J72" s="810" t="s">
        <v>2238</v>
      </c>
      <c r="K72" s="810" t="s">
        <v>2247</v>
      </c>
      <c r="L72" s="811">
        <v>40469</v>
      </c>
      <c r="M72" s="812" t="s">
        <v>378</v>
      </c>
      <c r="N72" s="813">
        <v>2011</v>
      </c>
      <c r="O72" s="813">
        <v>2010</v>
      </c>
    </row>
    <row r="73" spans="1:15" ht="15.75" customHeight="1">
      <c r="A73" s="810" t="s">
        <v>2377</v>
      </c>
      <c r="B73" s="764">
        <f>VLOOKUP(A73,'Disaster Data'!$A$2:$BX$384,20)</f>
        <v>31000000</v>
      </c>
      <c r="C73" s="765">
        <v>2318437</v>
      </c>
      <c r="D73" s="821">
        <f t="shared" si="3"/>
        <v>2534677.6189899999</v>
      </c>
      <c r="E73" s="819">
        <v>0.24</v>
      </c>
      <c r="F73" s="821">
        <f t="shared" si="2"/>
        <v>608322.62855759996</v>
      </c>
      <c r="G73" s="810" t="s">
        <v>1210</v>
      </c>
      <c r="H73" s="810" t="s">
        <v>1992</v>
      </c>
      <c r="I73" s="810" t="s">
        <v>2378</v>
      </c>
      <c r="J73" s="810" t="s">
        <v>2238</v>
      </c>
      <c r="K73" s="810" t="s">
        <v>2247</v>
      </c>
      <c r="L73" s="811">
        <v>40476</v>
      </c>
      <c r="M73" s="812" t="s">
        <v>378</v>
      </c>
      <c r="N73" s="813">
        <v>2011</v>
      </c>
      <c r="O73" s="813">
        <v>2010</v>
      </c>
    </row>
    <row r="74" spans="1:15" ht="15.75" customHeight="1">
      <c r="A74" s="810" t="s">
        <v>2379</v>
      </c>
      <c r="B74" s="764">
        <f>VLOOKUP(A74,'Disaster Data'!$A$2:$BX$384,20)</f>
        <v>31000000</v>
      </c>
      <c r="C74" s="765">
        <v>4183640</v>
      </c>
      <c r="D74" s="821">
        <f t="shared" si="3"/>
        <v>4573848.1027999995</v>
      </c>
      <c r="E74" s="819">
        <v>0.67</v>
      </c>
      <c r="F74" s="821">
        <f t="shared" ref="F74:F105" si="4">D74*E74</f>
        <v>3064478.2288759998</v>
      </c>
      <c r="G74" s="810" t="s">
        <v>2254</v>
      </c>
      <c r="H74" s="810" t="s">
        <v>2026</v>
      </c>
      <c r="I74" s="810" t="s">
        <v>2380</v>
      </c>
      <c r="J74" s="810" t="s">
        <v>2238</v>
      </c>
      <c r="K74" s="810" t="s">
        <v>2247</v>
      </c>
      <c r="L74" s="811">
        <v>40477</v>
      </c>
      <c r="M74" s="812" t="s">
        <v>378</v>
      </c>
      <c r="N74" s="813">
        <v>2011</v>
      </c>
      <c r="O74" s="813">
        <v>2010</v>
      </c>
    </row>
    <row r="75" spans="1:15" ht="15.75" customHeight="1">
      <c r="A75" s="810" t="s">
        <v>2381</v>
      </c>
      <c r="B75" s="764">
        <f>VLOOKUP(A75,'Disaster Data'!$A$2:$BX$384,20)</f>
        <v>31000000</v>
      </c>
      <c r="C75" s="765">
        <v>1045054</v>
      </c>
      <c r="D75" s="821">
        <f t="shared" si="3"/>
        <v>1142526.18658</v>
      </c>
      <c r="E75" s="819">
        <v>0.66</v>
      </c>
      <c r="F75" s="821">
        <f t="shared" si="4"/>
        <v>754067.28314279998</v>
      </c>
      <c r="G75" s="810" t="s">
        <v>2250</v>
      </c>
      <c r="H75" s="810" t="s">
        <v>2382</v>
      </c>
      <c r="I75" s="810" t="s">
        <v>2383</v>
      </c>
      <c r="J75" s="810" t="s">
        <v>2238</v>
      </c>
      <c r="K75" s="810" t="s">
        <v>2247</v>
      </c>
      <c r="L75" s="811">
        <v>40484</v>
      </c>
      <c r="M75" s="812" t="s">
        <v>378</v>
      </c>
      <c r="N75" s="813">
        <v>2011</v>
      </c>
      <c r="O75" s="813">
        <v>2010</v>
      </c>
    </row>
    <row r="76" spans="1:15" ht="15.75" customHeight="1">
      <c r="A76" s="810" t="s">
        <v>2384</v>
      </c>
      <c r="B76" s="764">
        <f>VLOOKUP(A76,'Disaster Data'!$A$2:$BX$384,20)</f>
        <v>31000000</v>
      </c>
      <c r="C76" s="765">
        <v>11486804</v>
      </c>
      <c r="D76" s="821">
        <f t="shared" si="3"/>
        <v>12558178.209079999</v>
      </c>
      <c r="E76" s="819">
        <v>0.81</v>
      </c>
      <c r="F76" s="821">
        <f t="shared" si="4"/>
        <v>10172124.3493548</v>
      </c>
      <c r="G76" s="810" t="s">
        <v>2250</v>
      </c>
      <c r="H76" s="810" t="s">
        <v>2385</v>
      </c>
      <c r="I76" s="810" t="s">
        <v>2386</v>
      </c>
      <c r="J76" s="810" t="s">
        <v>1639</v>
      </c>
      <c r="K76" s="810" t="s">
        <v>2247</v>
      </c>
      <c r="L76" s="811">
        <v>40485</v>
      </c>
      <c r="M76" s="812" t="s">
        <v>378</v>
      </c>
      <c r="N76" s="813">
        <v>2011</v>
      </c>
      <c r="O76" s="813">
        <v>2010</v>
      </c>
    </row>
    <row r="77" spans="1:15" ht="15.75" customHeight="1">
      <c r="A77" s="810" t="s">
        <v>2387</v>
      </c>
      <c r="B77" s="764">
        <f>VLOOKUP(A77,'Disaster Data'!$A$2:$BX$384,20)</f>
        <v>31000000</v>
      </c>
      <c r="C77" s="765">
        <v>5038981</v>
      </c>
      <c r="D77" s="821">
        <f t="shared" si="3"/>
        <v>5508966.7578699999</v>
      </c>
      <c r="E77" s="819">
        <v>0.61</v>
      </c>
      <c r="F77" s="821">
        <f t="shared" si="4"/>
        <v>3360469.7223006999</v>
      </c>
      <c r="G77" s="810" t="s">
        <v>2254</v>
      </c>
      <c r="H77" s="810" t="s">
        <v>1565</v>
      </c>
      <c r="I77" s="810" t="s">
        <v>2388</v>
      </c>
      <c r="J77" s="810" t="s">
        <v>1961</v>
      </c>
      <c r="K77" s="810" t="s">
        <v>2247</v>
      </c>
      <c r="L77" s="811">
        <v>40485</v>
      </c>
      <c r="M77" s="812" t="s">
        <v>378</v>
      </c>
      <c r="N77" s="813">
        <v>2011</v>
      </c>
      <c r="O77" s="813">
        <v>2010</v>
      </c>
    </row>
    <row r="78" spans="1:15" ht="15.75" customHeight="1">
      <c r="A78" s="810" t="s">
        <v>2389</v>
      </c>
      <c r="B78" s="764">
        <f>VLOOKUP(A78,'Disaster Data'!$A$2:$BX$384,20)</f>
        <v>31000000</v>
      </c>
      <c r="C78" s="765">
        <v>1505011</v>
      </c>
      <c r="D78" s="821">
        <f t="shared" si="3"/>
        <v>1645383.3759699999</v>
      </c>
      <c r="E78" s="819">
        <v>0.28000000000000003</v>
      </c>
      <c r="F78" s="821">
        <f t="shared" si="4"/>
        <v>460707.3452716</v>
      </c>
      <c r="G78" s="810" t="s">
        <v>1210</v>
      </c>
      <c r="H78" s="810" t="s">
        <v>2390</v>
      </c>
      <c r="I78" s="810" t="s">
        <v>2391</v>
      </c>
      <c r="J78" s="810" t="s">
        <v>1639</v>
      </c>
      <c r="K78" s="810" t="s">
        <v>2247</v>
      </c>
      <c r="L78" s="811">
        <v>40497</v>
      </c>
      <c r="M78" s="812" t="s">
        <v>378</v>
      </c>
      <c r="N78" s="813">
        <v>2011</v>
      </c>
      <c r="O78" s="813">
        <v>2010</v>
      </c>
    </row>
    <row r="79" spans="1:15" ht="15.75" customHeight="1">
      <c r="A79" s="810" t="s">
        <v>2392</v>
      </c>
      <c r="B79" s="764">
        <f>VLOOKUP(A79,'Disaster Data'!$A$2:$BX$384,20)</f>
        <v>31000000</v>
      </c>
      <c r="C79" s="765">
        <v>3030275</v>
      </c>
      <c r="D79" s="821">
        <f t="shared" si="3"/>
        <v>3312908.7492499999</v>
      </c>
      <c r="E79" s="819">
        <v>0.51</v>
      </c>
      <c r="F79" s="821">
        <f t="shared" si="4"/>
        <v>1689583.4621174999</v>
      </c>
      <c r="G79" s="810" t="s">
        <v>1210</v>
      </c>
      <c r="H79" s="810" t="s">
        <v>1992</v>
      </c>
      <c r="I79" s="810" t="s">
        <v>2393</v>
      </c>
      <c r="J79" s="810" t="s">
        <v>1273</v>
      </c>
      <c r="K79" s="810" t="s">
        <v>2247</v>
      </c>
      <c r="L79" s="811">
        <v>40497</v>
      </c>
      <c r="M79" s="812" t="s">
        <v>378</v>
      </c>
      <c r="N79" s="813">
        <v>2011</v>
      </c>
      <c r="O79" s="813">
        <v>2010</v>
      </c>
    </row>
    <row r="80" spans="1:15" ht="15.75" customHeight="1">
      <c r="A80" s="810" t="s">
        <v>2394</v>
      </c>
      <c r="B80" s="764">
        <f>VLOOKUP(A80,'Disaster Data'!$A$2:$BX$384,20)</f>
        <v>31000000</v>
      </c>
      <c r="C80" s="765">
        <v>409759</v>
      </c>
      <c r="D80" s="821">
        <f t="shared" si="3"/>
        <v>447977.22193</v>
      </c>
      <c r="E80" s="819">
        <v>0.44</v>
      </c>
      <c r="F80" s="821">
        <f t="shared" si="4"/>
        <v>197109.97764920001</v>
      </c>
      <c r="G80" s="810" t="s">
        <v>2301</v>
      </c>
      <c r="H80" s="810" t="s">
        <v>2395</v>
      </c>
      <c r="I80" s="810" t="s">
        <v>2396</v>
      </c>
      <c r="J80" s="810" t="s">
        <v>1961</v>
      </c>
      <c r="K80" s="810" t="s">
        <v>2247</v>
      </c>
      <c r="L80" s="811">
        <v>40501</v>
      </c>
      <c r="M80" s="812" t="s">
        <v>378</v>
      </c>
      <c r="N80" s="813">
        <v>2011</v>
      </c>
      <c r="O80" s="813">
        <v>2010</v>
      </c>
    </row>
    <row r="81" spans="1:15" ht="15.75" customHeight="1">
      <c r="A81" s="810" t="s">
        <v>2397</v>
      </c>
      <c r="B81" s="764">
        <f>VLOOKUP(A81,'Disaster Data'!$A$2:$BX$384,20)</f>
        <v>31000000</v>
      </c>
      <c r="C81" s="765">
        <v>1320879</v>
      </c>
      <c r="D81" s="821">
        <f t="shared" si="3"/>
        <v>1444077.38433</v>
      </c>
      <c r="E81" s="819">
        <v>0.86</v>
      </c>
      <c r="F81" s="821">
        <f t="shared" si="4"/>
        <v>1241906.5505238001</v>
      </c>
      <c r="G81" s="810" t="s">
        <v>2250</v>
      </c>
      <c r="H81" s="810" t="s">
        <v>2398</v>
      </c>
      <c r="I81" s="810" t="s">
        <v>2293</v>
      </c>
      <c r="J81" s="810" t="s">
        <v>2238</v>
      </c>
      <c r="K81" s="810" t="s">
        <v>2247</v>
      </c>
      <c r="L81" s="811">
        <v>40520</v>
      </c>
      <c r="M81" s="812" t="s">
        <v>378</v>
      </c>
      <c r="N81" s="813">
        <v>2011</v>
      </c>
      <c r="O81" s="813">
        <v>2010</v>
      </c>
    </row>
    <row r="82" spans="1:15" ht="15.75" customHeight="1">
      <c r="A82" s="810" t="s">
        <v>2399</v>
      </c>
      <c r="B82" s="764">
        <f>VLOOKUP(A82,'Disaster Data'!$A$2:$BX$384,20)</f>
        <v>31000000</v>
      </c>
      <c r="C82" s="765">
        <v>701023</v>
      </c>
      <c r="D82" s="821">
        <f t="shared" si="3"/>
        <v>766407.41521000001</v>
      </c>
      <c r="E82" s="819">
        <v>0.47</v>
      </c>
      <c r="F82" s="821">
        <f t="shared" si="4"/>
        <v>360211.48514869995</v>
      </c>
      <c r="G82" s="810" t="s">
        <v>2250</v>
      </c>
      <c r="H82" s="810" t="s">
        <v>1604</v>
      </c>
      <c r="I82" s="810" t="s">
        <v>2400</v>
      </c>
      <c r="J82" s="810" t="s">
        <v>2238</v>
      </c>
      <c r="K82" s="810" t="s">
        <v>2247</v>
      </c>
      <c r="L82" s="811">
        <v>40526</v>
      </c>
      <c r="M82" s="812" t="s">
        <v>378</v>
      </c>
      <c r="N82" s="813">
        <v>2011</v>
      </c>
      <c r="O82" s="813">
        <v>2010</v>
      </c>
    </row>
    <row r="83" spans="1:15" ht="15.75" customHeight="1">
      <c r="A83" s="810" t="s">
        <v>2401</v>
      </c>
      <c r="B83" s="764">
        <f>VLOOKUP(A83,'Disaster Data'!$A$2:$BX$384,20)</f>
        <v>31000000</v>
      </c>
      <c r="C83" s="765">
        <v>575146</v>
      </c>
      <c r="D83" s="821">
        <f t="shared" si="3"/>
        <v>628789.86742000002</v>
      </c>
      <c r="E83" s="819">
        <v>1</v>
      </c>
      <c r="F83" s="821">
        <f t="shared" si="4"/>
        <v>628789.86742000002</v>
      </c>
      <c r="G83" s="810" t="s">
        <v>2250</v>
      </c>
      <c r="H83" s="810" t="s">
        <v>1558</v>
      </c>
      <c r="I83" s="810" t="s">
        <v>2402</v>
      </c>
      <c r="J83" s="810" t="s">
        <v>2238</v>
      </c>
      <c r="K83" s="810" t="s">
        <v>2247</v>
      </c>
      <c r="L83" s="811">
        <v>40533</v>
      </c>
      <c r="M83" s="812" t="s">
        <v>378</v>
      </c>
      <c r="N83" s="813">
        <v>2011</v>
      </c>
      <c r="O83" s="813">
        <v>2010</v>
      </c>
    </row>
    <row r="84" spans="1:15" ht="15.75" customHeight="1">
      <c r="A84" s="810" t="s">
        <v>587</v>
      </c>
      <c r="B84" s="764">
        <f>VLOOKUP(A84,'Disaster Data'!$A$2:$BX$384,20)</f>
        <v>31000000</v>
      </c>
      <c r="C84" s="765">
        <v>4872842</v>
      </c>
      <c r="D84" s="821">
        <f t="shared" si="3"/>
        <v>5327331.97334</v>
      </c>
      <c r="E84" s="819">
        <v>0.89</v>
      </c>
      <c r="F84" s="821">
        <f t="shared" si="4"/>
        <v>4741325.4562726002</v>
      </c>
      <c r="G84" s="810" t="s">
        <v>1210</v>
      </c>
      <c r="H84" s="810" t="s">
        <v>2265</v>
      </c>
      <c r="I84" s="810" t="s">
        <v>2403</v>
      </c>
      <c r="J84" s="810" t="s">
        <v>1273</v>
      </c>
      <c r="K84" s="810" t="s">
        <v>2247</v>
      </c>
      <c r="L84" s="811">
        <v>40534</v>
      </c>
      <c r="M84" s="812" t="s">
        <v>378</v>
      </c>
      <c r="N84" s="813">
        <v>2011</v>
      </c>
      <c r="O84" s="813">
        <v>2010</v>
      </c>
    </row>
    <row r="85" spans="1:15" ht="15.75" customHeight="1">
      <c r="A85" s="810" t="s">
        <v>2404</v>
      </c>
      <c r="B85" s="764">
        <f>VLOOKUP(A85,'Disaster Data'!$A$2:$BX$384,20)</f>
        <v>31000000</v>
      </c>
      <c r="C85" s="765">
        <v>4620000</v>
      </c>
      <c r="D85" s="821">
        <f t="shared" si="3"/>
        <v>5050907.3999999994</v>
      </c>
      <c r="E85" s="819">
        <v>0.51</v>
      </c>
      <c r="F85" s="821">
        <f t="shared" si="4"/>
        <v>2575962.7739999997</v>
      </c>
      <c r="G85" s="810" t="s">
        <v>2254</v>
      </c>
      <c r="H85" s="810" t="s">
        <v>1637</v>
      </c>
      <c r="I85" s="810" t="s">
        <v>2405</v>
      </c>
      <c r="J85" s="810" t="s">
        <v>2238</v>
      </c>
      <c r="K85" s="810" t="s">
        <v>2259</v>
      </c>
      <c r="L85" s="811">
        <v>40557</v>
      </c>
      <c r="M85" s="812" t="s">
        <v>379</v>
      </c>
      <c r="N85" s="813">
        <v>2011</v>
      </c>
      <c r="O85" s="813">
        <v>2011</v>
      </c>
    </row>
    <row r="86" spans="1:15" ht="15.75" customHeight="1">
      <c r="A86" s="810" t="s">
        <v>583</v>
      </c>
      <c r="B86" s="764">
        <f>VLOOKUP(A86,'Disaster Data'!$A$2:$BX$384,20)</f>
        <v>31000000</v>
      </c>
      <c r="C86" s="765">
        <v>518725</v>
      </c>
      <c r="D86" s="821">
        <f t="shared" si="3"/>
        <v>567106.48074999999</v>
      </c>
      <c r="E86" s="819">
        <v>0.88</v>
      </c>
      <c r="F86" s="821">
        <f t="shared" si="4"/>
        <v>499053.70305999997</v>
      </c>
      <c r="G86" s="810" t="s">
        <v>2250</v>
      </c>
      <c r="H86" s="810" t="s">
        <v>1653</v>
      </c>
      <c r="I86" s="810" t="s">
        <v>2406</v>
      </c>
      <c r="J86" s="810" t="s">
        <v>2238</v>
      </c>
      <c r="K86" s="810" t="s">
        <v>2247</v>
      </c>
      <c r="L86" s="811">
        <v>40610</v>
      </c>
      <c r="M86" s="812" t="s">
        <v>379</v>
      </c>
      <c r="N86" s="813">
        <v>2011</v>
      </c>
      <c r="O86" s="813">
        <v>2011</v>
      </c>
    </row>
    <row r="87" spans="1:15" ht="15.75" customHeight="1">
      <c r="A87" s="810" t="s">
        <v>2407</v>
      </c>
      <c r="B87" s="764">
        <f>VLOOKUP(A87,'Disaster Data'!$A$2:$BX$384,20)</f>
        <v>31000000</v>
      </c>
      <c r="C87" s="765">
        <v>3586266</v>
      </c>
      <c r="D87" s="821">
        <f t="shared" si="3"/>
        <v>3920757.0298199998</v>
      </c>
      <c r="E87" s="819">
        <v>0.08</v>
      </c>
      <c r="F87" s="821">
        <f t="shared" si="4"/>
        <v>313660.5623856</v>
      </c>
      <c r="G87" s="810" t="s">
        <v>1210</v>
      </c>
      <c r="H87" s="810" t="s">
        <v>1605</v>
      </c>
      <c r="I87" s="810" t="s">
        <v>2408</v>
      </c>
      <c r="J87" s="810" t="s">
        <v>1273</v>
      </c>
      <c r="K87" s="810" t="s">
        <v>2247</v>
      </c>
      <c r="L87" s="811">
        <v>40611</v>
      </c>
      <c r="M87" s="812" t="s">
        <v>379</v>
      </c>
      <c r="N87" s="813">
        <v>2011</v>
      </c>
      <c r="O87" s="813">
        <v>2011</v>
      </c>
    </row>
    <row r="88" spans="1:15" ht="15.75" customHeight="1">
      <c r="A88" s="810" t="s">
        <v>2409</v>
      </c>
      <c r="B88" s="764">
        <f>VLOOKUP(A88,'Disaster Data'!$A$2:$BX$384,20)</f>
        <v>31000000</v>
      </c>
      <c r="C88" s="765">
        <v>30438354</v>
      </c>
      <c r="D88" s="821">
        <f t="shared" si="3"/>
        <v>33277339.27758</v>
      </c>
      <c r="E88" s="819">
        <v>0.33</v>
      </c>
      <c r="F88" s="821">
        <f t="shared" si="4"/>
        <v>10981521.961601401</v>
      </c>
      <c r="G88" s="810" t="s">
        <v>1210</v>
      </c>
      <c r="H88" s="810" t="s">
        <v>1605</v>
      </c>
      <c r="I88" s="810" t="s">
        <v>38</v>
      </c>
      <c r="J88" s="810" t="s">
        <v>2238</v>
      </c>
      <c r="K88" s="810" t="s">
        <v>2247</v>
      </c>
      <c r="L88" s="811">
        <v>40625</v>
      </c>
      <c r="M88" s="812" t="s">
        <v>379</v>
      </c>
      <c r="N88" s="813">
        <v>2011</v>
      </c>
      <c r="O88" s="813">
        <v>2011</v>
      </c>
    </row>
    <row r="89" spans="1:15" ht="15.75" customHeight="1">
      <c r="A89" s="810" t="s">
        <v>2410</v>
      </c>
      <c r="B89" s="764">
        <f>VLOOKUP(A89,'Disaster Data'!$A$2:$BX$384,20)</f>
        <v>31000000</v>
      </c>
      <c r="C89" s="765">
        <v>1361331</v>
      </c>
      <c r="D89" s="821">
        <f t="shared" si="3"/>
        <v>1488302.34237</v>
      </c>
      <c r="E89" s="819">
        <v>0.21</v>
      </c>
      <c r="F89" s="821">
        <f t="shared" si="4"/>
        <v>312543.49189770001</v>
      </c>
      <c r="G89" s="810" t="s">
        <v>1210</v>
      </c>
      <c r="H89" s="810" t="s">
        <v>2243</v>
      </c>
      <c r="I89" s="810" t="s">
        <v>2411</v>
      </c>
      <c r="J89" s="810" t="s">
        <v>1639</v>
      </c>
      <c r="K89" s="810" t="s">
        <v>2247</v>
      </c>
      <c r="L89" s="811">
        <v>40637</v>
      </c>
      <c r="M89" s="812" t="s">
        <v>380</v>
      </c>
      <c r="N89" s="813">
        <v>2011</v>
      </c>
      <c r="O89" s="813">
        <v>2011</v>
      </c>
    </row>
    <row r="90" spans="1:15" ht="15.75" customHeight="1">
      <c r="A90" s="810" t="s">
        <v>1026</v>
      </c>
      <c r="B90" s="764">
        <f>VLOOKUP(A90,'Disaster Data'!$A$2:$BX$384,20)</f>
        <v>31000000</v>
      </c>
      <c r="C90" s="765">
        <v>1811530</v>
      </c>
      <c r="D90" s="821">
        <f t="shared" si="3"/>
        <v>1980491.4031</v>
      </c>
      <c r="E90" s="819">
        <v>0.38</v>
      </c>
      <c r="F90" s="821">
        <f t="shared" si="4"/>
        <v>752586.73317799997</v>
      </c>
      <c r="G90" s="810" t="s">
        <v>1210</v>
      </c>
      <c r="H90" s="810" t="s">
        <v>85</v>
      </c>
      <c r="I90" s="810" t="s">
        <v>2412</v>
      </c>
      <c r="J90" s="810" t="s">
        <v>2238</v>
      </c>
      <c r="K90" s="810" t="s">
        <v>2247</v>
      </c>
      <c r="L90" s="811">
        <v>40641</v>
      </c>
      <c r="M90" s="812" t="s">
        <v>380</v>
      </c>
      <c r="N90" s="813">
        <v>2011</v>
      </c>
      <c r="O90" s="813">
        <v>2011</v>
      </c>
    </row>
    <row r="91" spans="1:15" ht="15.75" customHeight="1">
      <c r="A91" s="810" t="s">
        <v>2413</v>
      </c>
      <c r="B91" s="764">
        <f>VLOOKUP(A91,'Disaster Data'!$A$2:$BX$384,20)</f>
        <v>31000000</v>
      </c>
      <c r="C91" s="765">
        <v>6702008</v>
      </c>
      <c r="D91" s="821">
        <f t="shared" si="3"/>
        <v>7327104.2861599997</v>
      </c>
      <c r="E91" s="819">
        <v>0.11</v>
      </c>
      <c r="F91" s="821">
        <f t="shared" si="4"/>
        <v>805981.47147759993</v>
      </c>
      <c r="G91" s="810" t="s">
        <v>1210</v>
      </c>
      <c r="H91" s="810" t="s">
        <v>2414</v>
      </c>
      <c r="I91" s="810" t="s">
        <v>2415</v>
      </c>
      <c r="J91" s="810" t="s">
        <v>1273</v>
      </c>
      <c r="K91" s="810" t="s">
        <v>2247</v>
      </c>
      <c r="L91" s="811">
        <v>40711</v>
      </c>
      <c r="M91" s="812" t="s">
        <v>380</v>
      </c>
      <c r="N91" s="813">
        <v>2011</v>
      </c>
      <c r="O91" s="813">
        <v>2011</v>
      </c>
    </row>
    <row r="92" spans="1:15" ht="15.75" hidden="1" customHeight="1">
      <c r="A92" s="810" t="s">
        <v>2416</v>
      </c>
      <c r="B92" s="764">
        <f>VLOOKUP(A92,'Disaster Data'!$A$2:$BX$384,20)</f>
        <v>31000000</v>
      </c>
      <c r="D92" s="821">
        <f t="shared" si="3"/>
        <v>0</v>
      </c>
      <c r="E92" s="764"/>
      <c r="F92" s="821">
        <f t="shared" si="4"/>
        <v>0</v>
      </c>
      <c r="G92" s="810" t="s">
        <v>1210</v>
      </c>
      <c r="H92" s="810" t="s">
        <v>1992</v>
      </c>
      <c r="I92" s="810" t="s">
        <v>2417</v>
      </c>
      <c r="J92" s="810" t="s">
        <v>1273</v>
      </c>
      <c r="K92" s="810" t="s">
        <v>2247</v>
      </c>
      <c r="L92" s="811">
        <v>40725</v>
      </c>
      <c r="M92" s="812" t="s">
        <v>376</v>
      </c>
      <c r="N92" s="813">
        <v>2012</v>
      </c>
      <c r="O92" s="813">
        <v>2011</v>
      </c>
    </row>
    <row r="93" spans="1:15" ht="15.75" hidden="1" customHeight="1">
      <c r="A93" s="810" t="s">
        <v>692</v>
      </c>
      <c r="B93" s="764">
        <f>VLOOKUP(A93,'Disaster Data'!$A$2:$BX$384,20)</f>
        <v>31000000</v>
      </c>
      <c r="D93" s="821">
        <f t="shared" si="3"/>
        <v>0</v>
      </c>
      <c r="E93" s="764"/>
      <c r="F93" s="821">
        <f t="shared" si="4"/>
        <v>0</v>
      </c>
      <c r="G93" s="810" t="s">
        <v>2254</v>
      </c>
      <c r="H93" s="810" t="s">
        <v>2418</v>
      </c>
      <c r="I93" s="810" t="s">
        <v>2419</v>
      </c>
      <c r="J93" s="810" t="s">
        <v>2238</v>
      </c>
      <c r="K93" s="810" t="s">
        <v>2247</v>
      </c>
      <c r="L93" s="811">
        <v>40777</v>
      </c>
      <c r="M93" s="812" t="s">
        <v>376</v>
      </c>
      <c r="N93" s="813">
        <v>2012</v>
      </c>
      <c r="O93" s="813">
        <v>2011</v>
      </c>
    </row>
    <row r="94" spans="1:15" ht="15.75" hidden="1" customHeight="1">
      <c r="A94" s="810" t="s">
        <v>1412</v>
      </c>
      <c r="B94" s="764">
        <f>VLOOKUP(A94,'Disaster Data'!$A$2:$BX$384,20)</f>
        <v>31000000</v>
      </c>
      <c r="D94" s="821">
        <f t="shared" si="3"/>
        <v>0</v>
      </c>
      <c r="E94" s="764"/>
      <c r="F94" s="821">
        <f t="shared" si="4"/>
        <v>0</v>
      </c>
      <c r="G94" s="810" t="s">
        <v>2254</v>
      </c>
      <c r="H94" s="810" t="s">
        <v>1943</v>
      </c>
      <c r="I94" s="810" t="s">
        <v>2420</v>
      </c>
      <c r="J94" s="810" t="s">
        <v>2238</v>
      </c>
      <c r="K94" s="810" t="s">
        <v>2247</v>
      </c>
      <c r="L94" s="811">
        <v>40781</v>
      </c>
      <c r="M94" s="812" t="s">
        <v>376</v>
      </c>
      <c r="N94" s="813">
        <v>2012</v>
      </c>
      <c r="O94" s="813">
        <v>2011</v>
      </c>
    </row>
    <row r="95" spans="1:15" ht="15.75" hidden="1" customHeight="1">
      <c r="A95" s="810" t="s">
        <v>1416</v>
      </c>
      <c r="B95" s="764">
        <f>VLOOKUP(A95,'Disaster Data'!$A$2:$BX$384,20)</f>
        <v>31000000</v>
      </c>
      <c r="D95" s="821">
        <f t="shared" si="3"/>
        <v>0</v>
      </c>
      <c r="E95" s="764"/>
      <c r="F95" s="821">
        <f t="shared" si="4"/>
        <v>0</v>
      </c>
      <c r="G95" s="810" t="s">
        <v>2254</v>
      </c>
      <c r="H95" s="810" t="s">
        <v>1668</v>
      </c>
      <c r="I95" s="810" t="s">
        <v>1877</v>
      </c>
      <c r="J95" s="810" t="s">
        <v>2238</v>
      </c>
      <c r="K95" s="810" t="s">
        <v>2421</v>
      </c>
      <c r="L95" s="811">
        <v>40795</v>
      </c>
      <c r="M95" s="812" t="s">
        <v>376</v>
      </c>
      <c r="N95" s="813">
        <v>2012</v>
      </c>
      <c r="O95" s="813">
        <v>2011</v>
      </c>
    </row>
    <row r="96" spans="1:15" ht="15.75" hidden="1" customHeight="1">
      <c r="A96" s="810" t="s">
        <v>2422</v>
      </c>
      <c r="B96" s="764">
        <f>VLOOKUP(A96,'Disaster Data'!$A$2:$BX$384,20)</f>
        <v>31000000</v>
      </c>
      <c r="D96" s="821">
        <f t="shared" si="3"/>
        <v>0</v>
      </c>
      <c r="E96" s="764"/>
      <c r="F96" s="821">
        <f t="shared" si="4"/>
        <v>0</v>
      </c>
      <c r="G96" s="810" t="s">
        <v>1210</v>
      </c>
      <c r="H96" s="810" t="s">
        <v>420</v>
      </c>
      <c r="I96" s="810" t="s">
        <v>1874</v>
      </c>
      <c r="J96" s="810" t="s">
        <v>2238</v>
      </c>
      <c r="K96" s="810" t="s">
        <v>2245</v>
      </c>
      <c r="L96" s="811">
        <v>40808</v>
      </c>
      <c r="M96" s="812" t="s">
        <v>376</v>
      </c>
      <c r="N96" s="813">
        <v>2012</v>
      </c>
      <c r="O96" s="813">
        <v>2011</v>
      </c>
    </row>
    <row r="97" spans="1:15" ht="15.75" hidden="1" customHeight="1">
      <c r="A97" s="810" t="s">
        <v>2423</v>
      </c>
      <c r="B97" s="764">
        <f>VLOOKUP(A97,'Disaster Data'!$A$2:$BX$384,20)</f>
        <v>31000000</v>
      </c>
      <c r="D97" s="821">
        <f t="shared" si="3"/>
        <v>0</v>
      </c>
      <c r="E97" s="764"/>
      <c r="F97" s="821">
        <f t="shared" si="4"/>
        <v>0</v>
      </c>
      <c r="G97" s="810" t="s">
        <v>1210</v>
      </c>
      <c r="H97" s="810" t="s">
        <v>2424</v>
      </c>
      <c r="I97" s="810" t="s">
        <v>2425</v>
      </c>
      <c r="J97" s="810" t="s">
        <v>2238</v>
      </c>
      <c r="K97" s="810" t="s">
        <v>2245</v>
      </c>
      <c r="L97" s="811">
        <v>40814</v>
      </c>
      <c r="M97" s="812" t="s">
        <v>376</v>
      </c>
      <c r="N97" s="813">
        <v>2012</v>
      </c>
      <c r="O97" s="813">
        <v>2011</v>
      </c>
    </row>
    <row r="98" spans="1:15" ht="15.75" hidden="1" customHeight="1">
      <c r="A98" s="810" t="s">
        <v>2105</v>
      </c>
      <c r="B98" s="764">
        <f>VLOOKUP(A98,'Disaster Data'!$A$2:$BX$384,20)</f>
        <v>31000000</v>
      </c>
      <c r="D98" s="821">
        <f t="shared" ref="D98:D107" si="5">C98*1.09327</f>
        <v>0</v>
      </c>
      <c r="E98" s="764"/>
      <c r="F98" s="821">
        <f t="shared" si="4"/>
        <v>0</v>
      </c>
      <c r="G98" s="810" t="s">
        <v>2250</v>
      </c>
      <c r="H98" s="810" t="s">
        <v>1661</v>
      </c>
      <c r="I98" s="810" t="s">
        <v>2426</v>
      </c>
      <c r="J98" s="810" t="s">
        <v>2238</v>
      </c>
      <c r="K98" s="810" t="s">
        <v>2247</v>
      </c>
      <c r="L98" s="811">
        <v>40842</v>
      </c>
      <c r="M98" s="812" t="s">
        <v>378</v>
      </c>
      <c r="N98" s="813">
        <v>2012</v>
      </c>
      <c r="O98" s="813">
        <v>2011</v>
      </c>
    </row>
    <row r="99" spans="1:15" ht="15.75" hidden="1" customHeight="1">
      <c r="A99" s="810" t="s">
        <v>2427</v>
      </c>
      <c r="B99" s="764">
        <f>VLOOKUP(A99,'Disaster Data'!$A$2:$BX$384,20)</f>
        <v>31000000</v>
      </c>
      <c r="D99" s="821">
        <f t="shared" si="5"/>
        <v>0</v>
      </c>
      <c r="E99" s="764"/>
      <c r="F99" s="821">
        <f t="shared" si="4"/>
        <v>0</v>
      </c>
      <c r="G99" s="810" t="s">
        <v>1210</v>
      </c>
      <c r="H99" s="810" t="s">
        <v>1873</v>
      </c>
      <c r="I99" s="810" t="s">
        <v>2428</v>
      </c>
      <c r="J99" s="810" t="s">
        <v>1273</v>
      </c>
      <c r="K99" s="810" t="s">
        <v>2247</v>
      </c>
      <c r="L99" s="811">
        <v>40844</v>
      </c>
      <c r="M99" s="812" t="s">
        <v>378</v>
      </c>
      <c r="N99" s="813">
        <v>2012</v>
      </c>
      <c r="O99" s="813">
        <v>2011</v>
      </c>
    </row>
    <row r="100" spans="1:15" ht="15.75" hidden="1" customHeight="1">
      <c r="A100" s="810" t="s">
        <v>2106</v>
      </c>
      <c r="B100" s="764">
        <f>VLOOKUP(A100,'Disaster Data'!$A$2:$BX$384,20)</f>
        <v>31000000</v>
      </c>
      <c r="D100" s="821">
        <f t="shared" si="5"/>
        <v>0</v>
      </c>
      <c r="E100" s="764"/>
      <c r="F100" s="821">
        <f t="shared" si="4"/>
        <v>0</v>
      </c>
      <c r="G100" s="810" t="s">
        <v>2250</v>
      </c>
      <c r="H100" s="810" t="s">
        <v>1641</v>
      </c>
      <c r="I100" s="810" t="s">
        <v>2429</v>
      </c>
      <c r="J100" s="810" t="s">
        <v>2238</v>
      </c>
      <c r="K100" s="810" t="s">
        <v>2247</v>
      </c>
      <c r="L100" s="811">
        <v>40851</v>
      </c>
      <c r="M100" s="812" t="s">
        <v>378</v>
      </c>
      <c r="N100" s="813">
        <v>2012</v>
      </c>
      <c r="O100" s="813">
        <v>2011</v>
      </c>
    </row>
    <row r="101" spans="1:15" ht="15.75" hidden="1" customHeight="1">
      <c r="A101" s="810" t="s">
        <v>2047</v>
      </c>
      <c r="B101" s="764">
        <f>VLOOKUP(A101,'Disaster Data'!$A$2:$BX$384,20)</f>
        <v>31000000</v>
      </c>
      <c r="D101" s="821">
        <f t="shared" si="5"/>
        <v>0</v>
      </c>
      <c r="E101" s="764"/>
      <c r="F101" s="821">
        <f t="shared" si="4"/>
        <v>0</v>
      </c>
      <c r="G101" s="810" t="s">
        <v>2430</v>
      </c>
      <c r="H101" s="810" t="s">
        <v>2431</v>
      </c>
      <c r="I101" s="810" t="s">
        <v>2432</v>
      </c>
      <c r="J101" s="810" t="s">
        <v>2238</v>
      </c>
      <c r="K101" s="814" t="s">
        <v>2245</v>
      </c>
      <c r="L101" s="811">
        <v>40856</v>
      </c>
      <c r="M101" s="812" t="s">
        <v>378</v>
      </c>
      <c r="N101" s="813">
        <v>2012</v>
      </c>
      <c r="O101" s="813">
        <v>2011</v>
      </c>
    </row>
    <row r="102" spans="1:15" ht="15.75" hidden="1" customHeight="1">
      <c r="A102" s="810" t="s">
        <v>2433</v>
      </c>
      <c r="B102" s="764">
        <f>VLOOKUP(A102,'Disaster Data'!$A$2:$BX$384,20)</f>
        <v>31000000</v>
      </c>
      <c r="D102" s="821">
        <f t="shared" si="5"/>
        <v>0</v>
      </c>
      <c r="E102" s="764"/>
      <c r="F102" s="821">
        <f t="shared" si="4"/>
        <v>0</v>
      </c>
      <c r="G102" s="810" t="s">
        <v>1210</v>
      </c>
      <c r="H102" s="810" t="s">
        <v>1605</v>
      </c>
      <c r="I102" s="810" t="s">
        <v>2434</v>
      </c>
      <c r="J102" s="810" t="s">
        <v>1273</v>
      </c>
      <c r="K102" s="814" t="s">
        <v>2247</v>
      </c>
      <c r="L102" s="811">
        <v>40876</v>
      </c>
      <c r="M102" s="812" t="s">
        <v>378</v>
      </c>
      <c r="N102" s="813">
        <v>2012</v>
      </c>
      <c r="O102" s="813">
        <v>2011</v>
      </c>
    </row>
    <row r="103" spans="1:15" ht="15.75" hidden="1" customHeight="1">
      <c r="A103" s="810" t="s">
        <v>2435</v>
      </c>
      <c r="B103" s="764">
        <f>VLOOKUP(A103,'Disaster Data'!$A$2:$BX$384,20)</f>
        <v>31000000</v>
      </c>
      <c r="D103" s="821">
        <f t="shared" si="5"/>
        <v>0</v>
      </c>
      <c r="E103" s="764"/>
      <c r="F103" s="821">
        <f t="shared" si="4"/>
        <v>0</v>
      </c>
      <c r="G103" s="810" t="s">
        <v>1210</v>
      </c>
      <c r="H103" s="810" t="s">
        <v>2022</v>
      </c>
      <c r="I103" s="810" t="s">
        <v>2436</v>
      </c>
      <c r="J103" s="810" t="s">
        <v>1273</v>
      </c>
      <c r="K103" s="814" t="s">
        <v>2245</v>
      </c>
      <c r="L103" s="811">
        <v>40938</v>
      </c>
      <c r="M103" s="812" t="s">
        <v>379</v>
      </c>
      <c r="N103" s="813">
        <v>2012</v>
      </c>
      <c r="O103" s="813">
        <v>2012</v>
      </c>
    </row>
    <row r="104" spans="1:15" ht="15.75" hidden="1" customHeight="1">
      <c r="A104" s="810" t="s">
        <v>742</v>
      </c>
      <c r="B104" s="764">
        <f>VLOOKUP(A104,'Disaster Data'!$A$2:$BX$384,20)</f>
        <v>31000000</v>
      </c>
      <c r="D104" s="821">
        <f t="shared" si="5"/>
        <v>0</v>
      </c>
      <c r="E104" s="764"/>
      <c r="F104" s="821">
        <f t="shared" si="4"/>
        <v>0</v>
      </c>
      <c r="G104" s="810" t="s">
        <v>2301</v>
      </c>
      <c r="H104" s="810" t="s">
        <v>1883</v>
      </c>
      <c r="I104" s="810" t="s">
        <v>2437</v>
      </c>
      <c r="J104" s="810" t="s">
        <v>1961</v>
      </c>
      <c r="K104" s="814" t="s">
        <v>2438</v>
      </c>
      <c r="L104" s="811">
        <v>40863</v>
      </c>
      <c r="M104" s="812" t="s">
        <v>378</v>
      </c>
      <c r="N104" s="813">
        <v>2012</v>
      </c>
      <c r="O104" s="813">
        <v>2011</v>
      </c>
    </row>
    <row r="105" spans="1:15" ht="15.75" hidden="1" customHeight="1">
      <c r="A105" s="810" t="s">
        <v>2115</v>
      </c>
      <c r="B105" s="764">
        <f>VLOOKUP(A105,'Disaster Data'!$A$2:$BX$384,20)</f>
        <v>31000000</v>
      </c>
      <c r="D105" s="821">
        <f t="shared" si="5"/>
        <v>0</v>
      </c>
      <c r="E105" s="764"/>
      <c r="F105" s="821">
        <f t="shared" si="4"/>
        <v>0</v>
      </c>
      <c r="G105" s="810" t="s">
        <v>2254</v>
      </c>
      <c r="H105" s="810" t="s">
        <v>2026</v>
      </c>
      <c r="I105" s="810" t="s">
        <v>2439</v>
      </c>
      <c r="J105" s="810" t="s">
        <v>2238</v>
      </c>
      <c r="K105" s="814" t="s">
        <v>2440</v>
      </c>
      <c r="L105" s="811">
        <v>40931</v>
      </c>
      <c r="M105" s="812" t="s">
        <v>379</v>
      </c>
      <c r="N105" s="813">
        <v>2012</v>
      </c>
      <c r="O105" s="813">
        <v>2012</v>
      </c>
    </row>
    <row r="106" spans="1:15" ht="15.75" hidden="1" customHeight="1">
      <c r="A106" s="810" t="s">
        <v>2441</v>
      </c>
      <c r="B106" s="764">
        <f>VLOOKUP(A106,'Disaster Data'!$A$2:$BX$384,20)</f>
        <v>31000000</v>
      </c>
      <c r="D106" s="821">
        <f t="shared" si="5"/>
        <v>0</v>
      </c>
      <c r="E106" s="764"/>
      <c r="F106" s="821">
        <f t="shared" ref="F106:F109" si="6">D106*E106</f>
        <v>0</v>
      </c>
      <c r="G106" s="810" t="s">
        <v>1210</v>
      </c>
      <c r="H106" s="810" t="s">
        <v>687</v>
      </c>
      <c r="I106" s="810" t="s">
        <v>2442</v>
      </c>
      <c r="J106" s="810" t="s">
        <v>1639</v>
      </c>
      <c r="K106" s="814" t="s">
        <v>2256</v>
      </c>
      <c r="L106" s="811">
        <v>40870</v>
      </c>
      <c r="M106" s="812" t="s">
        <v>378</v>
      </c>
      <c r="N106" s="813">
        <v>2012</v>
      </c>
      <c r="O106" s="813">
        <v>2011</v>
      </c>
    </row>
    <row r="107" spans="1:15" ht="15.75" hidden="1" customHeight="1">
      <c r="A107" s="810" t="s">
        <v>2443</v>
      </c>
      <c r="B107" s="764">
        <f>VLOOKUP(A107,'Disaster Data'!$A$2:$BX$384,20)</f>
        <v>31000000</v>
      </c>
      <c r="D107" s="821">
        <f t="shared" si="5"/>
        <v>0</v>
      </c>
      <c r="E107" s="764"/>
      <c r="F107" s="821">
        <f t="shared" si="6"/>
        <v>0</v>
      </c>
      <c r="G107" s="810" t="s">
        <v>1210</v>
      </c>
      <c r="H107" s="810" t="s">
        <v>1873</v>
      </c>
      <c r="I107" s="810" t="s">
        <v>1874</v>
      </c>
      <c r="J107" s="810" t="s">
        <v>2238</v>
      </c>
      <c r="K107" s="814" t="s">
        <v>2444</v>
      </c>
      <c r="L107" s="811">
        <v>40812</v>
      </c>
      <c r="M107" s="812" t="s">
        <v>376</v>
      </c>
      <c r="N107" s="813">
        <v>2012</v>
      </c>
      <c r="O107" s="813">
        <v>2011</v>
      </c>
    </row>
    <row r="108" spans="1:15" ht="15.75" hidden="1" customHeight="1">
      <c r="A108" s="815"/>
      <c r="B108" s="815"/>
      <c r="C108" s="815"/>
      <c r="D108" s="815"/>
      <c r="E108" s="820"/>
      <c r="F108" s="821">
        <f t="shared" si="6"/>
        <v>0</v>
      </c>
      <c r="H108" s="815"/>
      <c r="K108" s="814"/>
      <c r="L108" s="816"/>
    </row>
    <row r="109" spans="1:15" ht="15.75" hidden="1" customHeight="1">
      <c r="A109" s="815"/>
      <c r="B109" s="815"/>
      <c r="C109" s="815"/>
      <c r="D109" s="815"/>
      <c r="E109" s="820"/>
      <c r="F109" s="821">
        <f t="shared" si="6"/>
        <v>0</v>
      </c>
      <c r="H109" s="815"/>
      <c r="K109" s="814"/>
      <c r="L109" s="816"/>
    </row>
    <row r="110" spans="1:15" ht="15.75" customHeight="1">
      <c r="A110" s="815"/>
      <c r="B110" s="815"/>
      <c r="C110" s="815"/>
      <c r="D110" s="815"/>
      <c r="E110" s="820"/>
      <c r="F110" s="824"/>
      <c r="G110" s="815"/>
      <c r="H110" s="817"/>
      <c r="I110" s="814"/>
      <c r="J110" s="816"/>
    </row>
    <row r="147" spans="7:7" ht="15.75" customHeight="1">
      <c r="G147" s="810" t="s">
        <v>2445</v>
      </c>
    </row>
  </sheetData>
  <autoFilter ref="A1:O109">
    <filterColumn colId="13">
      <filters>
        <filter val="2008"/>
        <filter val="2009"/>
        <filter val="2010"/>
        <filter val="2011"/>
      </filters>
    </filterColumn>
    <sortState ref="A92:O100">
      <sortCondition ref="M1"/>
    </sortState>
  </autoFilter>
  <sortState ref="A1:WVW147">
    <sortCondition ref="A1"/>
  </sortState>
  <hyperlinks>
    <hyperlink ref="K4" r:id="rId1" display="http://www.ifrc.org/docs/appeals/08/MDR43005PrelimEA.pdf"/>
    <hyperlink ref="K19" r:id="rId2" display="http://www.ifrc.org/docs/appeals/08/MDRKE007PrelimEA.pdf"/>
    <hyperlink ref="K41" r:id="rId3" display="http://www.ifrc.org/docs/appeals/08/MDRYE002pea.pdf"/>
    <hyperlink ref="K3" r:id="rId4" display="http://www.ifrc.org/docs/appeals/08/MDR43004PrelEA.pdf"/>
    <hyperlink ref="K6" r:id="rId5" display="http://www.ifrc.org/docs/appeals/08/MDR49003PE2.pdf"/>
    <hyperlink ref="K16" r:id="rId6" display="http://www.ifrc.org/docs/appeals/08/MDRCU001.pdf"/>
    <hyperlink ref="K18" r:id="rId7" display="http://www.ifrc.org/docs/appeals/08/MDRHT005EA.pdf"/>
    <hyperlink ref="K35" r:id="rId8" display="http://www.ifrc.org/docs/appeals/08/MDRZW003pa.pdf"/>
    <hyperlink ref="K7" r:id="rId9" display="http://www.ifrc.org/docs/appeals/08/MDR61003PrelEA.pdf"/>
    <hyperlink ref="K29" r:id="rId10" display="http://www.ifrc.org/docs/appeals/08/MDRSR002EA.pdf"/>
    <hyperlink ref="K26" r:id="rId11" display="http://www.ifrc.org/docs/appeals/08/MDRPH004.pdf"/>
    <hyperlink ref="K14" r:id="rId12" display="http://www.ifrc.org/docs/appeals/08/MDRCN003ea.pdf"/>
    <hyperlink ref="K17" r:id="rId13" display="http://www.ifrc.org/docs/appeals/08/MDRET005.pdf"/>
    <hyperlink ref="K21" r:id="rId14" display="http://www.ifrc.org/docs/appeals/08/MDRMM002EA.pdf"/>
    <hyperlink ref="K24" r:id="rId15" display="http://www.ifrc.org/docs/appeals/08/MDRNP001revapp2.pdf"/>
    <hyperlink ref="K5" r:id="rId16" display="http://www.ifrc.org/docs/appeals/07/MDR49001rev2.pdf"/>
    <hyperlink ref="K20" r:id="rId17" display="http://www.ifrc.org/docs/appeals/08/MDRMG003EA.pdf"/>
    <hyperlink ref="K30" r:id="rId18" display="http://www.ifrc.org/docs/appeals/08/MDRTJ004ea.pdf"/>
    <hyperlink ref="K13" r:id="rId19" display="http://www.ifrc.org/docs/appeals/08/MDRCM006EA.pdf"/>
    <hyperlink ref="K38" r:id="rId20" display="http://www.ifrc.org/docs/appeals/08/MDRIQ003.pdf"/>
    <hyperlink ref="K9" r:id="rId21" display="http://www.ifrc.org/docs/appeals/08/MDR63001PrelimApp.pdf"/>
    <hyperlink ref="K44" r:id="rId22" display="http://www.ifrc.org/cgi/pdf_appeals.pl?09/MDRSY001ea.pdf"/>
    <hyperlink ref="K43" r:id="rId23" display="http://www.ifrc.org/cgi/pdf_appeals.pl?09/MDR61005ea.pdf"/>
    <hyperlink ref="K42" r:id="rId24" display="http://www.ifrc.org/cgi/pdf_appeals.pl?09/MDRCF006ea.pdf"/>
    <hyperlink ref="K46" r:id="rId25" display="http://www.ifrc.org/cgi/pdf_appeals.pl?09/MDRCF006ea.pdf"/>
    <hyperlink ref="K47" r:id="rId26" display="http://www.ifrc.org/cgi/pdf_appeals.pl?09/MDRCF006ea.pdf"/>
    <hyperlink ref="K45" r:id="rId27" display="http://www.ifrc.org/cgi/pdf_appeals.pl?09/MDRCF006ea.pdf"/>
    <hyperlink ref="K48" r:id="rId28" display="http://www.ifrc.org/cgi/pdf_appeals.pl?09/MDRCF006ea.pdf"/>
    <hyperlink ref="K53" r:id="rId29" display="http://www.ifrc.org/cgi/pdf_appeals.pl?09/MDRCF006ea.pdf"/>
    <hyperlink ref="K15" r:id="rId30" display="http://www.ifrc.org/cgi/pdf_appeals.pl?09/MDRCF006ea.pdf"/>
    <hyperlink ref="K54" r:id="rId31" display="http://www.ifrc.org/cgi/pdf_appeals.pl?09/MDRCF006ea.pdf"/>
    <hyperlink ref="K49" r:id="rId32" display="http://www.ifrc.org/cgi/pdf_appeals.pl?09/MDRCF006ea.pdf"/>
    <hyperlink ref="K50" r:id="rId33" display="http://www.ifrc.org/cgi/pdf_appeals.pl?09/MDRCF006ea.pdf"/>
    <hyperlink ref="K51" r:id="rId34" display="http://www.ifrc.org/cgi/pdf_appeals.pl?09/MDRCF006ea.pdf"/>
    <hyperlink ref="K70" r:id="rId35" display="http://www.ifrc.org/cgi/pdf_appeals.pl?09/MDRCF006ea.pdf"/>
    <hyperlink ref="K103" r:id="rId36" display="http://www.ifrc.org/docs/appeals/11/MDRNE010ea.pdf"/>
    <hyperlink ref="K102" r:id="rId37" display="http://www.ifrc.org/docs/appeals/11/MDRKE018EA.pdf"/>
    <hyperlink ref="K101" r:id="rId38" display="http://www.ifrc.org/docs/appeals/11/MDRVN009ea.pdf"/>
    <hyperlink ref="K105" r:id="rId39" display="http://www.ifrc.org/docs/appeals/11/MDRPH008revEA.pdf"/>
    <hyperlink ref="K106" r:id="rId40" display="http://www.ifrc.org/docs/appeals/11/MDRTD008REA.pdf"/>
    <hyperlink ref="K104" r:id="rId41" display="http://www.ifrc.org/docs/appeals/11/MDRTR002EA.pdf"/>
    <hyperlink ref="K107" r:id="rId42" display="http://www.ifrc.org/docs/appeals/11/MDRET010REA.pdf"/>
  </hyperlinks>
  <pageMargins left="0.75" right="0.75" top="1" bottom="1" header="0.5" footer="0.5"/>
  <pageSetup orientation="portrait" r:id="rId43"/>
  <headerFooter alignWithMargins="0"/>
  <legacyDrawing r:id="rId44"/>
</worksheet>
</file>

<file path=xl/worksheets/sheet3.xml><?xml version="1.0" encoding="utf-8"?>
<worksheet xmlns="http://schemas.openxmlformats.org/spreadsheetml/2006/main" xmlns:r="http://schemas.openxmlformats.org/officeDocument/2006/relationships">
  <dimension ref="A2:L45"/>
  <sheetViews>
    <sheetView workbookViewId="0">
      <selection activeCell="B43" sqref="B43"/>
    </sheetView>
  </sheetViews>
  <sheetFormatPr defaultRowHeight="12.75"/>
  <cols>
    <col min="2" max="2" width="35.140625" customWidth="1"/>
    <col min="9" max="9" width="36.42578125" customWidth="1"/>
    <col min="12" max="12" width="15.42578125" customWidth="1"/>
  </cols>
  <sheetData>
    <row r="2" spans="1:12">
      <c r="B2" s="4" t="s">
        <v>2790</v>
      </c>
    </row>
    <row r="3" spans="1:12">
      <c r="I3" t="s">
        <v>2791</v>
      </c>
    </row>
    <row r="4" spans="1:12" ht="15">
      <c r="J4" s="859" t="s">
        <v>107</v>
      </c>
      <c r="K4" s="859" t="s">
        <v>184</v>
      </c>
    </row>
    <row r="5" spans="1:12" ht="15">
      <c r="A5" s="794" t="s">
        <v>2803</v>
      </c>
      <c r="B5" s="868" t="s">
        <v>2792</v>
      </c>
      <c r="C5" s="868" t="s">
        <v>1818</v>
      </c>
      <c r="D5" s="868" t="s">
        <v>377</v>
      </c>
      <c r="E5" s="868" t="s">
        <v>107</v>
      </c>
      <c r="F5" s="868" t="s">
        <v>184</v>
      </c>
      <c r="I5" s="860" t="s">
        <v>1803</v>
      </c>
      <c r="J5" s="860"/>
      <c r="K5" s="861">
        <v>91000</v>
      </c>
    </row>
    <row r="6" spans="1:12" ht="15">
      <c r="A6" s="794" t="s">
        <v>996</v>
      </c>
      <c r="B6" s="869" t="s">
        <v>2793</v>
      </c>
      <c r="C6" s="870">
        <v>100000</v>
      </c>
      <c r="D6" s="870"/>
      <c r="E6" s="870"/>
      <c r="F6" s="870"/>
      <c r="I6" s="862" t="s">
        <v>508</v>
      </c>
      <c r="J6" s="863">
        <v>177000</v>
      </c>
      <c r="K6" s="862"/>
      <c r="L6" s="859" t="s">
        <v>2784</v>
      </c>
    </row>
    <row r="7" spans="1:12" ht="15">
      <c r="A7" s="794" t="s">
        <v>996</v>
      </c>
      <c r="B7" s="869" t="s">
        <v>2794</v>
      </c>
      <c r="C7" s="870">
        <v>100000</v>
      </c>
      <c r="D7" s="870"/>
      <c r="E7" s="870"/>
      <c r="F7" s="870"/>
      <c r="I7" s="862" t="s">
        <v>2785</v>
      </c>
      <c r="J7" s="863">
        <v>144690</v>
      </c>
      <c r="K7" s="862"/>
    </row>
    <row r="8" spans="1:12" ht="15">
      <c r="A8" s="794" t="s">
        <v>996</v>
      </c>
      <c r="B8" s="869" t="s">
        <v>2796</v>
      </c>
      <c r="C8" s="870">
        <v>100000</v>
      </c>
      <c r="D8" s="870"/>
      <c r="E8" s="870"/>
      <c r="F8" s="870"/>
      <c r="I8" s="860" t="s">
        <v>12</v>
      </c>
      <c r="J8" s="860"/>
      <c r="K8" s="861">
        <v>162270</v>
      </c>
    </row>
    <row r="9" spans="1:12" ht="15">
      <c r="A9" s="794" t="s">
        <v>996</v>
      </c>
      <c r="B9" s="869" t="s">
        <v>2795</v>
      </c>
      <c r="C9" s="870"/>
      <c r="D9" s="870">
        <v>100000</v>
      </c>
      <c r="E9" s="870"/>
      <c r="F9" s="870"/>
      <c r="I9" s="860" t="s">
        <v>2786</v>
      </c>
      <c r="J9" s="861">
        <v>50000</v>
      </c>
      <c r="K9" s="860"/>
    </row>
    <row r="10" spans="1:12" ht="15">
      <c r="A10" s="794" t="s">
        <v>996</v>
      </c>
      <c r="B10" s="869" t="s">
        <v>343</v>
      </c>
      <c r="C10" s="870"/>
      <c r="D10" s="870">
        <v>100000</v>
      </c>
      <c r="E10" s="870"/>
      <c r="F10" s="870"/>
      <c r="I10" s="864" t="s">
        <v>2787</v>
      </c>
      <c r="J10" s="865">
        <v>41000</v>
      </c>
      <c r="K10" s="864"/>
    </row>
    <row r="11" spans="1:12" ht="15">
      <c r="A11" s="794" t="s">
        <v>996</v>
      </c>
      <c r="B11" s="869" t="s">
        <v>2797</v>
      </c>
      <c r="C11" s="870"/>
      <c r="D11" s="870">
        <v>200000</v>
      </c>
      <c r="E11" s="870"/>
      <c r="F11" s="870"/>
      <c r="I11" s="862" t="s">
        <v>51</v>
      </c>
      <c r="J11" s="863">
        <v>181539</v>
      </c>
      <c r="K11" s="862"/>
    </row>
    <row r="12" spans="1:12" ht="15">
      <c r="A12" s="794" t="s">
        <v>996</v>
      </c>
      <c r="B12" s="869" t="s">
        <v>2798</v>
      </c>
      <c r="C12" s="870"/>
      <c r="D12" s="870">
        <v>100000</v>
      </c>
      <c r="E12" s="870"/>
      <c r="F12" s="870"/>
      <c r="I12" s="862" t="s">
        <v>97</v>
      </c>
      <c r="J12" s="862"/>
      <c r="K12" s="863">
        <v>182000</v>
      </c>
    </row>
    <row r="13" spans="1:12" ht="15">
      <c r="A13" s="794" t="s">
        <v>996</v>
      </c>
      <c r="B13" s="869" t="s">
        <v>2799</v>
      </c>
      <c r="C13" s="870"/>
      <c r="D13" s="870"/>
      <c r="E13" s="870">
        <v>200000</v>
      </c>
      <c r="F13" s="870"/>
      <c r="I13" s="864" t="s">
        <v>2788</v>
      </c>
      <c r="J13" s="865">
        <v>114204</v>
      </c>
      <c r="K13" s="864"/>
      <c r="L13" s="859" t="s">
        <v>2789</v>
      </c>
    </row>
    <row r="14" spans="1:12" ht="15">
      <c r="A14" s="794" t="s">
        <v>996</v>
      </c>
      <c r="B14" s="869" t="s">
        <v>2800</v>
      </c>
      <c r="C14" s="870"/>
      <c r="D14" s="870"/>
      <c r="E14" s="870">
        <v>200000</v>
      </c>
      <c r="F14" s="870"/>
      <c r="I14" s="859" t="s">
        <v>1207</v>
      </c>
      <c r="J14" s="866">
        <v>708432</v>
      </c>
      <c r="K14" s="866">
        <v>435270</v>
      </c>
    </row>
    <row r="15" spans="1:12">
      <c r="A15" s="794" t="s">
        <v>996</v>
      </c>
      <c r="B15" s="869" t="s">
        <v>2801</v>
      </c>
      <c r="C15" s="870"/>
      <c r="D15" s="870"/>
      <c r="E15" s="870">
        <v>159000</v>
      </c>
      <c r="F15" s="870"/>
    </row>
    <row r="16" spans="1:12" ht="15">
      <c r="A16" s="794" t="s">
        <v>2804</v>
      </c>
      <c r="B16" s="869" t="s">
        <v>97</v>
      </c>
      <c r="C16" s="870"/>
      <c r="D16" s="870"/>
      <c r="E16" s="870"/>
      <c r="F16" s="870">
        <v>200000</v>
      </c>
      <c r="I16" s="867"/>
    </row>
    <row r="17" spans="1:6">
      <c r="A17" s="794" t="s">
        <v>996</v>
      </c>
      <c r="B17" s="869" t="s">
        <v>2802</v>
      </c>
      <c r="C17" s="870"/>
      <c r="D17" s="870"/>
      <c r="E17" s="870"/>
      <c r="F17" s="870">
        <v>200000</v>
      </c>
    </row>
    <row r="18" spans="1:6">
      <c r="A18" s="794" t="s">
        <v>996</v>
      </c>
      <c r="B18" s="869" t="s">
        <v>1803</v>
      </c>
      <c r="C18" s="870"/>
      <c r="D18" s="870"/>
      <c r="E18" s="870"/>
      <c r="F18" s="870">
        <v>100000</v>
      </c>
    </row>
    <row r="19" spans="1:6">
      <c r="B19" s="794"/>
      <c r="C19" s="59"/>
      <c r="D19" s="59"/>
      <c r="E19" s="59"/>
      <c r="F19" s="59"/>
    </row>
    <row r="20" spans="1:6">
      <c r="B20" s="1024" t="s">
        <v>2805</v>
      </c>
      <c r="C20" s="1025"/>
      <c r="D20" s="1025"/>
      <c r="E20" s="1025"/>
      <c r="F20" s="1025"/>
    </row>
    <row r="21" spans="1:6">
      <c r="B21" s="1025"/>
      <c r="C21" s="1025"/>
      <c r="D21" s="1025"/>
      <c r="E21" s="1025"/>
      <c r="F21" s="1025"/>
    </row>
    <row r="22" spans="1:6">
      <c r="B22" s="1025"/>
      <c r="C22" s="1025"/>
      <c r="D22" s="1025"/>
      <c r="E22" s="1025"/>
      <c r="F22" s="1025"/>
    </row>
    <row r="23" spans="1:6">
      <c r="B23" s="1025"/>
      <c r="C23" s="1025"/>
      <c r="D23" s="1025"/>
      <c r="E23" s="1025"/>
      <c r="F23" s="1025"/>
    </row>
    <row r="24" spans="1:6">
      <c r="B24" s="1025"/>
      <c r="C24" s="1025"/>
      <c r="D24" s="1025"/>
      <c r="E24" s="1025"/>
      <c r="F24" s="1025"/>
    </row>
    <row r="25" spans="1:6">
      <c r="C25" s="59"/>
      <c r="D25" s="59"/>
      <c r="E25" s="59"/>
      <c r="F25" s="59"/>
    </row>
    <row r="26" spans="1:6">
      <c r="C26" s="59"/>
      <c r="D26" s="59"/>
      <c r="E26" s="59"/>
      <c r="F26" s="59"/>
    </row>
    <row r="27" spans="1:6">
      <c r="C27" s="59"/>
      <c r="D27" s="59"/>
      <c r="E27" s="59"/>
      <c r="F27" s="59"/>
    </row>
    <row r="28" spans="1:6">
      <c r="C28" s="59"/>
      <c r="D28" s="59"/>
      <c r="E28" s="59"/>
      <c r="F28" s="59"/>
    </row>
    <row r="29" spans="1:6">
      <c r="C29" s="59"/>
      <c r="D29" s="59"/>
      <c r="E29" s="59"/>
      <c r="F29" s="59"/>
    </row>
    <row r="30" spans="1:6">
      <c r="C30" s="59"/>
      <c r="D30" s="59"/>
      <c r="E30" s="59"/>
      <c r="F30" s="59"/>
    </row>
    <row r="31" spans="1:6">
      <c r="C31" s="59"/>
      <c r="D31" s="59"/>
      <c r="E31" s="59"/>
      <c r="F31" s="59"/>
    </row>
    <row r="32" spans="1:6">
      <c r="C32" s="59"/>
      <c r="D32" s="59"/>
      <c r="E32" s="59"/>
      <c r="F32" s="59"/>
    </row>
    <row r="33" spans="3:6">
      <c r="C33" s="59"/>
      <c r="D33" s="59"/>
      <c r="E33" s="59"/>
      <c r="F33" s="59"/>
    </row>
    <row r="34" spans="3:6">
      <c r="C34" s="59"/>
      <c r="D34" s="59"/>
      <c r="E34" s="59"/>
      <c r="F34" s="59"/>
    </row>
    <row r="35" spans="3:6">
      <c r="C35" s="59"/>
      <c r="D35" s="59"/>
      <c r="E35" s="59"/>
      <c r="F35" s="59"/>
    </row>
    <row r="36" spans="3:6">
      <c r="C36" s="59"/>
      <c r="D36" s="59"/>
      <c r="E36" s="59"/>
      <c r="F36" s="59"/>
    </row>
    <row r="37" spans="3:6">
      <c r="C37" s="59"/>
      <c r="D37" s="59"/>
      <c r="E37" s="59"/>
      <c r="F37" s="59"/>
    </row>
    <row r="38" spans="3:6">
      <c r="C38" s="59"/>
      <c r="D38" s="59"/>
      <c r="E38" s="59"/>
      <c r="F38" s="59"/>
    </row>
    <row r="39" spans="3:6">
      <c r="C39" s="59"/>
      <c r="D39" s="59"/>
      <c r="E39" s="59"/>
      <c r="F39" s="59"/>
    </row>
    <row r="40" spans="3:6">
      <c r="C40" s="59"/>
      <c r="D40" s="59"/>
      <c r="E40" s="59"/>
      <c r="F40" s="59"/>
    </row>
    <row r="41" spans="3:6">
      <c r="C41" s="59"/>
      <c r="D41" s="59"/>
      <c r="E41" s="59"/>
      <c r="F41" s="59"/>
    </row>
    <row r="42" spans="3:6">
      <c r="C42" s="59"/>
      <c r="D42" s="59"/>
      <c r="E42" s="59"/>
      <c r="F42" s="59"/>
    </row>
    <row r="43" spans="3:6">
      <c r="C43" s="59"/>
      <c r="D43" s="59"/>
      <c r="E43" s="59"/>
      <c r="F43" s="59"/>
    </row>
    <row r="44" spans="3:6">
      <c r="C44" s="59"/>
      <c r="D44" s="59"/>
      <c r="E44" s="59"/>
      <c r="F44" s="59"/>
    </row>
    <row r="45" spans="3:6">
      <c r="C45" s="59"/>
      <c r="D45" s="59"/>
      <c r="E45" s="59"/>
      <c r="F45" s="59"/>
    </row>
  </sheetData>
  <mergeCells count="1">
    <mergeCell ref="B20:F24"/>
  </mergeCells>
  <pageMargins left="0.7" right="0.7" top="0.75" bottom="0.75" header="0.3" footer="0.3"/>
</worksheet>
</file>

<file path=xl/worksheets/sheet4.xml><?xml version="1.0" encoding="utf-8"?>
<worksheet xmlns="http://schemas.openxmlformats.org/spreadsheetml/2006/main" xmlns:r="http://schemas.openxmlformats.org/officeDocument/2006/relationships">
  <sheetPr codeName="Sheet2"/>
  <dimension ref="A1:AG128"/>
  <sheetViews>
    <sheetView workbookViewId="0">
      <selection activeCell="M43" sqref="M43"/>
    </sheetView>
  </sheetViews>
  <sheetFormatPr defaultRowHeight="12.75"/>
  <cols>
    <col min="1" max="1" width="26.7109375" customWidth="1"/>
    <col min="2" max="2" width="17" style="59" customWidth="1"/>
    <col min="3" max="3" width="14.42578125" style="59" customWidth="1"/>
    <col min="4" max="4" width="12.42578125" style="59" customWidth="1"/>
    <col min="5" max="7" width="12.140625" customWidth="1"/>
    <col min="8" max="8" width="41.28515625" customWidth="1"/>
    <col min="9" max="9" width="17" customWidth="1"/>
    <col min="10" max="11" width="12.140625" customWidth="1"/>
    <col min="12" max="13" width="14.85546875" customWidth="1"/>
    <col min="14" max="14" width="19.42578125" customWidth="1"/>
    <col min="15" max="15" width="12.42578125" customWidth="1"/>
    <col min="16" max="16" width="12.140625" bestFit="1" customWidth="1"/>
    <col min="17" max="17" width="12.85546875" customWidth="1"/>
    <col min="18" max="18" width="14.42578125" customWidth="1"/>
    <col min="19" max="21" width="9" customWidth="1"/>
    <col min="22" max="22" width="12.85546875" customWidth="1"/>
    <col min="23" max="23" width="13.28515625" customWidth="1"/>
    <col min="24" max="24" width="13.85546875" customWidth="1"/>
    <col min="25" max="26" width="13.28515625" customWidth="1"/>
    <col min="27" max="27" width="14.28515625" customWidth="1"/>
    <col min="28" max="28" width="11.85546875" customWidth="1"/>
    <col min="30" max="30" width="15.5703125" customWidth="1"/>
    <col min="31" max="31" width="13.42578125" customWidth="1"/>
  </cols>
  <sheetData>
    <row r="1" spans="1:31">
      <c r="A1" s="4" t="s">
        <v>2458</v>
      </c>
      <c r="H1" s="4" t="s">
        <v>2454</v>
      </c>
      <c r="I1" s="59"/>
      <c r="J1" s="59"/>
      <c r="K1" s="59"/>
    </row>
    <row r="2" spans="1:31">
      <c r="I2" s="59"/>
      <c r="J2" s="59"/>
      <c r="K2" s="59"/>
      <c r="N2" s="4" t="s">
        <v>2460</v>
      </c>
      <c r="O2" s="4"/>
      <c r="P2" s="4"/>
      <c r="Q2" s="4"/>
      <c r="R2" s="4"/>
      <c r="S2" s="4"/>
      <c r="T2" s="4"/>
      <c r="U2" s="4"/>
      <c r="V2" s="4" t="s">
        <v>1855</v>
      </c>
      <c r="W2" s="4"/>
      <c r="X2" s="4"/>
      <c r="Y2" s="4"/>
      <c r="Z2" s="4"/>
      <c r="AA2" s="4" t="s">
        <v>2224</v>
      </c>
      <c r="AD2" s="4" t="s">
        <v>2808</v>
      </c>
    </row>
    <row r="3" spans="1:31">
      <c r="A3" s="767" t="s">
        <v>2451</v>
      </c>
      <c r="B3" s="822" t="s">
        <v>2121</v>
      </c>
      <c r="H3" s="767" t="s">
        <v>2453</v>
      </c>
      <c r="I3" s="822" t="s">
        <v>2121</v>
      </c>
      <c r="J3" s="59"/>
      <c r="K3" s="59"/>
      <c r="O3" s="794" t="s">
        <v>107</v>
      </c>
      <c r="P3" s="794" t="s">
        <v>184</v>
      </c>
      <c r="W3" s="794" t="s">
        <v>107</v>
      </c>
      <c r="X3" s="794" t="s">
        <v>184</v>
      </c>
      <c r="Y3" s="794"/>
      <c r="Z3" s="794"/>
      <c r="AB3" s="794" t="s">
        <v>107</v>
      </c>
      <c r="AD3" s="794" t="s">
        <v>1818</v>
      </c>
    </row>
    <row r="4" spans="1:31">
      <c r="A4" s="767" t="s">
        <v>2108</v>
      </c>
      <c r="B4" s="59">
        <v>2010</v>
      </c>
      <c r="C4" s="59">
        <v>2011</v>
      </c>
      <c r="D4" s="59" t="s">
        <v>1207</v>
      </c>
      <c r="H4" s="767" t="s">
        <v>2108</v>
      </c>
      <c r="I4" s="59">
        <v>2010</v>
      </c>
      <c r="J4" s="59">
        <v>2011</v>
      </c>
      <c r="K4" s="59" t="s">
        <v>1207</v>
      </c>
      <c r="N4" s="794" t="s">
        <v>2457</v>
      </c>
      <c r="O4" s="59">
        <f>GETPIVOTDATA("Value USD",$A$3,"ARC Fiscal Year",2010)</f>
        <v>410160125.98803002</v>
      </c>
      <c r="P4" s="59">
        <f>GETPIVOTDATA("Value USD",$A$3,"ARC Fiscal Year",2011)</f>
        <v>243058977.65513</v>
      </c>
      <c r="V4" s="794" t="s">
        <v>2457</v>
      </c>
      <c r="W4" s="59">
        <f>O4-AB4</f>
        <v>139816744.57679003</v>
      </c>
      <c r="X4" s="59">
        <f>P4</f>
        <v>243058977.65513</v>
      </c>
      <c r="Y4" s="59"/>
      <c r="Z4" s="59"/>
      <c r="AA4" s="794" t="s">
        <v>2457</v>
      </c>
      <c r="AB4" s="59">
        <f>GETPIVOTDATA("Value USD",$A$3,"IFRC Appeal Name","Haiti - Earthquake ","ARC Fiscal Year",2010)</f>
        <v>270343381.41123998</v>
      </c>
      <c r="AD4" s="794" t="s">
        <v>2457</v>
      </c>
      <c r="AE4" s="59">
        <f>IFRCDB!B28*1.09327</f>
        <v>167114821.86078998</v>
      </c>
    </row>
    <row r="5" spans="1:31">
      <c r="A5" s="70" t="s">
        <v>2406</v>
      </c>
      <c r="C5" s="59">
        <v>567106.48074999999</v>
      </c>
      <c r="D5" s="59">
        <v>567106.48074999999</v>
      </c>
      <c r="H5" s="70" t="s">
        <v>2406</v>
      </c>
      <c r="I5" s="59"/>
      <c r="J5" s="59">
        <v>499053.70305999997</v>
      </c>
      <c r="K5" s="59">
        <v>499053.70305999997</v>
      </c>
      <c r="N5" s="794" t="s">
        <v>2456</v>
      </c>
      <c r="O5" s="59">
        <v>50863455.43</v>
      </c>
      <c r="P5" s="59">
        <v>8444351</v>
      </c>
      <c r="V5" s="794" t="s">
        <v>2456</v>
      </c>
      <c r="W5" s="59">
        <f>O5-AB5</f>
        <v>4188605</v>
      </c>
      <c r="X5" s="59">
        <f>P5</f>
        <v>8444351</v>
      </c>
      <c r="Y5" s="59"/>
      <c r="Z5" s="59"/>
      <c r="AA5" s="794" t="s">
        <v>2456</v>
      </c>
      <c r="AB5" s="59">
        <f>'ARCT 4-12 inquiry - background'!S16</f>
        <v>46674850.43</v>
      </c>
      <c r="AD5" s="794" t="s">
        <v>2456</v>
      </c>
      <c r="AE5" s="59">
        <f>'Disaster Data'!AC261</f>
        <v>46003197.772909999</v>
      </c>
    </row>
    <row r="6" spans="1:31">
      <c r="A6" s="70" t="s">
        <v>2374</v>
      </c>
      <c r="C6" s="59">
        <v>3065020.70945</v>
      </c>
      <c r="D6" s="59">
        <v>3065020.70945</v>
      </c>
      <c r="H6" s="70" t="s">
        <v>2374</v>
      </c>
      <c r="I6" s="59"/>
      <c r="J6" s="59">
        <v>613004.14188999997</v>
      </c>
      <c r="K6" s="59">
        <v>613004.14188999997</v>
      </c>
      <c r="N6" s="794" t="s">
        <v>2455</v>
      </c>
      <c r="O6" s="59">
        <f>O4-O8</f>
        <v>64010284.181996703</v>
      </c>
      <c r="P6" s="59">
        <f>P4-P8</f>
        <v>95470712.569294006</v>
      </c>
      <c r="V6" s="794" t="s">
        <v>2455</v>
      </c>
      <c r="W6" s="59">
        <f>O6-AB6</f>
        <v>47789681.297322303</v>
      </c>
      <c r="X6" s="59">
        <f>P6</f>
        <v>95470712.569294006</v>
      </c>
      <c r="AA6" s="794" t="s">
        <v>2455</v>
      </c>
      <c r="AB6" s="59">
        <f>AB4-AB8</f>
        <v>16220602.8846744</v>
      </c>
      <c r="AD6" s="794" t="s">
        <v>2455</v>
      </c>
      <c r="AE6">
        <v>0</v>
      </c>
    </row>
    <row r="7" spans="1:31">
      <c r="A7" s="70" t="s">
        <v>2314</v>
      </c>
      <c r="B7" s="59">
        <v>3826445</v>
      </c>
      <c r="D7" s="59">
        <v>3826445</v>
      </c>
      <c r="H7" s="70" t="s">
        <v>2314</v>
      </c>
      <c r="I7" s="59">
        <v>2869833.75</v>
      </c>
      <c r="J7" s="59"/>
      <c r="K7" s="59">
        <v>2869833.75</v>
      </c>
      <c r="N7" s="794" t="s">
        <v>1295</v>
      </c>
      <c r="O7" s="59">
        <f>O8-O5</f>
        <v>295286386.37603331</v>
      </c>
      <c r="P7" s="59">
        <f>P8-P5</f>
        <v>139143914.08583599</v>
      </c>
      <c r="V7" s="794" t="s">
        <v>1295</v>
      </c>
      <c r="W7" s="59">
        <f>O7-AB7</f>
        <v>87838458.279467732</v>
      </c>
      <c r="X7" s="59">
        <f>P7</f>
        <v>139143914.08583599</v>
      </c>
      <c r="AA7" s="794" t="s">
        <v>1295</v>
      </c>
      <c r="AB7" s="59">
        <f>AB8-AB5</f>
        <v>207447928.09656557</v>
      </c>
      <c r="AD7" s="794" t="s">
        <v>1295</v>
      </c>
      <c r="AE7" s="59">
        <f>AE4-AE5</f>
        <v>121111624.08787999</v>
      </c>
    </row>
    <row r="8" spans="1:31">
      <c r="A8" s="70" t="s">
        <v>2411</v>
      </c>
      <c r="C8" s="59">
        <v>1488302.34237</v>
      </c>
      <c r="D8" s="59">
        <v>1488302.34237</v>
      </c>
      <c r="H8" s="70" t="s">
        <v>2411</v>
      </c>
      <c r="I8" s="59"/>
      <c r="J8" s="59">
        <v>312543.49189770001</v>
      </c>
      <c r="K8" s="59">
        <v>312543.49189770001</v>
      </c>
      <c r="N8" s="794" t="s">
        <v>2454</v>
      </c>
      <c r="O8" s="59">
        <f>GETPIVOTDATA("Total Coverage USD",$H$3,"ARC Fiscal Year",2010)</f>
        <v>346149841.80603331</v>
      </c>
      <c r="P8" s="59">
        <f>GETPIVOTDATA("Total Coverage USD",$H$3,"ARC Fiscal Year",2011)</f>
        <v>147588265.08583599</v>
      </c>
      <c r="V8" s="794" t="s">
        <v>2454</v>
      </c>
      <c r="W8" s="59">
        <f>O8-AB8</f>
        <v>92027063.279467732</v>
      </c>
      <c r="X8" s="59">
        <f>P8</f>
        <v>147588265.08583599</v>
      </c>
      <c r="AA8" s="794" t="s">
        <v>2454</v>
      </c>
      <c r="AB8" s="59">
        <f>GETPIVOTDATA("Total Coverage USD",$H$3,"IFRC Appeal Name","Haiti - Earthquake ","ARC Fiscal Year",2010)</f>
        <v>254122778.52656558</v>
      </c>
      <c r="AD8" s="794" t="s">
        <v>2454</v>
      </c>
      <c r="AE8" s="59">
        <f>AE4</f>
        <v>167114821.86078998</v>
      </c>
    </row>
    <row r="9" spans="1:31">
      <c r="A9" s="70" t="s">
        <v>2383</v>
      </c>
      <c r="C9" s="59">
        <v>1142526.18658</v>
      </c>
      <c r="D9" s="59">
        <v>1142526.18658</v>
      </c>
      <c r="H9" s="70" t="s">
        <v>2383</v>
      </c>
      <c r="I9" s="59"/>
      <c r="J9" s="59">
        <v>754067.28314279998</v>
      </c>
      <c r="K9" s="59">
        <v>754067.28314279998</v>
      </c>
    </row>
    <row r="10" spans="1:31">
      <c r="A10" s="70" t="s">
        <v>2372</v>
      </c>
      <c r="C10" s="59">
        <v>1403707.2963099999</v>
      </c>
      <c r="D10" s="59">
        <v>1403707.2963099999</v>
      </c>
      <c r="H10" s="70" t="s">
        <v>2372</v>
      </c>
      <c r="I10" s="59"/>
      <c r="J10" s="59">
        <v>379000.9700037</v>
      </c>
      <c r="K10" s="59">
        <v>379000.9700037</v>
      </c>
      <c r="N10" s="4" t="s">
        <v>2464</v>
      </c>
      <c r="O10" s="794"/>
      <c r="P10" s="794"/>
      <c r="Q10" s="794"/>
      <c r="V10" s="4" t="s">
        <v>2464</v>
      </c>
    </row>
    <row r="11" spans="1:31">
      <c r="A11" s="70" t="s">
        <v>2353</v>
      </c>
      <c r="B11" s="59">
        <v>1369177.4566299999</v>
      </c>
      <c r="D11" s="59">
        <v>1369177.4566299999</v>
      </c>
      <c r="H11" s="70" t="s">
        <v>2353</v>
      </c>
      <c r="I11" s="59">
        <v>1150109.0635692</v>
      </c>
      <c r="J11" s="59"/>
      <c r="K11" s="59">
        <v>1150109.0635692</v>
      </c>
      <c r="N11" s="4" t="s">
        <v>2465</v>
      </c>
      <c r="O11" s="59"/>
      <c r="P11" s="59"/>
      <c r="Q11" s="59"/>
      <c r="V11" s="4" t="s">
        <v>2467</v>
      </c>
    </row>
    <row r="12" spans="1:31">
      <c r="A12" s="70" t="s">
        <v>2342</v>
      </c>
      <c r="B12" s="59">
        <v>17575266.394899998</v>
      </c>
      <c r="D12" s="59">
        <v>17575266.394899998</v>
      </c>
      <c r="H12" s="70" t="s">
        <v>2342</v>
      </c>
      <c r="I12" s="59">
        <v>16344997.747256998</v>
      </c>
      <c r="J12" s="59"/>
      <c r="K12" s="59">
        <v>16344997.747256998</v>
      </c>
      <c r="N12" s="794"/>
      <c r="O12" s="59"/>
      <c r="P12" s="59"/>
      <c r="Q12" s="59"/>
    </row>
    <row r="13" spans="1:31">
      <c r="A13" s="70" t="s">
        <v>2293</v>
      </c>
      <c r="C13" s="59">
        <v>1444077.38433</v>
      </c>
      <c r="D13" s="59">
        <v>1444077.38433</v>
      </c>
      <c r="H13" s="70" t="s">
        <v>2293</v>
      </c>
      <c r="I13" s="59"/>
      <c r="J13" s="59">
        <v>1241906.5505238001</v>
      </c>
      <c r="K13" s="59">
        <v>1241906.5505238001</v>
      </c>
    </row>
    <row r="14" spans="1:31">
      <c r="A14" s="70" t="s">
        <v>2391</v>
      </c>
      <c r="C14" s="59">
        <v>1645383.3759699999</v>
      </c>
      <c r="D14" s="59">
        <v>1645383.3759699999</v>
      </c>
      <c r="H14" s="70" t="s">
        <v>2391</v>
      </c>
      <c r="I14" s="59"/>
      <c r="J14" s="59">
        <v>460707.3452716</v>
      </c>
      <c r="K14" s="59">
        <v>460707.3452716</v>
      </c>
    </row>
    <row r="15" spans="1:31">
      <c r="A15" s="70" t="s">
        <v>2415</v>
      </c>
      <c r="C15" s="59">
        <v>7327104.2861599997</v>
      </c>
      <c r="D15" s="59">
        <v>7327104.2861599997</v>
      </c>
      <c r="H15" s="70" t="s">
        <v>2415</v>
      </c>
      <c r="I15" s="59"/>
      <c r="J15" s="59">
        <v>805981.47147759993</v>
      </c>
      <c r="K15" s="59">
        <v>805981.47147759993</v>
      </c>
    </row>
    <row r="16" spans="1:31">
      <c r="A16" s="70" t="s">
        <v>1874</v>
      </c>
      <c r="B16" s="59">
        <v>3559266.21105</v>
      </c>
      <c r="D16" s="59">
        <v>3559266.21105</v>
      </c>
      <c r="H16" s="70" t="s">
        <v>1874</v>
      </c>
      <c r="I16" s="59">
        <v>1744040.4434145</v>
      </c>
      <c r="J16" s="59"/>
      <c r="K16" s="59">
        <v>1744040.4434145</v>
      </c>
    </row>
    <row r="17" spans="1:22">
      <c r="A17" s="70" t="s">
        <v>2308</v>
      </c>
      <c r="B17" s="59">
        <v>1004237.37101</v>
      </c>
      <c r="D17" s="59">
        <v>1004237.37101</v>
      </c>
      <c r="H17" s="70" t="s">
        <v>2308</v>
      </c>
      <c r="I17" s="59">
        <v>1004237.37101</v>
      </c>
      <c r="J17" s="59"/>
      <c r="K17" s="59">
        <v>1004237.37101</v>
      </c>
    </row>
    <row r="18" spans="1:22">
      <c r="A18" s="70" t="s">
        <v>2327</v>
      </c>
      <c r="B18" s="59">
        <v>1229581.09014</v>
      </c>
      <c r="D18" s="59">
        <v>1229581.09014</v>
      </c>
      <c r="H18" s="70" t="s">
        <v>2327</v>
      </c>
      <c r="I18" s="59">
        <v>221324.59622519999</v>
      </c>
      <c r="J18" s="59"/>
      <c r="K18" s="59">
        <v>221324.59622519999</v>
      </c>
    </row>
    <row r="19" spans="1:22">
      <c r="A19" s="70" t="s">
        <v>2329</v>
      </c>
      <c r="B19" s="59">
        <v>1836888.20206</v>
      </c>
      <c r="D19" s="59">
        <v>1836888.20206</v>
      </c>
      <c r="H19" s="70" t="s">
        <v>2329</v>
      </c>
      <c r="I19" s="59">
        <v>1689937.1458952001</v>
      </c>
      <c r="J19" s="59"/>
      <c r="K19" s="59">
        <v>1689937.1458952001</v>
      </c>
    </row>
    <row r="20" spans="1:22">
      <c r="A20" s="70" t="s">
        <v>2340</v>
      </c>
      <c r="B20" s="59">
        <v>33431199.537760001</v>
      </c>
      <c r="D20" s="59">
        <v>33431199.537760001</v>
      </c>
      <c r="H20" s="70" t="s">
        <v>2340</v>
      </c>
      <c r="I20" s="59">
        <v>5683303.9214192005</v>
      </c>
      <c r="J20" s="59"/>
      <c r="K20" s="59">
        <v>5683303.9214192005</v>
      </c>
    </row>
    <row r="21" spans="1:22">
      <c r="A21" s="70" t="s">
        <v>2306</v>
      </c>
      <c r="B21" s="59">
        <v>880366.60019999999</v>
      </c>
      <c r="D21" s="59">
        <v>880366.60019999999</v>
      </c>
      <c r="H21" s="70" t="s">
        <v>2306</v>
      </c>
      <c r="I21" s="59">
        <v>193680.65204399999</v>
      </c>
      <c r="J21" s="59"/>
      <c r="K21" s="59">
        <v>193680.65204399999</v>
      </c>
    </row>
    <row r="22" spans="1:22">
      <c r="A22" s="70" t="s">
        <v>2405</v>
      </c>
      <c r="C22" s="59">
        <v>5050907.3999999994</v>
      </c>
      <c r="D22" s="59">
        <v>5050907.3999999994</v>
      </c>
      <c r="H22" s="70" t="s">
        <v>2405</v>
      </c>
      <c r="I22" s="59"/>
      <c r="J22" s="59">
        <v>2575962.7739999997</v>
      </c>
      <c r="K22" s="59">
        <v>2575962.7739999997</v>
      </c>
    </row>
    <row r="23" spans="1:22">
      <c r="A23" s="70" t="s">
        <v>2362</v>
      </c>
      <c r="B23" s="59">
        <v>1406362.8491400001</v>
      </c>
      <c r="D23" s="59">
        <v>1406362.8491400001</v>
      </c>
      <c r="H23" s="70" t="s">
        <v>2362</v>
      </c>
      <c r="I23" s="59">
        <v>1448553.7346142002</v>
      </c>
      <c r="J23" s="59"/>
      <c r="K23" s="59">
        <v>1448553.7346142002</v>
      </c>
    </row>
    <row r="24" spans="1:22">
      <c r="A24" s="70" t="s">
        <v>2335</v>
      </c>
      <c r="B24" s="59">
        <v>270343381.41123998</v>
      </c>
      <c r="D24" s="59">
        <v>270343381.41123998</v>
      </c>
      <c r="H24" s="70" t="s">
        <v>2335</v>
      </c>
      <c r="I24" s="59">
        <v>254122778.52656558</v>
      </c>
      <c r="J24" s="59"/>
      <c r="K24" s="59">
        <v>254122778.52656558</v>
      </c>
    </row>
    <row r="25" spans="1:22">
      <c r="A25" s="70" t="s">
        <v>2386</v>
      </c>
      <c r="C25" s="59">
        <v>12558178.209079999</v>
      </c>
      <c r="D25" s="59">
        <v>12558178.209079999</v>
      </c>
      <c r="H25" s="70" t="s">
        <v>2386</v>
      </c>
      <c r="I25" s="59"/>
      <c r="J25" s="59">
        <v>10172124.3493548</v>
      </c>
      <c r="K25" s="59">
        <v>10172124.3493548</v>
      </c>
    </row>
    <row r="26" spans="1:22">
      <c r="A26" s="70" t="s">
        <v>2388</v>
      </c>
      <c r="C26" s="59">
        <v>5508966.7578699999</v>
      </c>
      <c r="D26" s="59">
        <v>5508966.7578699999</v>
      </c>
      <c r="H26" s="70" t="s">
        <v>2388</v>
      </c>
      <c r="I26" s="59"/>
      <c r="J26" s="59">
        <v>3360469.7223006999</v>
      </c>
      <c r="K26" s="59">
        <v>3360469.7223006999</v>
      </c>
    </row>
    <row r="27" spans="1:22">
      <c r="A27" s="70" t="s">
        <v>2325</v>
      </c>
      <c r="B27" s="59">
        <v>15545798.68234</v>
      </c>
      <c r="D27" s="59">
        <v>15545798.68234</v>
      </c>
      <c r="H27" s="70" t="s">
        <v>2325</v>
      </c>
      <c r="I27" s="59">
        <v>16012172.642810199</v>
      </c>
      <c r="J27" s="59"/>
      <c r="K27" s="59">
        <v>16012172.642810199</v>
      </c>
    </row>
    <row r="28" spans="1:22">
      <c r="A28" s="70" t="s">
        <v>2317</v>
      </c>
      <c r="B28" s="59">
        <v>2247813.4104200001</v>
      </c>
      <c r="D28" s="59">
        <v>2247813.4104200001</v>
      </c>
      <c r="H28" s="70" t="s">
        <v>2317</v>
      </c>
      <c r="I28" s="59">
        <v>2247813.4104200001</v>
      </c>
      <c r="J28" s="59"/>
      <c r="K28" s="59">
        <v>2247813.4104200001</v>
      </c>
    </row>
    <row r="29" spans="1:22">
      <c r="A29" s="70" t="s">
        <v>2359</v>
      </c>
      <c r="B29" s="59">
        <v>9574747.1464600004</v>
      </c>
      <c r="D29" s="59">
        <v>9574747.1464600004</v>
      </c>
      <c r="H29" s="70" t="s">
        <v>2359</v>
      </c>
      <c r="I29" s="59">
        <v>2585181.7295442005</v>
      </c>
      <c r="J29" s="59"/>
      <c r="K29" s="59">
        <v>2585181.7295442005</v>
      </c>
      <c r="N29" s="4" t="s">
        <v>2466</v>
      </c>
      <c r="V29" s="4" t="s">
        <v>2466</v>
      </c>
    </row>
    <row r="30" spans="1:22">
      <c r="A30" s="70" t="s">
        <v>38</v>
      </c>
      <c r="C30" s="59">
        <v>33277339.27758</v>
      </c>
      <c r="D30" s="59">
        <v>33277339.27758</v>
      </c>
      <c r="H30" s="70" t="s">
        <v>38</v>
      </c>
      <c r="I30" s="59"/>
      <c r="J30" s="59">
        <v>10981521.961601401</v>
      </c>
      <c r="K30" s="59">
        <v>10981521.961601401</v>
      </c>
      <c r="N30" s="4" t="s">
        <v>2465</v>
      </c>
      <c r="V30" s="4" t="s">
        <v>2467</v>
      </c>
    </row>
    <row r="31" spans="1:22">
      <c r="A31" s="70" t="s">
        <v>2408</v>
      </c>
      <c r="C31" s="59">
        <v>3920757.0298199998</v>
      </c>
      <c r="D31" s="59">
        <v>3920757.0298199998</v>
      </c>
      <c r="H31" s="70" t="s">
        <v>2408</v>
      </c>
      <c r="I31" s="59"/>
      <c r="J31" s="59">
        <v>313660.5623856</v>
      </c>
      <c r="K31" s="59">
        <v>313660.5623856</v>
      </c>
    </row>
    <row r="32" spans="1:22">
      <c r="A32" s="70" t="s">
        <v>2368</v>
      </c>
      <c r="C32" s="59">
        <v>1055080.98563</v>
      </c>
      <c r="D32" s="59">
        <v>1055080.98563</v>
      </c>
      <c r="H32" s="70" t="s">
        <v>2368</v>
      </c>
      <c r="I32" s="59"/>
      <c r="J32" s="59">
        <v>485337.25338980003</v>
      </c>
      <c r="K32" s="59">
        <v>485337.25338980003</v>
      </c>
    </row>
    <row r="33" spans="1:11">
      <c r="A33" s="70" t="s">
        <v>2348</v>
      </c>
      <c r="B33" s="59">
        <v>1435102.7308999998</v>
      </c>
      <c r="D33" s="59">
        <v>1435102.7308999998</v>
      </c>
      <c r="H33" s="70" t="s">
        <v>2348</v>
      </c>
      <c r="I33" s="59">
        <v>1435102.7308999998</v>
      </c>
      <c r="J33" s="59"/>
      <c r="K33" s="59">
        <v>1435102.7308999998</v>
      </c>
    </row>
    <row r="34" spans="1:11">
      <c r="A34" s="70" t="s">
        <v>2412</v>
      </c>
      <c r="C34" s="59">
        <v>1980491.4031</v>
      </c>
      <c r="D34" s="59">
        <v>1980491.4031</v>
      </c>
      <c r="H34" s="70" t="s">
        <v>2412</v>
      </c>
      <c r="I34" s="59"/>
      <c r="J34" s="59">
        <v>752586.73317799997</v>
      </c>
      <c r="K34" s="59">
        <v>752586.73317799997</v>
      </c>
    </row>
    <row r="35" spans="1:11">
      <c r="A35" s="70" t="s">
        <v>2356</v>
      </c>
      <c r="B35" s="59">
        <v>807882.79920000001</v>
      </c>
      <c r="D35" s="59">
        <v>807882.79920000001</v>
      </c>
      <c r="H35" s="70" t="s">
        <v>2356</v>
      </c>
      <c r="I35" s="59">
        <v>476650.85152799997</v>
      </c>
      <c r="J35" s="59"/>
      <c r="K35" s="59">
        <v>476650.85152799997</v>
      </c>
    </row>
    <row r="36" spans="1:11">
      <c r="A36" s="70" t="s">
        <v>2345</v>
      </c>
      <c r="B36" s="59">
        <v>4013050.8832199997</v>
      </c>
      <c r="D36" s="59">
        <v>4013050.8832199997</v>
      </c>
      <c r="H36" s="70" t="s">
        <v>2345</v>
      </c>
      <c r="I36" s="59">
        <v>2167047.4769388</v>
      </c>
      <c r="J36" s="59"/>
      <c r="K36" s="59">
        <v>2167047.4769388</v>
      </c>
    </row>
    <row r="37" spans="1:11">
      <c r="A37" s="70" t="s">
        <v>2370</v>
      </c>
      <c r="C37" s="59">
        <v>142861610.85378999</v>
      </c>
      <c r="D37" s="59">
        <v>142861610.85378999</v>
      </c>
      <c r="H37" s="70" t="s">
        <v>2370</v>
      </c>
      <c r="I37" s="59"/>
      <c r="J37" s="59">
        <v>101431743.70619088</v>
      </c>
      <c r="K37" s="59">
        <v>101431743.70619088</v>
      </c>
    </row>
    <row r="38" spans="1:11">
      <c r="A38" s="70" t="s">
        <v>2400</v>
      </c>
      <c r="C38" s="59">
        <v>766407.41521000001</v>
      </c>
      <c r="D38" s="59">
        <v>766407.41521000001</v>
      </c>
      <c r="H38" s="70" t="s">
        <v>2400</v>
      </c>
      <c r="I38" s="59"/>
      <c r="J38" s="59">
        <v>360211.48514869995</v>
      </c>
      <c r="K38" s="59">
        <v>360211.48514869995</v>
      </c>
    </row>
    <row r="39" spans="1:11">
      <c r="A39" s="70" t="s">
        <v>2380</v>
      </c>
      <c r="C39" s="59">
        <v>4573848.1027999995</v>
      </c>
      <c r="D39" s="59">
        <v>4573848.1027999995</v>
      </c>
      <c r="H39" s="70" t="s">
        <v>2380</v>
      </c>
      <c r="I39" s="59"/>
      <c r="J39" s="59">
        <v>3064478.2288759998</v>
      </c>
      <c r="K39" s="59">
        <v>3064478.2288759998</v>
      </c>
    </row>
    <row r="40" spans="1:11">
      <c r="A40" s="70" t="s">
        <v>2319</v>
      </c>
      <c r="B40" s="59">
        <v>13911390.6439</v>
      </c>
      <c r="D40" s="59">
        <v>13911390.6439</v>
      </c>
      <c r="H40" s="70" t="s">
        <v>2319</v>
      </c>
      <c r="I40" s="59">
        <v>12102909.860192999</v>
      </c>
      <c r="J40" s="59"/>
      <c r="K40" s="59">
        <v>12102909.860192999</v>
      </c>
    </row>
    <row r="41" spans="1:11">
      <c r="A41" s="70" t="s">
        <v>2323</v>
      </c>
      <c r="B41" s="59">
        <v>2740201.4462899999</v>
      </c>
      <c r="D41" s="59">
        <v>2740201.4462899999</v>
      </c>
      <c r="H41" s="70" t="s">
        <v>2323</v>
      </c>
      <c r="I41" s="59">
        <v>2767603.4607528998</v>
      </c>
      <c r="J41" s="59"/>
      <c r="K41" s="59">
        <v>2767603.4607528998</v>
      </c>
    </row>
    <row r="42" spans="1:11">
      <c r="A42" s="70" t="s">
        <v>2316</v>
      </c>
      <c r="B42" s="59">
        <v>2295867</v>
      </c>
      <c r="D42" s="59">
        <v>2295867</v>
      </c>
      <c r="H42" s="70" t="s">
        <v>2316</v>
      </c>
      <c r="I42" s="59">
        <v>1124974.83</v>
      </c>
      <c r="J42" s="59"/>
      <c r="K42" s="59">
        <v>1124974.83</v>
      </c>
    </row>
    <row r="43" spans="1:11">
      <c r="A43" s="70" t="s">
        <v>2396</v>
      </c>
      <c r="C43" s="59">
        <v>447977.22193</v>
      </c>
      <c r="D43" s="59">
        <v>447977.22193</v>
      </c>
      <c r="H43" s="70" t="s">
        <v>2396</v>
      </c>
      <c r="I43" s="59"/>
      <c r="J43" s="59">
        <v>197109.97764920001</v>
      </c>
      <c r="K43" s="59">
        <v>197109.97764920001</v>
      </c>
    </row>
    <row r="44" spans="1:11">
      <c r="A44" s="70" t="s">
        <v>2350</v>
      </c>
      <c r="B44" s="59">
        <v>6745475.8999999994</v>
      </c>
      <c r="D44" s="59">
        <v>6745475.8999999994</v>
      </c>
      <c r="H44" s="70" t="s">
        <v>2350</v>
      </c>
      <c r="I44" s="59">
        <v>6610566.3819999993</v>
      </c>
      <c r="J44" s="59"/>
      <c r="K44" s="59">
        <v>6610566.3819999993</v>
      </c>
    </row>
    <row r="45" spans="1:11">
      <c r="A45" s="70" t="s">
        <v>2378</v>
      </c>
      <c r="C45" s="59">
        <v>2534677.6189899999</v>
      </c>
      <c r="D45" s="59">
        <v>2534677.6189899999</v>
      </c>
      <c r="H45" s="70" t="s">
        <v>2378</v>
      </c>
      <c r="I45" s="59"/>
      <c r="J45" s="59">
        <v>608322.62855759996</v>
      </c>
      <c r="K45" s="59">
        <v>608322.62855759996</v>
      </c>
    </row>
    <row r="46" spans="1:11">
      <c r="A46" s="70" t="s">
        <v>2312</v>
      </c>
      <c r="B46" s="59">
        <v>2132139.9780699997</v>
      </c>
      <c r="D46" s="59">
        <v>2132139.9780699997</v>
      </c>
      <c r="H46" s="70" t="s">
        <v>2312</v>
      </c>
      <c r="I46" s="59">
        <v>255856.79736839994</v>
      </c>
      <c r="J46" s="59"/>
      <c r="K46" s="59">
        <v>255856.79736839994</v>
      </c>
    </row>
    <row r="47" spans="1:11">
      <c r="A47" s="70" t="s">
        <v>2393</v>
      </c>
      <c r="C47" s="59">
        <v>3312908.7492499999</v>
      </c>
      <c r="D47" s="59">
        <v>3312908.7492499999</v>
      </c>
      <c r="H47" s="70" t="s">
        <v>2393</v>
      </c>
      <c r="I47" s="59"/>
      <c r="J47" s="59">
        <v>1689583.4621174999</v>
      </c>
      <c r="K47" s="59">
        <v>1689583.4621174999</v>
      </c>
    </row>
    <row r="48" spans="1:11">
      <c r="A48" s="70" t="s">
        <v>2332</v>
      </c>
      <c r="B48" s="59">
        <v>5083098.7351500001</v>
      </c>
      <c r="D48" s="59">
        <v>5083098.7351500001</v>
      </c>
      <c r="H48" s="70" t="s">
        <v>2332</v>
      </c>
      <c r="I48" s="59">
        <v>4828943.7983924998</v>
      </c>
      <c r="J48" s="59"/>
      <c r="K48" s="59">
        <v>4828943.7983924998</v>
      </c>
    </row>
    <row r="49" spans="1:33">
      <c r="A49" s="70" t="s">
        <v>2337</v>
      </c>
      <c r="B49" s="59">
        <v>1009737.6123799999</v>
      </c>
      <c r="D49" s="59">
        <v>1009737.6123799999</v>
      </c>
      <c r="H49" s="70" t="s">
        <v>2337</v>
      </c>
      <c r="I49" s="59">
        <v>908763.85114199994</v>
      </c>
      <c r="J49" s="59"/>
      <c r="K49" s="59">
        <v>908763.85114199994</v>
      </c>
    </row>
    <row r="50" spans="1:33">
      <c r="A50" s="70" t="s">
        <v>2365</v>
      </c>
      <c r="B50" s="59">
        <v>1274926.6499300001</v>
      </c>
      <c r="D50" s="59">
        <v>1274926.6499300001</v>
      </c>
      <c r="H50" s="70" t="s">
        <v>2365</v>
      </c>
      <c r="I50" s="59">
        <v>1223929.5839328</v>
      </c>
      <c r="J50" s="59"/>
      <c r="K50" s="59">
        <v>1223929.5839328</v>
      </c>
      <c r="N50" s="4" t="s">
        <v>2806</v>
      </c>
      <c r="V50" s="4" t="s">
        <v>2807</v>
      </c>
    </row>
    <row r="51" spans="1:33">
      <c r="A51" s="70" t="s">
        <v>2402</v>
      </c>
      <c r="C51" s="59">
        <v>628789.86742000002</v>
      </c>
      <c r="D51" s="59">
        <v>628789.86742000002</v>
      </c>
      <c r="H51" s="70" t="s">
        <v>2402</v>
      </c>
      <c r="I51" s="59"/>
      <c r="J51" s="59">
        <v>628789.86742000002</v>
      </c>
      <c r="K51" s="59">
        <v>628789.86742000002</v>
      </c>
      <c r="O51" s="794" t="s">
        <v>1818</v>
      </c>
      <c r="P51" s="794" t="s">
        <v>377</v>
      </c>
      <c r="Q51" t="s">
        <v>107</v>
      </c>
      <c r="R51" t="s">
        <v>184</v>
      </c>
      <c r="W51" s="794" t="s">
        <v>1818</v>
      </c>
      <c r="X51" s="794" t="s">
        <v>377</v>
      </c>
      <c r="Y51" t="s">
        <v>107</v>
      </c>
      <c r="Z51" t="s">
        <v>184</v>
      </c>
      <c r="AB51" s="1024" t="s">
        <v>2468</v>
      </c>
      <c r="AC51" s="1025"/>
      <c r="AD51" s="1025"/>
      <c r="AE51" s="1025"/>
      <c r="AF51" s="1025"/>
      <c r="AG51" s="1025"/>
    </row>
    <row r="52" spans="1:33">
      <c r="A52" s="70" t="s">
        <v>2376</v>
      </c>
      <c r="C52" s="59">
        <v>1170476.7274</v>
      </c>
      <c r="D52" s="59">
        <v>1170476.7274</v>
      </c>
      <c r="H52" s="70" t="s">
        <v>2376</v>
      </c>
      <c r="I52" s="59"/>
      <c r="J52" s="59">
        <v>1158771.960126</v>
      </c>
      <c r="K52" s="59">
        <v>1158771.960126</v>
      </c>
      <c r="N52" s="794" t="s">
        <v>2813</v>
      </c>
      <c r="O52" s="59">
        <f>GETPIVOTDATA("Total Cash",$G$64,"Fiscal Year",2008)</f>
        <v>50996630.772909999</v>
      </c>
      <c r="P52" s="59">
        <f>GETPIVOTDATA("Total Cash",$G$64,"Fiscal Year",2009)</f>
        <v>2825602</v>
      </c>
      <c r="Q52" s="59">
        <f>GETPIVOTDATA("Total Cash",$G$64,"Fiscal Year",2010)</f>
        <v>50863455.43</v>
      </c>
      <c r="R52" s="59">
        <f>GETPIVOTDATA("Total Cash",$G$64,"Fiscal Year",2011)</f>
        <v>8444351</v>
      </c>
      <c r="V52" s="794" t="s">
        <v>2813</v>
      </c>
      <c r="W52" s="59">
        <f>O52-AE5</f>
        <v>4993433</v>
      </c>
      <c r="X52" s="59">
        <f>P52</f>
        <v>2825602</v>
      </c>
      <c r="Y52" s="59">
        <f>W4-Y53</f>
        <v>136128139.57679003</v>
      </c>
      <c r="Z52" s="59">
        <f>X4-Z53</f>
        <v>234914626.65513</v>
      </c>
      <c r="AB52" s="1025"/>
      <c r="AC52" s="1025"/>
      <c r="AD52" s="1025"/>
      <c r="AE52" s="1025"/>
      <c r="AF52" s="1025"/>
      <c r="AG52" s="1025"/>
    </row>
    <row r="53" spans="1:33">
      <c r="A53" s="70" t="s">
        <v>2321</v>
      </c>
      <c r="B53" s="59">
        <v>4880720.2456399994</v>
      </c>
      <c r="D53" s="59">
        <v>4880720.2456399994</v>
      </c>
      <c r="H53" s="70" t="s">
        <v>2321</v>
      </c>
      <c r="I53" s="59">
        <v>4929527.4480963992</v>
      </c>
      <c r="J53" s="59"/>
      <c r="K53" s="59">
        <v>4929527.4480963992</v>
      </c>
      <c r="N53" s="794" t="s">
        <v>2461</v>
      </c>
      <c r="O53" s="59">
        <f>O52-O54</f>
        <v>50696630.772909999</v>
      </c>
      <c r="P53" s="59">
        <f t="shared" ref="P53:Q53" si="0">P52-P54</f>
        <v>2325602</v>
      </c>
      <c r="Q53" s="59">
        <f t="shared" si="0"/>
        <v>50363455.43</v>
      </c>
      <c r="R53" s="59">
        <f>R52-R54</f>
        <v>8144351</v>
      </c>
      <c r="V53" s="794" t="s">
        <v>2461</v>
      </c>
      <c r="W53" s="59">
        <f>W52-W54</f>
        <v>4693433</v>
      </c>
      <c r="X53" s="59">
        <f>P53</f>
        <v>2325602</v>
      </c>
      <c r="Y53" s="59">
        <f>W5-Y54</f>
        <v>3688605</v>
      </c>
      <c r="Z53" s="59">
        <f>X5-Z54</f>
        <v>8144351</v>
      </c>
      <c r="AB53" s="1025"/>
      <c r="AC53" s="1025"/>
      <c r="AD53" s="1025"/>
      <c r="AE53" s="1025"/>
      <c r="AF53" s="1025"/>
      <c r="AG53" s="1025"/>
    </row>
    <row r="54" spans="1:33">
      <c r="A54" s="70" t="s">
        <v>2403</v>
      </c>
      <c r="C54" s="59">
        <v>5327331.97334</v>
      </c>
      <c r="D54" s="59">
        <v>5327331.97334</v>
      </c>
      <c r="H54" s="70" t="s">
        <v>2403</v>
      </c>
      <c r="I54" s="59"/>
      <c r="J54" s="59">
        <v>4741325.4562726002</v>
      </c>
      <c r="K54" s="59">
        <v>4741325.4562726002</v>
      </c>
      <c r="N54" s="794" t="s">
        <v>2462</v>
      </c>
      <c r="O54" s="59">
        <v>300000</v>
      </c>
      <c r="P54" s="59">
        <v>500000</v>
      </c>
      <c r="Q54" s="59">
        <v>500000</v>
      </c>
      <c r="R54" s="59">
        <v>300000</v>
      </c>
      <c r="V54" s="794" t="s">
        <v>2462</v>
      </c>
      <c r="W54" s="59">
        <v>300000</v>
      </c>
      <c r="X54" s="59">
        <v>500000</v>
      </c>
      <c r="Y54" s="59">
        <v>500000</v>
      </c>
      <c r="Z54" s="59">
        <v>300000</v>
      </c>
      <c r="AB54" s="1025"/>
      <c r="AC54" s="1025"/>
      <c r="AD54" s="1025"/>
      <c r="AE54" s="1025"/>
      <c r="AF54" s="1025"/>
      <c r="AG54" s="1025"/>
    </row>
    <row r="55" spans="1:33">
      <c r="A55" s="70" t="s">
        <v>1207</v>
      </c>
      <c r="B55" s="59">
        <v>410160125.98803002</v>
      </c>
      <c r="C55" s="59">
        <v>243058977.65513</v>
      </c>
      <c r="D55" s="59">
        <v>653219103.6431601</v>
      </c>
      <c r="H55" s="70" t="s">
        <v>1207</v>
      </c>
      <c r="I55" s="59">
        <v>346149841.80603331</v>
      </c>
      <c r="J55" s="59">
        <v>147588265.08583599</v>
      </c>
      <c r="K55" s="59">
        <v>493738106.89186937</v>
      </c>
      <c r="N55" t="s">
        <v>2455</v>
      </c>
      <c r="O55" s="59">
        <f>O58-O57</f>
        <v>26870113.648545861</v>
      </c>
      <c r="P55" s="59">
        <f>P58-P57</f>
        <v>119597264.52420965</v>
      </c>
      <c r="Q55" s="59">
        <f>Q58-Q57</f>
        <v>64010284.181996703</v>
      </c>
      <c r="R55" s="59">
        <f>R58-R57</f>
        <v>95470712.569294006</v>
      </c>
      <c r="V55" t="s">
        <v>2455</v>
      </c>
      <c r="W55" s="59">
        <f>W58-W57</f>
        <v>26870113.648545861</v>
      </c>
      <c r="X55" s="59">
        <f>X58-X57</f>
        <v>119597264.52420965</v>
      </c>
      <c r="Y55" s="59">
        <f t="shared" ref="Y55:Z57" si="1">W6</f>
        <v>47789681.297322303</v>
      </c>
      <c r="Z55" s="59">
        <f t="shared" si="1"/>
        <v>95470712.569294006</v>
      </c>
      <c r="AB55" s="1025"/>
      <c r="AC55" s="1025"/>
      <c r="AD55" s="1025"/>
      <c r="AE55" s="1025"/>
      <c r="AF55" s="1025"/>
      <c r="AG55" s="1025"/>
    </row>
    <row r="56" spans="1:33">
      <c r="N56" t="s">
        <v>1295</v>
      </c>
      <c r="O56" s="59">
        <f>O57-O52</f>
        <v>304725257.89014488</v>
      </c>
      <c r="P56" s="59">
        <f>P57-P52</f>
        <v>79754666.840550333</v>
      </c>
      <c r="Q56" s="59">
        <f>Q57-Q53</f>
        <v>295786386.37603331</v>
      </c>
      <c r="R56" s="59">
        <f>R57-R53</f>
        <v>139443914.08583599</v>
      </c>
      <c r="V56" t="s">
        <v>1295</v>
      </c>
      <c r="W56" s="59">
        <f>W57-W52</f>
        <v>183613633.8022649</v>
      </c>
      <c r="X56" s="59">
        <f>X57-X52</f>
        <v>79754666.840550333</v>
      </c>
      <c r="Y56" s="59">
        <f t="shared" si="1"/>
        <v>87838458.279467732</v>
      </c>
      <c r="Z56" s="59">
        <f t="shared" si="1"/>
        <v>139143914.08583599</v>
      </c>
      <c r="AB56" s="1025"/>
      <c r="AC56" s="1025"/>
      <c r="AD56" s="1025"/>
      <c r="AE56" s="1025"/>
      <c r="AF56" s="1025"/>
      <c r="AG56" s="1025"/>
    </row>
    <row r="57" spans="1:33">
      <c r="N57" t="s">
        <v>2454</v>
      </c>
      <c r="O57" s="59">
        <f>B74</f>
        <v>355721888.66305488</v>
      </c>
      <c r="P57" s="59">
        <f>C74</f>
        <v>82580268.840550333</v>
      </c>
      <c r="Q57" s="59">
        <f>GETPIVOTDATA("Total Coverage USD",$H$3,"ARC Fiscal Year",2010)</f>
        <v>346149841.80603331</v>
      </c>
      <c r="R57" s="59">
        <f>GETPIVOTDATA("Total Coverage USD",$H$3,"ARC Fiscal Year",2011)</f>
        <v>147588265.08583599</v>
      </c>
      <c r="V57" t="s">
        <v>2454</v>
      </c>
      <c r="W57" s="59">
        <f>O57-AE8</f>
        <v>188607066.8022649</v>
      </c>
      <c r="X57" s="59">
        <f>P57</f>
        <v>82580268.840550333</v>
      </c>
      <c r="Y57" s="59">
        <f t="shared" si="1"/>
        <v>92027063.279467732</v>
      </c>
      <c r="Z57" s="59">
        <f t="shared" si="1"/>
        <v>147588265.08583599</v>
      </c>
      <c r="AB57" s="1025"/>
      <c r="AC57" s="1025"/>
      <c r="AD57" s="1025"/>
      <c r="AE57" s="1025"/>
      <c r="AF57" s="1025"/>
      <c r="AG57" s="1025"/>
    </row>
    <row r="58" spans="1:33">
      <c r="A58">
        <v>1.09327</v>
      </c>
      <c r="I58" s="59"/>
      <c r="J58" s="59"/>
      <c r="K58" s="59"/>
      <c r="N58" s="794" t="s">
        <v>2458</v>
      </c>
      <c r="O58" s="59">
        <f>B64</f>
        <v>382592002.31160074</v>
      </c>
      <c r="P58" s="59">
        <f>C64</f>
        <v>202177533.36475998</v>
      </c>
      <c r="Q58" s="59">
        <f>GETPIVOTDATA("Value USD",$A$3,"ARC Fiscal Year",2010)</f>
        <v>410160125.98803002</v>
      </c>
      <c r="R58" s="59">
        <f>GETPIVOTDATA("Value USD",$A$3,"ARC Fiscal Year",2011)</f>
        <v>243058977.65513</v>
      </c>
      <c r="V58" t="s">
        <v>2457</v>
      </c>
      <c r="W58" s="59">
        <f>O58-AE4</f>
        <v>215477180.45081076</v>
      </c>
      <c r="X58" s="59">
        <f>P58</f>
        <v>202177533.36475998</v>
      </c>
      <c r="Y58" s="59">
        <f>W4</f>
        <v>139816744.57679003</v>
      </c>
      <c r="Z58" s="59">
        <f>X4</f>
        <v>243058977.65513</v>
      </c>
    </row>
    <row r="59" spans="1:33">
      <c r="B59"/>
      <c r="C59"/>
      <c r="D59"/>
      <c r="G59" s="794" t="s">
        <v>2809</v>
      </c>
      <c r="H59" s="59"/>
      <c r="I59" s="59"/>
      <c r="J59" s="59"/>
      <c r="V59" s="4" t="s">
        <v>2463</v>
      </c>
    </row>
    <row r="60" spans="1:33">
      <c r="A60" s="794" t="s">
        <v>2810</v>
      </c>
      <c r="B60"/>
      <c r="C60"/>
      <c r="D60"/>
    </row>
    <row r="61" spans="1:33">
      <c r="B61" s="822" t="s">
        <v>2121</v>
      </c>
      <c r="E61" s="59"/>
      <c r="F61" s="59"/>
      <c r="G61" s="767" t="s">
        <v>477</v>
      </c>
      <c r="H61" t="s">
        <v>362</v>
      </c>
    </row>
    <row r="62" spans="1:33">
      <c r="B62" s="611">
        <v>2008</v>
      </c>
      <c r="C62" s="611">
        <v>2009</v>
      </c>
      <c r="D62" s="59" t="s">
        <v>288</v>
      </c>
      <c r="E62" s="59" t="s">
        <v>1207</v>
      </c>
      <c r="F62" s="59"/>
      <c r="G62" s="767" t="s">
        <v>478</v>
      </c>
      <c r="H62" s="70">
        <v>1</v>
      </c>
    </row>
    <row r="63" spans="1:33">
      <c r="A63" t="s">
        <v>2781</v>
      </c>
      <c r="B63" s="59">
        <v>349951981.03999996</v>
      </c>
      <c r="C63" s="59">
        <v>184929188</v>
      </c>
      <c r="E63" s="59">
        <v>534881169.03999996</v>
      </c>
      <c r="F63" s="59"/>
    </row>
    <row r="64" spans="1:33">
      <c r="B64" s="59">
        <f>GETPIVOTDATA("Appeal: Emergency Appeal launched",$A$61,"ARC FY ",2008)*A58</f>
        <v>382592002.31160074</v>
      </c>
      <c r="C64" s="59">
        <f>GETPIVOTDATA("Appeal: Emergency Appeal launched",$A$61,"ARC FY ",2009)*A58</f>
        <v>202177533.36475998</v>
      </c>
      <c r="D64"/>
      <c r="G64" s="767"/>
      <c r="H64" s="767" t="s">
        <v>2121</v>
      </c>
    </row>
    <row r="65" spans="1:13">
      <c r="B65"/>
      <c r="C65"/>
      <c r="D65"/>
      <c r="H65">
        <v>2008</v>
      </c>
      <c r="I65">
        <v>2009</v>
      </c>
      <c r="J65">
        <v>2010</v>
      </c>
      <c r="K65">
        <v>2011</v>
      </c>
      <c r="L65" t="s">
        <v>1207</v>
      </c>
    </row>
    <row r="66" spans="1:13">
      <c r="B66"/>
      <c r="C66"/>
      <c r="D66"/>
      <c r="G66" s="59" t="s">
        <v>1348</v>
      </c>
      <c r="H66" s="59">
        <v>50996630.772909999</v>
      </c>
      <c r="I66" s="59">
        <v>2825602</v>
      </c>
      <c r="J66" s="59">
        <v>50863455.43</v>
      </c>
      <c r="K66" s="59">
        <v>8444351</v>
      </c>
      <c r="L66" s="59">
        <v>113130039.20291001</v>
      </c>
      <c r="M66" s="59"/>
    </row>
    <row r="67" spans="1:13">
      <c r="B67"/>
      <c r="C67"/>
      <c r="D67"/>
    </row>
    <row r="68" spans="1:13">
      <c r="B68"/>
      <c r="C68"/>
      <c r="D68"/>
    </row>
    <row r="69" spans="1:13">
      <c r="B69"/>
      <c r="C69"/>
      <c r="D69"/>
    </row>
    <row r="70" spans="1:13">
      <c r="A70" s="794" t="s">
        <v>2812</v>
      </c>
      <c r="B70"/>
      <c r="C70"/>
      <c r="D70"/>
    </row>
    <row r="71" spans="1:13">
      <c r="B71" s="822" t="s">
        <v>2121</v>
      </c>
      <c r="E71" s="59"/>
      <c r="F71" s="59"/>
    </row>
    <row r="72" spans="1:13">
      <c r="B72" s="611">
        <v>2008</v>
      </c>
      <c r="C72" s="611">
        <v>2009</v>
      </c>
      <c r="D72" s="59" t="s">
        <v>288</v>
      </c>
      <c r="E72" s="59" t="s">
        <v>1207</v>
      </c>
      <c r="F72" s="59"/>
    </row>
    <row r="73" spans="1:13">
      <c r="A73" t="s">
        <v>2811</v>
      </c>
      <c r="B73" s="59">
        <v>325374233.87</v>
      </c>
      <c r="C73" s="59">
        <v>75535109.204999983</v>
      </c>
      <c r="E73" s="59">
        <v>400909343.07499999</v>
      </c>
      <c r="F73" s="59"/>
    </row>
    <row r="74" spans="1:13">
      <c r="B74" s="59">
        <f>GETPIVOTDATA("Total Coverage CHF",$A$71,"ARC FY ",2008)*A58</f>
        <v>355721888.66305488</v>
      </c>
      <c r="C74" s="59">
        <f>A58*GETPIVOTDATA("Total Coverage CHF",$A$71,"ARC FY ",2009)</f>
        <v>82580268.840550333</v>
      </c>
      <c r="D74"/>
    </row>
    <row r="75" spans="1:13">
      <c r="B75"/>
      <c r="C75"/>
      <c r="D75"/>
    </row>
    <row r="76" spans="1:13">
      <c r="B76"/>
      <c r="C76"/>
      <c r="D76"/>
    </row>
    <row r="77" spans="1:13">
      <c r="B77"/>
      <c r="C77"/>
      <c r="D77"/>
    </row>
    <row r="78" spans="1:13">
      <c r="B78"/>
      <c r="C78"/>
      <c r="D78"/>
    </row>
    <row r="79" spans="1:13">
      <c r="B79"/>
      <c r="C79"/>
      <c r="D79"/>
    </row>
    <row r="80" spans="1:13">
      <c r="B80"/>
      <c r="C80"/>
      <c r="D80"/>
    </row>
    <row r="81" spans="2:22">
      <c r="B81"/>
      <c r="C81"/>
      <c r="D81"/>
    </row>
    <row r="82" spans="2:22">
      <c r="B82"/>
      <c r="C82"/>
      <c r="D82"/>
    </row>
    <row r="83" spans="2:22">
      <c r="B83"/>
      <c r="C83"/>
      <c r="D83"/>
      <c r="N83" s="4" t="s">
        <v>2464</v>
      </c>
      <c r="V83" s="4" t="s">
        <v>2464</v>
      </c>
    </row>
    <row r="84" spans="2:22">
      <c r="B84"/>
      <c r="C84"/>
      <c r="D84"/>
      <c r="N84" s="4" t="s">
        <v>2465</v>
      </c>
      <c r="V84" s="4" t="s">
        <v>2467</v>
      </c>
    </row>
    <row r="85" spans="2:22">
      <c r="B85"/>
      <c r="C85"/>
      <c r="D85"/>
    </row>
    <row r="86" spans="2:22">
      <c r="B86"/>
      <c r="C86"/>
      <c r="D86"/>
    </row>
    <row r="87" spans="2:22">
      <c r="B87"/>
      <c r="C87"/>
      <c r="D87"/>
    </row>
    <row r="88" spans="2:22">
      <c r="B88"/>
      <c r="C88"/>
      <c r="D88"/>
    </row>
    <row r="89" spans="2:22">
      <c r="B89"/>
      <c r="C89"/>
      <c r="D89"/>
    </row>
    <row r="90" spans="2:22">
      <c r="B90"/>
      <c r="C90"/>
      <c r="D90"/>
    </row>
    <row r="91" spans="2:22">
      <c r="B91"/>
      <c r="C91"/>
      <c r="D91"/>
    </row>
    <row r="92" spans="2:22">
      <c r="B92"/>
      <c r="C92"/>
      <c r="D92"/>
    </row>
    <row r="93" spans="2:22">
      <c r="B93"/>
      <c r="C93"/>
      <c r="D93"/>
    </row>
    <row r="94" spans="2:22">
      <c r="B94"/>
      <c r="C94"/>
      <c r="D94"/>
    </row>
    <row r="95" spans="2:22">
      <c r="B95"/>
      <c r="C95"/>
      <c r="D95"/>
    </row>
    <row r="96" spans="2:22">
      <c r="B96"/>
      <c r="C96"/>
      <c r="D96"/>
    </row>
    <row r="97" spans="2:4">
      <c r="B97"/>
      <c r="C97"/>
      <c r="D97"/>
    </row>
    <row r="98" spans="2:4">
      <c r="B98"/>
      <c r="C98"/>
      <c r="D98"/>
    </row>
    <row r="99" spans="2:4">
      <c r="B99"/>
      <c r="C99"/>
      <c r="D99"/>
    </row>
    <row r="100" spans="2:4">
      <c r="B100"/>
      <c r="C100"/>
      <c r="D100"/>
    </row>
    <row r="101" spans="2:4">
      <c r="B101"/>
      <c r="C101"/>
      <c r="D101"/>
    </row>
    <row r="102" spans="2:4">
      <c r="B102"/>
      <c r="C102"/>
      <c r="D102"/>
    </row>
    <row r="103" spans="2:4">
      <c r="B103"/>
      <c r="C103"/>
      <c r="D103"/>
    </row>
    <row r="104" spans="2:4">
      <c r="B104"/>
      <c r="C104"/>
      <c r="D104"/>
    </row>
    <row r="105" spans="2:4">
      <c r="B105"/>
      <c r="C105"/>
      <c r="D105"/>
    </row>
    <row r="106" spans="2:4">
      <c r="B106"/>
      <c r="C106"/>
      <c r="D106"/>
    </row>
    <row r="107" spans="2:4">
      <c r="B107"/>
      <c r="C107"/>
      <c r="D107"/>
    </row>
    <row r="108" spans="2:4">
      <c r="B108"/>
      <c r="C108"/>
      <c r="D108"/>
    </row>
    <row r="109" spans="2:4">
      <c r="B109"/>
      <c r="C109"/>
      <c r="D109"/>
    </row>
    <row r="110" spans="2:4">
      <c r="B110"/>
      <c r="C110"/>
      <c r="D110"/>
    </row>
    <row r="111" spans="2:4">
      <c r="B111"/>
      <c r="C111"/>
      <c r="D111"/>
    </row>
    <row r="112" spans="2:4">
      <c r="B112"/>
      <c r="C112"/>
      <c r="D112"/>
    </row>
    <row r="113" spans="2:4">
      <c r="B113"/>
      <c r="C113"/>
      <c r="D113"/>
    </row>
    <row r="114" spans="2:4">
      <c r="B114"/>
      <c r="C114"/>
      <c r="D114"/>
    </row>
    <row r="115" spans="2:4">
      <c r="B115"/>
      <c r="C115"/>
      <c r="D115"/>
    </row>
    <row r="116" spans="2:4">
      <c r="B116"/>
      <c r="C116"/>
      <c r="D116"/>
    </row>
    <row r="117" spans="2:4">
      <c r="B117"/>
      <c r="C117"/>
      <c r="D117"/>
    </row>
    <row r="118" spans="2:4">
      <c r="B118"/>
      <c r="C118"/>
      <c r="D118"/>
    </row>
    <row r="119" spans="2:4">
      <c r="B119"/>
      <c r="C119"/>
      <c r="D119"/>
    </row>
    <row r="120" spans="2:4">
      <c r="B120"/>
      <c r="C120"/>
      <c r="D120"/>
    </row>
    <row r="121" spans="2:4">
      <c r="B121"/>
      <c r="C121"/>
      <c r="D121"/>
    </row>
    <row r="122" spans="2:4">
      <c r="B122"/>
      <c r="C122"/>
      <c r="D122"/>
    </row>
    <row r="123" spans="2:4">
      <c r="B123"/>
      <c r="C123"/>
      <c r="D123"/>
    </row>
    <row r="124" spans="2:4">
      <c r="B124"/>
      <c r="C124"/>
      <c r="D124"/>
    </row>
    <row r="125" spans="2:4">
      <c r="B125"/>
      <c r="C125"/>
      <c r="D125"/>
    </row>
    <row r="126" spans="2:4">
      <c r="B126"/>
      <c r="C126"/>
      <c r="D126"/>
    </row>
    <row r="127" spans="2:4">
      <c r="B127"/>
      <c r="C127"/>
      <c r="D127"/>
    </row>
    <row r="128" spans="2:4">
      <c r="B128"/>
      <c r="C128"/>
      <c r="D128"/>
    </row>
  </sheetData>
  <mergeCells count="1">
    <mergeCell ref="AB51:AG57"/>
  </mergeCells>
  <pageMargins left="0.7" right="0.7" top="0.75" bottom="0.75" header="0.3" footer="0.3"/>
  <drawing r:id="rId6"/>
</worksheet>
</file>

<file path=xl/worksheets/sheet5.xml><?xml version="1.0" encoding="utf-8"?>
<worksheet xmlns="http://schemas.openxmlformats.org/spreadsheetml/2006/main" xmlns:r="http://schemas.openxmlformats.org/officeDocument/2006/relationships">
  <sheetPr codeName="Sheet3"/>
  <dimension ref="A1:S112"/>
  <sheetViews>
    <sheetView workbookViewId="0">
      <selection activeCell="F62" sqref="A4:F62"/>
    </sheetView>
  </sheetViews>
  <sheetFormatPr defaultRowHeight="12.75"/>
  <cols>
    <col min="1" max="1" width="34.28515625" customWidth="1"/>
    <col min="2" max="2" width="17" customWidth="1"/>
    <col min="3" max="3" width="12.28515625" customWidth="1"/>
    <col min="4" max="4" width="11.7109375" customWidth="1"/>
    <col min="5" max="5" width="10.140625" customWidth="1"/>
    <col min="6" max="6" width="12.140625" customWidth="1"/>
    <col min="7" max="9" width="8.5703125" customWidth="1"/>
    <col min="10" max="10" width="10.140625" customWidth="1"/>
    <col min="11" max="11" width="39.5703125" customWidth="1"/>
    <col min="12" max="12" width="17" customWidth="1"/>
    <col min="13" max="13" width="8.5703125" customWidth="1"/>
    <col min="14" max="14" width="11.7109375" customWidth="1"/>
    <col min="15" max="15" width="9.5703125" customWidth="1"/>
    <col min="16" max="17" width="11.28515625" customWidth="1"/>
    <col min="18" max="18" width="57.5703125" customWidth="1"/>
    <col min="19" max="19" width="12.28515625" customWidth="1"/>
    <col min="20" max="20" width="8" customWidth="1"/>
    <col min="21" max="21" width="9" customWidth="1"/>
    <col min="22" max="22" width="11.7109375" customWidth="1"/>
    <col min="23" max="23" width="8" customWidth="1"/>
    <col min="24" max="24" width="9" customWidth="1"/>
    <col min="25" max="25" width="7.140625" customWidth="1"/>
    <col min="26" max="26" width="11.7109375" bestFit="1" customWidth="1"/>
  </cols>
  <sheetData>
    <row r="1" spans="1:19">
      <c r="A1" t="s">
        <v>2218</v>
      </c>
    </row>
    <row r="2" spans="1:19">
      <c r="A2" t="s">
        <v>2219</v>
      </c>
    </row>
    <row r="5" spans="1:19">
      <c r="A5" s="767" t="s">
        <v>477</v>
      </c>
      <c r="B5" t="s">
        <v>362</v>
      </c>
      <c r="K5" s="767" t="s">
        <v>477</v>
      </c>
      <c r="L5" t="s">
        <v>362</v>
      </c>
    </row>
    <row r="6" spans="1:19">
      <c r="A6" s="767" t="s">
        <v>478</v>
      </c>
      <c r="B6" s="70">
        <v>1</v>
      </c>
      <c r="K6" s="767" t="s">
        <v>478</v>
      </c>
      <c r="L6" s="70">
        <v>1</v>
      </c>
    </row>
    <row r="8" spans="1:19">
      <c r="A8" s="767" t="s">
        <v>1348</v>
      </c>
      <c r="B8" s="767" t="s">
        <v>2121</v>
      </c>
      <c r="K8" s="767" t="s">
        <v>2459</v>
      </c>
      <c r="L8" s="767" t="s">
        <v>2121</v>
      </c>
    </row>
    <row r="9" spans="1:19">
      <c r="A9" s="767" t="s">
        <v>2108</v>
      </c>
      <c r="B9">
        <v>2008</v>
      </c>
      <c r="C9">
        <v>2009</v>
      </c>
      <c r="D9">
        <v>2010</v>
      </c>
      <c r="E9">
        <v>2011</v>
      </c>
      <c r="F9" t="s">
        <v>1207</v>
      </c>
      <c r="K9" s="767" t="s">
        <v>2108</v>
      </c>
      <c r="L9">
        <v>2010</v>
      </c>
      <c r="M9">
        <v>2011</v>
      </c>
      <c r="N9" t="s">
        <v>1207</v>
      </c>
      <c r="R9" s="4" t="s">
        <v>2223</v>
      </c>
    </row>
    <row r="10" spans="1:19">
      <c r="A10" s="70" t="s">
        <v>83</v>
      </c>
      <c r="B10" s="59"/>
      <c r="C10" s="59">
        <v>200000</v>
      </c>
      <c r="D10" s="59"/>
      <c r="E10" s="59"/>
      <c r="F10" s="59">
        <v>200000</v>
      </c>
      <c r="K10" s="70" t="s">
        <v>1803</v>
      </c>
      <c r="L10" s="59"/>
      <c r="M10" s="59">
        <v>91000</v>
      </c>
      <c r="N10" s="59">
        <v>91000</v>
      </c>
      <c r="R10" s="794" t="s">
        <v>2220</v>
      </c>
      <c r="S10" s="59">
        <f>GETPIVOTDATA("Total Cash",$A$8)</f>
        <v>113130039.20291001</v>
      </c>
    </row>
    <row r="11" spans="1:19">
      <c r="A11" s="70" t="s">
        <v>431</v>
      </c>
      <c r="B11" s="59">
        <v>1083856</v>
      </c>
      <c r="C11" s="59"/>
      <c r="D11" s="59"/>
      <c r="E11" s="59"/>
      <c r="F11" s="59">
        <v>1083856</v>
      </c>
      <c r="K11" s="70" t="s">
        <v>1278</v>
      </c>
      <c r="L11" s="59"/>
      <c r="M11" s="59"/>
      <c r="N11" s="59"/>
      <c r="R11" s="794"/>
      <c r="S11" s="59"/>
    </row>
    <row r="12" spans="1:19">
      <c r="A12" s="70" t="s">
        <v>88</v>
      </c>
      <c r="B12" s="59">
        <v>124500</v>
      </c>
      <c r="C12" s="59"/>
      <c r="D12" s="59"/>
      <c r="E12" s="59"/>
      <c r="F12" s="59">
        <v>124500</v>
      </c>
      <c r="K12" s="70" t="s">
        <v>53</v>
      </c>
      <c r="L12" s="59"/>
      <c r="M12" s="59"/>
      <c r="N12" s="59"/>
      <c r="R12" s="4" t="s">
        <v>2221</v>
      </c>
    </row>
    <row r="13" spans="1:19">
      <c r="A13" s="70" t="s">
        <v>1803</v>
      </c>
      <c r="B13" s="59"/>
      <c r="C13" s="59"/>
      <c r="D13" s="59"/>
      <c r="E13" s="59">
        <v>182000</v>
      </c>
      <c r="F13" s="59">
        <v>182000</v>
      </c>
      <c r="K13" s="70" t="s">
        <v>1160</v>
      </c>
      <c r="L13" s="59"/>
      <c r="M13" s="59"/>
      <c r="N13" s="59"/>
      <c r="R13" s="794" t="s">
        <v>2220</v>
      </c>
      <c r="S13" s="59">
        <f>S10-S16</f>
        <v>66455188.772910006</v>
      </c>
    </row>
    <row r="14" spans="1:19">
      <c r="A14" s="70" t="s">
        <v>1278</v>
      </c>
      <c r="B14" s="59"/>
      <c r="C14" s="59"/>
      <c r="D14" s="59"/>
      <c r="E14" s="59">
        <v>145000</v>
      </c>
      <c r="F14" s="59">
        <v>145000</v>
      </c>
      <c r="K14" s="70" t="s">
        <v>508</v>
      </c>
      <c r="L14" s="59">
        <v>193000</v>
      </c>
      <c r="M14" s="59"/>
      <c r="N14" s="59">
        <v>193000</v>
      </c>
    </row>
    <row r="15" spans="1:19">
      <c r="A15" s="70" t="s">
        <v>1844</v>
      </c>
      <c r="B15" s="59"/>
      <c r="C15" s="59">
        <v>121044</v>
      </c>
      <c r="D15" s="59"/>
      <c r="E15" s="59"/>
      <c r="F15" s="59">
        <v>121044</v>
      </c>
      <c r="K15" s="70" t="s">
        <v>2032</v>
      </c>
      <c r="L15" s="59"/>
      <c r="M15" s="59"/>
      <c r="N15" s="59"/>
      <c r="R15" s="794" t="s">
        <v>2224</v>
      </c>
    </row>
    <row r="16" spans="1:19">
      <c r="A16" s="70" t="s">
        <v>343</v>
      </c>
      <c r="B16" s="59"/>
      <c r="C16" s="59">
        <v>246683</v>
      </c>
      <c r="D16" s="59"/>
      <c r="E16" s="59"/>
      <c r="F16" s="59">
        <v>246683</v>
      </c>
      <c r="K16" s="70" t="s">
        <v>656</v>
      </c>
      <c r="L16" s="59"/>
      <c r="M16" s="59"/>
      <c r="N16" s="59"/>
      <c r="R16" s="794" t="s">
        <v>2222</v>
      </c>
      <c r="S16" s="59">
        <f>GETPIVOTDATA("Total Cash",$A$8,"Disaster Name","Haiti Earthquake","Fiscal Year",2010)</f>
        <v>46674850.43</v>
      </c>
    </row>
    <row r="17" spans="1:19">
      <c r="A17" s="70" t="s">
        <v>53</v>
      </c>
      <c r="B17" s="59"/>
      <c r="C17" s="59"/>
      <c r="D17" s="59">
        <v>1000000</v>
      </c>
      <c r="E17" s="59"/>
      <c r="F17" s="59">
        <v>1000000</v>
      </c>
      <c r="K17" s="70" t="s">
        <v>1277</v>
      </c>
      <c r="L17" s="59"/>
      <c r="M17" s="59"/>
      <c r="N17" s="59"/>
    </row>
    <row r="18" spans="1:19">
      <c r="A18" s="70" t="s">
        <v>347</v>
      </c>
      <c r="B18" s="59">
        <v>46003197.772909999</v>
      </c>
      <c r="C18" s="59"/>
      <c r="D18" s="59"/>
      <c r="E18" s="59"/>
      <c r="F18" s="59">
        <v>46003197.772909999</v>
      </c>
      <c r="K18" s="70" t="s">
        <v>38</v>
      </c>
      <c r="L18" s="59"/>
      <c r="M18" s="59"/>
      <c r="N18" s="59"/>
    </row>
    <row r="19" spans="1:19">
      <c r="A19" s="70" t="s">
        <v>1160</v>
      </c>
      <c r="B19" s="59"/>
      <c r="C19" s="59"/>
      <c r="D19" s="59"/>
      <c r="E19" s="59">
        <v>200000</v>
      </c>
      <c r="F19" s="59">
        <v>200000</v>
      </c>
      <c r="K19" s="70" t="s">
        <v>1601</v>
      </c>
      <c r="L19" s="59"/>
      <c r="M19" s="59"/>
      <c r="N19" s="59"/>
    </row>
    <row r="20" spans="1:19">
      <c r="A20" s="70" t="s">
        <v>344</v>
      </c>
      <c r="B20" s="59"/>
      <c r="C20" s="59">
        <v>1129943</v>
      </c>
      <c r="D20" s="59"/>
      <c r="E20" s="59"/>
      <c r="F20" s="59">
        <v>1129943</v>
      </c>
      <c r="K20" s="70" t="s">
        <v>1359</v>
      </c>
      <c r="L20" s="59">
        <v>145000</v>
      </c>
      <c r="M20" s="59"/>
      <c r="N20" s="59">
        <v>145000</v>
      </c>
    </row>
    <row r="21" spans="1:19">
      <c r="A21" s="70" t="s">
        <v>508</v>
      </c>
      <c r="B21" s="59"/>
      <c r="C21" s="59"/>
      <c r="D21" s="59">
        <v>243605</v>
      </c>
      <c r="E21" s="59"/>
      <c r="F21" s="59">
        <v>243605</v>
      </c>
      <c r="K21" s="70" t="s">
        <v>82</v>
      </c>
      <c r="L21" s="59"/>
      <c r="M21" s="59"/>
      <c r="N21" s="59"/>
      <c r="R21" s="794"/>
      <c r="S21" s="59"/>
    </row>
    <row r="22" spans="1:19">
      <c r="A22" s="70" t="s">
        <v>93</v>
      </c>
      <c r="B22" s="59">
        <v>100000</v>
      </c>
      <c r="C22" s="59"/>
      <c r="D22" s="59"/>
      <c r="E22" s="59"/>
      <c r="F22" s="59">
        <v>100000</v>
      </c>
      <c r="K22" s="70" t="s">
        <v>1624</v>
      </c>
      <c r="L22" s="59"/>
      <c r="M22" s="59"/>
      <c r="N22" s="59"/>
      <c r="R22" s="794"/>
      <c r="S22" s="802"/>
    </row>
    <row r="23" spans="1:19">
      <c r="A23" s="70" t="s">
        <v>558</v>
      </c>
      <c r="B23" s="59"/>
      <c r="C23" s="59">
        <v>100000</v>
      </c>
      <c r="D23" s="59"/>
      <c r="E23" s="59"/>
      <c r="F23" s="59">
        <v>100000</v>
      </c>
      <c r="K23" s="70" t="s">
        <v>12</v>
      </c>
      <c r="L23" s="59"/>
      <c r="M23" s="59">
        <v>162270</v>
      </c>
      <c r="N23" s="59">
        <v>162270</v>
      </c>
    </row>
    <row r="24" spans="1:19">
      <c r="A24" s="70" t="s">
        <v>2032</v>
      </c>
      <c r="B24" s="59"/>
      <c r="C24" s="59"/>
      <c r="D24" s="59"/>
      <c r="E24" s="59">
        <v>2320081</v>
      </c>
      <c r="F24" s="59">
        <v>2320081</v>
      </c>
      <c r="K24" s="70" t="s">
        <v>1600</v>
      </c>
      <c r="L24" s="59"/>
      <c r="M24" s="59"/>
      <c r="N24" s="59"/>
    </row>
    <row r="25" spans="1:19">
      <c r="A25" s="70" t="s">
        <v>656</v>
      </c>
      <c r="B25" s="59"/>
      <c r="C25" s="59"/>
      <c r="D25" s="59">
        <v>46674850.43</v>
      </c>
      <c r="E25" s="59"/>
      <c r="F25" s="59">
        <v>46674850.43</v>
      </c>
      <c r="K25" s="70" t="s">
        <v>46</v>
      </c>
      <c r="L25" s="59"/>
      <c r="M25" s="59"/>
      <c r="N25" s="59"/>
    </row>
    <row r="26" spans="1:19">
      <c r="A26" s="70" t="s">
        <v>345</v>
      </c>
      <c r="B26" s="59"/>
      <c r="C26" s="59">
        <v>283682</v>
      </c>
      <c r="D26" s="59"/>
      <c r="E26" s="59"/>
      <c r="F26" s="59">
        <v>283682</v>
      </c>
      <c r="K26" s="70" t="s">
        <v>545</v>
      </c>
      <c r="L26" s="59"/>
      <c r="M26" s="59"/>
      <c r="N26" s="59"/>
    </row>
    <row r="27" spans="1:19">
      <c r="A27" s="70" t="s">
        <v>440</v>
      </c>
      <c r="B27" s="59">
        <v>50000</v>
      </c>
      <c r="C27" s="59"/>
      <c r="D27" s="59"/>
      <c r="E27" s="59"/>
      <c r="F27" s="59">
        <v>50000</v>
      </c>
      <c r="K27" s="70" t="s">
        <v>544</v>
      </c>
      <c r="L27" s="59"/>
      <c r="M27" s="59"/>
      <c r="N27" s="59"/>
    </row>
    <row r="28" spans="1:19">
      <c r="A28" s="70" t="s">
        <v>1277</v>
      </c>
      <c r="B28" s="59"/>
      <c r="C28" s="59"/>
      <c r="D28" s="59"/>
      <c r="E28" s="59">
        <v>50000</v>
      </c>
      <c r="F28" s="59">
        <v>50000</v>
      </c>
      <c r="K28" s="70" t="s">
        <v>340</v>
      </c>
      <c r="L28" s="59">
        <v>50000</v>
      </c>
      <c r="M28" s="59"/>
      <c r="N28" s="59">
        <v>50000</v>
      </c>
    </row>
    <row r="29" spans="1:19">
      <c r="A29" s="70" t="s">
        <v>96</v>
      </c>
      <c r="B29" s="59">
        <v>519000</v>
      </c>
      <c r="C29" s="59"/>
      <c r="D29" s="59"/>
      <c r="E29" s="59"/>
      <c r="F29" s="59">
        <v>519000</v>
      </c>
      <c r="K29" s="70" t="s">
        <v>51</v>
      </c>
      <c r="L29" s="59">
        <v>200000</v>
      </c>
      <c r="M29" s="59"/>
      <c r="N29" s="59">
        <v>200000</v>
      </c>
    </row>
    <row r="30" spans="1:19">
      <c r="A30" s="70" t="s">
        <v>38</v>
      </c>
      <c r="B30" s="59"/>
      <c r="C30" s="59"/>
      <c r="D30" s="59">
        <v>100000</v>
      </c>
      <c r="E30" s="59"/>
      <c r="F30" s="59">
        <v>100000</v>
      </c>
      <c r="K30" s="70" t="s">
        <v>1648</v>
      </c>
      <c r="L30" s="59"/>
      <c r="M30" s="59"/>
      <c r="N30" s="59"/>
    </row>
    <row r="31" spans="1:19">
      <c r="A31" s="70" t="s">
        <v>350</v>
      </c>
      <c r="B31" s="59">
        <v>300000</v>
      </c>
      <c r="C31" s="59"/>
      <c r="D31" s="59"/>
      <c r="E31" s="59"/>
      <c r="F31" s="59">
        <v>300000</v>
      </c>
      <c r="K31" s="70" t="s">
        <v>580</v>
      </c>
      <c r="L31" s="59"/>
      <c r="M31" s="59"/>
      <c r="N31" s="59"/>
    </row>
    <row r="32" spans="1:19">
      <c r="A32" s="70" t="s">
        <v>1601</v>
      </c>
      <c r="B32" s="59"/>
      <c r="C32" s="59"/>
      <c r="D32" s="59">
        <v>200000</v>
      </c>
      <c r="E32" s="59"/>
      <c r="F32" s="59">
        <v>200000</v>
      </c>
      <c r="K32" s="70" t="s">
        <v>1207</v>
      </c>
      <c r="L32" s="59">
        <v>588000</v>
      </c>
      <c r="M32" s="59">
        <v>253270</v>
      </c>
      <c r="N32" s="59">
        <v>841270</v>
      </c>
    </row>
    <row r="33" spans="1:6">
      <c r="A33" s="70" t="s">
        <v>97</v>
      </c>
      <c r="B33" s="59">
        <v>517077</v>
      </c>
      <c r="C33" s="59"/>
      <c r="D33" s="59"/>
      <c r="E33" s="59"/>
      <c r="F33" s="59">
        <v>517077</v>
      </c>
    </row>
    <row r="34" spans="1:6">
      <c r="A34" s="70" t="s">
        <v>56</v>
      </c>
      <c r="B34" s="59"/>
      <c r="C34" s="59">
        <v>44250</v>
      </c>
      <c r="D34" s="59"/>
      <c r="E34" s="59"/>
      <c r="F34" s="59">
        <v>44250</v>
      </c>
    </row>
    <row r="35" spans="1:6">
      <c r="A35" s="70" t="s">
        <v>1359</v>
      </c>
      <c r="B35" s="59"/>
      <c r="C35" s="59"/>
      <c r="D35" s="59">
        <v>145000</v>
      </c>
      <c r="E35" s="59"/>
      <c r="F35" s="59">
        <v>145000</v>
      </c>
    </row>
    <row r="36" spans="1:6">
      <c r="A36" s="70" t="s">
        <v>62</v>
      </c>
      <c r="B36" s="59">
        <v>250000</v>
      </c>
      <c r="C36" s="59"/>
      <c r="D36" s="59"/>
      <c r="E36" s="59"/>
      <c r="F36" s="59">
        <v>250000</v>
      </c>
    </row>
    <row r="37" spans="1:6">
      <c r="A37" s="70" t="s">
        <v>82</v>
      </c>
      <c r="B37" s="59"/>
      <c r="C37" s="59">
        <v>50000</v>
      </c>
      <c r="D37" s="59"/>
      <c r="E37" s="59">
        <v>50000</v>
      </c>
      <c r="F37" s="59">
        <v>100000</v>
      </c>
    </row>
    <row r="38" spans="1:6">
      <c r="A38" s="70" t="s">
        <v>1624</v>
      </c>
      <c r="B38" s="59"/>
      <c r="C38" s="59"/>
      <c r="D38" s="59">
        <v>50000</v>
      </c>
      <c r="E38" s="59"/>
      <c r="F38" s="59">
        <v>50000</v>
      </c>
    </row>
    <row r="39" spans="1:6">
      <c r="A39" s="70" t="s">
        <v>1145</v>
      </c>
      <c r="B39" s="59">
        <v>50000</v>
      </c>
      <c r="C39" s="59">
        <v>50000</v>
      </c>
      <c r="D39" s="59"/>
      <c r="E39" s="59"/>
      <c r="F39" s="59">
        <v>100000</v>
      </c>
    </row>
    <row r="40" spans="1:6">
      <c r="A40" s="70" t="s">
        <v>12</v>
      </c>
      <c r="B40" s="59"/>
      <c r="C40" s="59"/>
      <c r="D40" s="59"/>
      <c r="E40" s="59">
        <v>497270</v>
      </c>
      <c r="F40" s="59">
        <v>497270</v>
      </c>
    </row>
    <row r="41" spans="1:6">
      <c r="A41" s="70" t="s">
        <v>451</v>
      </c>
      <c r="B41" s="59">
        <v>285000</v>
      </c>
      <c r="C41" s="59"/>
      <c r="D41" s="59"/>
      <c r="E41" s="59"/>
      <c r="F41" s="59">
        <v>285000</v>
      </c>
    </row>
    <row r="42" spans="1:6">
      <c r="A42" s="70" t="s">
        <v>2004</v>
      </c>
      <c r="B42" s="59"/>
      <c r="C42" s="59">
        <v>250000</v>
      </c>
      <c r="D42" s="59"/>
      <c r="E42" s="59"/>
      <c r="F42" s="59">
        <v>250000</v>
      </c>
    </row>
    <row r="43" spans="1:6">
      <c r="A43" s="70" t="s">
        <v>1600</v>
      </c>
      <c r="B43" s="59"/>
      <c r="C43" s="59"/>
      <c r="D43" s="59"/>
      <c r="E43" s="59">
        <v>4850000</v>
      </c>
      <c r="F43" s="59">
        <v>4850000</v>
      </c>
    </row>
    <row r="44" spans="1:6">
      <c r="A44" s="70" t="s">
        <v>342</v>
      </c>
      <c r="B44" s="59"/>
      <c r="C44" s="59">
        <v>100000</v>
      </c>
      <c r="D44" s="59"/>
      <c r="E44" s="59"/>
      <c r="F44" s="59">
        <v>100000</v>
      </c>
    </row>
    <row r="45" spans="1:6">
      <c r="A45" s="70" t="s">
        <v>99</v>
      </c>
      <c r="B45" s="59">
        <v>300000</v>
      </c>
      <c r="C45" s="59"/>
      <c r="D45" s="59"/>
      <c r="E45" s="59"/>
      <c r="F45" s="59">
        <v>300000</v>
      </c>
    </row>
    <row r="46" spans="1:6">
      <c r="A46" s="70" t="s">
        <v>346</v>
      </c>
      <c r="B46" s="59">
        <v>185000</v>
      </c>
      <c r="C46" s="59"/>
      <c r="D46" s="59"/>
      <c r="E46" s="59"/>
      <c r="F46" s="59">
        <v>185000</v>
      </c>
    </row>
    <row r="47" spans="1:6">
      <c r="A47" s="70" t="s">
        <v>46</v>
      </c>
      <c r="B47" s="59"/>
      <c r="C47" s="59"/>
      <c r="D47" s="59">
        <v>100000</v>
      </c>
      <c r="E47" s="59"/>
      <c r="F47" s="59">
        <v>100000</v>
      </c>
    </row>
    <row r="48" spans="1:6">
      <c r="A48" s="70" t="s">
        <v>545</v>
      </c>
      <c r="B48" s="59"/>
      <c r="C48" s="59"/>
      <c r="D48" s="59">
        <v>1050000</v>
      </c>
      <c r="E48" s="59"/>
      <c r="F48" s="59">
        <v>1050000</v>
      </c>
    </row>
    <row r="49" spans="1:6">
      <c r="A49" s="70" t="s">
        <v>544</v>
      </c>
      <c r="B49" s="59"/>
      <c r="C49" s="59"/>
      <c r="D49" s="59">
        <v>950000</v>
      </c>
      <c r="E49" s="59"/>
      <c r="F49" s="59">
        <v>950000</v>
      </c>
    </row>
    <row r="50" spans="1:6">
      <c r="A50" s="70" t="s">
        <v>890</v>
      </c>
      <c r="B50" s="59">
        <v>300000</v>
      </c>
      <c r="C50" s="59"/>
      <c r="D50" s="59"/>
      <c r="E50" s="59"/>
      <c r="F50" s="59">
        <v>300000</v>
      </c>
    </row>
    <row r="51" spans="1:6">
      <c r="A51" s="70" t="s">
        <v>101</v>
      </c>
      <c r="B51" s="59">
        <v>714000</v>
      </c>
      <c r="C51" s="59"/>
      <c r="D51" s="59"/>
      <c r="E51" s="59"/>
      <c r="F51" s="59">
        <v>714000</v>
      </c>
    </row>
    <row r="52" spans="1:6">
      <c r="A52" s="70" t="s">
        <v>102</v>
      </c>
      <c r="B52" s="59">
        <v>100000</v>
      </c>
      <c r="C52" s="59"/>
      <c r="D52" s="59"/>
      <c r="E52" s="59"/>
      <c r="F52" s="59">
        <v>100000</v>
      </c>
    </row>
    <row r="53" spans="1:6">
      <c r="A53" s="70" t="s">
        <v>340</v>
      </c>
      <c r="B53" s="59"/>
      <c r="C53" s="59"/>
      <c r="D53" s="59">
        <v>50000</v>
      </c>
      <c r="E53" s="59"/>
      <c r="F53" s="59">
        <v>50000</v>
      </c>
    </row>
    <row r="54" spans="1:6">
      <c r="A54" s="70" t="s">
        <v>51</v>
      </c>
      <c r="B54" s="59"/>
      <c r="C54" s="59"/>
      <c r="D54" s="59">
        <v>200000</v>
      </c>
      <c r="E54" s="59"/>
      <c r="F54" s="59">
        <v>200000</v>
      </c>
    </row>
    <row r="55" spans="1:6">
      <c r="A55" s="70" t="s">
        <v>1648</v>
      </c>
      <c r="B55" s="59"/>
      <c r="C55" s="59"/>
      <c r="D55" s="59">
        <v>100000</v>
      </c>
      <c r="E55" s="59"/>
      <c r="F55" s="59">
        <v>100000</v>
      </c>
    </row>
    <row r="56" spans="1:6">
      <c r="A56" s="70" t="s">
        <v>337</v>
      </c>
      <c r="B56" s="59"/>
      <c r="C56" s="59">
        <v>50000</v>
      </c>
      <c r="D56" s="59"/>
      <c r="E56" s="59"/>
      <c r="F56" s="59">
        <v>50000</v>
      </c>
    </row>
    <row r="57" spans="1:6">
      <c r="A57" s="70" t="s">
        <v>560</v>
      </c>
      <c r="B57" s="59"/>
      <c r="C57" s="59">
        <v>50000</v>
      </c>
      <c r="D57" s="59"/>
      <c r="E57" s="59"/>
      <c r="F57" s="59">
        <v>50000</v>
      </c>
    </row>
    <row r="58" spans="1:6">
      <c r="A58" s="70" t="s">
        <v>199</v>
      </c>
      <c r="B58" s="59">
        <v>115000</v>
      </c>
      <c r="C58" s="59"/>
      <c r="D58" s="59"/>
      <c r="E58" s="59"/>
      <c r="F58" s="59">
        <v>115000</v>
      </c>
    </row>
    <row r="59" spans="1:6">
      <c r="A59" s="70" t="s">
        <v>580</v>
      </c>
      <c r="B59" s="59"/>
      <c r="C59" s="59"/>
      <c r="D59" s="59"/>
      <c r="E59" s="59">
        <v>150000</v>
      </c>
      <c r="F59" s="59">
        <v>150000</v>
      </c>
    </row>
    <row r="60" spans="1:6">
      <c r="A60" s="70" t="s">
        <v>561</v>
      </c>
      <c r="B60" s="59"/>
      <c r="C60" s="59">
        <v>50000</v>
      </c>
      <c r="D60" s="59"/>
      <c r="E60" s="59"/>
      <c r="F60" s="59">
        <v>50000</v>
      </c>
    </row>
    <row r="61" spans="1:6">
      <c r="A61" s="70" t="s">
        <v>336</v>
      </c>
      <c r="B61" s="59"/>
      <c r="C61" s="59">
        <v>100000</v>
      </c>
      <c r="D61" s="59"/>
      <c r="E61" s="59"/>
      <c r="F61" s="59">
        <v>100000</v>
      </c>
    </row>
    <row r="62" spans="1:6">
      <c r="A62" s="70" t="s">
        <v>1207</v>
      </c>
      <c r="B62" s="59">
        <v>50996630.772909999</v>
      </c>
      <c r="C62" s="59">
        <v>2825602</v>
      </c>
      <c r="D62" s="59">
        <v>50863455.43</v>
      </c>
      <c r="E62" s="59">
        <v>8444351</v>
      </c>
      <c r="F62" s="59">
        <v>113130039.20291001</v>
      </c>
    </row>
    <row r="67" spans="1:17">
      <c r="A67" s="767" t="s">
        <v>477</v>
      </c>
      <c r="B67" t="s">
        <v>362</v>
      </c>
      <c r="K67" s="767" t="s">
        <v>477</v>
      </c>
      <c r="L67" t="s">
        <v>362</v>
      </c>
    </row>
    <row r="68" spans="1:17">
      <c r="A68" s="767" t="s">
        <v>478</v>
      </c>
      <c r="B68" s="70">
        <v>1</v>
      </c>
      <c r="K68" s="767" t="s">
        <v>478</v>
      </c>
      <c r="L68" s="70">
        <v>1</v>
      </c>
    </row>
    <row r="69" spans="1:17">
      <c r="A69" s="767" t="s">
        <v>2469</v>
      </c>
      <c r="B69" t="s">
        <v>1752</v>
      </c>
      <c r="K69" s="767" t="s">
        <v>2469</v>
      </c>
      <c r="L69" t="s">
        <v>362</v>
      </c>
    </row>
    <row r="71" spans="1:17">
      <c r="A71" s="767" t="s">
        <v>1348</v>
      </c>
      <c r="B71" s="767" t="s">
        <v>2121</v>
      </c>
      <c r="K71" s="767" t="s">
        <v>1348</v>
      </c>
      <c r="L71" s="767" t="s">
        <v>2121</v>
      </c>
    </row>
    <row r="72" spans="1:17">
      <c r="A72" s="767" t="s">
        <v>2108</v>
      </c>
      <c r="B72">
        <v>2010</v>
      </c>
      <c r="C72">
        <v>2011</v>
      </c>
      <c r="D72" t="s">
        <v>1207</v>
      </c>
      <c r="K72" s="767" t="s">
        <v>2108</v>
      </c>
      <c r="L72">
        <v>2010</v>
      </c>
      <c r="M72">
        <v>2011</v>
      </c>
      <c r="N72" t="s">
        <v>1207</v>
      </c>
      <c r="P72">
        <v>2010</v>
      </c>
      <c r="Q72">
        <v>2011</v>
      </c>
    </row>
    <row r="73" spans="1:17">
      <c r="A73" s="70" t="s">
        <v>1278</v>
      </c>
      <c r="B73" s="59"/>
      <c r="C73" s="59">
        <v>145000</v>
      </c>
      <c r="D73" s="59">
        <v>145000</v>
      </c>
      <c r="K73" s="70" t="s">
        <v>1803</v>
      </c>
      <c r="L73" s="59"/>
      <c r="M73" s="59">
        <v>182000</v>
      </c>
      <c r="N73" s="59">
        <v>182000</v>
      </c>
      <c r="P73" s="59"/>
      <c r="Q73" s="59">
        <f>GETPIVOTDATA("Total Cash",$K$71,"Disaster Name","Bolivia Floods","Fiscal Year",2011)-GETPIVOTDATA("ARCT?",$K$8,"Disaster Name","Bolivia Floods","Fiscal Year",2011)</f>
        <v>91000</v>
      </c>
    </row>
    <row r="74" spans="1:17">
      <c r="A74" s="70" t="s">
        <v>1277</v>
      </c>
      <c r="B74" s="59"/>
      <c r="C74" s="59">
        <v>50000</v>
      </c>
      <c r="D74" s="59">
        <v>50000</v>
      </c>
      <c r="K74" s="70" t="s">
        <v>53</v>
      </c>
      <c r="L74" s="59">
        <v>1000000</v>
      </c>
      <c r="M74" s="59"/>
      <c r="N74" s="59">
        <v>1000000</v>
      </c>
      <c r="P74" s="59">
        <f>GETPIVOTDATA("Total Cash",$K$71,"Disaster Name","Chile Earthquake","Fiscal Year",2010)</f>
        <v>1000000</v>
      </c>
      <c r="Q74" s="59"/>
    </row>
    <row r="75" spans="1:17">
      <c r="A75" s="70" t="s">
        <v>38</v>
      </c>
      <c r="B75" s="59">
        <v>100000</v>
      </c>
      <c r="C75" s="59"/>
      <c r="D75" s="59">
        <v>100000</v>
      </c>
      <c r="K75" s="70" t="s">
        <v>1160</v>
      </c>
      <c r="L75" s="59"/>
      <c r="M75" s="59">
        <v>200000</v>
      </c>
      <c r="N75" s="59">
        <v>200000</v>
      </c>
      <c r="P75" s="59"/>
      <c r="Q75" s="59">
        <f>GETPIVOTDATA("Total Cash",$K$71,"Disaster Name","Colombian Floods","Fiscal Year",2011)</f>
        <v>200000</v>
      </c>
    </row>
    <row r="76" spans="1:17">
      <c r="A76" s="70" t="s">
        <v>1359</v>
      </c>
      <c r="B76" s="59">
        <v>145000</v>
      </c>
      <c r="C76" s="59"/>
      <c r="D76" s="59">
        <v>145000</v>
      </c>
      <c r="K76" s="70" t="s">
        <v>508</v>
      </c>
      <c r="L76" s="59">
        <v>243605</v>
      </c>
      <c r="M76" s="59"/>
      <c r="N76" s="59">
        <v>243605</v>
      </c>
      <c r="P76" s="59">
        <f>GETPIVOTDATA("Total Cash",$K$71,"Disaster Name","El Salvador Floods","Fiscal Year",2010)-GETPIVOTDATA("ARCT?",$K$8,"Disaster Name","El Salvador Floods","Fiscal Year",2010)</f>
        <v>50605</v>
      </c>
      <c r="Q76" s="59"/>
    </row>
    <row r="77" spans="1:17">
      <c r="A77" s="70" t="s">
        <v>82</v>
      </c>
      <c r="B77" s="59"/>
      <c r="C77" s="59">
        <v>50000</v>
      </c>
      <c r="D77" s="59">
        <v>50000</v>
      </c>
      <c r="K77" s="70" t="s">
        <v>2032</v>
      </c>
      <c r="L77" s="59"/>
      <c r="M77" s="59">
        <v>2320081</v>
      </c>
      <c r="N77" s="59">
        <v>2320081</v>
      </c>
      <c r="P77" s="59"/>
      <c r="Q77" s="59">
        <f>GETPIVOTDATA("Total Cash",$K$71,"Disaster Name","Haiti &amp; Dominican Republic Cholera Outbreak","Fiscal Year",2011)</f>
        <v>2320081</v>
      </c>
    </row>
    <row r="78" spans="1:17">
      <c r="A78" s="70" t="s">
        <v>1624</v>
      </c>
      <c r="B78" s="59">
        <v>50000</v>
      </c>
      <c r="C78" s="59"/>
      <c r="D78" s="59">
        <v>50000</v>
      </c>
      <c r="K78" s="70" t="s">
        <v>656</v>
      </c>
      <c r="L78" s="59">
        <v>46674850.43</v>
      </c>
      <c r="M78" s="59"/>
      <c r="N78" s="59">
        <v>46674850.43</v>
      </c>
      <c r="P78" s="59">
        <f>GETPIVOTDATA("Total Cash",$K$71,"Disaster Name","Haiti Earthquake","Fiscal Year",2010)</f>
        <v>46674850.43</v>
      </c>
      <c r="Q78" s="59"/>
    </row>
    <row r="79" spans="1:17">
      <c r="A79" s="70" t="s">
        <v>46</v>
      </c>
      <c r="B79" s="59">
        <v>100000</v>
      </c>
      <c r="C79" s="59"/>
      <c r="D79" s="59">
        <v>100000</v>
      </c>
      <c r="K79" s="70" t="s">
        <v>1601</v>
      </c>
      <c r="L79" s="59">
        <v>200000</v>
      </c>
      <c r="M79" s="59"/>
      <c r="N79" s="59">
        <v>200000</v>
      </c>
      <c r="P79" s="59">
        <f>GETPIVOTDATA("Total Cash",$K$71,"Disaster Name","Kyrgyzstan-Uzbekistan Population Movement","Fiscal Year",2010)</f>
        <v>200000</v>
      </c>
      <c r="Q79" s="59"/>
    </row>
    <row r="80" spans="1:17">
      <c r="A80" s="70" t="s">
        <v>340</v>
      </c>
      <c r="B80" s="59">
        <v>50000</v>
      </c>
      <c r="C80" s="59"/>
      <c r="D80" s="59">
        <v>50000</v>
      </c>
      <c r="K80" s="70" t="s">
        <v>12</v>
      </c>
      <c r="L80" s="59"/>
      <c r="M80" s="59">
        <v>497270</v>
      </c>
      <c r="N80" s="59">
        <v>497270</v>
      </c>
      <c r="P80" s="59"/>
      <c r="Q80" s="59">
        <f>GETPIVOTDATA("Total Cash",$K$71,"Disaster Name","North Africa &amp; Middle East Civil Unrest","Fiscal Year",2011)-GETPIVOTDATA("ARCT?",$K$8,"Disaster Name","North Africa &amp; Middle East Civil Unrest","Fiscal Year",2011)</f>
        <v>335000</v>
      </c>
    </row>
    <row r="81" spans="1:17">
      <c r="A81" s="70" t="s">
        <v>51</v>
      </c>
      <c r="B81" s="59">
        <v>200000</v>
      </c>
      <c r="C81" s="59"/>
      <c r="D81" s="59">
        <v>200000</v>
      </c>
      <c r="K81" s="70" t="s">
        <v>1600</v>
      </c>
      <c r="L81" s="59"/>
      <c r="M81" s="59">
        <v>4850000</v>
      </c>
      <c r="N81" s="59">
        <v>4850000</v>
      </c>
      <c r="P81" s="59"/>
      <c r="Q81" s="59">
        <f>GETPIVOTDATA("Total Cash",$K$71,"Disaster Name","Pakistan Monsoon Floods","Fiscal Year",2011)</f>
        <v>4850000</v>
      </c>
    </row>
    <row r="82" spans="1:17">
      <c r="A82" s="70" t="s">
        <v>1648</v>
      </c>
      <c r="B82" s="59">
        <v>100000</v>
      </c>
      <c r="C82" s="59"/>
      <c r="D82" s="59">
        <v>100000</v>
      </c>
      <c r="K82" s="70" t="s">
        <v>545</v>
      </c>
      <c r="L82" s="59">
        <v>1050000</v>
      </c>
      <c r="M82" s="59"/>
      <c r="N82" s="59">
        <v>1050000</v>
      </c>
      <c r="P82" s="59">
        <f>GETPIVOTDATA("Total Cash",$K$71,"Disaster Name","Southeast Asia Typhoons - Philippines","Fiscal Year",2010)</f>
        <v>1050000</v>
      </c>
      <c r="Q82" s="59"/>
    </row>
    <row r="83" spans="1:17">
      <c r="A83" s="70" t="s">
        <v>580</v>
      </c>
      <c r="B83" s="59"/>
      <c r="C83" s="59">
        <v>150000</v>
      </c>
      <c r="D83" s="59">
        <v>150000</v>
      </c>
      <c r="K83" s="70" t="s">
        <v>544</v>
      </c>
      <c r="L83" s="59">
        <v>950000</v>
      </c>
      <c r="M83" s="59"/>
      <c r="N83" s="59">
        <v>950000</v>
      </c>
      <c r="P83" s="59">
        <f>GETPIVOTDATA("Total Cash",$K$71,"Disaster Name","Southeast Asia Typhoons - Vietnam","Fiscal Year",2010)</f>
        <v>950000</v>
      </c>
      <c r="Q83" s="59"/>
    </row>
    <row r="84" spans="1:17">
      <c r="A84" s="70" t="s">
        <v>1207</v>
      </c>
      <c r="B84" s="59">
        <v>745000</v>
      </c>
      <c r="C84" s="59">
        <v>395000</v>
      </c>
      <c r="D84" s="59">
        <v>1140000</v>
      </c>
      <c r="K84" s="70" t="s">
        <v>1207</v>
      </c>
      <c r="L84" s="59">
        <v>50118455.43</v>
      </c>
      <c r="M84" s="59">
        <v>8049351</v>
      </c>
      <c r="N84" s="59">
        <v>58167806.43</v>
      </c>
      <c r="P84" s="59">
        <f>SUM(P73:P83)</f>
        <v>49925455.43</v>
      </c>
      <c r="Q84" s="59">
        <f>SUM(Q73:Q83)</f>
        <v>7796081</v>
      </c>
    </row>
    <row r="87" spans="1:17">
      <c r="B87" s="4">
        <v>2010</v>
      </c>
      <c r="C87" s="4">
        <v>2010</v>
      </c>
      <c r="D87" s="4">
        <v>2011</v>
      </c>
      <c r="E87" s="4">
        <v>2011</v>
      </c>
      <c r="F87" s="4"/>
      <c r="G87" s="4"/>
      <c r="H87" s="4"/>
      <c r="I87" s="4"/>
    </row>
    <row r="88" spans="1:17">
      <c r="A88" s="794" t="s">
        <v>2475</v>
      </c>
      <c r="B88" s="59">
        <f>GETPIVOTDATA("Total Cash",$A$71,"Fiscal Year",2010)</f>
        <v>745000</v>
      </c>
      <c r="D88" s="59">
        <f>GETPIVOTDATA("Total Cash",$A$71,"Fiscal Year",2011)</f>
        <v>395000</v>
      </c>
    </row>
    <row r="89" spans="1:17">
      <c r="A89" s="794" t="s">
        <v>2472</v>
      </c>
      <c r="B89" s="59">
        <f>B88-B90</f>
        <v>386000</v>
      </c>
      <c r="C89" s="802">
        <f>B89/B88</f>
        <v>0.51812080536912752</v>
      </c>
      <c r="D89" s="59">
        <f>D88-D90</f>
        <v>245000</v>
      </c>
      <c r="E89" s="802">
        <f>D89/D88</f>
        <v>0.620253164556962</v>
      </c>
      <c r="F89" s="802"/>
      <c r="G89" s="802"/>
      <c r="H89" s="802"/>
      <c r="I89" s="802"/>
    </row>
    <row r="90" spans="1:17">
      <c r="A90" t="s">
        <v>2473</v>
      </c>
      <c r="B90" s="59">
        <f>559000-200000</f>
        <v>359000</v>
      </c>
      <c r="C90" s="802">
        <f>B90/B88</f>
        <v>0.48187919463087248</v>
      </c>
      <c r="D90" s="59">
        <f>300000-150000</f>
        <v>150000</v>
      </c>
      <c r="E90" s="802">
        <f>D90/D88</f>
        <v>0.379746835443038</v>
      </c>
      <c r="F90" s="802"/>
      <c r="G90" s="802"/>
      <c r="H90" s="802"/>
      <c r="I90" s="802"/>
    </row>
    <row r="91" spans="1:17">
      <c r="A91" t="s">
        <v>2474</v>
      </c>
      <c r="B91" s="59">
        <f>P84</f>
        <v>49925455.43</v>
      </c>
      <c r="C91" s="802"/>
      <c r="D91" s="59">
        <f>Q84</f>
        <v>7796081</v>
      </c>
    </row>
    <row r="92" spans="1:17">
      <c r="B92" s="59"/>
      <c r="C92" s="59"/>
    </row>
    <row r="93" spans="1:17">
      <c r="A93" s="4" t="s">
        <v>2476</v>
      </c>
      <c r="B93" s="4"/>
      <c r="C93" s="4"/>
      <c r="F93" s="4"/>
      <c r="G93" s="4"/>
      <c r="H93" s="4"/>
      <c r="I93" s="4"/>
    </row>
    <row r="94" spans="1:17" ht="12.75" customHeight="1">
      <c r="M94" s="1024" t="s">
        <v>2468</v>
      </c>
      <c r="N94" s="1025"/>
      <c r="O94" s="1025"/>
      <c r="P94" s="1025"/>
      <c r="Q94" s="1025"/>
    </row>
    <row r="95" spans="1:17">
      <c r="L95" s="825"/>
      <c r="M95" s="1025"/>
      <c r="N95" s="1025"/>
      <c r="O95" s="1025"/>
      <c r="P95" s="1025"/>
      <c r="Q95" s="1025"/>
    </row>
    <row r="96" spans="1:17">
      <c r="L96" s="825"/>
      <c r="M96" s="1025"/>
      <c r="N96" s="1025"/>
      <c r="O96" s="1025"/>
      <c r="P96" s="1025"/>
      <c r="Q96" s="1025"/>
    </row>
    <row r="97" spans="1:17">
      <c r="L97" s="825"/>
      <c r="M97" s="1025"/>
      <c r="N97" s="1025"/>
      <c r="O97" s="1025"/>
      <c r="P97" s="1025"/>
      <c r="Q97" s="1025"/>
    </row>
    <row r="98" spans="1:17">
      <c r="L98" s="825"/>
      <c r="M98" s="1025"/>
      <c r="N98" s="1025"/>
      <c r="O98" s="1025"/>
      <c r="P98" s="1025"/>
      <c r="Q98" s="1025"/>
    </row>
    <row r="99" spans="1:17">
      <c r="L99" s="825"/>
      <c r="M99" s="1025"/>
      <c r="N99" s="1025"/>
      <c r="O99" s="1025"/>
      <c r="P99" s="1025"/>
      <c r="Q99" s="1025"/>
    </row>
    <row r="100" spans="1:17">
      <c r="L100" s="825"/>
      <c r="M100" s="825"/>
      <c r="N100" s="825"/>
      <c r="O100" s="825"/>
      <c r="P100" s="825"/>
      <c r="Q100" s="825"/>
    </row>
    <row r="112" spans="1:17">
      <c r="A112" s="4" t="s">
        <v>2476</v>
      </c>
    </row>
  </sheetData>
  <mergeCells count="1">
    <mergeCell ref="M94:Q99"/>
  </mergeCells>
  <pageMargins left="0.7" right="0.7" top="0.75" bottom="0.75" header="0.3" footer="0.3"/>
  <drawing r:id="rId5"/>
</worksheet>
</file>

<file path=xl/worksheets/sheet6.xml><?xml version="1.0" encoding="utf-8"?>
<worksheet xmlns="http://schemas.openxmlformats.org/spreadsheetml/2006/main" xmlns:r="http://schemas.openxmlformats.org/officeDocument/2006/relationships">
  <sheetPr codeName="Sheet4">
    <tabColor rgb="FFFF0000"/>
    <pageSetUpPr fitToPage="1"/>
  </sheetPr>
  <dimension ref="A1:CH458"/>
  <sheetViews>
    <sheetView tabSelected="1" topLeftCell="BW1" zoomScale="70" zoomScaleNormal="70" workbookViewId="0">
      <pane ySplit="1" topLeftCell="A376" activePane="bottomLeft" state="frozen"/>
      <selection pane="bottomLeft" activeCell="BZ392" sqref="BZ392"/>
    </sheetView>
  </sheetViews>
  <sheetFormatPr defaultRowHeight="15"/>
  <cols>
    <col min="1" max="1" width="26.140625" style="598" customWidth="1"/>
    <col min="2" max="3" width="13.85546875" customWidth="1"/>
    <col min="4" max="4" width="56.28515625" style="4" customWidth="1"/>
    <col min="5" max="5" width="16.42578125" customWidth="1"/>
    <col min="6" max="6" width="9.7109375" hidden="1" customWidth="1"/>
    <col min="7" max="7" width="11.42578125" hidden="1" customWidth="1"/>
    <col min="8" max="8" width="20.7109375" style="675" customWidth="1"/>
    <col min="9" max="9" width="9.85546875" hidden="1" customWidth="1"/>
    <col min="10" max="10" width="19.85546875" hidden="1" customWidth="1"/>
    <col min="11" max="11" width="30.28515625" hidden="1" customWidth="1"/>
    <col min="12" max="12" width="34.85546875" hidden="1" customWidth="1"/>
    <col min="13" max="13" width="26.7109375" hidden="1" customWidth="1"/>
    <col min="14" max="14" width="15.28515625" style="233" hidden="1" customWidth="1"/>
    <col min="15" max="15" width="20.7109375" hidden="1" customWidth="1"/>
    <col min="16" max="16" width="19.85546875" hidden="1" customWidth="1"/>
    <col min="17" max="17" width="12.85546875" customWidth="1"/>
    <col min="18" max="18" width="11.5703125" customWidth="1"/>
    <col min="19" max="19" width="19.42578125" customWidth="1"/>
    <col min="20" max="20" width="28.42578125" style="1072" customWidth="1"/>
    <col min="21" max="21" width="35.42578125" customWidth="1"/>
    <col min="22" max="22" width="24.140625" customWidth="1"/>
    <col min="23" max="23" width="19.28515625" customWidth="1"/>
    <col min="24" max="24" width="16.140625" customWidth="1"/>
    <col min="25" max="25" width="25" customWidth="1"/>
    <col min="26" max="26" width="23" style="785" customWidth="1"/>
    <col min="27" max="27" width="14.42578125" customWidth="1"/>
    <col min="28" max="28" width="16.42578125" customWidth="1"/>
    <col min="29" max="29" width="17.42578125" customWidth="1"/>
    <col min="30" max="30" width="16.42578125" style="1043" customWidth="1"/>
    <col min="31" max="31" width="16.42578125" style="59" customWidth="1"/>
    <col min="32" max="32" width="14.42578125" customWidth="1"/>
    <col min="33" max="33" width="15" style="1043" customWidth="1"/>
    <col min="34" max="34" width="11.5703125" customWidth="1"/>
    <col min="35" max="35" width="9.5703125" style="44" customWidth="1"/>
    <col min="36" max="36" width="15.42578125" style="44" customWidth="1"/>
    <col min="37" max="37" width="16.28515625" customWidth="1"/>
    <col min="38" max="38" width="10.28515625" customWidth="1"/>
    <col min="39" max="39" width="12.28515625" customWidth="1"/>
    <col min="40" max="41" width="8.7109375" customWidth="1"/>
    <col min="42" max="42" width="5.42578125" customWidth="1"/>
    <col min="43" max="43" width="7.5703125" customWidth="1"/>
    <col min="44" max="44" width="19.85546875" customWidth="1"/>
    <col min="45" max="45" width="20.42578125" customWidth="1"/>
    <col min="46" max="46" width="9" customWidth="1"/>
    <col min="47" max="47" width="10.5703125" customWidth="1"/>
    <col min="48" max="48" width="24.5703125" customWidth="1"/>
    <col min="49" max="49" width="12.42578125" customWidth="1"/>
    <col min="50" max="51" width="2" customWidth="1"/>
    <col min="52" max="52" width="12" style="59" customWidth="1"/>
    <col min="53" max="53" width="13.42578125" customWidth="1"/>
    <col min="54" max="54" width="36.28515625" customWidth="1"/>
    <col min="55" max="55" width="35" customWidth="1"/>
    <col min="56" max="56" width="13.140625" customWidth="1"/>
    <col min="57" max="57" width="13" customWidth="1"/>
    <col min="58" max="58" width="86.7109375" customWidth="1"/>
    <col min="59" max="60" width="16.140625" style="675" customWidth="1"/>
    <col min="61" max="61" width="15.5703125" customWidth="1"/>
    <col min="62" max="62" width="14.140625" style="704" customWidth="1"/>
    <col min="63" max="63" width="16.140625" style="704" customWidth="1"/>
    <col min="64" max="64" width="16.42578125" customWidth="1"/>
    <col min="65" max="65" width="12.5703125" style="59" customWidth="1"/>
    <col min="66" max="66" width="8.85546875" customWidth="1"/>
    <col min="67" max="67" width="11.140625" style="59" customWidth="1"/>
    <col min="68" max="68" width="8.85546875" style="221" customWidth="1"/>
    <col min="69" max="69" width="8.85546875" style="59" customWidth="1"/>
    <col min="70" max="70" width="12.140625" style="59" customWidth="1"/>
    <col min="71" max="71" width="17.42578125" customWidth="1"/>
    <col min="72" max="72" width="16.28515625" customWidth="1"/>
    <col min="73" max="73" width="14.85546875" customWidth="1"/>
    <col min="74" max="74" width="29.28515625" style="230" customWidth="1"/>
    <col min="75" max="75" width="13" customWidth="1"/>
    <col min="76" max="76" width="80.7109375" style="233" customWidth="1"/>
    <col min="77" max="77" width="129" customWidth="1"/>
    <col min="78" max="86" width="9.140625" style="667"/>
    <col min="87" max="16384" width="9.140625" style="226"/>
  </cols>
  <sheetData>
    <row r="1" spans="1:86" s="265" customFormat="1" ht="48" customHeight="1">
      <c r="A1" s="257" t="s">
        <v>366</v>
      </c>
      <c r="B1" s="801" t="s">
        <v>1147</v>
      </c>
      <c r="C1" s="910" t="s">
        <v>3078</v>
      </c>
      <c r="D1" s="267" t="s">
        <v>358</v>
      </c>
      <c r="E1" s="268" t="s">
        <v>1146</v>
      </c>
      <c r="F1" s="267" t="s">
        <v>572</v>
      </c>
      <c r="G1" s="267" t="s">
        <v>211</v>
      </c>
      <c r="H1" s="910" t="s">
        <v>375</v>
      </c>
      <c r="I1" s="267" t="s">
        <v>210</v>
      </c>
      <c r="J1" s="267" t="s">
        <v>571</v>
      </c>
      <c r="K1" s="267" t="s">
        <v>1209</v>
      </c>
      <c r="L1" s="267" t="s">
        <v>1868</v>
      </c>
      <c r="M1" s="258" t="s">
        <v>143</v>
      </c>
      <c r="N1" s="267" t="s">
        <v>1960</v>
      </c>
      <c r="O1" s="259" t="s">
        <v>640</v>
      </c>
      <c r="P1" s="260" t="s">
        <v>1336</v>
      </c>
      <c r="Q1" s="269" t="s">
        <v>212</v>
      </c>
      <c r="R1" s="267" t="s">
        <v>477</v>
      </c>
      <c r="S1" s="269" t="s">
        <v>360</v>
      </c>
      <c r="T1" s="1054" t="s">
        <v>2226</v>
      </c>
      <c r="U1" s="270" t="s">
        <v>2225</v>
      </c>
      <c r="V1" s="270" t="s">
        <v>79</v>
      </c>
      <c r="W1" s="270" t="s">
        <v>67</v>
      </c>
      <c r="X1" s="270" t="s">
        <v>68</v>
      </c>
      <c r="Y1" s="269" t="s">
        <v>677</v>
      </c>
      <c r="Z1" s="779" t="s">
        <v>2059</v>
      </c>
      <c r="AA1" s="269" t="s">
        <v>1344</v>
      </c>
      <c r="AB1" s="263" t="s">
        <v>478</v>
      </c>
      <c r="AC1" s="262" t="s">
        <v>326</v>
      </c>
      <c r="AD1" s="1031" t="s">
        <v>327</v>
      </c>
      <c r="AE1" s="262" t="s">
        <v>328</v>
      </c>
      <c r="AF1" s="262" t="s">
        <v>2061</v>
      </c>
      <c r="AG1" s="1031" t="s">
        <v>853</v>
      </c>
      <c r="AH1" s="257" t="s">
        <v>1754</v>
      </c>
      <c r="AI1" s="257" t="s">
        <v>225</v>
      </c>
      <c r="AJ1" s="257" t="s">
        <v>731</v>
      </c>
      <c r="AK1" s="261" t="s">
        <v>1755</v>
      </c>
      <c r="AL1" s="261" t="s">
        <v>1898</v>
      </c>
      <c r="AM1" s="261" t="s">
        <v>1217</v>
      </c>
      <c r="AN1" s="261" t="s">
        <v>221</v>
      </c>
      <c r="AO1" s="261" t="s">
        <v>1219</v>
      </c>
      <c r="AP1" s="261" t="s">
        <v>1851</v>
      </c>
      <c r="AQ1" s="261" t="s">
        <v>1220</v>
      </c>
      <c r="AR1" s="261" t="s">
        <v>1222</v>
      </c>
      <c r="AS1" s="261" t="s">
        <v>743</v>
      </c>
      <c r="AT1" s="261" t="s">
        <v>1863</v>
      </c>
      <c r="AU1" s="261" t="s">
        <v>1221</v>
      </c>
      <c r="AV1" s="261" t="s">
        <v>855</v>
      </c>
      <c r="AW1" s="261" t="s">
        <v>856</v>
      </c>
      <c r="AX1" s="261" t="s">
        <v>330</v>
      </c>
      <c r="AY1" s="261" t="s">
        <v>1471</v>
      </c>
      <c r="AZ1" s="262" t="s">
        <v>857</v>
      </c>
      <c r="BA1" s="262" t="s">
        <v>351</v>
      </c>
      <c r="BB1" s="262" t="s">
        <v>352</v>
      </c>
      <c r="BC1" s="264" t="s">
        <v>353</v>
      </c>
      <c r="BD1" s="264" t="s">
        <v>359</v>
      </c>
      <c r="BE1" s="671" t="s">
        <v>2058</v>
      </c>
      <c r="BF1" s="262" t="s">
        <v>290</v>
      </c>
      <c r="BG1" s="688" t="s">
        <v>2469</v>
      </c>
      <c r="BH1" s="688" t="s">
        <v>2470</v>
      </c>
      <c r="BI1" s="688" t="s">
        <v>2062</v>
      </c>
      <c r="BJ1" s="697" t="s">
        <v>2086</v>
      </c>
      <c r="BK1" s="697" t="s">
        <v>2063</v>
      </c>
      <c r="BL1" s="257" t="s">
        <v>2084</v>
      </c>
      <c r="BM1" s="751" t="s">
        <v>2083</v>
      </c>
      <c r="BN1" s="752" t="s">
        <v>2082</v>
      </c>
      <c r="BO1" s="262" t="s">
        <v>2085</v>
      </c>
      <c r="BP1" s="263" t="s">
        <v>2091</v>
      </c>
      <c r="BQ1" s="262" t="s">
        <v>2092</v>
      </c>
      <c r="BR1" s="262" t="s">
        <v>1</v>
      </c>
      <c r="BS1" s="257" t="s">
        <v>2</v>
      </c>
      <c r="BT1" s="257" t="s">
        <v>3</v>
      </c>
      <c r="BU1" s="257" t="s">
        <v>3</v>
      </c>
      <c r="BV1" s="257" t="s">
        <v>332</v>
      </c>
      <c r="BW1" s="257" t="s">
        <v>995</v>
      </c>
      <c r="BX1" s="787" t="s">
        <v>2116</v>
      </c>
      <c r="BY1" s="257" t="s">
        <v>2119</v>
      </c>
      <c r="BZ1" s="663"/>
      <c r="CA1" s="663"/>
      <c r="CB1" s="663"/>
      <c r="CC1" s="663"/>
      <c r="CD1" s="663"/>
      <c r="CE1" s="663"/>
      <c r="CF1" s="663"/>
      <c r="CG1" s="663"/>
      <c r="CH1" s="663"/>
    </row>
    <row r="2" spans="1:86" s="305" customFormat="1" ht="39" customHeight="1">
      <c r="A2" s="273"/>
      <c r="B2" s="288" t="s">
        <v>1381</v>
      </c>
      <c r="C2" s="911"/>
      <c r="D2" s="724" t="s">
        <v>1387</v>
      </c>
      <c r="E2" s="308">
        <v>31291</v>
      </c>
      <c r="F2" s="288">
        <v>1986</v>
      </c>
      <c r="G2" s="309"/>
      <c r="H2" s="309"/>
      <c r="I2" s="303">
        <v>1985</v>
      </c>
      <c r="J2" s="309"/>
      <c r="K2" s="309"/>
      <c r="L2" s="309"/>
      <c r="M2" s="358" t="s">
        <v>1961</v>
      </c>
      <c r="N2" s="307"/>
      <c r="O2" s="311"/>
      <c r="P2" s="312"/>
      <c r="Q2" s="313"/>
      <c r="R2" s="309"/>
      <c r="S2" s="313"/>
      <c r="T2" s="1056"/>
      <c r="U2" s="314"/>
      <c r="V2" s="314"/>
      <c r="W2" s="314"/>
      <c r="X2" s="314"/>
      <c r="Y2" s="313"/>
      <c r="Z2" s="313"/>
      <c r="AA2" s="313"/>
      <c r="AB2" s="315"/>
      <c r="AC2" s="314"/>
      <c r="AD2" s="1032"/>
      <c r="AE2" s="314"/>
      <c r="AF2" s="314"/>
      <c r="AG2" s="1032"/>
      <c r="AH2" s="309"/>
      <c r="AI2" s="309"/>
      <c r="AJ2" s="309"/>
      <c r="AK2" s="316"/>
      <c r="AL2" s="316"/>
      <c r="AM2" s="313"/>
      <c r="AN2" s="313"/>
      <c r="AO2" s="313"/>
      <c r="AP2" s="313"/>
      <c r="AQ2" s="313"/>
      <c r="AR2" s="313"/>
      <c r="AS2" s="313"/>
      <c r="AT2" s="313"/>
      <c r="AU2" s="313"/>
      <c r="AV2" s="313"/>
      <c r="AW2" s="313"/>
      <c r="AX2" s="313"/>
      <c r="AY2" s="313"/>
      <c r="AZ2" s="314"/>
      <c r="BA2" s="314"/>
      <c r="BB2" s="314"/>
      <c r="BC2" s="317"/>
      <c r="BD2" s="317"/>
      <c r="BE2" s="309"/>
      <c r="BF2" s="299">
        <v>19700000</v>
      </c>
      <c r="BG2" s="451"/>
      <c r="BH2" s="451"/>
      <c r="BI2" s="299"/>
      <c r="BJ2" s="698"/>
      <c r="BK2" s="698"/>
      <c r="BL2" s="309"/>
      <c r="BM2" s="314"/>
      <c r="BN2" s="309"/>
      <c r="BO2" s="314"/>
      <c r="BP2" s="315"/>
      <c r="BQ2" s="314"/>
      <c r="BR2" s="309"/>
      <c r="BS2" s="309"/>
      <c r="BT2" s="309"/>
      <c r="BU2" s="309"/>
      <c r="BV2" s="318"/>
      <c r="BW2" s="303"/>
      <c r="BX2" s="307"/>
      <c r="BY2" s="309"/>
      <c r="BZ2" s="624"/>
      <c r="CA2" s="624"/>
      <c r="CB2" s="624"/>
      <c r="CC2" s="624"/>
      <c r="CD2" s="624"/>
      <c r="CE2" s="624"/>
      <c r="CF2" s="624"/>
      <c r="CG2" s="624"/>
      <c r="CH2" s="624"/>
    </row>
    <row r="3" spans="1:86" s="305" customFormat="1" ht="39" customHeight="1">
      <c r="A3" s="273"/>
      <c r="B3" s="288" t="s">
        <v>1382</v>
      </c>
      <c r="C3" s="911"/>
      <c r="D3" s="724" t="s">
        <v>1386</v>
      </c>
      <c r="E3" s="308">
        <v>32478</v>
      </c>
      <c r="F3" s="288">
        <v>1989</v>
      </c>
      <c r="G3" s="309"/>
      <c r="H3" s="309"/>
      <c r="I3" s="303">
        <v>1988</v>
      </c>
      <c r="J3" s="309"/>
      <c r="K3" s="309"/>
      <c r="L3" s="309"/>
      <c r="M3" s="358" t="s">
        <v>1961</v>
      </c>
      <c r="N3" s="307"/>
      <c r="O3" s="311"/>
      <c r="P3" s="312"/>
      <c r="Q3" s="313"/>
      <c r="R3" s="309"/>
      <c r="S3" s="313"/>
      <c r="T3" s="1056"/>
      <c r="U3" s="314"/>
      <c r="V3" s="314"/>
      <c r="W3" s="314"/>
      <c r="X3" s="314"/>
      <c r="Y3" s="313"/>
      <c r="Z3" s="313"/>
      <c r="AA3" s="313"/>
      <c r="AB3" s="315"/>
      <c r="AC3" s="314"/>
      <c r="AD3" s="1032"/>
      <c r="AE3" s="314"/>
      <c r="AF3" s="314"/>
      <c r="AG3" s="1032"/>
      <c r="AH3" s="309"/>
      <c r="AI3" s="309"/>
      <c r="AJ3" s="309"/>
      <c r="AK3" s="316"/>
      <c r="AL3" s="316"/>
      <c r="AM3" s="313"/>
      <c r="AN3" s="313"/>
      <c r="AO3" s="313"/>
      <c r="AP3" s="313"/>
      <c r="AQ3" s="313"/>
      <c r="AR3" s="313"/>
      <c r="AS3" s="313"/>
      <c r="AT3" s="313"/>
      <c r="AU3" s="313"/>
      <c r="AV3" s="313"/>
      <c r="AW3" s="313"/>
      <c r="AX3" s="313"/>
      <c r="AY3" s="313"/>
      <c r="AZ3" s="314"/>
      <c r="BA3" s="314"/>
      <c r="BB3" s="314"/>
      <c r="BC3" s="317"/>
      <c r="BD3" s="317"/>
      <c r="BE3" s="309"/>
      <c r="BF3" s="299">
        <v>14000000</v>
      </c>
      <c r="BG3" s="451"/>
      <c r="BH3" s="451"/>
      <c r="BI3" s="299"/>
      <c r="BJ3" s="698"/>
      <c r="BK3" s="698"/>
      <c r="BL3" s="309"/>
      <c r="BM3" s="314"/>
      <c r="BN3" s="309"/>
      <c r="BO3" s="314"/>
      <c r="BP3" s="315"/>
      <c r="BQ3" s="314"/>
      <c r="BR3" s="309"/>
      <c r="BS3" s="309"/>
      <c r="BT3" s="309"/>
      <c r="BU3" s="309"/>
      <c r="BV3" s="318"/>
      <c r="BW3" s="303"/>
      <c r="BX3" s="307"/>
      <c r="BY3" s="309"/>
      <c r="BZ3" s="624"/>
      <c r="CA3" s="624"/>
      <c r="CB3" s="624"/>
      <c r="CC3" s="624"/>
      <c r="CD3" s="624"/>
      <c r="CE3" s="624"/>
      <c r="CF3" s="624"/>
      <c r="CG3" s="624"/>
      <c r="CH3" s="624"/>
    </row>
    <row r="4" spans="1:86" s="305" customFormat="1" ht="39" customHeight="1">
      <c r="A4" s="273"/>
      <c r="B4" s="288" t="s">
        <v>1383</v>
      </c>
      <c r="C4" s="911"/>
      <c r="D4" s="724" t="s">
        <v>1388</v>
      </c>
      <c r="E4" s="308">
        <v>34486</v>
      </c>
      <c r="F4" s="288">
        <v>1994</v>
      </c>
      <c r="G4" s="309"/>
      <c r="H4" s="309"/>
      <c r="I4" s="303">
        <v>1994</v>
      </c>
      <c r="J4" s="309"/>
      <c r="K4" s="309"/>
      <c r="L4" s="309"/>
      <c r="M4" s="310"/>
      <c r="N4" s="307"/>
      <c r="O4" s="311"/>
      <c r="P4" s="312"/>
      <c r="Q4" s="313"/>
      <c r="R4" s="309"/>
      <c r="S4" s="313"/>
      <c r="T4" s="1056"/>
      <c r="U4" s="314"/>
      <c r="V4" s="314"/>
      <c r="W4" s="314"/>
      <c r="X4" s="314"/>
      <c r="Y4" s="313"/>
      <c r="Z4" s="313"/>
      <c r="AA4" s="313"/>
      <c r="AB4" s="315"/>
      <c r="AC4" s="314"/>
      <c r="AD4" s="1032"/>
      <c r="AE4" s="314"/>
      <c r="AF4" s="314"/>
      <c r="AG4" s="1032"/>
      <c r="AH4" s="309"/>
      <c r="AI4" s="309"/>
      <c r="AJ4" s="309"/>
      <c r="AK4" s="316"/>
      <c r="AL4" s="316"/>
      <c r="AM4" s="313"/>
      <c r="AN4" s="313"/>
      <c r="AO4" s="313"/>
      <c r="AP4" s="313"/>
      <c r="AQ4" s="313"/>
      <c r="AR4" s="313"/>
      <c r="AS4" s="313"/>
      <c r="AT4" s="313"/>
      <c r="AU4" s="313"/>
      <c r="AV4" s="313"/>
      <c r="AW4" s="313"/>
      <c r="AX4" s="313"/>
      <c r="AY4" s="313"/>
      <c r="AZ4" s="314"/>
      <c r="BA4" s="314"/>
      <c r="BB4" s="314"/>
      <c r="BC4" s="317"/>
      <c r="BD4" s="317"/>
      <c r="BE4" s="309"/>
      <c r="BF4" s="299">
        <v>18000000</v>
      </c>
      <c r="BG4" s="451"/>
      <c r="BH4" s="451"/>
      <c r="BI4" s="299"/>
      <c r="BJ4" s="698"/>
      <c r="BK4" s="698"/>
      <c r="BL4" s="309"/>
      <c r="BM4" s="314"/>
      <c r="BN4" s="309"/>
      <c r="BO4" s="314"/>
      <c r="BP4" s="315"/>
      <c r="BQ4" s="314"/>
      <c r="BR4" s="309"/>
      <c r="BS4" s="309"/>
      <c r="BT4" s="309"/>
      <c r="BU4" s="309"/>
      <c r="BV4" s="318"/>
      <c r="BW4" s="303"/>
      <c r="BX4" s="307"/>
      <c r="BY4" s="309"/>
      <c r="BZ4" s="624"/>
      <c r="CA4" s="624"/>
      <c r="CB4" s="624"/>
      <c r="CC4" s="624"/>
      <c r="CD4" s="624"/>
      <c r="CE4" s="624"/>
      <c r="CF4" s="624"/>
      <c r="CG4" s="624"/>
      <c r="CH4" s="624"/>
    </row>
    <row r="5" spans="1:86" s="305" customFormat="1" ht="39" customHeight="1">
      <c r="A5" s="273"/>
      <c r="B5" s="288" t="s">
        <v>1384</v>
      </c>
      <c r="C5" s="911"/>
      <c r="D5" s="724" t="s">
        <v>1389</v>
      </c>
      <c r="E5" s="308">
        <v>36069</v>
      </c>
      <c r="F5" s="288">
        <v>1999</v>
      </c>
      <c r="G5" s="309"/>
      <c r="H5" s="309"/>
      <c r="I5" s="303">
        <v>1998</v>
      </c>
      <c r="J5" s="309"/>
      <c r="K5" s="309"/>
      <c r="L5" s="309"/>
      <c r="M5" s="358" t="s">
        <v>1271</v>
      </c>
      <c r="N5" s="307"/>
      <c r="O5" s="311"/>
      <c r="P5" s="312"/>
      <c r="Q5" s="319">
        <v>2998214</v>
      </c>
      <c r="R5" s="309"/>
      <c r="S5" s="313"/>
      <c r="T5" s="1056"/>
      <c r="U5" s="314"/>
      <c r="V5" s="314"/>
      <c r="W5" s="314"/>
      <c r="X5" s="314"/>
      <c r="Y5" s="313"/>
      <c r="Z5" s="313"/>
      <c r="AA5" s="313"/>
      <c r="AB5" s="315"/>
      <c r="AC5" s="314"/>
      <c r="AD5" s="1032"/>
      <c r="AE5" s="314"/>
      <c r="AF5" s="314"/>
      <c r="AG5" s="1032"/>
      <c r="AH5" s="309"/>
      <c r="AI5" s="309"/>
      <c r="AJ5" s="309"/>
      <c r="AK5" s="316"/>
      <c r="AL5" s="316"/>
      <c r="AM5" s="313"/>
      <c r="AN5" s="313"/>
      <c r="AO5" s="313"/>
      <c r="AP5" s="313"/>
      <c r="AQ5" s="313"/>
      <c r="AR5" s="313"/>
      <c r="AS5" s="313"/>
      <c r="AT5" s="313"/>
      <c r="AU5" s="313"/>
      <c r="AV5" s="313"/>
      <c r="AW5" s="313"/>
      <c r="AX5" s="313"/>
      <c r="AY5" s="313"/>
      <c r="AZ5" s="314"/>
      <c r="BA5" s="314"/>
      <c r="BB5" s="314"/>
      <c r="BC5" s="317"/>
      <c r="BD5" s="317"/>
      <c r="BE5" s="309"/>
      <c r="BF5" s="299">
        <v>50000000</v>
      </c>
      <c r="BG5" s="451"/>
      <c r="BH5" s="451"/>
      <c r="BI5" s="299"/>
      <c r="BJ5" s="698"/>
      <c r="BK5" s="698"/>
      <c r="BL5" s="309"/>
      <c r="BM5" s="314"/>
      <c r="BN5" s="309"/>
      <c r="BO5" s="314"/>
      <c r="BP5" s="315"/>
      <c r="BQ5" s="314"/>
      <c r="BR5" s="309"/>
      <c r="BS5" s="309"/>
      <c r="BT5" s="309"/>
      <c r="BU5" s="309"/>
      <c r="BV5" s="318"/>
      <c r="BW5" s="303"/>
      <c r="BX5" s="307"/>
      <c r="BY5" s="309"/>
      <c r="BZ5" s="624"/>
      <c r="CA5" s="624"/>
      <c r="CB5" s="624"/>
      <c r="CC5" s="624"/>
      <c r="CD5" s="624"/>
      <c r="CE5" s="624"/>
      <c r="CF5" s="624"/>
      <c r="CG5" s="624"/>
      <c r="CH5" s="624"/>
    </row>
    <row r="6" spans="1:86" s="305" customFormat="1" ht="39" customHeight="1">
      <c r="A6" s="273"/>
      <c r="B6" s="288" t="s">
        <v>1385</v>
      </c>
      <c r="C6" s="911"/>
      <c r="D6" s="724" t="s">
        <v>1390</v>
      </c>
      <c r="E6" s="308">
        <v>36220</v>
      </c>
      <c r="F6" s="288">
        <v>1999</v>
      </c>
      <c r="G6" s="309"/>
      <c r="H6" s="309"/>
      <c r="I6" s="303">
        <v>1999</v>
      </c>
      <c r="J6" s="309"/>
      <c r="K6" s="309"/>
      <c r="L6" s="309"/>
      <c r="M6" s="310"/>
      <c r="N6" s="307"/>
      <c r="O6" s="311"/>
      <c r="P6" s="312"/>
      <c r="Q6" s="313"/>
      <c r="R6" s="309"/>
      <c r="S6" s="313"/>
      <c r="T6" s="1056"/>
      <c r="U6" s="314"/>
      <c r="V6" s="314"/>
      <c r="W6" s="314"/>
      <c r="X6" s="314"/>
      <c r="Y6" s="313"/>
      <c r="Z6" s="313"/>
      <c r="AA6" s="313"/>
      <c r="AB6" s="315"/>
      <c r="AC6" s="314"/>
      <c r="AD6" s="1032"/>
      <c r="AE6" s="314"/>
      <c r="AF6" s="314"/>
      <c r="AG6" s="1032"/>
      <c r="AH6" s="309"/>
      <c r="AI6" s="309"/>
      <c r="AJ6" s="309"/>
      <c r="AK6" s="316"/>
      <c r="AL6" s="316"/>
      <c r="AM6" s="313"/>
      <c r="AN6" s="313"/>
      <c r="AO6" s="313"/>
      <c r="AP6" s="313"/>
      <c r="AQ6" s="313"/>
      <c r="AR6" s="313"/>
      <c r="AS6" s="313"/>
      <c r="AT6" s="313"/>
      <c r="AU6" s="313"/>
      <c r="AV6" s="313"/>
      <c r="AW6" s="313"/>
      <c r="AX6" s="313"/>
      <c r="AY6" s="313"/>
      <c r="AZ6" s="314"/>
      <c r="BA6" s="314"/>
      <c r="BB6" s="314"/>
      <c r="BC6" s="317"/>
      <c r="BD6" s="317"/>
      <c r="BE6" s="309"/>
      <c r="BF6" s="299">
        <v>39000000</v>
      </c>
      <c r="BG6" s="451"/>
      <c r="BH6" s="451"/>
      <c r="BI6" s="299"/>
      <c r="BJ6" s="698"/>
      <c r="BK6" s="698"/>
      <c r="BL6" s="309"/>
      <c r="BM6" s="314"/>
      <c r="BN6" s="309"/>
      <c r="BO6" s="314"/>
      <c r="BP6" s="315"/>
      <c r="BQ6" s="314"/>
      <c r="BR6" s="309"/>
      <c r="BS6" s="309"/>
      <c r="BT6" s="309"/>
      <c r="BU6" s="309"/>
      <c r="BV6" s="318"/>
      <c r="BW6" s="303"/>
      <c r="BX6" s="307"/>
      <c r="BY6" s="309"/>
      <c r="BZ6" s="624"/>
      <c r="CA6" s="624"/>
      <c r="CB6" s="624"/>
      <c r="CC6" s="624"/>
      <c r="CD6" s="624"/>
      <c r="CE6" s="624"/>
      <c r="CF6" s="624"/>
      <c r="CG6" s="624"/>
      <c r="CH6" s="624"/>
    </row>
    <row r="7" spans="1:86" s="347" customFormat="1" ht="39" customHeight="1">
      <c r="A7" s="591"/>
      <c r="B7" s="320">
        <v>1</v>
      </c>
      <c r="C7" s="320"/>
      <c r="D7" s="725" t="s">
        <v>1800</v>
      </c>
      <c r="E7" s="321">
        <v>36312</v>
      </c>
      <c r="F7" s="322">
        <v>1999</v>
      </c>
      <c r="G7" s="322">
        <v>1</v>
      </c>
      <c r="H7" s="322"/>
      <c r="I7" s="322">
        <v>1999</v>
      </c>
      <c r="J7" s="322">
        <v>1</v>
      </c>
      <c r="K7" s="322" t="s">
        <v>1210</v>
      </c>
      <c r="L7" s="323" t="s">
        <v>1873</v>
      </c>
      <c r="M7" s="358" t="s">
        <v>1271</v>
      </c>
      <c r="N7" s="324" t="s">
        <v>1874</v>
      </c>
      <c r="O7" s="323" t="s">
        <v>1874</v>
      </c>
      <c r="P7" s="323" t="s">
        <v>1874</v>
      </c>
      <c r="Q7" s="325"/>
      <c r="R7" s="326"/>
      <c r="S7" s="327"/>
      <c r="T7" s="1057"/>
      <c r="U7" s="328"/>
      <c r="V7" s="328"/>
      <c r="W7" s="329"/>
      <c r="X7" s="330"/>
      <c r="Y7" s="331"/>
      <c r="Z7" s="672"/>
      <c r="AA7" s="332"/>
      <c r="AB7" s="315">
        <f>COUNTIF(AC7, "&gt;49999")</f>
        <v>1</v>
      </c>
      <c r="AC7" s="333">
        <v>100000</v>
      </c>
      <c r="AD7" s="1044"/>
      <c r="AE7" s="334"/>
      <c r="AF7" s="676"/>
      <c r="AG7" s="342">
        <f t="shared" ref="AG7:AG70" si="0">AC7+AD7+AE7</f>
        <v>100000</v>
      </c>
      <c r="AH7" s="336">
        <v>0</v>
      </c>
      <c r="AI7" s="337"/>
      <c r="AJ7" s="337"/>
      <c r="AK7" s="338"/>
      <c r="AL7" s="331"/>
      <c r="AM7" s="339"/>
      <c r="AN7" s="339"/>
      <c r="AO7" s="339"/>
      <c r="AP7" s="339"/>
      <c r="AQ7" s="339"/>
      <c r="AR7" s="339"/>
      <c r="AS7" s="339"/>
      <c r="AT7" s="339"/>
      <c r="AU7" s="339"/>
      <c r="AV7" s="339"/>
      <c r="AW7" s="339"/>
      <c r="AX7" s="340"/>
      <c r="AY7" s="340"/>
      <c r="AZ7" s="335"/>
      <c r="BA7" s="333"/>
      <c r="BB7" s="334">
        <f t="shared" ref="BB7:BB70" si="1">AG7+AZ7+BA7</f>
        <v>100000</v>
      </c>
      <c r="BC7" s="341"/>
      <c r="BD7" s="342"/>
      <c r="BE7" s="343">
        <f>(100000/558714)*40000</f>
        <v>7159.297959242117</v>
      </c>
      <c r="BF7" s="676">
        <f>BB7+BD7+BC7</f>
        <v>100000</v>
      </c>
      <c r="BG7" s="451" t="str">
        <f>IF(OR(BL7=2799,BL7=2099),"N","Y")</f>
        <v>Y</v>
      </c>
      <c r="BH7" s="451"/>
      <c r="BI7" s="299"/>
      <c r="BJ7" s="698"/>
      <c r="BK7" s="698"/>
      <c r="BL7" s="303">
        <v>2898</v>
      </c>
      <c r="BM7" s="705"/>
      <c r="BN7" s="344"/>
      <c r="BO7" s="705"/>
      <c r="BP7" s="715"/>
      <c r="BQ7" s="705"/>
      <c r="BR7" s="344"/>
      <c r="BS7" s="344"/>
      <c r="BT7" s="344"/>
      <c r="BU7" s="344"/>
      <c r="BV7" s="346"/>
      <c r="BW7" s="322"/>
      <c r="BX7" s="324"/>
      <c r="BY7" s="345" t="s">
        <v>1875</v>
      </c>
      <c r="BZ7" s="664"/>
      <c r="CA7" s="664"/>
      <c r="CB7" s="664"/>
      <c r="CC7" s="664"/>
      <c r="CD7" s="664"/>
      <c r="CE7" s="664"/>
      <c r="CF7" s="664"/>
      <c r="CG7" s="664"/>
      <c r="CH7" s="664"/>
    </row>
    <row r="8" spans="1:86" s="347" customFormat="1" ht="39" customHeight="1">
      <c r="A8" s="591"/>
      <c r="B8" s="348">
        <v>2</v>
      </c>
      <c r="C8" s="348"/>
      <c r="D8" s="726" t="s">
        <v>97</v>
      </c>
      <c r="E8" s="349">
        <v>36312</v>
      </c>
      <c r="F8" s="288">
        <v>1999</v>
      </c>
      <c r="G8" s="322">
        <v>2</v>
      </c>
      <c r="H8" s="322"/>
      <c r="I8" s="322">
        <v>1999</v>
      </c>
      <c r="J8" s="322">
        <v>2</v>
      </c>
      <c r="K8" s="322" t="s">
        <v>1211</v>
      </c>
      <c r="L8" s="322" t="s">
        <v>1876</v>
      </c>
      <c r="M8" s="358" t="s">
        <v>1271</v>
      </c>
      <c r="N8" s="350" t="s">
        <v>1877</v>
      </c>
      <c r="O8" s="322" t="s">
        <v>1337</v>
      </c>
      <c r="P8" s="322" t="s">
        <v>1337</v>
      </c>
      <c r="Q8" s="351"/>
      <c r="R8" s="326"/>
      <c r="S8" s="327"/>
      <c r="T8" s="1057"/>
      <c r="U8" s="328"/>
      <c r="V8" s="328"/>
      <c r="W8" s="329"/>
      <c r="X8" s="330"/>
      <c r="Y8" s="331"/>
      <c r="Z8" s="672"/>
      <c r="AA8" s="332"/>
      <c r="AB8" s="315"/>
      <c r="AC8" s="333"/>
      <c r="AD8" s="1044"/>
      <c r="AE8" s="334">
        <v>100000</v>
      </c>
      <c r="AF8" s="676"/>
      <c r="AG8" s="342">
        <f t="shared" si="0"/>
        <v>100000</v>
      </c>
      <c r="AH8" s="336">
        <v>1</v>
      </c>
      <c r="AI8" s="337"/>
      <c r="AJ8" s="337"/>
      <c r="AK8" s="338"/>
      <c r="AL8" s="331"/>
      <c r="AM8" s="339"/>
      <c r="AN8" s="339"/>
      <c r="AO8" s="339"/>
      <c r="AP8" s="339"/>
      <c r="AQ8" s="339"/>
      <c r="AR8" s="339"/>
      <c r="AS8" s="339"/>
      <c r="AT8" s="339"/>
      <c r="AU8" s="339"/>
      <c r="AV8" s="339"/>
      <c r="AW8" s="339"/>
      <c r="AX8" s="340"/>
      <c r="AY8" s="340"/>
      <c r="AZ8" s="335"/>
      <c r="BA8" s="333"/>
      <c r="BB8" s="334">
        <f t="shared" si="1"/>
        <v>100000</v>
      </c>
      <c r="BC8" s="341"/>
      <c r="BD8" s="342"/>
      <c r="BE8" s="343">
        <f>227000*0.15</f>
        <v>34050</v>
      </c>
      <c r="BF8" s="670">
        <f>BB8+BD8+BC8</f>
        <v>100000</v>
      </c>
      <c r="BG8" s="451" t="str">
        <f t="shared" ref="BG8:BG71" si="2">IF(OR(BL8=2799,BL8=2099),"N","Y")</f>
        <v>Y</v>
      </c>
      <c r="BH8" s="451"/>
      <c r="BI8" s="299"/>
      <c r="BJ8" s="698"/>
      <c r="BK8" s="698"/>
      <c r="BL8" s="303">
        <v>2898</v>
      </c>
      <c r="BM8" s="705"/>
      <c r="BN8" s="344"/>
      <c r="BO8" s="705"/>
      <c r="BP8" s="715"/>
      <c r="BQ8" s="705"/>
      <c r="BR8" s="344"/>
      <c r="BS8" s="344"/>
      <c r="BT8" s="344"/>
      <c r="BU8" s="344"/>
      <c r="BV8" s="353"/>
      <c r="BW8" s="322"/>
      <c r="BX8" s="350"/>
      <c r="BY8" s="345"/>
      <c r="BZ8" s="664"/>
      <c r="CA8" s="664"/>
      <c r="CB8" s="664"/>
      <c r="CC8" s="664"/>
      <c r="CD8" s="664"/>
      <c r="CE8" s="664"/>
      <c r="CF8" s="664"/>
      <c r="CG8" s="664"/>
      <c r="CH8" s="664"/>
    </row>
    <row r="9" spans="1:86" s="347" customFormat="1" ht="39" customHeight="1">
      <c r="A9" s="591"/>
      <c r="B9" s="348">
        <v>3</v>
      </c>
      <c r="C9" s="348"/>
      <c r="D9" s="726" t="s">
        <v>532</v>
      </c>
      <c r="E9" s="349">
        <v>36312</v>
      </c>
      <c r="F9" s="288">
        <v>1999</v>
      </c>
      <c r="G9" s="322">
        <v>3</v>
      </c>
      <c r="H9" s="322"/>
      <c r="I9" s="322">
        <v>1999</v>
      </c>
      <c r="J9" s="322">
        <v>3</v>
      </c>
      <c r="K9" s="322" t="s">
        <v>1211</v>
      </c>
      <c r="L9" s="322" t="s">
        <v>1878</v>
      </c>
      <c r="M9" s="358" t="s">
        <v>1271</v>
      </c>
      <c r="N9" s="350" t="s">
        <v>1877</v>
      </c>
      <c r="O9" s="322" t="s">
        <v>1337</v>
      </c>
      <c r="P9" s="322" t="s">
        <v>1337</v>
      </c>
      <c r="Q9" s="351"/>
      <c r="R9" s="326"/>
      <c r="S9" s="327"/>
      <c r="T9" s="1057"/>
      <c r="U9" s="328"/>
      <c r="V9" s="328"/>
      <c r="W9" s="329"/>
      <c r="X9" s="330"/>
      <c r="Y9" s="331"/>
      <c r="Z9" s="672"/>
      <c r="AA9" s="332"/>
      <c r="AB9" s="315">
        <f>COUNTIF(AC9, "&gt;49999")</f>
        <v>0</v>
      </c>
      <c r="AC9" s="333">
        <v>10000</v>
      </c>
      <c r="AD9" s="1044"/>
      <c r="AE9" s="334"/>
      <c r="AF9" s="676"/>
      <c r="AG9" s="342">
        <f t="shared" si="0"/>
        <v>10000</v>
      </c>
      <c r="AH9" s="336">
        <v>0</v>
      </c>
      <c r="AI9" s="337"/>
      <c r="AJ9" s="337"/>
      <c r="AK9" s="338"/>
      <c r="AL9" s="331"/>
      <c r="AM9" s="339"/>
      <c r="AN9" s="339"/>
      <c r="AO9" s="339"/>
      <c r="AP9" s="339"/>
      <c r="AQ9" s="339"/>
      <c r="AR9" s="339"/>
      <c r="AS9" s="339"/>
      <c r="AT9" s="339"/>
      <c r="AU9" s="339"/>
      <c r="AV9" s="339"/>
      <c r="AW9" s="339"/>
      <c r="AX9" s="340"/>
      <c r="AY9" s="340"/>
      <c r="AZ9" s="335"/>
      <c r="BA9" s="333"/>
      <c r="BB9" s="334">
        <f t="shared" si="1"/>
        <v>10000</v>
      </c>
      <c r="BC9" s="341"/>
      <c r="BD9" s="342"/>
      <c r="BE9" s="354">
        <v>1000</v>
      </c>
      <c r="BF9" s="670">
        <f>BB9+BD9+BC9</f>
        <v>10000</v>
      </c>
      <c r="BG9" s="451" t="str">
        <f t="shared" si="2"/>
        <v>Y</v>
      </c>
      <c r="BH9" s="451"/>
      <c r="BI9" s="299"/>
      <c r="BJ9" s="698"/>
      <c r="BK9" s="698"/>
      <c r="BL9" s="303">
        <v>2898</v>
      </c>
      <c r="BM9" s="705"/>
      <c r="BN9" s="344"/>
      <c r="BO9" s="705"/>
      <c r="BP9" s="715"/>
      <c r="BQ9" s="705"/>
      <c r="BR9" s="344"/>
      <c r="BS9" s="344"/>
      <c r="BT9" s="344"/>
      <c r="BU9" s="344"/>
      <c r="BV9" s="353"/>
      <c r="BW9" s="322"/>
      <c r="BX9" s="350"/>
      <c r="BY9" s="345" t="s">
        <v>1875</v>
      </c>
      <c r="BZ9" s="664"/>
      <c r="CA9" s="664"/>
      <c r="CB9" s="664"/>
      <c r="CC9" s="664"/>
      <c r="CD9" s="664"/>
      <c r="CE9" s="664"/>
      <c r="CF9" s="664"/>
      <c r="CG9" s="664"/>
      <c r="CH9" s="664"/>
    </row>
    <row r="10" spans="1:86" s="347" customFormat="1" ht="39" customHeight="1">
      <c r="A10" s="591"/>
      <c r="B10" s="348">
        <v>4</v>
      </c>
      <c r="C10" s="348"/>
      <c r="D10" s="726" t="s">
        <v>1801</v>
      </c>
      <c r="E10" s="349">
        <v>36373</v>
      </c>
      <c r="F10" s="288">
        <v>2000</v>
      </c>
      <c r="G10" s="322">
        <v>1</v>
      </c>
      <c r="H10" s="322"/>
      <c r="I10" s="322">
        <v>1999</v>
      </c>
      <c r="J10" s="322">
        <v>4</v>
      </c>
      <c r="K10" s="322" t="s">
        <v>570</v>
      </c>
      <c r="L10" s="322" t="s">
        <v>1879</v>
      </c>
      <c r="M10" s="358" t="s">
        <v>1271</v>
      </c>
      <c r="N10" s="350" t="s">
        <v>1877</v>
      </c>
      <c r="O10" s="322" t="s">
        <v>1337</v>
      </c>
      <c r="P10" s="322" t="s">
        <v>1337</v>
      </c>
      <c r="Q10" s="351"/>
      <c r="R10" s="326"/>
      <c r="S10" s="327"/>
      <c r="T10" s="1057"/>
      <c r="U10" s="328"/>
      <c r="V10" s="328"/>
      <c r="W10" s="329"/>
      <c r="X10" s="330"/>
      <c r="Y10" s="331"/>
      <c r="Z10" s="672"/>
      <c r="AA10" s="332"/>
      <c r="AB10" s="315">
        <f>COUNTIF(AC10, "&gt;49999")</f>
        <v>1</v>
      </c>
      <c r="AC10" s="333">
        <v>100000</v>
      </c>
      <c r="AD10" s="1044"/>
      <c r="AE10" s="334"/>
      <c r="AF10" s="676"/>
      <c r="AG10" s="342">
        <f t="shared" si="0"/>
        <v>100000</v>
      </c>
      <c r="AH10" s="336">
        <v>0</v>
      </c>
      <c r="AI10" s="337"/>
      <c r="AJ10" s="337"/>
      <c r="AK10" s="338"/>
      <c r="AL10" s="331"/>
      <c r="AM10" s="339"/>
      <c r="AN10" s="339"/>
      <c r="AO10" s="339"/>
      <c r="AP10" s="339"/>
      <c r="AQ10" s="339"/>
      <c r="AR10" s="339"/>
      <c r="AS10" s="339"/>
      <c r="AT10" s="339"/>
      <c r="AU10" s="339"/>
      <c r="AV10" s="339"/>
      <c r="AW10" s="339"/>
      <c r="AX10" s="340"/>
      <c r="AY10" s="340"/>
      <c r="AZ10" s="335"/>
      <c r="BA10" s="333"/>
      <c r="BB10" s="334">
        <f t="shared" si="1"/>
        <v>100000</v>
      </c>
      <c r="BC10" s="341"/>
      <c r="BD10" s="342"/>
      <c r="BE10" s="354">
        <f>(BF10/6631000)*1000000</f>
        <v>15080.681646810435</v>
      </c>
      <c r="BF10" s="670">
        <f>BB10+BC10</f>
        <v>100000</v>
      </c>
      <c r="BG10" s="451" t="str">
        <f t="shared" si="2"/>
        <v>Y</v>
      </c>
      <c r="BH10" s="451"/>
      <c r="BI10" s="299"/>
      <c r="BJ10" s="698"/>
      <c r="BK10" s="698"/>
      <c r="BL10" s="303">
        <v>2060</v>
      </c>
      <c r="BM10" s="705"/>
      <c r="BN10" s="344"/>
      <c r="BO10" s="705"/>
      <c r="BP10" s="715"/>
      <c r="BQ10" s="705"/>
      <c r="BR10" s="344"/>
      <c r="BS10" s="344"/>
      <c r="BT10" s="344"/>
      <c r="BU10" s="344"/>
      <c r="BV10" s="353"/>
      <c r="BW10" s="322"/>
      <c r="BX10" s="350"/>
      <c r="BY10" s="345" t="s">
        <v>1875</v>
      </c>
      <c r="BZ10" s="664"/>
      <c r="CA10" s="664"/>
      <c r="CB10" s="664"/>
      <c r="CC10" s="664"/>
      <c r="CD10" s="664"/>
      <c r="CE10" s="664"/>
      <c r="CF10" s="664"/>
      <c r="CG10" s="664"/>
      <c r="CH10" s="664"/>
    </row>
    <row r="11" spans="1:86" s="347" customFormat="1" ht="39" customHeight="1">
      <c r="A11" s="592"/>
      <c r="B11" s="355">
        <v>5</v>
      </c>
      <c r="C11" s="355"/>
      <c r="D11" s="726" t="s">
        <v>1402</v>
      </c>
      <c r="E11" s="356">
        <v>36373</v>
      </c>
      <c r="F11" s="288">
        <v>2000</v>
      </c>
      <c r="G11" s="322">
        <v>2</v>
      </c>
      <c r="H11" s="322"/>
      <c r="I11" s="322">
        <v>1999</v>
      </c>
      <c r="J11" s="322">
        <v>5</v>
      </c>
      <c r="K11" s="323" t="s">
        <v>570</v>
      </c>
      <c r="L11" s="323" t="s">
        <v>1883</v>
      </c>
      <c r="M11" s="358" t="s">
        <v>1961</v>
      </c>
      <c r="N11" s="324" t="s">
        <v>1884</v>
      </c>
      <c r="O11" s="323" t="s">
        <v>1884</v>
      </c>
      <c r="P11" s="323" t="s">
        <v>1884</v>
      </c>
      <c r="Q11" s="325"/>
      <c r="R11" s="326"/>
      <c r="S11" s="327"/>
      <c r="T11" s="1057"/>
      <c r="U11" s="328"/>
      <c r="V11" s="328"/>
      <c r="W11" s="329"/>
      <c r="X11" s="330"/>
      <c r="Y11" s="331"/>
      <c r="Z11" s="672"/>
      <c r="AA11" s="332"/>
      <c r="AB11" s="315"/>
      <c r="AC11" s="333"/>
      <c r="AD11" s="1044"/>
      <c r="AE11" s="334"/>
      <c r="AF11" s="676"/>
      <c r="AG11" s="342">
        <f t="shared" si="0"/>
        <v>0</v>
      </c>
      <c r="AH11" s="336">
        <v>20</v>
      </c>
      <c r="AI11" s="337"/>
      <c r="AJ11" s="337"/>
      <c r="AK11" s="338"/>
      <c r="AL11" s="331"/>
      <c r="AM11" s="339"/>
      <c r="AN11" s="339"/>
      <c r="AO11" s="339"/>
      <c r="AP11" s="339"/>
      <c r="AQ11" s="339"/>
      <c r="AR11" s="339"/>
      <c r="AS11" s="339"/>
      <c r="AT11" s="339"/>
      <c r="AU11" s="339"/>
      <c r="AV11" s="339"/>
      <c r="AW11" s="339"/>
      <c r="AX11" s="340"/>
      <c r="AY11" s="340"/>
      <c r="AZ11" s="335">
        <v>0</v>
      </c>
      <c r="BA11" s="333">
        <v>0</v>
      </c>
      <c r="BB11" s="334">
        <f t="shared" si="1"/>
        <v>0</v>
      </c>
      <c r="BC11" s="341"/>
      <c r="BD11" s="342"/>
      <c r="BE11" s="354"/>
      <c r="BF11" s="670">
        <f>BB11+BD11+BC11</f>
        <v>0</v>
      </c>
      <c r="BG11" s="451" t="str">
        <f t="shared" si="2"/>
        <v>Y</v>
      </c>
      <c r="BH11" s="451"/>
      <c r="BI11" s="299"/>
      <c r="BJ11" s="698"/>
      <c r="BK11" s="698"/>
      <c r="BL11" s="303">
        <v>2814</v>
      </c>
      <c r="BM11" s="705"/>
      <c r="BN11" s="344"/>
      <c r="BO11" s="705"/>
      <c r="BP11" s="715"/>
      <c r="BQ11" s="705"/>
      <c r="BR11" s="344"/>
      <c r="BS11" s="344"/>
      <c r="BT11" s="344"/>
      <c r="BU11" s="344"/>
      <c r="BV11" s="357"/>
      <c r="BW11" s="323"/>
      <c r="BX11" s="324"/>
      <c r="BY11" s="345" t="s">
        <v>1885</v>
      </c>
      <c r="BZ11" s="664"/>
      <c r="CA11" s="664"/>
      <c r="CB11" s="664"/>
      <c r="CC11" s="664"/>
      <c r="CD11" s="664"/>
      <c r="CE11" s="664"/>
      <c r="CF11" s="664"/>
      <c r="CG11" s="664"/>
      <c r="CH11" s="664"/>
    </row>
    <row r="12" spans="1:86" s="305" customFormat="1" ht="39" customHeight="1">
      <c r="A12" s="275"/>
      <c r="B12" s="355">
        <v>6</v>
      </c>
      <c r="C12" s="355"/>
      <c r="D12" s="726" t="s">
        <v>1403</v>
      </c>
      <c r="E12" s="356">
        <v>36373</v>
      </c>
      <c r="F12" s="288">
        <v>2000</v>
      </c>
      <c r="G12" s="288">
        <v>3</v>
      </c>
      <c r="H12" s="288"/>
      <c r="I12" s="288">
        <v>1999</v>
      </c>
      <c r="J12" s="288">
        <v>6</v>
      </c>
      <c r="K12" s="358" t="s">
        <v>1211</v>
      </c>
      <c r="L12" s="358" t="s">
        <v>1886</v>
      </c>
      <c r="M12" s="358" t="s">
        <v>1961</v>
      </c>
      <c r="N12" s="359" t="s">
        <v>1887</v>
      </c>
      <c r="O12" s="358" t="s">
        <v>641</v>
      </c>
      <c r="P12" s="358" t="s">
        <v>641</v>
      </c>
      <c r="Q12" s="360"/>
      <c r="R12" s="361"/>
      <c r="S12" s="294"/>
      <c r="T12" s="1058"/>
      <c r="U12" s="295"/>
      <c r="V12" s="295"/>
      <c r="W12" s="362"/>
      <c r="X12" s="330"/>
      <c r="Y12" s="363"/>
      <c r="Z12" s="673"/>
      <c r="AA12" s="293"/>
      <c r="AB12" s="315"/>
      <c r="AC12" s="364"/>
      <c r="AD12" s="427"/>
      <c r="AE12" s="299">
        <v>10000</v>
      </c>
      <c r="AF12" s="670"/>
      <c r="AG12" s="371">
        <f t="shared" si="0"/>
        <v>10000</v>
      </c>
      <c r="AH12" s="365">
        <v>2</v>
      </c>
      <c r="AI12" s="366"/>
      <c r="AJ12" s="366"/>
      <c r="AK12" s="367"/>
      <c r="AL12" s="363"/>
      <c r="AM12" s="368"/>
      <c r="AN12" s="368"/>
      <c r="AO12" s="368"/>
      <c r="AP12" s="368"/>
      <c r="AQ12" s="368"/>
      <c r="AR12" s="368"/>
      <c r="AS12" s="368"/>
      <c r="AT12" s="368"/>
      <c r="AU12" s="368"/>
      <c r="AV12" s="368"/>
      <c r="AW12" s="368"/>
      <c r="AX12" s="369"/>
      <c r="AY12" s="369"/>
      <c r="AZ12" s="352"/>
      <c r="BA12" s="364"/>
      <c r="BB12" s="299">
        <f t="shared" si="1"/>
        <v>10000</v>
      </c>
      <c r="BC12" s="370"/>
      <c r="BD12" s="371"/>
      <c r="BE12" s="372">
        <v>1000</v>
      </c>
      <c r="BF12" s="352">
        <f>BB12+BD12+BC12</f>
        <v>10000</v>
      </c>
      <c r="BG12" s="451" t="str">
        <f t="shared" si="2"/>
        <v>Y</v>
      </c>
      <c r="BH12" s="451"/>
      <c r="BI12" s="299"/>
      <c r="BJ12" s="698"/>
      <c r="BK12" s="698"/>
      <c r="BL12" s="303">
        <v>2898</v>
      </c>
      <c r="BM12" s="706"/>
      <c r="BN12" s="373"/>
      <c r="BO12" s="706"/>
      <c r="BP12" s="716"/>
      <c r="BQ12" s="706"/>
      <c r="BR12" s="373"/>
      <c r="BS12" s="373"/>
      <c r="BT12" s="373"/>
      <c r="BU12" s="373"/>
      <c r="BV12" s="318"/>
      <c r="BW12" s="358"/>
      <c r="BX12" s="359"/>
      <c r="BY12" s="374" t="s">
        <v>1888</v>
      </c>
      <c r="BZ12" s="624"/>
      <c r="CA12" s="624"/>
      <c r="CB12" s="624"/>
      <c r="CC12" s="624"/>
      <c r="CD12" s="624"/>
      <c r="CE12" s="624"/>
      <c r="CF12" s="624"/>
      <c r="CG12" s="624"/>
      <c r="CH12" s="624"/>
    </row>
    <row r="13" spans="1:86" s="305" customFormat="1" ht="39" customHeight="1">
      <c r="A13" s="276"/>
      <c r="B13" s="348">
        <v>7</v>
      </c>
      <c r="C13" s="348"/>
      <c r="D13" s="726" t="s">
        <v>1404</v>
      </c>
      <c r="E13" s="349">
        <v>36373</v>
      </c>
      <c r="F13" s="288">
        <v>2000</v>
      </c>
      <c r="G13" s="288">
        <v>4</v>
      </c>
      <c r="H13" s="288"/>
      <c r="I13" s="288">
        <v>1999</v>
      </c>
      <c r="J13" s="288">
        <v>7</v>
      </c>
      <c r="K13" s="288" t="s">
        <v>570</v>
      </c>
      <c r="L13" s="288" t="s">
        <v>1889</v>
      </c>
      <c r="M13" s="358" t="s">
        <v>1271</v>
      </c>
      <c r="N13" s="290" t="s">
        <v>1877</v>
      </c>
      <c r="O13" s="288" t="s">
        <v>1337</v>
      </c>
      <c r="P13" s="288" t="s">
        <v>1337</v>
      </c>
      <c r="Q13" s="375"/>
      <c r="R13" s="361"/>
      <c r="S13" s="294"/>
      <c r="T13" s="1058"/>
      <c r="U13" s="295"/>
      <c r="V13" s="295"/>
      <c r="W13" s="362"/>
      <c r="X13" s="330"/>
      <c r="Y13" s="363"/>
      <c r="Z13" s="673"/>
      <c r="AA13" s="293"/>
      <c r="AB13" s="315">
        <f>COUNTIF(AC13, "&gt;49999")</f>
        <v>0</v>
      </c>
      <c r="AC13" s="364">
        <v>25000</v>
      </c>
      <c r="AD13" s="427"/>
      <c r="AE13" s="299"/>
      <c r="AF13" s="670"/>
      <c r="AG13" s="371">
        <f t="shared" si="0"/>
        <v>25000</v>
      </c>
      <c r="AH13" s="365">
        <v>0</v>
      </c>
      <c r="AI13" s="366"/>
      <c r="AJ13" s="366"/>
      <c r="AK13" s="367"/>
      <c r="AL13" s="363"/>
      <c r="AM13" s="368"/>
      <c r="AN13" s="368"/>
      <c r="AO13" s="368"/>
      <c r="AP13" s="368"/>
      <c r="AQ13" s="368"/>
      <c r="AR13" s="368"/>
      <c r="AS13" s="368"/>
      <c r="AT13" s="368"/>
      <c r="AU13" s="368"/>
      <c r="AV13" s="368"/>
      <c r="AW13" s="368"/>
      <c r="AX13" s="369"/>
      <c r="AY13" s="369"/>
      <c r="AZ13" s="352"/>
      <c r="BA13" s="364"/>
      <c r="BB13" s="299">
        <f t="shared" si="1"/>
        <v>25000</v>
      </c>
      <c r="BC13" s="370"/>
      <c r="BD13" s="371"/>
      <c r="BE13" s="372">
        <f>(BF13/756597)*40000</f>
        <v>1321.7075933422946</v>
      </c>
      <c r="BF13" s="352">
        <f>AE13+AC13+AZ13+BA13</f>
        <v>25000</v>
      </c>
      <c r="BG13" s="451" t="str">
        <f t="shared" si="2"/>
        <v>Y</v>
      </c>
      <c r="BH13" s="451"/>
      <c r="BI13" s="299"/>
      <c r="BJ13" s="698"/>
      <c r="BK13" s="698"/>
      <c r="BL13" s="303">
        <v>2898</v>
      </c>
      <c r="BM13" s="706"/>
      <c r="BN13" s="373"/>
      <c r="BO13" s="706"/>
      <c r="BP13" s="716"/>
      <c r="BQ13" s="706"/>
      <c r="BR13" s="373"/>
      <c r="BS13" s="373"/>
      <c r="BT13" s="373"/>
      <c r="BU13" s="373"/>
      <c r="BV13" s="304"/>
      <c r="BW13" s="288"/>
      <c r="BX13" s="290"/>
      <c r="BY13" s="374" t="s">
        <v>1875</v>
      </c>
      <c r="BZ13" s="624"/>
      <c r="CA13" s="624"/>
      <c r="CB13" s="624"/>
      <c r="CC13" s="624"/>
      <c r="CD13" s="624"/>
      <c r="CE13" s="624"/>
      <c r="CF13" s="624"/>
      <c r="CG13" s="624"/>
      <c r="CH13" s="624"/>
    </row>
    <row r="14" spans="1:86" s="305" customFormat="1" ht="39" customHeight="1">
      <c r="A14" s="276"/>
      <c r="B14" s="348">
        <v>8</v>
      </c>
      <c r="C14" s="348"/>
      <c r="D14" s="726" t="s">
        <v>1405</v>
      </c>
      <c r="E14" s="349">
        <v>36404</v>
      </c>
      <c r="F14" s="288">
        <v>2000</v>
      </c>
      <c r="G14" s="358">
        <v>5</v>
      </c>
      <c r="H14" s="358"/>
      <c r="I14" s="288">
        <v>1999</v>
      </c>
      <c r="J14" s="288">
        <v>8</v>
      </c>
      <c r="K14" s="358" t="s">
        <v>570</v>
      </c>
      <c r="L14" s="288" t="s">
        <v>1890</v>
      </c>
      <c r="M14" s="358" t="s">
        <v>1961</v>
      </c>
      <c r="N14" s="290" t="s">
        <v>1884</v>
      </c>
      <c r="O14" s="288" t="s">
        <v>1884</v>
      </c>
      <c r="P14" s="288" t="s">
        <v>1884</v>
      </c>
      <c r="Q14" s="375"/>
      <c r="R14" s="361"/>
      <c r="S14" s="294"/>
      <c r="T14" s="1058"/>
      <c r="U14" s="295"/>
      <c r="V14" s="295"/>
      <c r="W14" s="362"/>
      <c r="X14" s="330"/>
      <c r="Y14" s="363"/>
      <c r="Z14" s="673"/>
      <c r="AA14" s="293"/>
      <c r="AB14" s="315">
        <f>COUNTIF(AC14, "&gt;49999")</f>
        <v>1</v>
      </c>
      <c r="AC14" s="364">
        <v>80000</v>
      </c>
      <c r="AD14" s="427"/>
      <c r="AE14" s="299"/>
      <c r="AF14" s="670"/>
      <c r="AG14" s="371">
        <f t="shared" si="0"/>
        <v>80000</v>
      </c>
      <c r="AH14" s="365">
        <v>0</v>
      </c>
      <c r="AI14" s="366"/>
      <c r="AJ14" s="366"/>
      <c r="AK14" s="367"/>
      <c r="AL14" s="363"/>
      <c r="AM14" s="368"/>
      <c r="AN14" s="368"/>
      <c r="AO14" s="368"/>
      <c r="AP14" s="368"/>
      <c r="AQ14" s="368"/>
      <c r="AR14" s="368"/>
      <c r="AS14" s="368"/>
      <c r="AT14" s="368"/>
      <c r="AU14" s="368"/>
      <c r="AV14" s="368"/>
      <c r="AW14" s="368"/>
      <c r="AX14" s="369"/>
      <c r="AY14" s="369"/>
      <c r="AZ14" s="352"/>
      <c r="BA14" s="364"/>
      <c r="BB14" s="299">
        <f t="shared" si="1"/>
        <v>80000</v>
      </c>
      <c r="BC14" s="370"/>
      <c r="BD14" s="371"/>
      <c r="BE14" s="372">
        <f>(BF14/1550328)*50000</f>
        <v>2580.0991790124413</v>
      </c>
      <c r="BF14" s="352">
        <f>AE14+AC14+AZ14+BA14</f>
        <v>80000</v>
      </c>
      <c r="BG14" s="451" t="str">
        <f t="shared" si="2"/>
        <v>Y</v>
      </c>
      <c r="BH14" s="451"/>
      <c r="BI14" s="299"/>
      <c r="BJ14" s="698"/>
      <c r="BK14" s="698"/>
      <c r="BL14" s="303">
        <v>2898</v>
      </c>
      <c r="BM14" s="706"/>
      <c r="BN14" s="373"/>
      <c r="BO14" s="706"/>
      <c r="BP14" s="716"/>
      <c r="BQ14" s="706"/>
      <c r="BR14" s="373"/>
      <c r="BS14" s="373"/>
      <c r="BT14" s="373"/>
      <c r="BU14" s="373"/>
      <c r="BV14" s="304"/>
      <c r="BW14" s="288"/>
      <c r="BX14" s="290"/>
      <c r="BY14" s="374"/>
      <c r="BZ14" s="624"/>
      <c r="CA14" s="624"/>
      <c r="CB14" s="624"/>
      <c r="CC14" s="624"/>
      <c r="CD14" s="624"/>
      <c r="CE14" s="624"/>
      <c r="CF14" s="624"/>
      <c r="CG14" s="624"/>
      <c r="CH14" s="624"/>
    </row>
    <row r="15" spans="1:86" s="305" customFormat="1" ht="39" customHeight="1">
      <c r="A15" s="276"/>
      <c r="B15" s="348">
        <v>9</v>
      </c>
      <c r="C15" s="348"/>
      <c r="D15" s="726" t="s">
        <v>1319</v>
      </c>
      <c r="E15" s="349">
        <v>36404</v>
      </c>
      <c r="F15" s="288">
        <v>2000</v>
      </c>
      <c r="G15" s="358">
        <v>6</v>
      </c>
      <c r="H15" s="358"/>
      <c r="I15" s="288">
        <v>1999</v>
      </c>
      <c r="J15" s="288">
        <v>9</v>
      </c>
      <c r="K15" s="288" t="s">
        <v>1211</v>
      </c>
      <c r="L15" s="288" t="s">
        <v>1891</v>
      </c>
      <c r="M15" s="358" t="s">
        <v>1271</v>
      </c>
      <c r="N15" s="290" t="s">
        <v>1965</v>
      </c>
      <c r="O15" s="288" t="s">
        <v>1098</v>
      </c>
      <c r="P15" s="288" t="s">
        <v>1892</v>
      </c>
      <c r="Q15" s="375"/>
      <c r="R15" s="361"/>
      <c r="S15" s="294"/>
      <c r="T15" s="1058"/>
      <c r="U15" s="295"/>
      <c r="V15" s="295"/>
      <c r="W15" s="362"/>
      <c r="X15" s="330"/>
      <c r="Y15" s="363"/>
      <c r="Z15" s="673"/>
      <c r="AA15" s="293"/>
      <c r="AB15" s="315"/>
      <c r="AC15" s="364"/>
      <c r="AD15" s="427"/>
      <c r="AE15" s="299">
        <v>25000</v>
      </c>
      <c r="AF15" s="670"/>
      <c r="AG15" s="371">
        <f t="shared" si="0"/>
        <v>25000</v>
      </c>
      <c r="AH15" s="365">
        <v>3</v>
      </c>
      <c r="AI15" s="366"/>
      <c r="AJ15" s="366"/>
      <c r="AK15" s="367"/>
      <c r="AL15" s="363"/>
      <c r="AM15" s="368"/>
      <c r="AN15" s="368"/>
      <c r="AO15" s="368"/>
      <c r="AP15" s="368"/>
      <c r="AQ15" s="368"/>
      <c r="AR15" s="368"/>
      <c r="AS15" s="368"/>
      <c r="AT15" s="368"/>
      <c r="AU15" s="368"/>
      <c r="AV15" s="368"/>
      <c r="AW15" s="368"/>
      <c r="AX15" s="369"/>
      <c r="AY15" s="369"/>
      <c r="AZ15" s="352">
        <v>97443</v>
      </c>
      <c r="BA15" s="364">
        <v>9750</v>
      </c>
      <c r="BB15" s="299">
        <f t="shared" si="1"/>
        <v>132193</v>
      </c>
      <c r="BC15" s="370"/>
      <c r="BD15" s="371"/>
      <c r="BE15" s="372">
        <f>(BF15/288229)*27000</f>
        <v>12383.247348462506</v>
      </c>
      <c r="BF15" s="352">
        <f t="shared" ref="BF15:BF20" si="3">BB15+BD15+BC15</f>
        <v>132193</v>
      </c>
      <c r="BG15" s="451" t="str">
        <f t="shared" si="2"/>
        <v>Y</v>
      </c>
      <c r="BH15" s="451"/>
      <c r="BI15" s="299"/>
      <c r="BJ15" s="698"/>
      <c r="BK15" s="698"/>
      <c r="BL15" s="303">
        <v>2898</v>
      </c>
      <c r="BM15" s="706"/>
      <c r="BN15" s="373"/>
      <c r="BO15" s="706"/>
      <c r="BP15" s="716"/>
      <c r="BQ15" s="706"/>
      <c r="BR15" s="373"/>
      <c r="BS15" s="373"/>
      <c r="BT15" s="373"/>
      <c r="BU15" s="373"/>
      <c r="BV15" s="304"/>
      <c r="BW15" s="288"/>
      <c r="BX15" s="290" t="s">
        <v>1893</v>
      </c>
      <c r="BY15" s="374" t="s">
        <v>627</v>
      </c>
      <c r="BZ15" s="624"/>
      <c r="CA15" s="624"/>
      <c r="CB15" s="624"/>
      <c r="CC15" s="624"/>
      <c r="CD15" s="624"/>
      <c r="CE15" s="624"/>
      <c r="CF15" s="624"/>
      <c r="CG15" s="624"/>
      <c r="CH15" s="624"/>
    </row>
    <row r="16" spans="1:86" s="305" customFormat="1" ht="39" customHeight="1">
      <c r="A16" s="276"/>
      <c r="B16" s="348">
        <v>10</v>
      </c>
      <c r="C16" s="348"/>
      <c r="D16" s="726" t="s">
        <v>1406</v>
      </c>
      <c r="E16" s="349">
        <v>36404</v>
      </c>
      <c r="F16" s="288">
        <v>2000</v>
      </c>
      <c r="G16" s="288">
        <v>7</v>
      </c>
      <c r="H16" s="288"/>
      <c r="I16" s="288">
        <v>1999</v>
      </c>
      <c r="J16" s="288">
        <v>10</v>
      </c>
      <c r="K16" s="288" t="s">
        <v>570</v>
      </c>
      <c r="L16" s="288" t="s">
        <v>1934</v>
      </c>
      <c r="M16" s="358" t="s">
        <v>1961</v>
      </c>
      <c r="N16" s="290" t="s">
        <v>1884</v>
      </c>
      <c r="O16" s="288" t="s">
        <v>1884</v>
      </c>
      <c r="P16" s="288" t="s">
        <v>1884</v>
      </c>
      <c r="Q16" s="375"/>
      <c r="R16" s="361"/>
      <c r="S16" s="294"/>
      <c r="T16" s="1058"/>
      <c r="U16" s="295"/>
      <c r="V16" s="295"/>
      <c r="W16" s="362"/>
      <c r="X16" s="330"/>
      <c r="Y16" s="363"/>
      <c r="Z16" s="673"/>
      <c r="AA16" s="293"/>
      <c r="AB16" s="315">
        <f>COUNTIF(AC16, "&gt;49999")</f>
        <v>1</v>
      </c>
      <c r="AC16" s="364">
        <v>1200000</v>
      </c>
      <c r="AD16" s="427"/>
      <c r="AE16" s="299"/>
      <c r="AF16" s="670"/>
      <c r="AG16" s="371">
        <f t="shared" si="0"/>
        <v>1200000</v>
      </c>
      <c r="AH16" s="365">
        <v>0</v>
      </c>
      <c r="AI16" s="366"/>
      <c r="AJ16" s="366"/>
      <c r="AK16" s="367"/>
      <c r="AL16" s="363"/>
      <c r="AM16" s="368"/>
      <c r="AN16" s="368"/>
      <c r="AO16" s="368"/>
      <c r="AP16" s="368"/>
      <c r="AQ16" s="368"/>
      <c r="AR16" s="368"/>
      <c r="AS16" s="368"/>
      <c r="AT16" s="368"/>
      <c r="AU16" s="368"/>
      <c r="AV16" s="368"/>
      <c r="AW16" s="368"/>
      <c r="AX16" s="369"/>
      <c r="AY16" s="369"/>
      <c r="AZ16" s="352"/>
      <c r="BA16" s="364"/>
      <c r="BB16" s="299">
        <f t="shared" si="1"/>
        <v>1200000</v>
      </c>
      <c r="BC16" s="370"/>
      <c r="BD16" s="371"/>
      <c r="BE16" s="372">
        <f>(BF16/2188230)*100000</f>
        <v>54838.842352037951</v>
      </c>
      <c r="BF16" s="352">
        <f t="shared" si="3"/>
        <v>1200000</v>
      </c>
      <c r="BG16" s="451" t="str">
        <f t="shared" si="2"/>
        <v>Y</v>
      </c>
      <c r="BH16" s="451"/>
      <c r="BI16" s="299"/>
      <c r="BJ16" s="698"/>
      <c r="BK16" s="698"/>
      <c r="BL16" s="303">
        <v>2824</v>
      </c>
      <c r="BM16" s="706"/>
      <c r="BN16" s="373"/>
      <c r="BO16" s="706"/>
      <c r="BP16" s="716"/>
      <c r="BQ16" s="706"/>
      <c r="BR16" s="373"/>
      <c r="BS16" s="373"/>
      <c r="BT16" s="373"/>
      <c r="BU16" s="373"/>
      <c r="BV16" s="304"/>
      <c r="BW16" s="288"/>
      <c r="BX16" s="290"/>
      <c r="BY16" s="374" t="s">
        <v>1935</v>
      </c>
      <c r="BZ16" s="624"/>
      <c r="CA16" s="624"/>
      <c r="CB16" s="624"/>
      <c r="CC16" s="624"/>
      <c r="CD16" s="624"/>
      <c r="CE16" s="624"/>
      <c r="CF16" s="624"/>
      <c r="CG16" s="624"/>
      <c r="CH16" s="624"/>
    </row>
    <row r="17" spans="1:86" s="305" customFormat="1" ht="39" customHeight="1">
      <c r="A17" s="276"/>
      <c r="B17" s="348">
        <v>11</v>
      </c>
      <c r="C17" s="348"/>
      <c r="D17" s="726" t="s">
        <v>1407</v>
      </c>
      <c r="E17" s="349">
        <v>36404</v>
      </c>
      <c r="F17" s="288">
        <v>2000</v>
      </c>
      <c r="G17" s="288">
        <v>8</v>
      </c>
      <c r="H17" s="288"/>
      <c r="I17" s="288">
        <v>1999</v>
      </c>
      <c r="J17" s="288">
        <v>11</v>
      </c>
      <c r="K17" s="288" t="s">
        <v>570</v>
      </c>
      <c r="L17" s="288" t="s">
        <v>1936</v>
      </c>
      <c r="M17" s="288" t="s">
        <v>1273</v>
      </c>
      <c r="N17" s="290" t="s">
        <v>1969</v>
      </c>
      <c r="O17" s="288" t="s">
        <v>1303</v>
      </c>
      <c r="P17" s="288" t="s">
        <v>1303</v>
      </c>
      <c r="Q17" s="375"/>
      <c r="R17" s="361"/>
      <c r="S17" s="294"/>
      <c r="T17" s="1058"/>
      <c r="U17" s="295"/>
      <c r="V17" s="295"/>
      <c r="W17" s="362"/>
      <c r="X17" s="330"/>
      <c r="Y17" s="363"/>
      <c r="Z17" s="673"/>
      <c r="AA17" s="293"/>
      <c r="AB17" s="315"/>
      <c r="AC17" s="364"/>
      <c r="AD17" s="427"/>
      <c r="AE17" s="299"/>
      <c r="AF17" s="670"/>
      <c r="AG17" s="371">
        <f t="shared" si="0"/>
        <v>0</v>
      </c>
      <c r="AH17" s="365">
        <v>0</v>
      </c>
      <c r="AI17" s="366"/>
      <c r="AJ17" s="366"/>
      <c r="AK17" s="367"/>
      <c r="AL17" s="363"/>
      <c r="AM17" s="368"/>
      <c r="AN17" s="368"/>
      <c r="AO17" s="368"/>
      <c r="AP17" s="368"/>
      <c r="AQ17" s="368"/>
      <c r="AR17" s="368"/>
      <c r="AS17" s="368"/>
      <c r="AT17" s="368"/>
      <c r="AU17" s="368"/>
      <c r="AV17" s="368"/>
      <c r="AW17" s="368"/>
      <c r="AX17" s="369"/>
      <c r="AY17" s="369"/>
      <c r="AZ17" s="376">
        <v>200</v>
      </c>
      <c r="BA17" s="364"/>
      <c r="BB17" s="299">
        <f t="shared" si="1"/>
        <v>200</v>
      </c>
      <c r="BC17" s="370"/>
      <c r="BD17" s="371"/>
      <c r="BE17" s="372"/>
      <c r="BF17" s="352">
        <f t="shared" si="3"/>
        <v>200</v>
      </c>
      <c r="BG17" s="451" t="str">
        <f>IF(OR(BL17=2799,BL17=2099),"N","Y")</f>
        <v>Y</v>
      </c>
      <c r="BH17" s="451"/>
      <c r="BI17" s="299"/>
      <c r="BJ17" s="698"/>
      <c r="BK17" s="698"/>
      <c r="BL17" s="303">
        <v>2898</v>
      </c>
      <c r="BM17" s="706"/>
      <c r="BN17" s="373"/>
      <c r="BO17" s="706"/>
      <c r="BP17" s="716"/>
      <c r="BQ17" s="706"/>
      <c r="BR17" s="373"/>
      <c r="BS17" s="373"/>
      <c r="BT17" s="373"/>
      <c r="BU17" s="373"/>
      <c r="BV17" s="304"/>
      <c r="BW17" s="288"/>
      <c r="BX17" s="290" t="s">
        <v>638</v>
      </c>
      <c r="BY17" s="374" t="s">
        <v>1937</v>
      </c>
      <c r="BZ17" s="624"/>
      <c r="CA17" s="624"/>
      <c r="CB17" s="624"/>
      <c r="CC17" s="624"/>
      <c r="CD17" s="624"/>
      <c r="CE17" s="624"/>
      <c r="CF17" s="624"/>
      <c r="CG17" s="624"/>
      <c r="CH17" s="624"/>
    </row>
    <row r="18" spans="1:86" s="305" customFormat="1" ht="39" customHeight="1">
      <c r="A18" s="276"/>
      <c r="B18" s="355">
        <v>12</v>
      </c>
      <c r="C18" s="355"/>
      <c r="D18" s="726" t="s">
        <v>1387</v>
      </c>
      <c r="E18" s="356">
        <v>36404</v>
      </c>
      <c r="F18" s="288">
        <v>2000</v>
      </c>
      <c r="G18" s="288">
        <v>9</v>
      </c>
      <c r="H18" s="288"/>
      <c r="I18" s="288">
        <v>1999</v>
      </c>
      <c r="J18" s="288">
        <v>12</v>
      </c>
      <c r="K18" s="358" t="s">
        <v>1211</v>
      </c>
      <c r="L18" s="358" t="s">
        <v>1876</v>
      </c>
      <c r="M18" s="358" t="s">
        <v>1961</v>
      </c>
      <c r="N18" s="359" t="s">
        <v>1884</v>
      </c>
      <c r="O18" s="358" t="s">
        <v>1884</v>
      </c>
      <c r="P18" s="358" t="s">
        <v>1884</v>
      </c>
      <c r="Q18" s="360"/>
      <c r="R18" s="361"/>
      <c r="S18" s="294"/>
      <c r="T18" s="1058"/>
      <c r="U18" s="295"/>
      <c r="V18" s="295"/>
      <c r="W18" s="362"/>
      <c r="X18" s="330"/>
      <c r="Y18" s="363"/>
      <c r="Z18" s="673"/>
      <c r="AA18" s="293"/>
      <c r="AB18" s="315"/>
      <c r="AC18" s="364"/>
      <c r="AD18" s="427"/>
      <c r="AE18" s="299">
        <f>100000+50000</f>
        <v>150000</v>
      </c>
      <c r="AF18" s="670"/>
      <c r="AG18" s="371">
        <f t="shared" si="0"/>
        <v>150000</v>
      </c>
      <c r="AH18" s="365">
        <v>3</v>
      </c>
      <c r="AI18" s="366"/>
      <c r="AJ18" s="366"/>
      <c r="AK18" s="367"/>
      <c r="AL18" s="363"/>
      <c r="AM18" s="368"/>
      <c r="AN18" s="368"/>
      <c r="AO18" s="368"/>
      <c r="AP18" s="368"/>
      <c r="AQ18" s="368"/>
      <c r="AR18" s="368"/>
      <c r="AS18" s="368"/>
      <c r="AT18" s="368"/>
      <c r="AU18" s="368"/>
      <c r="AV18" s="368"/>
      <c r="AW18" s="368"/>
      <c r="AX18" s="369"/>
      <c r="AY18" s="369"/>
      <c r="AZ18" s="378"/>
      <c r="BA18" s="364"/>
      <c r="BB18" s="299">
        <f t="shared" si="1"/>
        <v>150000</v>
      </c>
      <c r="BC18" s="370"/>
      <c r="BD18" s="371"/>
      <c r="BE18" s="372"/>
      <c r="BF18" s="352">
        <f t="shared" si="3"/>
        <v>150000</v>
      </c>
      <c r="BG18" s="451" t="str">
        <f t="shared" si="2"/>
        <v>Y</v>
      </c>
      <c r="BH18" s="451"/>
      <c r="BI18" s="299"/>
      <c r="BJ18" s="698"/>
      <c r="BK18" s="698"/>
      <c r="BL18" s="303">
        <v>2020</v>
      </c>
      <c r="BM18" s="706"/>
      <c r="BN18" s="373"/>
      <c r="BO18" s="706"/>
      <c r="BP18" s="716"/>
      <c r="BQ18" s="706"/>
      <c r="BR18" s="373"/>
      <c r="BS18" s="373"/>
      <c r="BT18" s="373"/>
      <c r="BU18" s="373"/>
      <c r="BV18" s="304"/>
      <c r="BW18" s="288"/>
      <c r="BX18" s="359"/>
      <c r="BY18" s="374"/>
      <c r="BZ18" s="624"/>
      <c r="CA18" s="624"/>
      <c r="CB18" s="624"/>
      <c r="CC18" s="624"/>
      <c r="CD18" s="624"/>
      <c r="CE18" s="624"/>
      <c r="CF18" s="624"/>
      <c r="CG18" s="624"/>
      <c r="CH18" s="624"/>
    </row>
    <row r="19" spans="1:86" s="305" customFormat="1" ht="39" customHeight="1">
      <c r="A19" s="276"/>
      <c r="B19" s="348">
        <v>13</v>
      </c>
      <c r="C19" s="348"/>
      <c r="D19" s="726" t="s">
        <v>1408</v>
      </c>
      <c r="E19" s="349">
        <v>36434</v>
      </c>
      <c r="F19" s="288">
        <v>2000</v>
      </c>
      <c r="G19" s="288">
        <v>10</v>
      </c>
      <c r="H19" s="288"/>
      <c r="I19" s="288">
        <v>1999</v>
      </c>
      <c r="J19" s="288">
        <v>13</v>
      </c>
      <c r="K19" s="288" t="s">
        <v>1211</v>
      </c>
      <c r="L19" s="288" t="s">
        <v>1876</v>
      </c>
      <c r="M19" s="358" t="s">
        <v>1271</v>
      </c>
      <c r="N19" s="290" t="s">
        <v>1938</v>
      </c>
      <c r="O19" s="288" t="s">
        <v>1337</v>
      </c>
      <c r="P19" s="288" t="s">
        <v>1337</v>
      </c>
      <c r="Q19" s="375"/>
      <c r="R19" s="361"/>
      <c r="S19" s="294"/>
      <c r="T19" s="1058"/>
      <c r="U19" s="295"/>
      <c r="V19" s="295"/>
      <c r="W19" s="362"/>
      <c r="X19" s="379"/>
      <c r="Y19" s="293"/>
      <c r="Z19" s="294"/>
      <c r="AA19" s="293"/>
      <c r="AB19" s="315"/>
      <c r="AC19" s="364"/>
      <c r="AD19" s="427"/>
      <c r="AE19" s="299">
        <v>200000</v>
      </c>
      <c r="AF19" s="670"/>
      <c r="AG19" s="371">
        <f t="shared" si="0"/>
        <v>200000</v>
      </c>
      <c r="AH19" s="365">
        <v>4</v>
      </c>
      <c r="AI19" s="366"/>
      <c r="AJ19" s="366"/>
      <c r="AK19" s="367"/>
      <c r="AL19" s="363"/>
      <c r="AM19" s="368"/>
      <c r="AN19" s="368"/>
      <c r="AO19" s="368"/>
      <c r="AP19" s="368"/>
      <c r="AQ19" s="368"/>
      <c r="AR19" s="368"/>
      <c r="AS19" s="368"/>
      <c r="AT19" s="368"/>
      <c r="AU19" s="368"/>
      <c r="AV19" s="368"/>
      <c r="AW19" s="368"/>
      <c r="AX19" s="369"/>
      <c r="AY19" s="369"/>
      <c r="AZ19" s="352"/>
      <c r="BA19" s="364">
        <v>5000</v>
      </c>
      <c r="BB19" s="299">
        <f t="shared" si="1"/>
        <v>205000</v>
      </c>
      <c r="BC19" s="370"/>
      <c r="BD19" s="371"/>
      <c r="BE19" s="372">
        <f>30000*0.4</f>
        <v>12000</v>
      </c>
      <c r="BF19" s="352">
        <f t="shared" si="3"/>
        <v>205000</v>
      </c>
      <c r="BG19" s="451" t="str">
        <f t="shared" si="2"/>
        <v>Y</v>
      </c>
      <c r="BH19" s="451"/>
      <c r="BI19" s="299"/>
      <c r="BJ19" s="698"/>
      <c r="BK19" s="698"/>
      <c r="BL19" s="303">
        <v>2020</v>
      </c>
      <c r="BM19" s="706"/>
      <c r="BN19" s="373"/>
      <c r="BO19" s="706"/>
      <c r="BP19" s="716"/>
      <c r="BQ19" s="706"/>
      <c r="BR19" s="373"/>
      <c r="BS19" s="373"/>
      <c r="BT19" s="373"/>
      <c r="BU19" s="373"/>
      <c r="BV19" s="304"/>
      <c r="BW19" s="288"/>
      <c r="BX19" s="290"/>
      <c r="BY19" s="374"/>
      <c r="BZ19" s="624"/>
      <c r="CA19" s="624"/>
      <c r="CB19" s="624"/>
      <c r="CC19" s="624"/>
      <c r="CD19" s="624"/>
      <c r="CE19" s="624"/>
      <c r="CF19" s="624"/>
      <c r="CG19" s="624"/>
      <c r="CH19" s="624"/>
    </row>
    <row r="20" spans="1:86" s="305" customFormat="1" ht="39" customHeight="1">
      <c r="A20" s="276"/>
      <c r="B20" s="348">
        <v>14</v>
      </c>
      <c r="C20" s="348"/>
      <c r="D20" s="726" t="s">
        <v>1409</v>
      </c>
      <c r="E20" s="349">
        <v>36434</v>
      </c>
      <c r="F20" s="288">
        <v>2000</v>
      </c>
      <c r="G20" s="288">
        <v>11</v>
      </c>
      <c r="H20" s="288"/>
      <c r="I20" s="288">
        <v>1999</v>
      </c>
      <c r="J20" s="288">
        <v>14</v>
      </c>
      <c r="K20" s="358" t="s">
        <v>570</v>
      </c>
      <c r="L20" s="358" t="s">
        <v>1939</v>
      </c>
      <c r="M20" s="377" t="s">
        <v>1273</v>
      </c>
      <c r="N20" s="380" t="s">
        <v>1940</v>
      </c>
      <c r="O20" s="288" t="s">
        <v>1940</v>
      </c>
      <c r="P20" s="358" t="s">
        <v>1940</v>
      </c>
      <c r="Q20" s="375"/>
      <c r="R20" s="361"/>
      <c r="S20" s="294"/>
      <c r="T20" s="1058"/>
      <c r="U20" s="295"/>
      <c r="V20" s="295"/>
      <c r="W20" s="362"/>
      <c r="X20" s="379"/>
      <c r="Y20" s="293"/>
      <c r="Z20" s="294"/>
      <c r="AA20" s="293"/>
      <c r="AB20" s="365"/>
      <c r="AC20" s="364"/>
      <c r="AD20" s="427"/>
      <c r="AE20" s="299">
        <v>75000</v>
      </c>
      <c r="AF20" s="670"/>
      <c r="AG20" s="371">
        <f t="shared" si="0"/>
        <v>75000</v>
      </c>
      <c r="AH20" s="365">
        <v>0</v>
      </c>
      <c r="AI20" s="366"/>
      <c r="AJ20" s="366"/>
      <c r="AK20" s="367">
        <v>76700</v>
      </c>
      <c r="AL20" s="363"/>
      <c r="AM20" s="368">
        <v>11200</v>
      </c>
      <c r="AN20" s="368">
        <v>55000</v>
      </c>
      <c r="AO20" s="368">
        <v>10500</v>
      </c>
      <c r="AP20" s="368"/>
      <c r="AQ20" s="368"/>
      <c r="AR20" s="368"/>
      <c r="AS20" s="368"/>
      <c r="AT20" s="368"/>
      <c r="AU20" s="368"/>
      <c r="AV20" s="368"/>
      <c r="AW20" s="368"/>
      <c r="AX20" s="369"/>
      <c r="AY20" s="369"/>
      <c r="AZ20" s="352">
        <v>535134</v>
      </c>
      <c r="BA20" s="364"/>
      <c r="BB20" s="299">
        <f t="shared" si="1"/>
        <v>610134</v>
      </c>
      <c r="BC20" s="370"/>
      <c r="BD20" s="371"/>
      <c r="BE20" s="372">
        <v>55000</v>
      </c>
      <c r="BF20" s="352">
        <f t="shared" si="3"/>
        <v>610134</v>
      </c>
      <c r="BG20" s="451" t="str">
        <f t="shared" si="2"/>
        <v>Y</v>
      </c>
      <c r="BH20" s="451"/>
      <c r="BI20" s="299"/>
      <c r="BJ20" s="698"/>
      <c r="BK20" s="698"/>
      <c r="BL20" s="303">
        <v>2045</v>
      </c>
      <c r="BM20" s="706"/>
      <c r="BN20" s="373"/>
      <c r="BO20" s="706"/>
      <c r="BP20" s="716"/>
      <c r="BQ20" s="706"/>
      <c r="BR20" s="373"/>
      <c r="BS20" s="373"/>
      <c r="BT20" s="373"/>
      <c r="BU20" s="373"/>
      <c r="BV20" s="304"/>
      <c r="BW20" s="288"/>
      <c r="BX20" s="290" t="s">
        <v>1941</v>
      </c>
      <c r="BY20" s="307" t="s">
        <v>479</v>
      </c>
      <c r="BZ20" s="624"/>
      <c r="CA20" s="624"/>
      <c r="CB20" s="624"/>
      <c r="CC20" s="624"/>
      <c r="CD20" s="624"/>
      <c r="CE20" s="624"/>
      <c r="CF20" s="624"/>
      <c r="CG20" s="624"/>
      <c r="CH20" s="624"/>
    </row>
    <row r="21" spans="1:86" s="305" customFormat="1" ht="39" customHeight="1">
      <c r="A21" s="275"/>
      <c r="B21" s="355">
        <v>15</v>
      </c>
      <c r="C21" s="355"/>
      <c r="D21" s="726" t="s">
        <v>1410</v>
      </c>
      <c r="E21" s="356">
        <v>36434</v>
      </c>
      <c r="F21" s="358">
        <v>2000</v>
      </c>
      <c r="G21" s="358">
        <v>12</v>
      </c>
      <c r="H21" s="358"/>
      <c r="I21" s="358">
        <v>1999</v>
      </c>
      <c r="J21" s="358">
        <v>15</v>
      </c>
      <c r="K21" s="358" t="s">
        <v>570</v>
      </c>
      <c r="L21" s="358" t="s">
        <v>727</v>
      </c>
      <c r="M21" s="358" t="s">
        <v>1273</v>
      </c>
      <c r="N21" s="359" t="s">
        <v>1940</v>
      </c>
      <c r="O21" s="358" t="s">
        <v>1940</v>
      </c>
      <c r="P21" s="358" t="s">
        <v>1940</v>
      </c>
      <c r="Q21" s="360"/>
      <c r="R21" s="361"/>
      <c r="S21" s="294"/>
      <c r="T21" s="1058"/>
      <c r="U21" s="295"/>
      <c r="V21" s="295"/>
      <c r="W21" s="362"/>
      <c r="X21" s="379"/>
      <c r="Y21" s="293"/>
      <c r="Z21" s="294"/>
      <c r="AA21" s="293"/>
      <c r="AB21" s="365"/>
      <c r="AC21" s="364"/>
      <c r="AD21" s="427"/>
      <c r="AE21" s="299">
        <v>10000</v>
      </c>
      <c r="AF21" s="670"/>
      <c r="AG21" s="371">
        <f t="shared" si="0"/>
        <v>10000</v>
      </c>
      <c r="AH21" s="365">
        <v>1</v>
      </c>
      <c r="AI21" s="366"/>
      <c r="AJ21" s="366"/>
      <c r="AK21" s="367"/>
      <c r="AL21" s="363"/>
      <c r="AM21" s="368"/>
      <c r="AN21" s="368"/>
      <c r="AO21" s="368"/>
      <c r="AP21" s="368"/>
      <c r="AQ21" s="368"/>
      <c r="AR21" s="368"/>
      <c r="AS21" s="368"/>
      <c r="AT21" s="368"/>
      <c r="AU21" s="368"/>
      <c r="AV21" s="368"/>
      <c r="AW21" s="368"/>
      <c r="AX21" s="369"/>
      <c r="AY21" s="369"/>
      <c r="AZ21" s="352"/>
      <c r="BA21" s="364"/>
      <c r="BB21" s="299">
        <f t="shared" si="1"/>
        <v>10000</v>
      </c>
      <c r="BC21" s="370"/>
      <c r="BD21" s="371"/>
      <c r="BE21" s="372"/>
      <c r="BF21" s="352">
        <f>AE21+AC21+AZ21+BA21</f>
        <v>10000</v>
      </c>
      <c r="BG21" s="451" t="str">
        <f t="shared" si="2"/>
        <v>Y</v>
      </c>
      <c r="BH21" s="451"/>
      <c r="BI21" s="299"/>
      <c r="BJ21" s="698"/>
      <c r="BK21" s="698"/>
      <c r="BL21" s="303">
        <v>2898</v>
      </c>
      <c r="BM21" s="706"/>
      <c r="BN21" s="373"/>
      <c r="BO21" s="706"/>
      <c r="BP21" s="716"/>
      <c r="BQ21" s="706"/>
      <c r="BR21" s="373"/>
      <c r="BS21" s="373"/>
      <c r="BT21" s="373"/>
      <c r="BU21" s="373"/>
      <c r="BV21" s="318"/>
      <c r="BW21" s="358"/>
      <c r="BX21" s="359" t="s">
        <v>1338</v>
      </c>
      <c r="BY21" s="374" t="s">
        <v>1942</v>
      </c>
      <c r="BZ21" s="624"/>
      <c r="CA21" s="624"/>
      <c r="CB21" s="624"/>
      <c r="CC21" s="624"/>
      <c r="CD21" s="624"/>
      <c r="CE21" s="624"/>
      <c r="CF21" s="624"/>
      <c r="CG21" s="624"/>
      <c r="CH21" s="624"/>
    </row>
    <row r="22" spans="1:86" s="305" customFormat="1" ht="39" customHeight="1">
      <c r="A22" s="276"/>
      <c r="B22" s="348">
        <v>16</v>
      </c>
      <c r="C22" s="348"/>
      <c r="D22" s="726" t="s">
        <v>88</v>
      </c>
      <c r="E22" s="349">
        <v>36434</v>
      </c>
      <c r="F22" s="288">
        <v>2000</v>
      </c>
      <c r="G22" s="288">
        <v>13</v>
      </c>
      <c r="H22" s="288"/>
      <c r="I22" s="288">
        <v>1999</v>
      </c>
      <c r="J22" s="288">
        <v>16</v>
      </c>
      <c r="K22" s="288" t="s">
        <v>570</v>
      </c>
      <c r="L22" s="288" t="s">
        <v>1943</v>
      </c>
      <c r="M22" s="358" t="s">
        <v>1271</v>
      </c>
      <c r="N22" s="290" t="s">
        <v>1877</v>
      </c>
      <c r="O22" s="288" t="s">
        <v>1337</v>
      </c>
      <c r="P22" s="288" t="s">
        <v>1337</v>
      </c>
      <c r="Q22" s="375"/>
      <c r="R22" s="361"/>
      <c r="S22" s="294"/>
      <c r="T22" s="1058"/>
      <c r="U22" s="295"/>
      <c r="V22" s="295"/>
      <c r="W22" s="362"/>
      <c r="X22" s="379"/>
      <c r="Y22" s="293"/>
      <c r="Z22" s="294"/>
      <c r="AA22" s="293"/>
      <c r="AB22" s="365">
        <f>COUNTIF(AC22, "&gt;49999")</f>
        <v>0</v>
      </c>
      <c r="AC22" s="364">
        <v>25000</v>
      </c>
      <c r="AD22" s="427"/>
      <c r="AE22" s="299"/>
      <c r="AF22" s="670"/>
      <c r="AG22" s="371">
        <f t="shared" si="0"/>
        <v>25000</v>
      </c>
      <c r="AH22" s="365">
        <v>0</v>
      </c>
      <c r="AI22" s="366"/>
      <c r="AJ22" s="366"/>
      <c r="AK22" s="367"/>
      <c r="AL22" s="363"/>
      <c r="AM22" s="368"/>
      <c r="AN22" s="368"/>
      <c r="AO22" s="368"/>
      <c r="AP22" s="368"/>
      <c r="AQ22" s="368"/>
      <c r="AR22" s="368"/>
      <c r="AS22" s="368"/>
      <c r="AT22" s="368"/>
      <c r="AU22" s="368"/>
      <c r="AV22" s="368"/>
      <c r="AW22" s="368"/>
      <c r="AX22" s="369"/>
      <c r="AY22" s="369"/>
      <c r="AZ22" s="352"/>
      <c r="BA22" s="364"/>
      <c r="BB22" s="299">
        <f t="shared" si="1"/>
        <v>25000</v>
      </c>
      <c r="BC22" s="370"/>
      <c r="BD22" s="371"/>
      <c r="BE22" s="372">
        <f>(25000/10)</f>
        <v>2500</v>
      </c>
      <c r="BF22" s="352">
        <f>AE22+AC22+AZ22+BA22</f>
        <v>25000</v>
      </c>
      <c r="BG22" s="451" t="str">
        <f t="shared" si="2"/>
        <v>Y</v>
      </c>
      <c r="BH22" s="451"/>
      <c r="BI22" s="299"/>
      <c r="BJ22" s="698"/>
      <c r="BK22" s="698"/>
      <c r="BL22" s="303">
        <v>2898</v>
      </c>
      <c r="BM22" s="706"/>
      <c r="BN22" s="373"/>
      <c r="BO22" s="706"/>
      <c r="BP22" s="716"/>
      <c r="BQ22" s="706"/>
      <c r="BR22" s="373"/>
      <c r="BS22" s="373"/>
      <c r="BT22" s="373"/>
      <c r="BU22" s="373"/>
      <c r="BV22" s="304"/>
      <c r="BW22" s="288"/>
      <c r="BX22" s="290"/>
      <c r="BY22" s="374"/>
      <c r="BZ22" s="624"/>
      <c r="CA22" s="624"/>
      <c r="CB22" s="624"/>
      <c r="CC22" s="624"/>
      <c r="CD22" s="624"/>
      <c r="CE22" s="624"/>
      <c r="CF22" s="624"/>
      <c r="CG22" s="624"/>
      <c r="CH22" s="624"/>
    </row>
    <row r="23" spans="1:86" s="305" customFormat="1" ht="39" customHeight="1">
      <c r="A23" s="276"/>
      <c r="B23" s="348">
        <v>17</v>
      </c>
      <c r="C23" s="348"/>
      <c r="D23" s="726" t="s">
        <v>1411</v>
      </c>
      <c r="E23" s="349">
        <v>36465</v>
      </c>
      <c r="F23" s="288">
        <v>2000</v>
      </c>
      <c r="G23" s="288">
        <v>14</v>
      </c>
      <c r="H23" s="288"/>
      <c r="I23" s="288">
        <v>1999</v>
      </c>
      <c r="J23" s="288">
        <v>17</v>
      </c>
      <c r="K23" s="288" t="s">
        <v>570</v>
      </c>
      <c r="L23" s="288" t="s">
        <v>1944</v>
      </c>
      <c r="M23" s="358" t="s">
        <v>1271</v>
      </c>
      <c r="N23" s="290" t="s">
        <v>1965</v>
      </c>
      <c r="O23" s="288" t="s">
        <v>1098</v>
      </c>
      <c r="P23" s="288" t="s">
        <v>1945</v>
      </c>
      <c r="Q23" s="375"/>
      <c r="R23" s="361"/>
      <c r="S23" s="294"/>
      <c r="T23" s="1058"/>
      <c r="U23" s="295"/>
      <c r="V23" s="295"/>
      <c r="W23" s="362"/>
      <c r="X23" s="379"/>
      <c r="Y23" s="293"/>
      <c r="Z23" s="294"/>
      <c r="AA23" s="293"/>
      <c r="AB23" s="365">
        <f>COUNTIF(AC23, "&gt;49999")</f>
        <v>1</v>
      </c>
      <c r="AC23" s="364">
        <v>50000</v>
      </c>
      <c r="AD23" s="427"/>
      <c r="AE23" s="299"/>
      <c r="AF23" s="670"/>
      <c r="AG23" s="371">
        <f t="shared" si="0"/>
        <v>50000</v>
      </c>
      <c r="AH23" s="365">
        <v>0</v>
      </c>
      <c r="AI23" s="366"/>
      <c r="AJ23" s="366"/>
      <c r="AK23" s="367"/>
      <c r="AL23" s="363"/>
      <c r="AM23" s="368"/>
      <c r="AN23" s="368"/>
      <c r="AO23" s="368"/>
      <c r="AP23" s="368"/>
      <c r="AQ23" s="368"/>
      <c r="AR23" s="368"/>
      <c r="AS23" s="368"/>
      <c r="AT23" s="368"/>
      <c r="AU23" s="368"/>
      <c r="AV23" s="368"/>
      <c r="AW23" s="368"/>
      <c r="AX23" s="369"/>
      <c r="AY23" s="369"/>
      <c r="AZ23" s="352"/>
      <c r="BA23" s="364"/>
      <c r="BB23" s="299">
        <f t="shared" si="1"/>
        <v>50000</v>
      </c>
      <c r="BC23" s="370"/>
      <c r="BD23" s="371"/>
      <c r="BE23" s="372">
        <f>50000/10</f>
        <v>5000</v>
      </c>
      <c r="BF23" s="352">
        <f t="shared" ref="BF23:BF28" si="4">BB23+BD23+BC23</f>
        <v>50000</v>
      </c>
      <c r="BG23" s="451" t="str">
        <f t="shared" si="2"/>
        <v>Y</v>
      </c>
      <c r="BH23" s="451"/>
      <c r="BI23" s="299"/>
      <c r="BJ23" s="698"/>
      <c r="BK23" s="698"/>
      <c r="BL23" s="303">
        <v>2898</v>
      </c>
      <c r="BM23" s="706"/>
      <c r="BN23" s="373"/>
      <c r="BO23" s="706"/>
      <c r="BP23" s="716"/>
      <c r="BQ23" s="706"/>
      <c r="BR23" s="373"/>
      <c r="BS23" s="373"/>
      <c r="BT23" s="373"/>
      <c r="BU23" s="373"/>
      <c r="BV23" s="304"/>
      <c r="BW23" s="288"/>
      <c r="BX23" s="290"/>
      <c r="BY23" s="374" t="s">
        <v>1946</v>
      </c>
      <c r="BZ23" s="624"/>
      <c r="CA23" s="624"/>
      <c r="CB23" s="624"/>
      <c r="CC23" s="624"/>
      <c r="CD23" s="624"/>
      <c r="CE23" s="624"/>
      <c r="CF23" s="624"/>
      <c r="CG23" s="624"/>
      <c r="CH23" s="624"/>
    </row>
    <row r="24" spans="1:86" s="305" customFormat="1" ht="39" customHeight="1">
      <c r="A24" s="275"/>
      <c r="B24" s="355">
        <v>18</v>
      </c>
      <c r="C24" s="355"/>
      <c r="D24" s="726" t="s">
        <v>560</v>
      </c>
      <c r="E24" s="356">
        <v>36465</v>
      </c>
      <c r="F24" s="288">
        <v>2000</v>
      </c>
      <c r="G24" s="358">
        <v>15</v>
      </c>
      <c r="H24" s="358"/>
      <c r="I24" s="288">
        <v>1999</v>
      </c>
      <c r="J24" s="288">
        <v>18</v>
      </c>
      <c r="K24" s="288" t="s">
        <v>570</v>
      </c>
      <c r="L24" s="358" t="s">
        <v>1947</v>
      </c>
      <c r="M24" s="358" t="s">
        <v>1271</v>
      </c>
      <c r="N24" s="359" t="s">
        <v>1877</v>
      </c>
      <c r="O24" s="305" t="s">
        <v>1337</v>
      </c>
      <c r="P24" s="305" t="s">
        <v>1337</v>
      </c>
      <c r="Q24" s="360"/>
      <c r="R24" s="361"/>
      <c r="S24" s="294"/>
      <c r="T24" s="1058"/>
      <c r="U24" s="295"/>
      <c r="V24" s="295"/>
      <c r="W24" s="362"/>
      <c r="X24" s="379"/>
      <c r="Y24" s="293"/>
      <c r="Z24" s="294"/>
      <c r="AA24" s="293"/>
      <c r="AB24" s="365"/>
      <c r="AC24" s="364"/>
      <c r="AD24" s="427"/>
      <c r="AE24" s="299">
        <v>50000</v>
      </c>
      <c r="AF24" s="670"/>
      <c r="AG24" s="371">
        <f t="shared" si="0"/>
        <v>50000</v>
      </c>
      <c r="AH24" s="365">
        <v>0</v>
      </c>
      <c r="AI24" s="366"/>
      <c r="AJ24" s="366"/>
      <c r="AK24" s="367"/>
      <c r="AL24" s="363"/>
      <c r="AM24" s="368"/>
      <c r="AN24" s="368"/>
      <c r="AO24" s="368"/>
      <c r="AP24" s="368"/>
      <c r="AQ24" s="368"/>
      <c r="AR24" s="368"/>
      <c r="AS24" s="368"/>
      <c r="AT24" s="368"/>
      <c r="AU24" s="368"/>
      <c r="AV24" s="368"/>
      <c r="AW24" s="368"/>
      <c r="AX24" s="369"/>
      <c r="AY24" s="369"/>
      <c r="AZ24" s="352"/>
      <c r="BA24" s="364"/>
      <c r="BB24" s="299">
        <f t="shared" si="1"/>
        <v>50000</v>
      </c>
      <c r="BC24" s="370"/>
      <c r="BD24" s="371"/>
      <c r="BE24" s="372"/>
      <c r="BF24" s="352">
        <f t="shared" si="4"/>
        <v>50000</v>
      </c>
      <c r="BG24" s="451" t="str">
        <f t="shared" si="2"/>
        <v>Y</v>
      </c>
      <c r="BH24" s="451"/>
      <c r="BI24" s="299"/>
      <c r="BJ24" s="698"/>
      <c r="BK24" s="698"/>
      <c r="BL24" s="303">
        <v>2870</v>
      </c>
      <c r="BM24" s="706"/>
      <c r="BN24" s="373"/>
      <c r="BO24" s="706"/>
      <c r="BP24" s="716"/>
      <c r="BQ24" s="706"/>
      <c r="BR24" s="373"/>
      <c r="BS24" s="373"/>
      <c r="BT24" s="373"/>
      <c r="BU24" s="373"/>
      <c r="BV24" s="318"/>
      <c r="BW24" s="358"/>
      <c r="BX24" s="359"/>
      <c r="BY24" s="374" t="s">
        <v>1948</v>
      </c>
      <c r="BZ24" s="624"/>
      <c r="CA24" s="624"/>
      <c r="CB24" s="624"/>
      <c r="CC24" s="624"/>
      <c r="CD24" s="624"/>
      <c r="CE24" s="624"/>
      <c r="CF24" s="624"/>
      <c r="CG24" s="624"/>
      <c r="CH24" s="624"/>
    </row>
    <row r="25" spans="1:86" s="305" customFormat="1" ht="39" customHeight="1">
      <c r="A25" s="275"/>
      <c r="B25" s="355">
        <v>19</v>
      </c>
      <c r="C25" s="355"/>
      <c r="D25" s="726" t="s">
        <v>1402</v>
      </c>
      <c r="E25" s="356">
        <v>36465</v>
      </c>
      <c r="F25" s="288">
        <v>2000</v>
      </c>
      <c r="G25" s="358">
        <v>16</v>
      </c>
      <c r="H25" s="358"/>
      <c r="I25" s="288">
        <v>1999</v>
      </c>
      <c r="J25" s="288">
        <v>19</v>
      </c>
      <c r="K25" s="358" t="s">
        <v>570</v>
      </c>
      <c r="L25" s="358" t="s">
        <v>1883</v>
      </c>
      <c r="M25" s="358" t="s">
        <v>1961</v>
      </c>
      <c r="N25" s="359" t="s">
        <v>1884</v>
      </c>
      <c r="O25" s="358" t="s">
        <v>1884</v>
      </c>
      <c r="P25" s="358" t="s">
        <v>1884</v>
      </c>
      <c r="Q25" s="360"/>
      <c r="R25" s="361"/>
      <c r="S25" s="294"/>
      <c r="T25" s="1058"/>
      <c r="U25" s="295"/>
      <c r="V25" s="295"/>
      <c r="W25" s="362"/>
      <c r="X25" s="379"/>
      <c r="Y25" s="293"/>
      <c r="Z25" s="294"/>
      <c r="AA25" s="293"/>
      <c r="AB25" s="365">
        <f>COUNTIF(AC25, "&gt;49999")</f>
        <v>1</v>
      </c>
      <c r="AC25" s="364">
        <v>2504221.9900000002</v>
      </c>
      <c r="AD25" s="427"/>
      <c r="AE25" s="299">
        <f>360000+1000000</f>
        <v>1360000</v>
      </c>
      <c r="AF25" s="670"/>
      <c r="AG25" s="371">
        <f t="shared" si="0"/>
        <v>3864221.99</v>
      </c>
      <c r="AH25" s="365">
        <v>10</v>
      </c>
      <c r="AI25" s="366"/>
      <c r="AJ25" s="366"/>
      <c r="AK25" s="367"/>
      <c r="AL25" s="363"/>
      <c r="AM25" s="368"/>
      <c r="AN25" s="368"/>
      <c r="AO25" s="368"/>
      <c r="AP25" s="368"/>
      <c r="AQ25" s="368"/>
      <c r="AR25" s="368"/>
      <c r="AS25" s="368"/>
      <c r="AT25" s="368"/>
      <c r="AU25" s="368"/>
      <c r="AV25" s="368"/>
      <c r="AW25" s="368"/>
      <c r="AX25" s="369"/>
      <c r="AY25" s="369"/>
      <c r="AZ25" s="352">
        <f>63022.16+595366+158370</f>
        <v>816758.16</v>
      </c>
      <c r="BA25" s="364">
        <v>472203.99</v>
      </c>
      <c r="BB25" s="299">
        <f t="shared" si="1"/>
        <v>5153184.1400000006</v>
      </c>
      <c r="BC25" s="370"/>
      <c r="BD25" s="371"/>
      <c r="BE25" s="372">
        <v>52000</v>
      </c>
      <c r="BF25" s="352">
        <f t="shared" si="4"/>
        <v>5153184.1400000006</v>
      </c>
      <c r="BG25" s="451" t="str">
        <f t="shared" si="2"/>
        <v>Y</v>
      </c>
      <c r="BH25" s="451"/>
      <c r="BI25" s="299"/>
      <c r="BJ25" s="698"/>
      <c r="BK25" s="698"/>
      <c r="BL25" s="303">
        <v>2814</v>
      </c>
      <c r="BM25" s="706"/>
      <c r="BN25" s="373"/>
      <c r="BO25" s="706"/>
      <c r="BP25" s="716"/>
      <c r="BQ25" s="706"/>
      <c r="BR25" s="373"/>
      <c r="BS25" s="373"/>
      <c r="BT25" s="373"/>
      <c r="BU25" s="373"/>
      <c r="BV25" s="318"/>
      <c r="BW25" s="358"/>
      <c r="BX25" s="359"/>
      <c r="BY25" s="374" t="s">
        <v>1162</v>
      </c>
      <c r="BZ25" s="624"/>
      <c r="CA25" s="624"/>
      <c r="CB25" s="624"/>
      <c r="CC25" s="624"/>
      <c r="CD25" s="624"/>
      <c r="CE25" s="624"/>
      <c r="CF25" s="624"/>
      <c r="CG25" s="624"/>
      <c r="CH25" s="624"/>
    </row>
    <row r="26" spans="1:86" s="305" customFormat="1" ht="39" customHeight="1">
      <c r="A26" s="275"/>
      <c r="B26" s="355">
        <v>20</v>
      </c>
      <c r="C26" s="355"/>
      <c r="D26" s="726" t="s">
        <v>1440</v>
      </c>
      <c r="E26" s="356">
        <v>36465</v>
      </c>
      <c r="F26" s="288">
        <v>2000</v>
      </c>
      <c r="G26" s="358">
        <v>17</v>
      </c>
      <c r="H26" s="358"/>
      <c r="I26" s="288">
        <v>1999</v>
      </c>
      <c r="J26" s="288">
        <v>20</v>
      </c>
      <c r="K26" s="358" t="s">
        <v>1211</v>
      </c>
      <c r="L26" s="358" t="s">
        <v>1949</v>
      </c>
      <c r="M26" s="358" t="s">
        <v>1271</v>
      </c>
      <c r="N26" s="290" t="s">
        <v>1965</v>
      </c>
      <c r="O26" s="305" t="s">
        <v>1098</v>
      </c>
      <c r="P26" s="358" t="s">
        <v>1892</v>
      </c>
      <c r="Q26" s="360"/>
      <c r="R26" s="361"/>
      <c r="S26" s="294"/>
      <c r="T26" s="1058"/>
      <c r="U26" s="295"/>
      <c r="V26" s="295"/>
      <c r="W26" s="362"/>
      <c r="X26" s="379"/>
      <c r="Y26" s="293"/>
      <c r="Z26" s="294"/>
      <c r="AA26" s="293"/>
      <c r="AB26" s="365"/>
      <c r="AC26" s="364"/>
      <c r="AD26" s="427"/>
      <c r="AE26" s="299">
        <v>15000</v>
      </c>
      <c r="AF26" s="670"/>
      <c r="AG26" s="371">
        <f t="shared" si="0"/>
        <v>15000</v>
      </c>
      <c r="AH26" s="365">
        <v>1</v>
      </c>
      <c r="AI26" s="366"/>
      <c r="AJ26" s="366"/>
      <c r="AK26" s="367"/>
      <c r="AL26" s="363"/>
      <c r="AM26" s="368"/>
      <c r="AN26" s="368"/>
      <c r="AO26" s="368"/>
      <c r="AP26" s="368"/>
      <c r="AQ26" s="368"/>
      <c r="AR26" s="368"/>
      <c r="AS26" s="368"/>
      <c r="AT26" s="368"/>
      <c r="AU26" s="368"/>
      <c r="AV26" s="368"/>
      <c r="AW26" s="368"/>
      <c r="AX26" s="369"/>
      <c r="AY26" s="369"/>
      <c r="AZ26" s="352"/>
      <c r="BA26" s="364"/>
      <c r="BB26" s="299">
        <f t="shared" si="1"/>
        <v>15000</v>
      </c>
      <c r="BC26" s="370"/>
      <c r="BD26" s="371"/>
      <c r="BE26" s="372">
        <f>15000/10</f>
        <v>1500</v>
      </c>
      <c r="BF26" s="352">
        <f t="shared" si="4"/>
        <v>15000</v>
      </c>
      <c r="BG26" s="451" t="str">
        <f t="shared" si="2"/>
        <v>Y</v>
      </c>
      <c r="BH26" s="451"/>
      <c r="BI26" s="299"/>
      <c r="BJ26" s="698"/>
      <c r="BK26" s="698"/>
      <c r="BL26" s="303">
        <v>2898</v>
      </c>
      <c r="BM26" s="706"/>
      <c r="BN26" s="373"/>
      <c r="BO26" s="706"/>
      <c r="BP26" s="716"/>
      <c r="BQ26" s="706"/>
      <c r="BR26" s="373"/>
      <c r="BS26" s="373"/>
      <c r="BT26" s="373"/>
      <c r="BU26" s="373"/>
      <c r="BV26" s="318"/>
      <c r="BW26" s="358"/>
      <c r="BX26" s="359" t="s">
        <v>1950</v>
      </c>
      <c r="BY26" s="374" t="s">
        <v>1551</v>
      </c>
      <c r="BZ26" s="624"/>
      <c r="CA26" s="624"/>
      <c r="CB26" s="624"/>
      <c r="CC26" s="624"/>
      <c r="CD26" s="624"/>
      <c r="CE26" s="624"/>
      <c r="CF26" s="624"/>
      <c r="CG26" s="624"/>
      <c r="CH26" s="624"/>
    </row>
    <row r="27" spans="1:86" s="305" customFormat="1" ht="39" customHeight="1">
      <c r="A27" s="275"/>
      <c r="B27" s="355">
        <v>20</v>
      </c>
      <c r="C27" s="355"/>
      <c r="D27" s="726" t="s">
        <v>1441</v>
      </c>
      <c r="E27" s="356">
        <v>36465</v>
      </c>
      <c r="F27" s="288">
        <v>2000</v>
      </c>
      <c r="G27" s="358">
        <v>17</v>
      </c>
      <c r="H27" s="358"/>
      <c r="I27" s="288">
        <v>1999</v>
      </c>
      <c r="J27" s="288">
        <v>20</v>
      </c>
      <c r="K27" s="358" t="s">
        <v>1211</v>
      </c>
      <c r="L27" s="358" t="s">
        <v>1552</v>
      </c>
      <c r="M27" s="358" t="s">
        <v>1271</v>
      </c>
      <c r="N27" s="381" t="s">
        <v>1965</v>
      </c>
      <c r="O27" s="305" t="s">
        <v>1098</v>
      </c>
      <c r="P27" s="358" t="s">
        <v>1892</v>
      </c>
      <c r="Q27" s="360"/>
      <c r="R27" s="361"/>
      <c r="S27" s="294"/>
      <c r="T27" s="1058"/>
      <c r="U27" s="295"/>
      <c r="V27" s="295"/>
      <c r="W27" s="362"/>
      <c r="X27" s="379"/>
      <c r="Y27" s="293"/>
      <c r="Z27" s="294"/>
      <c r="AA27" s="293"/>
      <c r="AB27" s="365"/>
      <c r="AC27" s="364"/>
      <c r="AD27" s="427"/>
      <c r="AE27" s="299">
        <v>15000</v>
      </c>
      <c r="AF27" s="670"/>
      <c r="AG27" s="371">
        <f t="shared" si="0"/>
        <v>15000</v>
      </c>
      <c r="AH27" s="365">
        <v>2</v>
      </c>
      <c r="AI27" s="366"/>
      <c r="AJ27" s="366"/>
      <c r="AK27" s="367"/>
      <c r="AL27" s="363"/>
      <c r="AM27" s="368"/>
      <c r="AN27" s="368"/>
      <c r="AO27" s="368"/>
      <c r="AP27" s="368"/>
      <c r="AQ27" s="368"/>
      <c r="AR27" s="368"/>
      <c r="AS27" s="368"/>
      <c r="AT27" s="368"/>
      <c r="AU27" s="368"/>
      <c r="AV27" s="368"/>
      <c r="AW27" s="368"/>
      <c r="AX27" s="369"/>
      <c r="AY27" s="369"/>
      <c r="AZ27" s="352"/>
      <c r="BA27" s="364"/>
      <c r="BB27" s="299">
        <f t="shared" si="1"/>
        <v>15000</v>
      </c>
      <c r="BC27" s="370"/>
      <c r="BD27" s="371"/>
      <c r="BE27" s="372">
        <f>15000/10</f>
        <v>1500</v>
      </c>
      <c r="BF27" s="352">
        <f t="shared" si="4"/>
        <v>15000</v>
      </c>
      <c r="BG27" s="451" t="str">
        <f t="shared" si="2"/>
        <v>Y</v>
      </c>
      <c r="BH27" s="451"/>
      <c r="BI27" s="299"/>
      <c r="BJ27" s="698"/>
      <c r="BK27" s="698"/>
      <c r="BL27" s="303">
        <v>2898</v>
      </c>
      <c r="BM27" s="706"/>
      <c r="BN27" s="373"/>
      <c r="BO27" s="706"/>
      <c r="BP27" s="716"/>
      <c r="BQ27" s="706"/>
      <c r="BR27" s="373"/>
      <c r="BS27" s="373"/>
      <c r="BT27" s="373"/>
      <c r="BU27" s="373"/>
      <c r="BV27" s="318"/>
      <c r="BW27" s="358"/>
      <c r="BX27" s="359" t="s">
        <v>1950</v>
      </c>
      <c r="BY27" s="374" t="s">
        <v>1553</v>
      </c>
      <c r="BZ27" s="624"/>
      <c r="CA27" s="624"/>
      <c r="CB27" s="624"/>
      <c r="CC27" s="624"/>
      <c r="CD27" s="624"/>
      <c r="CE27" s="624"/>
      <c r="CF27" s="624"/>
      <c r="CG27" s="624"/>
      <c r="CH27" s="624"/>
    </row>
    <row r="28" spans="1:86" s="305" customFormat="1" ht="39" customHeight="1">
      <c r="A28" s="275"/>
      <c r="B28" s="355">
        <v>20</v>
      </c>
      <c r="C28" s="355"/>
      <c r="D28" s="726" t="s">
        <v>1442</v>
      </c>
      <c r="E28" s="356">
        <v>36465</v>
      </c>
      <c r="F28" s="288">
        <v>2000</v>
      </c>
      <c r="G28" s="358">
        <v>17</v>
      </c>
      <c r="H28" s="358"/>
      <c r="I28" s="288">
        <v>1999</v>
      </c>
      <c r="J28" s="288">
        <v>20</v>
      </c>
      <c r="K28" s="358" t="s">
        <v>1211</v>
      </c>
      <c r="L28" s="358" t="s">
        <v>1554</v>
      </c>
      <c r="M28" s="358" t="s">
        <v>1271</v>
      </c>
      <c r="N28" s="381" t="s">
        <v>1965</v>
      </c>
      <c r="O28" s="305" t="s">
        <v>1098</v>
      </c>
      <c r="P28" s="358" t="s">
        <v>1892</v>
      </c>
      <c r="Q28" s="360"/>
      <c r="R28" s="361"/>
      <c r="S28" s="294"/>
      <c r="T28" s="1058"/>
      <c r="U28" s="295"/>
      <c r="V28" s="295"/>
      <c r="W28" s="362"/>
      <c r="X28" s="379"/>
      <c r="Y28" s="293"/>
      <c r="Z28" s="294"/>
      <c r="AA28" s="293"/>
      <c r="AB28" s="365"/>
      <c r="AC28" s="364"/>
      <c r="AD28" s="427"/>
      <c r="AE28" s="299">
        <v>15000</v>
      </c>
      <c r="AF28" s="670"/>
      <c r="AG28" s="371">
        <f t="shared" si="0"/>
        <v>15000</v>
      </c>
      <c r="AH28" s="365">
        <v>1</v>
      </c>
      <c r="AI28" s="366"/>
      <c r="AJ28" s="366"/>
      <c r="AK28" s="367"/>
      <c r="AL28" s="363"/>
      <c r="AM28" s="368"/>
      <c r="AN28" s="368"/>
      <c r="AO28" s="368"/>
      <c r="AP28" s="368"/>
      <c r="AQ28" s="368"/>
      <c r="AR28" s="368"/>
      <c r="AS28" s="368"/>
      <c r="AT28" s="368"/>
      <c r="AU28" s="368"/>
      <c r="AV28" s="368"/>
      <c r="AW28" s="368"/>
      <c r="AX28" s="369"/>
      <c r="AY28" s="369"/>
      <c r="AZ28" s="352"/>
      <c r="BA28" s="364"/>
      <c r="BB28" s="299">
        <f t="shared" si="1"/>
        <v>15000</v>
      </c>
      <c r="BC28" s="370"/>
      <c r="BD28" s="371"/>
      <c r="BE28" s="372">
        <f>15000/10</f>
        <v>1500</v>
      </c>
      <c r="BF28" s="352">
        <f t="shared" si="4"/>
        <v>15000</v>
      </c>
      <c r="BG28" s="451" t="str">
        <f t="shared" si="2"/>
        <v>Y</v>
      </c>
      <c r="BH28" s="451"/>
      <c r="BI28" s="299"/>
      <c r="BJ28" s="698"/>
      <c r="BK28" s="698"/>
      <c r="BL28" s="303">
        <v>2898</v>
      </c>
      <c r="BM28" s="706"/>
      <c r="BN28" s="373"/>
      <c r="BO28" s="706"/>
      <c r="BP28" s="716"/>
      <c r="BQ28" s="706"/>
      <c r="BR28" s="373"/>
      <c r="BS28" s="373"/>
      <c r="BT28" s="373"/>
      <c r="BU28" s="373"/>
      <c r="BV28" s="318"/>
      <c r="BW28" s="358"/>
      <c r="BX28" s="359" t="s">
        <v>1950</v>
      </c>
      <c r="BY28" s="374" t="s">
        <v>1555</v>
      </c>
      <c r="BZ28" s="624"/>
      <c r="CA28" s="624"/>
      <c r="CB28" s="624"/>
      <c r="CC28" s="624"/>
      <c r="CD28" s="624"/>
      <c r="CE28" s="624"/>
      <c r="CF28" s="624"/>
      <c r="CG28" s="624"/>
      <c r="CH28" s="624"/>
    </row>
    <row r="29" spans="1:86" s="305" customFormat="1" ht="39" customHeight="1">
      <c r="A29" s="275"/>
      <c r="B29" s="355">
        <v>20</v>
      </c>
      <c r="C29" s="355"/>
      <c r="D29" s="726" t="s">
        <v>1802</v>
      </c>
      <c r="E29" s="356">
        <v>36465</v>
      </c>
      <c r="F29" s="288">
        <v>2000</v>
      </c>
      <c r="G29" s="358">
        <v>17</v>
      </c>
      <c r="H29" s="358"/>
      <c r="I29" s="288">
        <v>1999</v>
      </c>
      <c r="J29" s="288">
        <v>20</v>
      </c>
      <c r="K29" s="358" t="s">
        <v>1211</v>
      </c>
      <c r="L29" s="358" t="s">
        <v>1556</v>
      </c>
      <c r="M29" s="358" t="s">
        <v>1271</v>
      </c>
      <c r="N29" s="290" t="s">
        <v>1965</v>
      </c>
      <c r="O29" s="305" t="s">
        <v>1098</v>
      </c>
      <c r="P29" s="358" t="s">
        <v>1892</v>
      </c>
      <c r="Q29" s="360"/>
      <c r="R29" s="361"/>
      <c r="S29" s="294"/>
      <c r="T29" s="1058"/>
      <c r="U29" s="295"/>
      <c r="V29" s="295"/>
      <c r="W29" s="362"/>
      <c r="X29" s="379"/>
      <c r="Y29" s="293"/>
      <c r="Z29" s="294"/>
      <c r="AA29" s="293"/>
      <c r="AB29" s="365"/>
      <c r="AC29" s="364"/>
      <c r="AD29" s="427"/>
      <c r="AE29" s="299">
        <f>(63000-15000-15000-15000)/2</f>
        <v>9000</v>
      </c>
      <c r="AF29" s="670"/>
      <c r="AG29" s="371">
        <f t="shared" si="0"/>
        <v>9000</v>
      </c>
      <c r="AH29" s="365">
        <v>1</v>
      </c>
      <c r="AI29" s="366"/>
      <c r="AJ29" s="366"/>
      <c r="AK29" s="367"/>
      <c r="AL29" s="363"/>
      <c r="AM29" s="368"/>
      <c r="AN29" s="368"/>
      <c r="AO29" s="368"/>
      <c r="AP29" s="368"/>
      <c r="AQ29" s="368"/>
      <c r="AR29" s="368"/>
      <c r="AS29" s="368"/>
      <c r="AT29" s="368"/>
      <c r="AU29" s="368"/>
      <c r="AV29" s="368"/>
      <c r="AW29" s="368"/>
      <c r="AX29" s="369"/>
      <c r="AY29" s="369"/>
      <c r="AZ29" s="352"/>
      <c r="BA29" s="364"/>
      <c r="BB29" s="299">
        <f t="shared" si="1"/>
        <v>9000</v>
      </c>
      <c r="BC29" s="370"/>
      <c r="BD29" s="371"/>
      <c r="BE29" s="372">
        <f>9000/10</f>
        <v>900</v>
      </c>
      <c r="BF29" s="352">
        <f>AE29+AC29+AZ29+BA29</f>
        <v>9000</v>
      </c>
      <c r="BG29" s="451" t="str">
        <f t="shared" si="2"/>
        <v>Y</v>
      </c>
      <c r="BH29" s="451"/>
      <c r="BI29" s="299"/>
      <c r="BJ29" s="698"/>
      <c r="BK29" s="698"/>
      <c r="BL29" s="303">
        <v>2898</v>
      </c>
      <c r="BM29" s="706"/>
      <c r="BN29" s="373"/>
      <c r="BO29" s="706"/>
      <c r="BP29" s="716"/>
      <c r="BQ29" s="706"/>
      <c r="BR29" s="373"/>
      <c r="BS29" s="373"/>
      <c r="BT29" s="373"/>
      <c r="BU29" s="373"/>
      <c r="BV29" s="318"/>
      <c r="BW29" s="358"/>
      <c r="BX29" s="359" t="s">
        <v>1950</v>
      </c>
      <c r="BY29" s="374"/>
      <c r="BZ29" s="624"/>
      <c r="CA29" s="624"/>
      <c r="CB29" s="624"/>
      <c r="CC29" s="624"/>
      <c r="CD29" s="624"/>
      <c r="CE29" s="624"/>
      <c r="CF29" s="624"/>
      <c r="CG29" s="624"/>
      <c r="CH29" s="624"/>
    </row>
    <row r="30" spans="1:86" s="305" customFormat="1" ht="39" customHeight="1">
      <c r="A30" s="276"/>
      <c r="B30" s="355">
        <v>20</v>
      </c>
      <c r="C30" s="355"/>
      <c r="D30" s="726" t="s">
        <v>1443</v>
      </c>
      <c r="E30" s="356">
        <v>36465</v>
      </c>
      <c r="F30" s="288">
        <v>2000</v>
      </c>
      <c r="G30" s="358">
        <v>17</v>
      </c>
      <c r="H30" s="358"/>
      <c r="I30" s="288">
        <v>1999</v>
      </c>
      <c r="J30" s="288">
        <v>20</v>
      </c>
      <c r="K30" s="358" t="s">
        <v>1211</v>
      </c>
      <c r="L30" s="303" t="s">
        <v>1557</v>
      </c>
      <c r="M30" s="358" t="s">
        <v>1271</v>
      </c>
      <c r="N30" s="290" t="s">
        <v>1965</v>
      </c>
      <c r="O30" s="305" t="s">
        <v>1098</v>
      </c>
      <c r="P30" s="358" t="s">
        <v>1892</v>
      </c>
      <c r="Q30" s="360"/>
      <c r="R30" s="361"/>
      <c r="S30" s="294"/>
      <c r="T30" s="1058"/>
      <c r="U30" s="295"/>
      <c r="V30" s="295"/>
      <c r="W30" s="362"/>
      <c r="X30" s="379"/>
      <c r="Y30" s="293"/>
      <c r="Z30" s="294"/>
      <c r="AA30" s="293"/>
      <c r="AB30" s="365"/>
      <c r="AC30" s="364"/>
      <c r="AD30" s="427"/>
      <c r="AE30" s="299">
        <f>(63000-15000-15000-15000)/2</f>
        <v>9000</v>
      </c>
      <c r="AF30" s="670"/>
      <c r="AG30" s="371">
        <f t="shared" si="0"/>
        <v>9000</v>
      </c>
      <c r="AH30" s="365"/>
      <c r="AI30" s="366"/>
      <c r="AJ30" s="366"/>
      <c r="AK30" s="367"/>
      <c r="AL30" s="363"/>
      <c r="AM30" s="368"/>
      <c r="AN30" s="368"/>
      <c r="AO30" s="368"/>
      <c r="AP30" s="368"/>
      <c r="AQ30" s="368"/>
      <c r="AR30" s="368"/>
      <c r="AS30" s="368"/>
      <c r="AT30" s="368"/>
      <c r="AU30" s="368"/>
      <c r="AV30" s="368"/>
      <c r="AW30" s="368"/>
      <c r="AX30" s="369"/>
      <c r="AY30" s="369"/>
      <c r="AZ30" s="352"/>
      <c r="BA30" s="364"/>
      <c r="BB30" s="299">
        <f t="shared" si="1"/>
        <v>9000</v>
      </c>
      <c r="BC30" s="370"/>
      <c r="BD30" s="371"/>
      <c r="BE30" s="372">
        <f>9000/10</f>
        <v>900</v>
      </c>
      <c r="BF30" s="352">
        <f>AE30+AC30+AZ30+BA30</f>
        <v>9000</v>
      </c>
      <c r="BG30" s="451" t="str">
        <f t="shared" si="2"/>
        <v>Y</v>
      </c>
      <c r="BH30" s="451"/>
      <c r="BI30" s="299"/>
      <c r="BJ30" s="698"/>
      <c r="BK30" s="698"/>
      <c r="BL30" s="303">
        <v>2898</v>
      </c>
      <c r="BM30" s="706"/>
      <c r="BN30" s="373"/>
      <c r="BO30" s="706"/>
      <c r="BP30" s="716"/>
      <c r="BQ30" s="706"/>
      <c r="BR30" s="373"/>
      <c r="BS30" s="373"/>
      <c r="BT30" s="373"/>
      <c r="BU30" s="373"/>
      <c r="BV30" s="304"/>
      <c r="BW30" s="288"/>
      <c r="BX30" s="359" t="s">
        <v>1950</v>
      </c>
      <c r="BY30" s="374"/>
      <c r="BZ30" s="624"/>
      <c r="CA30" s="624"/>
      <c r="CB30" s="624"/>
      <c r="CC30" s="624"/>
      <c r="CD30" s="624"/>
      <c r="CE30" s="624"/>
      <c r="CF30" s="624"/>
      <c r="CG30" s="624"/>
      <c r="CH30" s="624"/>
    </row>
    <row r="31" spans="1:86" s="305" customFormat="1" ht="39" customHeight="1">
      <c r="A31" s="276"/>
      <c r="B31" s="355">
        <v>21</v>
      </c>
      <c r="C31" s="355"/>
      <c r="D31" s="726" t="s">
        <v>1444</v>
      </c>
      <c r="E31" s="356">
        <v>36495</v>
      </c>
      <c r="F31" s="288">
        <v>2000</v>
      </c>
      <c r="G31" s="358">
        <v>18</v>
      </c>
      <c r="H31" s="358"/>
      <c r="I31" s="288">
        <v>1999</v>
      </c>
      <c r="J31" s="288">
        <v>21</v>
      </c>
      <c r="K31" s="358" t="s">
        <v>1211</v>
      </c>
      <c r="L31" s="358" t="s">
        <v>1558</v>
      </c>
      <c r="M31" s="358" t="s">
        <v>1271</v>
      </c>
      <c r="N31" s="359" t="s">
        <v>1877</v>
      </c>
      <c r="O31" s="288" t="s">
        <v>1337</v>
      </c>
      <c r="P31" s="288" t="s">
        <v>1337</v>
      </c>
      <c r="Q31" s="360"/>
      <c r="R31" s="361"/>
      <c r="S31" s="294"/>
      <c r="T31" s="1058"/>
      <c r="U31" s="295"/>
      <c r="V31" s="295"/>
      <c r="W31" s="362"/>
      <c r="X31" s="379"/>
      <c r="Y31" s="293"/>
      <c r="Z31" s="294"/>
      <c r="AA31" s="293"/>
      <c r="AB31" s="365"/>
      <c r="AC31" s="364"/>
      <c r="AD31" s="427"/>
      <c r="AE31" s="299">
        <v>50000</v>
      </c>
      <c r="AF31" s="670"/>
      <c r="AG31" s="371">
        <f t="shared" si="0"/>
        <v>50000</v>
      </c>
      <c r="AH31" s="365">
        <v>23</v>
      </c>
      <c r="AI31" s="366"/>
      <c r="AJ31" s="366"/>
      <c r="AK31" s="367">
        <f>2550+2200+4625+6120+36+1+40000</f>
        <v>55532</v>
      </c>
      <c r="AL31" s="363"/>
      <c r="AM31" s="368">
        <v>2200</v>
      </c>
      <c r="AN31" s="368">
        <v>4625</v>
      </c>
      <c r="AO31" s="368">
        <v>2550</v>
      </c>
      <c r="AP31" s="368"/>
      <c r="AQ31" s="368">
        <v>36</v>
      </c>
      <c r="AR31" s="368"/>
      <c r="AS31" s="368">
        <v>6120</v>
      </c>
      <c r="AT31" s="368"/>
      <c r="AU31" s="368">
        <v>40000</v>
      </c>
      <c r="AV31" s="368"/>
      <c r="AW31" s="368">
        <v>7</v>
      </c>
      <c r="AX31" s="369"/>
      <c r="AY31" s="369"/>
      <c r="AZ31" s="352">
        <v>506000</v>
      </c>
      <c r="BA31" s="364">
        <v>500000</v>
      </c>
      <c r="BB31" s="299">
        <f t="shared" si="1"/>
        <v>1056000</v>
      </c>
      <c r="BC31" s="370"/>
      <c r="BD31" s="371"/>
      <c r="BE31" s="372">
        <f>40000*3</f>
        <v>120000</v>
      </c>
      <c r="BF31" s="352">
        <f>BB31+BD31+BC31</f>
        <v>1056000</v>
      </c>
      <c r="BG31" s="451" t="str">
        <f t="shared" si="2"/>
        <v>Y</v>
      </c>
      <c r="BH31" s="451"/>
      <c r="BI31" s="299"/>
      <c r="BJ31" s="698"/>
      <c r="BK31" s="698"/>
      <c r="BL31" s="303">
        <v>2912</v>
      </c>
      <c r="BM31" s="706"/>
      <c r="BN31" s="373"/>
      <c r="BO31" s="706"/>
      <c r="BP31" s="716"/>
      <c r="BQ31" s="706"/>
      <c r="BR31" s="373"/>
      <c r="BS31" s="373"/>
      <c r="BT31" s="373"/>
      <c r="BU31" s="373"/>
      <c r="BV31" s="382"/>
      <c r="BW31" s="288"/>
      <c r="BX31" s="359"/>
      <c r="BY31" s="374" t="s">
        <v>1225</v>
      </c>
      <c r="BZ31" s="624"/>
      <c r="CA31" s="624"/>
      <c r="CB31" s="624"/>
      <c r="CC31" s="624"/>
      <c r="CD31" s="624"/>
      <c r="CE31" s="624"/>
      <c r="CF31" s="624"/>
      <c r="CG31" s="624"/>
      <c r="CH31" s="624"/>
    </row>
    <row r="32" spans="1:86" s="305" customFormat="1" ht="39" customHeight="1">
      <c r="A32" s="276"/>
      <c r="B32" s="348">
        <v>22</v>
      </c>
      <c r="C32" s="348"/>
      <c r="D32" s="726" t="s">
        <v>1445</v>
      </c>
      <c r="E32" s="356">
        <v>36557</v>
      </c>
      <c r="F32" s="288">
        <v>2000</v>
      </c>
      <c r="G32" s="288">
        <v>19</v>
      </c>
      <c r="H32" s="288"/>
      <c r="I32" s="288">
        <v>2000</v>
      </c>
      <c r="J32" s="288">
        <v>1</v>
      </c>
      <c r="K32" s="288" t="s">
        <v>1210</v>
      </c>
      <c r="L32" s="303" t="s">
        <v>1559</v>
      </c>
      <c r="M32" s="358" t="s">
        <v>1271</v>
      </c>
      <c r="N32" s="359" t="s">
        <v>1877</v>
      </c>
      <c r="O32" s="288" t="s">
        <v>1337</v>
      </c>
      <c r="P32" s="288" t="s">
        <v>1337</v>
      </c>
      <c r="Q32" s="360"/>
      <c r="R32" s="361"/>
      <c r="S32" s="294"/>
      <c r="T32" s="1058"/>
      <c r="U32" s="295"/>
      <c r="V32" s="295"/>
      <c r="W32" s="362"/>
      <c r="X32" s="379"/>
      <c r="Y32" s="293"/>
      <c r="Z32" s="294"/>
      <c r="AA32" s="293"/>
      <c r="AB32" s="365">
        <f t="shared" ref="AB32:AB37" si="5">COUNTIF(AC32, "&gt;49999")</f>
        <v>0</v>
      </c>
      <c r="AC32" s="364">
        <f>70000/3</f>
        <v>23333.333333333332</v>
      </c>
      <c r="AD32" s="427"/>
      <c r="AE32" s="299"/>
      <c r="AF32" s="670"/>
      <c r="AG32" s="371">
        <f t="shared" si="0"/>
        <v>23333.333333333332</v>
      </c>
      <c r="AH32" s="383">
        <v>0</v>
      </c>
      <c r="AI32" s="384"/>
      <c r="AJ32" s="384"/>
      <c r="AK32" s="367"/>
      <c r="AL32" s="363"/>
      <c r="AM32" s="368"/>
      <c r="AN32" s="368"/>
      <c r="AO32" s="368"/>
      <c r="AP32" s="368"/>
      <c r="AQ32" s="368"/>
      <c r="AR32" s="368"/>
      <c r="AS32" s="368"/>
      <c r="AT32" s="368"/>
      <c r="AU32" s="368"/>
      <c r="AV32" s="368"/>
      <c r="AW32" s="368"/>
      <c r="AX32" s="369"/>
      <c r="AY32" s="369"/>
      <c r="AZ32" s="385"/>
      <c r="BA32" s="364"/>
      <c r="BB32" s="299">
        <f t="shared" si="1"/>
        <v>23333.333333333332</v>
      </c>
      <c r="BC32" s="370"/>
      <c r="BD32" s="371"/>
      <c r="BE32" s="386">
        <v>2300</v>
      </c>
      <c r="BF32" s="352">
        <f>BB32+BD32+BC32</f>
        <v>23333.333333333332</v>
      </c>
      <c r="BG32" s="451" t="str">
        <f t="shared" si="2"/>
        <v>Y</v>
      </c>
      <c r="BH32" s="451"/>
      <c r="BI32" s="299"/>
      <c r="BJ32" s="698"/>
      <c r="BK32" s="698"/>
      <c r="BL32" s="303">
        <v>2898</v>
      </c>
      <c r="BM32" s="706"/>
      <c r="BN32" s="373"/>
      <c r="BO32" s="706"/>
      <c r="BP32" s="716"/>
      <c r="BQ32" s="706"/>
      <c r="BR32" s="373"/>
      <c r="BS32" s="373"/>
      <c r="BT32" s="373"/>
      <c r="BU32" s="373"/>
      <c r="BV32" s="304"/>
      <c r="BW32" s="288"/>
      <c r="BX32" s="359"/>
      <c r="BY32" s="374" t="s">
        <v>1560</v>
      </c>
      <c r="BZ32" s="624"/>
      <c r="CA32" s="624"/>
      <c r="CB32" s="624"/>
      <c r="CC32" s="624"/>
      <c r="CD32" s="624"/>
      <c r="CE32" s="624"/>
      <c r="CF32" s="624"/>
      <c r="CG32" s="624"/>
      <c r="CH32" s="624"/>
    </row>
    <row r="33" spans="1:86" s="305" customFormat="1" ht="39" customHeight="1">
      <c r="A33" s="276"/>
      <c r="B33" s="348">
        <v>22</v>
      </c>
      <c r="C33" s="348"/>
      <c r="D33" s="726" t="s">
        <v>1446</v>
      </c>
      <c r="E33" s="356">
        <v>36557</v>
      </c>
      <c r="F33" s="288">
        <v>2000</v>
      </c>
      <c r="G33" s="288">
        <v>19</v>
      </c>
      <c r="H33" s="288"/>
      <c r="I33" s="288">
        <v>2000</v>
      </c>
      <c r="J33" s="288">
        <v>1</v>
      </c>
      <c r="K33" s="288" t="s">
        <v>1210</v>
      </c>
      <c r="L33" s="303" t="s">
        <v>1561</v>
      </c>
      <c r="M33" s="358" t="s">
        <v>1271</v>
      </c>
      <c r="N33" s="359" t="s">
        <v>1877</v>
      </c>
      <c r="O33" s="288" t="s">
        <v>1337</v>
      </c>
      <c r="P33" s="288" t="s">
        <v>1337</v>
      </c>
      <c r="Q33" s="360"/>
      <c r="R33" s="361"/>
      <c r="S33" s="294"/>
      <c r="T33" s="1058"/>
      <c r="U33" s="295"/>
      <c r="V33" s="295"/>
      <c r="W33" s="362"/>
      <c r="X33" s="379"/>
      <c r="Y33" s="293"/>
      <c r="Z33" s="294"/>
      <c r="AA33" s="293"/>
      <c r="AB33" s="365">
        <f t="shared" si="5"/>
        <v>0</v>
      </c>
      <c r="AC33" s="364">
        <f>70000/3</f>
        <v>23333.333333333332</v>
      </c>
      <c r="AD33" s="427"/>
      <c r="AE33" s="299"/>
      <c r="AF33" s="670"/>
      <c r="AG33" s="371">
        <f t="shared" si="0"/>
        <v>23333.333333333332</v>
      </c>
      <c r="AH33" s="383"/>
      <c r="AI33" s="384"/>
      <c r="AJ33" s="384"/>
      <c r="AK33" s="367"/>
      <c r="AL33" s="363"/>
      <c r="AM33" s="368"/>
      <c r="AN33" s="368"/>
      <c r="AO33" s="368"/>
      <c r="AP33" s="368"/>
      <c r="AQ33" s="368"/>
      <c r="AR33" s="368"/>
      <c r="AS33" s="368"/>
      <c r="AT33" s="368"/>
      <c r="AU33" s="368"/>
      <c r="AV33" s="368"/>
      <c r="AW33" s="368"/>
      <c r="AX33" s="369"/>
      <c r="AY33" s="369"/>
      <c r="AZ33" s="385"/>
      <c r="BA33" s="364"/>
      <c r="BB33" s="299">
        <f t="shared" si="1"/>
        <v>23333.333333333332</v>
      </c>
      <c r="BC33" s="370"/>
      <c r="BD33" s="371"/>
      <c r="BE33" s="386">
        <v>2300</v>
      </c>
      <c r="BF33" s="352">
        <f>BB33+BD33+BC33</f>
        <v>23333.333333333332</v>
      </c>
      <c r="BG33" s="451" t="str">
        <f t="shared" si="2"/>
        <v>Y</v>
      </c>
      <c r="BH33" s="451"/>
      <c r="BI33" s="299"/>
      <c r="BJ33" s="698"/>
      <c r="BK33" s="698"/>
      <c r="BL33" s="303">
        <v>2898</v>
      </c>
      <c r="BM33" s="706"/>
      <c r="BN33" s="373"/>
      <c r="BO33" s="706"/>
      <c r="BP33" s="716"/>
      <c r="BQ33" s="706"/>
      <c r="BR33" s="373"/>
      <c r="BS33" s="373"/>
      <c r="BT33" s="373"/>
      <c r="BU33" s="373"/>
      <c r="BV33" s="304"/>
      <c r="BW33" s="288"/>
      <c r="BX33" s="359"/>
      <c r="BY33" s="374" t="s">
        <v>1560</v>
      </c>
      <c r="BZ33" s="624"/>
      <c r="CA33" s="624"/>
      <c r="CB33" s="624"/>
      <c r="CC33" s="624"/>
      <c r="CD33" s="624"/>
      <c r="CE33" s="624"/>
      <c r="CF33" s="624"/>
      <c r="CG33" s="624"/>
      <c r="CH33" s="624"/>
    </row>
    <row r="34" spans="1:86" s="305" customFormat="1" ht="39" customHeight="1">
      <c r="A34" s="276"/>
      <c r="B34" s="348">
        <v>22</v>
      </c>
      <c r="C34" s="348"/>
      <c r="D34" s="726" t="s">
        <v>1447</v>
      </c>
      <c r="E34" s="356">
        <v>36557</v>
      </c>
      <c r="F34" s="288">
        <v>2000</v>
      </c>
      <c r="G34" s="288">
        <v>19</v>
      </c>
      <c r="H34" s="288"/>
      <c r="I34" s="288">
        <v>2000</v>
      </c>
      <c r="J34" s="288">
        <v>1</v>
      </c>
      <c r="K34" s="288" t="s">
        <v>1210</v>
      </c>
      <c r="L34" s="303" t="s">
        <v>1562</v>
      </c>
      <c r="M34" s="358" t="s">
        <v>1271</v>
      </c>
      <c r="N34" s="359" t="s">
        <v>1877</v>
      </c>
      <c r="O34" s="288" t="s">
        <v>1337</v>
      </c>
      <c r="P34" s="288" t="s">
        <v>1337</v>
      </c>
      <c r="Q34" s="360"/>
      <c r="R34" s="361"/>
      <c r="S34" s="294"/>
      <c r="T34" s="1058"/>
      <c r="U34" s="295"/>
      <c r="V34" s="295"/>
      <c r="W34" s="362"/>
      <c r="X34" s="379"/>
      <c r="Y34" s="293"/>
      <c r="Z34" s="294"/>
      <c r="AA34" s="293"/>
      <c r="AB34" s="365">
        <f t="shared" si="5"/>
        <v>0</v>
      </c>
      <c r="AC34" s="364">
        <f>(70000/3)+0.01</f>
        <v>23333.343333333331</v>
      </c>
      <c r="AD34" s="427"/>
      <c r="AE34" s="299"/>
      <c r="AF34" s="670"/>
      <c r="AG34" s="371">
        <f t="shared" si="0"/>
        <v>23333.343333333331</v>
      </c>
      <c r="AH34" s="383"/>
      <c r="AI34" s="384"/>
      <c r="AJ34" s="384"/>
      <c r="AK34" s="367"/>
      <c r="AL34" s="363"/>
      <c r="AM34" s="368"/>
      <c r="AN34" s="368"/>
      <c r="AO34" s="368"/>
      <c r="AP34" s="368"/>
      <c r="AQ34" s="368"/>
      <c r="AR34" s="368"/>
      <c r="AS34" s="368"/>
      <c r="AT34" s="368"/>
      <c r="AU34" s="368"/>
      <c r="AV34" s="368"/>
      <c r="AW34" s="368"/>
      <c r="AX34" s="369"/>
      <c r="AY34" s="369"/>
      <c r="AZ34" s="385"/>
      <c r="BA34" s="364"/>
      <c r="BB34" s="299">
        <f t="shared" si="1"/>
        <v>23333.343333333331</v>
      </c>
      <c r="BC34" s="370"/>
      <c r="BD34" s="371"/>
      <c r="BE34" s="386">
        <v>2300</v>
      </c>
      <c r="BF34" s="352">
        <f>BB34+BD34+BC34</f>
        <v>23333.343333333331</v>
      </c>
      <c r="BG34" s="451" t="str">
        <f t="shared" si="2"/>
        <v>Y</v>
      </c>
      <c r="BH34" s="451"/>
      <c r="BI34" s="299"/>
      <c r="BJ34" s="698"/>
      <c r="BK34" s="698"/>
      <c r="BL34" s="303">
        <v>2898</v>
      </c>
      <c r="BM34" s="706"/>
      <c r="BN34" s="373"/>
      <c r="BO34" s="706"/>
      <c r="BP34" s="716"/>
      <c r="BQ34" s="706"/>
      <c r="BR34" s="373"/>
      <c r="BS34" s="373"/>
      <c r="BT34" s="373"/>
      <c r="BU34" s="373"/>
      <c r="BV34" s="304"/>
      <c r="BW34" s="288"/>
      <c r="BX34" s="359"/>
      <c r="BY34" s="374" t="s">
        <v>1560</v>
      </c>
      <c r="BZ34" s="624"/>
      <c r="CA34" s="624"/>
      <c r="CB34" s="624"/>
      <c r="CC34" s="624"/>
      <c r="CD34" s="624"/>
      <c r="CE34" s="624"/>
      <c r="CF34" s="624"/>
      <c r="CG34" s="624"/>
      <c r="CH34" s="624"/>
    </row>
    <row r="35" spans="1:86" s="305" customFormat="1" ht="39" customHeight="1">
      <c r="A35" s="276"/>
      <c r="B35" s="348">
        <f t="shared" ref="B35:B42" si="6">B34+1</f>
        <v>23</v>
      </c>
      <c r="C35" s="348"/>
      <c r="D35" s="726" t="s">
        <v>1448</v>
      </c>
      <c r="E35" s="349">
        <v>36586</v>
      </c>
      <c r="F35" s="288">
        <v>2000</v>
      </c>
      <c r="G35" s="288">
        <v>21</v>
      </c>
      <c r="H35" s="288"/>
      <c r="I35" s="288">
        <v>2000</v>
      </c>
      <c r="J35" s="288">
        <v>3</v>
      </c>
      <c r="K35" s="288" t="s">
        <v>1210</v>
      </c>
      <c r="L35" s="288" t="s">
        <v>1564</v>
      </c>
      <c r="M35" s="358" t="s">
        <v>1271</v>
      </c>
      <c r="N35" s="290" t="s">
        <v>1877</v>
      </c>
      <c r="O35" s="288" t="s">
        <v>1337</v>
      </c>
      <c r="P35" s="288" t="s">
        <v>1337</v>
      </c>
      <c r="Q35" s="375"/>
      <c r="R35" s="361"/>
      <c r="S35" s="294"/>
      <c r="T35" s="1058"/>
      <c r="U35" s="295"/>
      <c r="V35" s="295"/>
      <c r="W35" s="362"/>
      <c r="X35" s="379"/>
      <c r="Y35" s="293"/>
      <c r="Z35" s="294"/>
      <c r="AA35" s="293"/>
      <c r="AB35" s="365">
        <f t="shared" si="5"/>
        <v>0</v>
      </c>
      <c r="AC35" s="387">
        <v>25000</v>
      </c>
      <c r="AD35" s="587"/>
      <c r="AE35" s="298"/>
      <c r="AF35" s="677"/>
      <c r="AG35" s="371">
        <f t="shared" si="0"/>
        <v>25000</v>
      </c>
      <c r="AH35" s="383">
        <v>0</v>
      </c>
      <c r="AI35" s="384"/>
      <c r="AJ35" s="384"/>
      <c r="AK35" s="388"/>
      <c r="AL35" s="389"/>
      <c r="AM35" s="302"/>
      <c r="AN35" s="302"/>
      <c r="AO35" s="302"/>
      <c r="AP35" s="302"/>
      <c r="AQ35" s="302"/>
      <c r="AR35" s="302"/>
      <c r="AS35" s="302"/>
      <c r="AT35" s="302"/>
      <c r="AU35" s="302"/>
      <c r="AV35" s="302"/>
      <c r="AW35" s="302"/>
      <c r="AX35" s="390"/>
      <c r="AY35" s="390"/>
      <c r="AZ35" s="385"/>
      <c r="BA35" s="364"/>
      <c r="BB35" s="299">
        <f t="shared" si="1"/>
        <v>25000</v>
      </c>
      <c r="BC35" s="370"/>
      <c r="BD35" s="371"/>
      <c r="BE35" s="386">
        <v>2500</v>
      </c>
      <c r="BF35" s="352">
        <f>BB35+BD35+BC35</f>
        <v>25000</v>
      </c>
      <c r="BG35" s="451" t="str">
        <f t="shared" si="2"/>
        <v>Y</v>
      </c>
      <c r="BH35" s="451"/>
      <c r="BI35" s="299"/>
      <c r="BJ35" s="698"/>
      <c r="BK35" s="698"/>
      <c r="BL35" s="300">
        <v>2898</v>
      </c>
      <c r="BM35" s="707"/>
      <c r="BN35" s="391"/>
      <c r="BO35" s="707"/>
      <c r="BP35" s="717"/>
      <c r="BQ35" s="707"/>
      <c r="BR35" s="391"/>
      <c r="BS35" s="391"/>
      <c r="BT35" s="391"/>
      <c r="BU35" s="391"/>
      <c r="BV35" s="304"/>
      <c r="BW35" s="288"/>
      <c r="BX35" s="290"/>
      <c r="BY35" s="374" t="s">
        <v>1946</v>
      </c>
      <c r="BZ35" s="624"/>
      <c r="CA35" s="624"/>
      <c r="CB35" s="624"/>
      <c r="CC35" s="624"/>
      <c r="CD35" s="624"/>
      <c r="CE35" s="624"/>
      <c r="CF35" s="624"/>
      <c r="CG35" s="624"/>
      <c r="CH35" s="624"/>
    </row>
    <row r="36" spans="1:86" s="305" customFormat="1" ht="39" customHeight="1">
      <c r="A36" s="276"/>
      <c r="B36" s="348">
        <f t="shared" si="6"/>
        <v>24</v>
      </c>
      <c r="C36" s="348"/>
      <c r="D36" s="726" t="s">
        <v>1800</v>
      </c>
      <c r="E36" s="349">
        <v>36617</v>
      </c>
      <c r="F36" s="288">
        <v>2000</v>
      </c>
      <c r="G36" s="288">
        <v>22</v>
      </c>
      <c r="H36" s="288"/>
      <c r="I36" s="288">
        <v>2000</v>
      </c>
      <c r="J36" s="288">
        <v>4</v>
      </c>
      <c r="K36" s="288" t="s">
        <v>1210</v>
      </c>
      <c r="L36" s="288" t="s">
        <v>1873</v>
      </c>
      <c r="M36" s="358" t="s">
        <v>1271</v>
      </c>
      <c r="N36" s="290" t="s">
        <v>1874</v>
      </c>
      <c r="O36" s="288" t="s">
        <v>1874</v>
      </c>
      <c r="P36" s="288" t="s">
        <v>1874</v>
      </c>
      <c r="Q36" s="375"/>
      <c r="R36" s="361"/>
      <c r="S36" s="294"/>
      <c r="T36" s="1058"/>
      <c r="U36" s="295"/>
      <c r="V36" s="295"/>
      <c r="W36" s="362"/>
      <c r="X36" s="379"/>
      <c r="Y36" s="293"/>
      <c r="Z36" s="294"/>
      <c r="AA36" s="293"/>
      <c r="AB36" s="365">
        <f t="shared" si="5"/>
        <v>1</v>
      </c>
      <c r="AC36" s="387">
        <v>100000</v>
      </c>
      <c r="AD36" s="587"/>
      <c r="AE36" s="298"/>
      <c r="AF36" s="677"/>
      <c r="AG36" s="371">
        <f t="shared" si="0"/>
        <v>100000</v>
      </c>
      <c r="AH36" s="383">
        <v>0</v>
      </c>
      <c r="AI36" s="384"/>
      <c r="AJ36" s="384"/>
      <c r="AK36" s="388"/>
      <c r="AL36" s="389"/>
      <c r="AM36" s="302"/>
      <c r="AN36" s="302"/>
      <c r="AO36" s="302"/>
      <c r="AP36" s="302"/>
      <c r="AQ36" s="302"/>
      <c r="AR36" s="302"/>
      <c r="AS36" s="302"/>
      <c r="AT36" s="302"/>
      <c r="AU36" s="302"/>
      <c r="AV36" s="302"/>
      <c r="AW36" s="302"/>
      <c r="AX36" s="390"/>
      <c r="AY36" s="390"/>
      <c r="AZ36" s="385"/>
      <c r="BA36" s="364"/>
      <c r="BB36" s="299">
        <f t="shared" si="1"/>
        <v>100000</v>
      </c>
      <c r="BC36" s="370"/>
      <c r="BD36" s="371"/>
      <c r="BE36" s="386">
        <f>(BF36/6311180)*150000</f>
        <v>2376.7346201502733</v>
      </c>
      <c r="BF36" s="352">
        <f>AE36+AC36+AZ36+BA36</f>
        <v>100000</v>
      </c>
      <c r="BG36" s="451" t="str">
        <f t="shared" si="2"/>
        <v>Y</v>
      </c>
      <c r="BH36" s="451"/>
      <c r="BI36" s="299"/>
      <c r="BJ36" s="698"/>
      <c r="BK36" s="698"/>
      <c r="BL36" s="300">
        <v>2898</v>
      </c>
      <c r="BM36" s="707"/>
      <c r="BN36" s="391"/>
      <c r="BO36" s="707"/>
      <c r="BP36" s="717"/>
      <c r="BQ36" s="707"/>
      <c r="BR36" s="391"/>
      <c r="BS36" s="391"/>
      <c r="BT36" s="391"/>
      <c r="BU36" s="391"/>
      <c r="BV36" s="304"/>
      <c r="BW36" s="288"/>
      <c r="BX36" s="290"/>
      <c r="BY36" s="374"/>
      <c r="BZ36" s="624"/>
      <c r="CA36" s="624"/>
      <c r="CB36" s="624"/>
      <c r="CC36" s="624"/>
      <c r="CD36" s="624"/>
      <c r="CE36" s="624"/>
      <c r="CF36" s="624"/>
      <c r="CG36" s="624"/>
      <c r="CH36" s="624"/>
    </row>
    <row r="37" spans="1:86" s="305" customFormat="1" ht="39" customHeight="1">
      <c r="A37" s="276"/>
      <c r="B37" s="348">
        <f t="shared" si="6"/>
        <v>25</v>
      </c>
      <c r="C37" s="348"/>
      <c r="D37" s="726" t="s">
        <v>1449</v>
      </c>
      <c r="E37" s="349">
        <v>36678</v>
      </c>
      <c r="F37" s="288">
        <v>2000</v>
      </c>
      <c r="G37" s="288">
        <v>23</v>
      </c>
      <c r="H37" s="288"/>
      <c r="I37" s="288">
        <v>2000</v>
      </c>
      <c r="J37" s="288">
        <v>5</v>
      </c>
      <c r="K37" s="288" t="s">
        <v>570</v>
      </c>
      <c r="L37" s="288" t="s">
        <v>1565</v>
      </c>
      <c r="M37" s="358" t="s">
        <v>1961</v>
      </c>
      <c r="N37" s="290" t="s">
        <v>1884</v>
      </c>
      <c r="O37" s="288" t="s">
        <v>1884</v>
      </c>
      <c r="P37" s="288" t="s">
        <v>1884</v>
      </c>
      <c r="Q37" s="375"/>
      <c r="R37" s="361"/>
      <c r="S37" s="294"/>
      <c r="T37" s="1058"/>
      <c r="U37" s="295"/>
      <c r="V37" s="295"/>
      <c r="W37" s="362"/>
      <c r="X37" s="379"/>
      <c r="Y37" s="293"/>
      <c r="Z37" s="294"/>
      <c r="AA37" s="293"/>
      <c r="AB37" s="365">
        <f t="shared" si="5"/>
        <v>1</v>
      </c>
      <c r="AC37" s="387">
        <v>50000</v>
      </c>
      <c r="AD37" s="587"/>
      <c r="AE37" s="298"/>
      <c r="AF37" s="677"/>
      <c r="AG37" s="371">
        <f t="shared" si="0"/>
        <v>50000</v>
      </c>
      <c r="AH37" s="383">
        <v>2</v>
      </c>
      <c r="AI37" s="384"/>
      <c r="AJ37" s="384"/>
      <c r="AK37" s="388"/>
      <c r="AL37" s="389"/>
      <c r="AM37" s="302"/>
      <c r="AN37" s="302"/>
      <c r="AO37" s="302"/>
      <c r="AP37" s="302"/>
      <c r="AQ37" s="302"/>
      <c r="AR37" s="302"/>
      <c r="AS37" s="302"/>
      <c r="AT37" s="302"/>
      <c r="AU37" s="302"/>
      <c r="AV37" s="302"/>
      <c r="AW37" s="302"/>
      <c r="AX37" s="390"/>
      <c r="AY37" s="390"/>
      <c r="AZ37" s="385"/>
      <c r="BA37" s="364"/>
      <c r="BB37" s="299">
        <f t="shared" si="1"/>
        <v>50000</v>
      </c>
      <c r="BC37" s="370"/>
      <c r="BD37" s="371"/>
      <c r="BE37" s="386">
        <v>3300</v>
      </c>
      <c r="BF37" s="352">
        <f>AE37+AC37+AZ37+BA37</f>
        <v>50000</v>
      </c>
      <c r="BG37" s="451" t="str">
        <f t="shared" si="2"/>
        <v>Y</v>
      </c>
      <c r="BH37" s="451"/>
      <c r="BI37" s="299"/>
      <c r="BJ37" s="698"/>
      <c r="BK37" s="698"/>
      <c r="BL37" s="300">
        <v>2898</v>
      </c>
      <c r="BM37" s="707"/>
      <c r="BN37" s="391"/>
      <c r="BO37" s="707"/>
      <c r="BP37" s="717"/>
      <c r="BQ37" s="707"/>
      <c r="BR37" s="391"/>
      <c r="BS37" s="391"/>
      <c r="BT37" s="391"/>
      <c r="BU37" s="391"/>
      <c r="BV37" s="382"/>
      <c r="BW37" s="288"/>
      <c r="BX37" s="290"/>
      <c r="BY37" s="374" t="s">
        <v>1566</v>
      </c>
      <c r="BZ37" s="624"/>
      <c r="CA37" s="624"/>
      <c r="CB37" s="624"/>
      <c r="CC37" s="624"/>
      <c r="CD37" s="624"/>
      <c r="CE37" s="624"/>
      <c r="CF37" s="624"/>
      <c r="CG37" s="624"/>
      <c r="CH37" s="624"/>
    </row>
    <row r="38" spans="1:86" s="305" customFormat="1" ht="39" customHeight="1">
      <c r="A38" s="276"/>
      <c r="B38" s="348">
        <f t="shared" si="6"/>
        <v>26</v>
      </c>
      <c r="C38" s="348"/>
      <c r="D38" s="726" t="s">
        <v>1830</v>
      </c>
      <c r="E38" s="349">
        <v>36739</v>
      </c>
      <c r="F38" s="288">
        <v>2001</v>
      </c>
      <c r="G38" s="288">
        <v>1</v>
      </c>
      <c r="H38" s="288"/>
      <c r="I38" s="288">
        <v>2000</v>
      </c>
      <c r="J38" s="288">
        <v>6</v>
      </c>
      <c r="K38" s="288" t="s">
        <v>570</v>
      </c>
      <c r="L38" s="288" t="s">
        <v>1944</v>
      </c>
      <c r="M38" s="358" t="s">
        <v>1271</v>
      </c>
      <c r="N38" s="290" t="s">
        <v>1877</v>
      </c>
      <c r="O38" s="288" t="s">
        <v>1337</v>
      </c>
      <c r="P38" s="288" t="s">
        <v>1337</v>
      </c>
      <c r="Q38" s="375"/>
      <c r="R38" s="361"/>
      <c r="S38" s="294"/>
      <c r="T38" s="1058"/>
      <c r="U38" s="295"/>
      <c r="V38" s="295"/>
      <c r="W38" s="392"/>
      <c r="X38" s="393"/>
      <c r="Y38" s="293"/>
      <c r="Z38" s="294"/>
      <c r="AA38" s="293"/>
      <c r="AB38" s="383"/>
      <c r="AC38" s="387"/>
      <c r="AD38" s="587"/>
      <c r="AE38" s="298"/>
      <c r="AF38" s="677"/>
      <c r="AG38" s="371">
        <f t="shared" si="0"/>
        <v>0</v>
      </c>
      <c r="AH38" s="383">
        <v>9</v>
      </c>
      <c r="AI38" s="384"/>
      <c r="AJ38" s="384"/>
      <c r="AK38" s="388">
        <v>5000</v>
      </c>
      <c r="AL38" s="389"/>
      <c r="AM38" s="302"/>
      <c r="AN38" s="302"/>
      <c r="AO38" s="302"/>
      <c r="AP38" s="302"/>
      <c r="AQ38" s="302"/>
      <c r="AR38" s="302"/>
      <c r="AS38" s="302"/>
      <c r="AT38" s="302"/>
      <c r="AU38" s="302">
        <v>5000</v>
      </c>
      <c r="AV38" s="302"/>
      <c r="AW38" s="302">
        <v>5</v>
      </c>
      <c r="AX38" s="390"/>
      <c r="AY38" s="390"/>
      <c r="AZ38" s="385">
        <v>199200</v>
      </c>
      <c r="BA38" s="387">
        <v>190065</v>
      </c>
      <c r="BB38" s="299">
        <f t="shared" si="1"/>
        <v>389265</v>
      </c>
      <c r="BC38" s="394"/>
      <c r="BD38" s="395"/>
      <c r="BE38" s="386">
        <f>5000*5</f>
        <v>25000</v>
      </c>
      <c r="BF38" s="352">
        <f t="shared" ref="BF38:BF43" si="7">BB38+BD38+BC38</f>
        <v>389265</v>
      </c>
      <c r="BG38" s="451" t="str">
        <f t="shared" si="2"/>
        <v>Y</v>
      </c>
      <c r="BH38" s="451"/>
      <c r="BI38" s="299"/>
      <c r="BJ38" s="698"/>
      <c r="BK38" s="698"/>
      <c r="BL38" s="300">
        <v>4901</v>
      </c>
      <c r="BM38" s="707"/>
      <c r="BN38" s="391"/>
      <c r="BO38" s="707"/>
      <c r="BP38" s="717"/>
      <c r="BQ38" s="707"/>
      <c r="BR38" s="391"/>
      <c r="BS38" s="391"/>
      <c r="BT38" s="391"/>
      <c r="BU38" s="391"/>
      <c r="BV38" s="304"/>
      <c r="BW38" s="288"/>
      <c r="BX38" s="290"/>
      <c r="BY38" s="374" t="s">
        <v>1567</v>
      </c>
      <c r="BZ38" s="624"/>
      <c r="CA38" s="624"/>
      <c r="CB38" s="624"/>
      <c r="CC38" s="624"/>
      <c r="CD38" s="624"/>
      <c r="CE38" s="624"/>
      <c r="CF38" s="624"/>
      <c r="CG38" s="624"/>
      <c r="CH38" s="624"/>
    </row>
    <row r="39" spans="1:86" s="425" customFormat="1" ht="39" customHeight="1">
      <c r="A39" s="593"/>
      <c r="B39" s="396">
        <f t="shared" si="6"/>
        <v>27</v>
      </c>
      <c r="C39" s="912"/>
      <c r="D39" s="727" t="s">
        <v>88</v>
      </c>
      <c r="E39" s="397">
        <v>36739</v>
      </c>
      <c r="F39" s="398">
        <v>2001</v>
      </c>
      <c r="G39" s="398">
        <v>2</v>
      </c>
      <c r="H39" s="398"/>
      <c r="I39" s="398">
        <v>2000</v>
      </c>
      <c r="J39" s="398">
        <v>7</v>
      </c>
      <c r="K39" s="398" t="s">
        <v>570</v>
      </c>
      <c r="L39" s="398" t="s">
        <v>1943</v>
      </c>
      <c r="M39" s="358" t="s">
        <v>1271</v>
      </c>
      <c r="N39" s="399" t="s">
        <v>1877</v>
      </c>
      <c r="O39" s="398" t="s">
        <v>1337</v>
      </c>
      <c r="P39" s="398" t="s">
        <v>1337</v>
      </c>
      <c r="Q39" s="400"/>
      <c r="R39" s="401"/>
      <c r="S39" s="402"/>
      <c r="T39" s="1059"/>
      <c r="U39" s="403"/>
      <c r="V39" s="403"/>
      <c r="W39" s="404"/>
      <c r="X39" s="405"/>
      <c r="Y39" s="406"/>
      <c r="Z39" s="402"/>
      <c r="AA39" s="406"/>
      <c r="AB39" s="407"/>
      <c r="AC39" s="408"/>
      <c r="AD39" s="1045"/>
      <c r="AE39" s="409">
        <v>25000</v>
      </c>
      <c r="AF39" s="678"/>
      <c r="AG39" s="420">
        <f t="shared" si="0"/>
        <v>25000</v>
      </c>
      <c r="AH39" s="407">
        <v>0</v>
      </c>
      <c r="AI39" s="411"/>
      <c r="AJ39" s="411"/>
      <c r="AK39" s="412"/>
      <c r="AL39" s="413"/>
      <c r="AM39" s="414"/>
      <c r="AN39" s="414"/>
      <c r="AO39" s="414"/>
      <c r="AP39" s="414"/>
      <c r="AQ39" s="414"/>
      <c r="AR39" s="414"/>
      <c r="AS39" s="414"/>
      <c r="AT39" s="414"/>
      <c r="AU39" s="414"/>
      <c r="AV39" s="414"/>
      <c r="AW39" s="414"/>
      <c r="AX39" s="415"/>
      <c r="AY39" s="415"/>
      <c r="AZ39" s="416"/>
      <c r="BA39" s="417"/>
      <c r="BB39" s="418">
        <f t="shared" si="1"/>
        <v>25000</v>
      </c>
      <c r="BC39" s="419"/>
      <c r="BD39" s="420"/>
      <c r="BE39" s="421">
        <v>2500</v>
      </c>
      <c r="BF39" s="410">
        <f t="shared" si="7"/>
        <v>25000</v>
      </c>
      <c r="BG39" s="451" t="str">
        <f t="shared" si="2"/>
        <v>Y</v>
      </c>
      <c r="BH39" s="451"/>
      <c r="BI39" s="299"/>
      <c r="BJ39" s="698"/>
      <c r="BK39" s="698"/>
      <c r="BL39" s="300">
        <v>2898</v>
      </c>
      <c r="BM39" s="708"/>
      <c r="BN39" s="422"/>
      <c r="BO39" s="708"/>
      <c r="BP39" s="718"/>
      <c r="BQ39" s="708"/>
      <c r="BR39" s="422"/>
      <c r="BS39" s="422"/>
      <c r="BT39" s="422"/>
      <c r="BU39" s="422"/>
      <c r="BV39" s="424"/>
      <c r="BW39" s="398"/>
      <c r="BX39" s="399"/>
      <c r="BY39" s="423" t="s">
        <v>1568</v>
      </c>
      <c r="BZ39" s="665"/>
      <c r="CA39" s="665"/>
      <c r="CB39" s="665"/>
      <c r="CC39" s="665"/>
      <c r="CD39" s="665"/>
      <c r="CE39" s="665"/>
      <c r="CF39" s="665"/>
      <c r="CG39" s="665"/>
      <c r="CH39" s="665"/>
    </row>
    <row r="40" spans="1:86" s="305" customFormat="1" ht="39" customHeight="1">
      <c r="A40" s="277"/>
      <c r="B40" s="292">
        <f t="shared" si="6"/>
        <v>28</v>
      </c>
      <c r="C40" s="913"/>
      <c r="D40" s="726" t="s">
        <v>1404</v>
      </c>
      <c r="E40" s="349">
        <v>36770</v>
      </c>
      <c r="F40" s="288">
        <v>2001</v>
      </c>
      <c r="G40" s="288">
        <v>3</v>
      </c>
      <c r="H40" s="288"/>
      <c r="I40" s="288">
        <v>2000</v>
      </c>
      <c r="J40" s="288">
        <v>8</v>
      </c>
      <c r="K40" s="288" t="s">
        <v>570</v>
      </c>
      <c r="L40" s="288" t="s">
        <v>1889</v>
      </c>
      <c r="M40" s="358" t="s">
        <v>1271</v>
      </c>
      <c r="N40" s="290" t="s">
        <v>1877</v>
      </c>
      <c r="O40" s="288" t="s">
        <v>1339</v>
      </c>
      <c r="P40" s="288" t="s">
        <v>1339</v>
      </c>
      <c r="Q40" s="301"/>
      <c r="R40" s="294"/>
      <c r="S40" s="294"/>
      <c r="T40" s="1058"/>
      <c r="U40" s="295"/>
      <c r="V40" s="295"/>
      <c r="W40" s="426"/>
      <c r="X40" s="330"/>
      <c r="Y40" s="293"/>
      <c r="Z40" s="294"/>
      <c r="AA40" s="293"/>
      <c r="AB40" s="288"/>
      <c r="AC40" s="298"/>
      <c r="AD40" s="587"/>
      <c r="AE40" s="298">
        <f>25000+25000+302704</f>
        <v>352704</v>
      </c>
      <c r="AF40" s="298"/>
      <c r="AG40" s="427">
        <f t="shared" si="0"/>
        <v>352704</v>
      </c>
      <c r="AH40" s="288">
        <v>0</v>
      </c>
      <c r="AI40" s="300"/>
      <c r="AJ40" s="300"/>
      <c r="AK40" s="301"/>
      <c r="AL40" s="301"/>
      <c r="AM40" s="302"/>
      <c r="AN40" s="302"/>
      <c r="AO40" s="302"/>
      <c r="AP40" s="302"/>
      <c r="AQ40" s="302"/>
      <c r="AR40" s="302"/>
      <c r="AS40" s="302"/>
      <c r="AT40" s="302"/>
      <c r="AU40" s="302"/>
      <c r="AV40" s="302"/>
      <c r="AW40" s="302"/>
      <c r="AX40" s="302"/>
      <c r="AY40" s="302"/>
      <c r="AZ40" s="298"/>
      <c r="BA40" s="299"/>
      <c r="BB40" s="299">
        <f t="shared" si="1"/>
        <v>352704</v>
      </c>
      <c r="BC40" s="427"/>
      <c r="BD40" s="427"/>
      <c r="BE40" s="428">
        <f>(529*5)+(1000*5)+(5000*5)</f>
        <v>32645</v>
      </c>
      <c r="BF40" s="299">
        <f t="shared" si="7"/>
        <v>352704</v>
      </c>
      <c r="BG40" s="451" t="str">
        <f t="shared" si="2"/>
        <v>Y</v>
      </c>
      <c r="BH40" s="451"/>
      <c r="BI40" s="299"/>
      <c r="BJ40" s="698"/>
      <c r="BK40" s="698"/>
      <c r="BL40" s="300" t="s">
        <v>1570</v>
      </c>
      <c r="BM40" s="709"/>
      <c r="BN40" s="300"/>
      <c r="BO40" s="709"/>
      <c r="BP40" s="586"/>
      <c r="BQ40" s="709"/>
      <c r="BR40" s="300"/>
      <c r="BS40" s="300"/>
      <c r="BT40" s="300"/>
      <c r="BU40" s="300"/>
      <c r="BV40" s="304"/>
      <c r="BW40" s="288"/>
      <c r="BX40" s="290" t="s">
        <v>1569</v>
      </c>
      <c r="BY40" s="374" t="s">
        <v>119</v>
      </c>
      <c r="BZ40" s="624"/>
      <c r="CA40" s="624"/>
      <c r="CB40" s="624"/>
      <c r="CC40" s="624"/>
      <c r="CD40" s="624"/>
      <c r="CE40" s="624"/>
      <c r="CF40" s="624"/>
      <c r="CG40" s="624"/>
      <c r="CH40" s="624"/>
    </row>
    <row r="41" spans="1:86" s="305" customFormat="1" ht="39" customHeight="1">
      <c r="A41" s="277"/>
      <c r="B41" s="292">
        <f t="shared" si="6"/>
        <v>29</v>
      </c>
      <c r="C41" s="913"/>
      <c r="D41" s="726" t="s">
        <v>560</v>
      </c>
      <c r="E41" s="349">
        <v>36770</v>
      </c>
      <c r="F41" s="288">
        <v>2001</v>
      </c>
      <c r="G41" s="288">
        <v>4</v>
      </c>
      <c r="H41" s="288"/>
      <c r="I41" s="288">
        <v>2000</v>
      </c>
      <c r="J41" s="288">
        <v>9</v>
      </c>
      <c r="K41" s="288" t="s">
        <v>570</v>
      </c>
      <c r="L41" s="288" t="s">
        <v>1947</v>
      </c>
      <c r="M41" s="358" t="s">
        <v>1271</v>
      </c>
      <c r="N41" s="290" t="s">
        <v>1877</v>
      </c>
      <c r="O41" s="288" t="s">
        <v>1339</v>
      </c>
      <c r="P41" s="288" t="s">
        <v>1339</v>
      </c>
      <c r="Q41" s="301"/>
      <c r="R41" s="294"/>
      <c r="S41" s="294"/>
      <c r="T41" s="1058"/>
      <c r="U41" s="295"/>
      <c r="V41" s="295"/>
      <c r="W41" s="426"/>
      <c r="X41" s="330"/>
      <c r="Y41" s="293"/>
      <c r="Z41" s="294"/>
      <c r="AA41" s="293"/>
      <c r="AB41" s="288"/>
      <c r="AC41" s="298"/>
      <c r="AD41" s="587"/>
      <c r="AE41" s="298"/>
      <c r="AF41" s="298"/>
      <c r="AG41" s="427">
        <f t="shared" si="0"/>
        <v>0</v>
      </c>
      <c r="AH41" s="288">
        <v>0</v>
      </c>
      <c r="AI41" s="300"/>
      <c r="AJ41" s="300"/>
      <c r="AK41" s="301">
        <v>1000</v>
      </c>
      <c r="AL41" s="301"/>
      <c r="AM41" s="302"/>
      <c r="AN41" s="302"/>
      <c r="AO41" s="302"/>
      <c r="AP41" s="302"/>
      <c r="AQ41" s="302"/>
      <c r="AR41" s="302"/>
      <c r="AS41" s="302"/>
      <c r="AT41" s="302"/>
      <c r="AU41" s="302"/>
      <c r="AV41" s="302"/>
      <c r="AW41" s="302"/>
      <c r="AX41" s="302"/>
      <c r="AY41" s="302"/>
      <c r="AZ41" s="298">
        <v>20000</v>
      </c>
      <c r="BA41" s="299"/>
      <c r="BB41" s="299">
        <f t="shared" si="1"/>
        <v>20000</v>
      </c>
      <c r="BC41" s="427"/>
      <c r="BD41" s="427"/>
      <c r="BE41" s="428">
        <f>1000*3.5</f>
        <v>3500</v>
      </c>
      <c r="BF41" s="299">
        <f t="shared" si="7"/>
        <v>20000</v>
      </c>
      <c r="BG41" s="451" t="str">
        <f t="shared" si="2"/>
        <v>Y</v>
      </c>
      <c r="BH41" s="451"/>
      <c r="BI41" s="299"/>
      <c r="BJ41" s="698"/>
      <c r="BK41" s="698"/>
      <c r="BL41" s="300">
        <v>2898</v>
      </c>
      <c r="BM41" s="709"/>
      <c r="BN41" s="300"/>
      <c r="BO41" s="709"/>
      <c r="BP41" s="586"/>
      <c r="BQ41" s="709"/>
      <c r="BR41" s="300"/>
      <c r="BS41" s="300"/>
      <c r="BT41" s="300"/>
      <c r="BU41" s="300"/>
      <c r="BV41" s="304"/>
      <c r="BW41" s="288"/>
      <c r="BX41" s="290" t="s">
        <v>1569</v>
      </c>
      <c r="BY41" s="374" t="s">
        <v>120</v>
      </c>
      <c r="BZ41" s="624"/>
      <c r="CA41" s="624"/>
      <c r="CB41" s="624"/>
      <c r="CC41" s="624"/>
      <c r="CD41" s="624"/>
      <c r="CE41" s="624"/>
      <c r="CF41" s="624"/>
      <c r="CG41" s="624"/>
      <c r="CH41" s="624"/>
    </row>
    <row r="42" spans="1:86" s="305" customFormat="1" ht="39" customHeight="1">
      <c r="A42" s="277"/>
      <c r="B42" s="292">
        <f t="shared" si="6"/>
        <v>30</v>
      </c>
      <c r="C42" s="913"/>
      <c r="D42" s="726" t="s">
        <v>1450</v>
      </c>
      <c r="E42" s="349">
        <v>36800</v>
      </c>
      <c r="F42" s="288">
        <v>2001</v>
      </c>
      <c r="G42" s="288">
        <v>5</v>
      </c>
      <c r="H42" s="288"/>
      <c r="I42" s="288">
        <v>2000</v>
      </c>
      <c r="J42" s="288">
        <v>10</v>
      </c>
      <c r="K42" s="288" t="s">
        <v>1211</v>
      </c>
      <c r="L42" s="288" t="s">
        <v>121</v>
      </c>
      <c r="M42" s="358" t="s">
        <v>1271</v>
      </c>
      <c r="N42" s="290" t="s">
        <v>1965</v>
      </c>
      <c r="O42" s="288" t="s">
        <v>1098</v>
      </c>
      <c r="P42" s="288" t="s">
        <v>1892</v>
      </c>
      <c r="Q42" s="301"/>
      <c r="R42" s="294"/>
      <c r="S42" s="294"/>
      <c r="T42" s="1058"/>
      <c r="U42" s="295"/>
      <c r="V42" s="295"/>
      <c r="W42" s="426"/>
      <c r="X42" s="330"/>
      <c r="Y42" s="293"/>
      <c r="Z42" s="294"/>
      <c r="AA42" s="293"/>
      <c r="AB42" s="288"/>
      <c r="AC42" s="298"/>
      <c r="AD42" s="587"/>
      <c r="AE42" s="298">
        <v>28500</v>
      </c>
      <c r="AF42" s="298"/>
      <c r="AG42" s="427">
        <f t="shared" si="0"/>
        <v>28500</v>
      </c>
      <c r="AH42" s="288">
        <v>5</v>
      </c>
      <c r="AI42" s="300"/>
      <c r="AJ42" s="300"/>
      <c r="AK42" s="301"/>
      <c r="AL42" s="301"/>
      <c r="AM42" s="302"/>
      <c r="AN42" s="302"/>
      <c r="AO42" s="302"/>
      <c r="AP42" s="302"/>
      <c r="AQ42" s="302"/>
      <c r="AR42" s="302"/>
      <c r="AS42" s="302"/>
      <c r="AT42" s="302"/>
      <c r="AU42" s="302">
        <v>2600</v>
      </c>
      <c r="AV42" s="302"/>
      <c r="AW42" s="302"/>
      <c r="AX42" s="302"/>
      <c r="AY42" s="302"/>
      <c r="AZ42" s="298">
        <v>90000</v>
      </c>
      <c r="BA42" s="299"/>
      <c r="BB42" s="299">
        <f t="shared" si="1"/>
        <v>118500</v>
      </c>
      <c r="BC42" s="427"/>
      <c r="BD42" s="427"/>
      <c r="BE42" s="428">
        <f>2600*5</f>
        <v>13000</v>
      </c>
      <c r="BF42" s="299">
        <f t="shared" si="7"/>
        <v>118500</v>
      </c>
      <c r="BG42" s="451" t="str">
        <f t="shared" si="2"/>
        <v>Y</v>
      </c>
      <c r="BH42" s="451"/>
      <c r="BI42" s="299"/>
      <c r="BJ42" s="698"/>
      <c r="BK42" s="698"/>
      <c r="BL42" s="300">
        <v>4903</v>
      </c>
      <c r="BM42" s="709"/>
      <c r="BN42" s="300"/>
      <c r="BO42" s="709"/>
      <c r="BP42" s="586"/>
      <c r="BQ42" s="709"/>
      <c r="BR42" s="300"/>
      <c r="BS42" s="300"/>
      <c r="BT42" s="300"/>
      <c r="BU42" s="300"/>
      <c r="BV42" s="304"/>
      <c r="BW42" s="288"/>
      <c r="BX42" s="290" t="s">
        <v>122</v>
      </c>
      <c r="BY42" s="374" t="s">
        <v>123</v>
      </c>
      <c r="BZ42" s="624"/>
      <c r="CA42" s="624"/>
      <c r="CB42" s="624"/>
      <c r="CC42" s="624"/>
      <c r="CD42" s="624"/>
      <c r="CE42" s="624"/>
      <c r="CF42" s="624"/>
      <c r="CG42" s="624"/>
      <c r="CH42" s="624"/>
    </row>
    <row r="43" spans="1:86" s="305" customFormat="1" ht="39" customHeight="1">
      <c r="A43" s="277"/>
      <c r="B43" s="292">
        <v>32</v>
      </c>
      <c r="C43" s="913"/>
      <c r="D43" s="726" t="s">
        <v>1451</v>
      </c>
      <c r="E43" s="349">
        <v>36800</v>
      </c>
      <c r="F43" s="288">
        <v>2001</v>
      </c>
      <c r="G43" s="288">
        <v>6</v>
      </c>
      <c r="H43" s="288"/>
      <c r="I43" s="288">
        <v>2000</v>
      </c>
      <c r="J43" s="288">
        <v>11</v>
      </c>
      <c r="K43" s="358" t="s">
        <v>570</v>
      </c>
      <c r="L43" s="358" t="s">
        <v>124</v>
      </c>
      <c r="M43" s="358" t="s">
        <v>1273</v>
      </c>
      <c r="N43" s="359" t="s">
        <v>1940</v>
      </c>
      <c r="O43" s="288" t="s">
        <v>1940</v>
      </c>
      <c r="P43" s="358" t="s">
        <v>1940</v>
      </c>
      <c r="Q43" s="301"/>
      <c r="R43" s="294"/>
      <c r="S43" s="294"/>
      <c r="T43" s="1058"/>
      <c r="U43" s="295"/>
      <c r="V43" s="295"/>
      <c r="W43" s="426"/>
      <c r="X43" s="330"/>
      <c r="Y43" s="293"/>
      <c r="Z43" s="294"/>
      <c r="AA43" s="293"/>
      <c r="AB43" s="288"/>
      <c r="AC43" s="298"/>
      <c r="AD43" s="587"/>
      <c r="AE43" s="298">
        <v>40000</v>
      </c>
      <c r="AF43" s="298"/>
      <c r="AG43" s="427">
        <f t="shared" si="0"/>
        <v>40000</v>
      </c>
      <c r="AH43" s="288"/>
      <c r="AI43" s="300"/>
      <c r="AJ43" s="300"/>
      <c r="AK43" s="301"/>
      <c r="AL43" s="301"/>
      <c r="AM43" s="302"/>
      <c r="AN43" s="302"/>
      <c r="AO43" s="302"/>
      <c r="AP43" s="302"/>
      <c r="AQ43" s="302"/>
      <c r="AR43" s="302"/>
      <c r="AS43" s="302"/>
      <c r="AT43" s="302"/>
      <c r="AU43" s="302"/>
      <c r="AV43" s="302"/>
      <c r="AW43" s="302"/>
      <c r="AX43" s="302"/>
      <c r="AY43" s="302"/>
      <c r="AZ43" s="298">
        <v>0</v>
      </c>
      <c r="BA43" s="299"/>
      <c r="BB43" s="299">
        <f t="shared" si="1"/>
        <v>40000</v>
      </c>
      <c r="BC43" s="427"/>
      <c r="BD43" s="427"/>
      <c r="BE43" s="428"/>
      <c r="BF43" s="299">
        <f t="shared" si="7"/>
        <v>40000</v>
      </c>
      <c r="BG43" s="451" t="str">
        <f t="shared" si="2"/>
        <v>Y</v>
      </c>
      <c r="BH43" s="451"/>
      <c r="BI43" s="299"/>
      <c r="BJ43" s="698"/>
      <c r="BK43" s="698"/>
      <c r="BL43" s="300">
        <v>2898</v>
      </c>
      <c r="BM43" s="709"/>
      <c r="BN43" s="300"/>
      <c r="BO43" s="709"/>
      <c r="BP43" s="586"/>
      <c r="BQ43" s="709"/>
      <c r="BR43" s="300"/>
      <c r="BS43" s="300"/>
      <c r="BT43" s="300"/>
      <c r="BU43" s="300"/>
      <c r="BV43" s="304"/>
      <c r="BW43" s="288"/>
      <c r="BX43" s="290"/>
      <c r="BY43" s="374" t="s">
        <v>125</v>
      </c>
      <c r="BZ43" s="624"/>
      <c r="CA43" s="624"/>
      <c r="CB43" s="624"/>
      <c r="CC43" s="624"/>
      <c r="CD43" s="624"/>
      <c r="CE43" s="624"/>
      <c r="CF43" s="624"/>
      <c r="CG43" s="624"/>
      <c r="CH43" s="624"/>
    </row>
    <row r="44" spans="1:86" s="305" customFormat="1" ht="39" customHeight="1">
      <c r="A44" s="277"/>
      <c r="B44" s="292">
        <v>32</v>
      </c>
      <c r="C44" s="913"/>
      <c r="D44" s="726" t="s">
        <v>1452</v>
      </c>
      <c r="E44" s="349">
        <v>36800</v>
      </c>
      <c r="F44" s="288">
        <v>2001</v>
      </c>
      <c r="G44" s="288">
        <v>6</v>
      </c>
      <c r="H44" s="288"/>
      <c r="I44" s="288">
        <v>2000</v>
      </c>
      <c r="J44" s="288">
        <v>11</v>
      </c>
      <c r="K44" s="358" t="s">
        <v>570</v>
      </c>
      <c r="L44" s="358" t="s">
        <v>126</v>
      </c>
      <c r="M44" s="358" t="s">
        <v>1273</v>
      </c>
      <c r="N44" s="359" t="s">
        <v>1940</v>
      </c>
      <c r="O44" s="288" t="s">
        <v>1940</v>
      </c>
      <c r="P44" s="358" t="s">
        <v>1940</v>
      </c>
      <c r="Q44" s="301"/>
      <c r="R44" s="294"/>
      <c r="S44" s="294"/>
      <c r="T44" s="1058"/>
      <c r="U44" s="295"/>
      <c r="V44" s="295"/>
      <c r="W44" s="426"/>
      <c r="X44" s="330"/>
      <c r="Y44" s="293"/>
      <c r="Z44" s="294"/>
      <c r="AA44" s="293"/>
      <c r="AB44" s="288"/>
      <c r="AC44" s="298"/>
      <c r="AD44" s="587"/>
      <c r="AE44" s="298"/>
      <c r="AF44" s="298"/>
      <c r="AG44" s="427">
        <f t="shared" si="0"/>
        <v>0</v>
      </c>
      <c r="AH44" s="288"/>
      <c r="AI44" s="300"/>
      <c r="AJ44" s="300"/>
      <c r="AK44" s="301"/>
      <c r="AL44" s="301"/>
      <c r="AM44" s="302"/>
      <c r="AN44" s="302"/>
      <c r="AO44" s="302"/>
      <c r="AP44" s="302"/>
      <c r="AQ44" s="302"/>
      <c r="AR44" s="302"/>
      <c r="AS44" s="302"/>
      <c r="AT44" s="302"/>
      <c r="AU44" s="302"/>
      <c r="AV44" s="302"/>
      <c r="AW44" s="302">
        <v>1</v>
      </c>
      <c r="AX44" s="302"/>
      <c r="AY44" s="302"/>
      <c r="AZ44" s="298">
        <v>172000</v>
      </c>
      <c r="BA44" s="299"/>
      <c r="BB44" s="299">
        <f t="shared" si="1"/>
        <v>172000</v>
      </c>
      <c r="BC44" s="427"/>
      <c r="BD44" s="427"/>
      <c r="BE44" s="428"/>
      <c r="BF44" s="299">
        <f>AE44+AC44+AZ44+BA44</f>
        <v>172000</v>
      </c>
      <c r="BG44" s="451" t="str">
        <f t="shared" si="2"/>
        <v>Y</v>
      </c>
      <c r="BH44" s="451"/>
      <c r="BI44" s="299"/>
      <c r="BJ44" s="698"/>
      <c r="BK44" s="698"/>
      <c r="BL44" s="300">
        <v>2898</v>
      </c>
      <c r="BM44" s="709"/>
      <c r="BN44" s="300"/>
      <c r="BO44" s="709"/>
      <c r="BP44" s="586"/>
      <c r="BQ44" s="709"/>
      <c r="BR44" s="300"/>
      <c r="BS44" s="300"/>
      <c r="BT44" s="300"/>
      <c r="BU44" s="300"/>
      <c r="BV44" s="304"/>
      <c r="BW44" s="288"/>
      <c r="BX44" s="290"/>
      <c r="BY44" s="374" t="s">
        <v>127</v>
      </c>
      <c r="BZ44" s="624"/>
      <c r="CA44" s="624"/>
      <c r="CB44" s="624"/>
      <c r="CC44" s="624"/>
      <c r="CD44" s="624"/>
      <c r="CE44" s="624"/>
      <c r="CF44" s="624"/>
      <c r="CG44" s="624"/>
      <c r="CH44" s="624"/>
    </row>
    <row r="45" spans="1:86" s="347" customFormat="1" ht="39" customHeight="1">
      <c r="A45" s="591"/>
      <c r="B45" s="320">
        <v>32</v>
      </c>
      <c r="C45" s="320"/>
      <c r="D45" s="725" t="s">
        <v>1453</v>
      </c>
      <c r="E45" s="429">
        <v>36800</v>
      </c>
      <c r="F45" s="322">
        <v>2001</v>
      </c>
      <c r="G45" s="322">
        <v>6</v>
      </c>
      <c r="H45" s="322"/>
      <c r="I45" s="322">
        <v>2000</v>
      </c>
      <c r="J45" s="322">
        <v>11</v>
      </c>
      <c r="K45" s="323" t="s">
        <v>570</v>
      </c>
      <c r="L45" s="430" t="s">
        <v>974</v>
      </c>
      <c r="M45" s="430" t="s">
        <v>1273</v>
      </c>
      <c r="N45" s="345" t="s">
        <v>1940</v>
      </c>
      <c r="O45" s="322" t="s">
        <v>1940</v>
      </c>
      <c r="P45" s="430" t="s">
        <v>1940</v>
      </c>
      <c r="Q45" s="351"/>
      <c r="R45" s="326"/>
      <c r="S45" s="327"/>
      <c r="T45" s="1057"/>
      <c r="U45" s="328"/>
      <c r="V45" s="328"/>
      <c r="W45" s="329"/>
      <c r="X45" s="431"/>
      <c r="Y45" s="332"/>
      <c r="Z45" s="327"/>
      <c r="AA45" s="332"/>
      <c r="AB45" s="432"/>
      <c r="AC45" s="433"/>
      <c r="AD45" s="1046"/>
      <c r="AE45" s="434"/>
      <c r="AF45" s="679"/>
      <c r="AG45" s="342">
        <f t="shared" si="0"/>
        <v>0</v>
      </c>
      <c r="AH45" s="432">
        <v>0</v>
      </c>
      <c r="AI45" s="435"/>
      <c r="AJ45" s="435"/>
      <c r="AK45" s="436"/>
      <c r="AL45" s="437"/>
      <c r="AM45" s="438"/>
      <c r="AN45" s="438"/>
      <c r="AO45" s="438"/>
      <c r="AP45" s="438"/>
      <c r="AQ45" s="438"/>
      <c r="AR45" s="438"/>
      <c r="AS45" s="438"/>
      <c r="AT45" s="438"/>
      <c r="AU45" s="438"/>
      <c r="AV45" s="438"/>
      <c r="AW45" s="438">
        <v>2</v>
      </c>
      <c r="AX45" s="439"/>
      <c r="AY45" s="439"/>
      <c r="AZ45" s="440">
        <v>90000</v>
      </c>
      <c r="BA45" s="333"/>
      <c r="BB45" s="334">
        <f t="shared" si="1"/>
        <v>90000</v>
      </c>
      <c r="BC45" s="341"/>
      <c r="BD45" s="342"/>
      <c r="BE45" s="441">
        <v>10000</v>
      </c>
      <c r="BF45" s="335">
        <f>AE45+AC45+AZ45+BA45</f>
        <v>90000</v>
      </c>
      <c r="BG45" s="451" t="str">
        <f t="shared" si="2"/>
        <v>Y</v>
      </c>
      <c r="BH45" s="451"/>
      <c r="BI45" s="299"/>
      <c r="BJ45" s="698"/>
      <c r="BK45" s="698"/>
      <c r="BL45" s="300">
        <v>2898</v>
      </c>
      <c r="BM45" s="710"/>
      <c r="BN45" s="442"/>
      <c r="BO45" s="710"/>
      <c r="BP45" s="719"/>
      <c r="BQ45" s="710"/>
      <c r="BR45" s="442"/>
      <c r="BS45" s="442"/>
      <c r="BT45" s="442"/>
      <c r="BU45" s="442"/>
      <c r="BV45" s="353"/>
      <c r="BW45" s="322"/>
      <c r="BX45" s="350"/>
      <c r="BY45" s="345" t="s">
        <v>128</v>
      </c>
      <c r="BZ45" s="664"/>
      <c r="CA45" s="664"/>
      <c r="CB45" s="664"/>
      <c r="CC45" s="664"/>
      <c r="CD45" s="664"/>
      <c r="CE45" s="664"/>
      <c r="CF45" s="664"/>
      <c r="CG45" s="664"/>
      <c r="CH45" s="664"/>
    </row>
    <row r="46" spans="1:86" s="305" customFormat="1" ht="39" customHeight="1">
      <c r="A46" s="276"/>
      <c r="B46" s="348">
        <f>B43+1</f>
        <v>33</v>
      </c>
      <c r="C46" s="348"/>
      <c r="D46" s="726" t="s">
        <v>1454</v>
      </c>
      <c r="E46" s="349">
        <v>36831</v>
      </c>
      <c r="F46" s="288">
        <v>2001</v>
      </c>
      <c r="G46" s="288">
        <v>7</v>
      </c>
      <c r="H46" s="288"/>
      <c r="I46" s="288">
        <v>2000</v>
      </c>
      <c r="J46" s="288">
        <v>12</v>
      </c>
      <c r="K46" s="288" t="s">
        <v>570</v>
      </c>
      <c r="L46" s="288" t="s">
        <v>1934</v>
      </c>
      <c r="M46" s="288" t="s">
        <v>1273</v>
      </c>
      <c r="N46" s="290" t="s">
        <v>1970</v>
      </c>
      <c r="O46" s="288" t="s">
        <v>1296</v>
      </c>
      <c r="P46" s="288" t="s">
        <v>1296</v>
      </c>
      <c r="Q46" s="375"/>
      <c r="R46" s="361"/>
      <c r="S46" s="294"/>
      <c r="T46" s="1058"/>
      <c r="U46" s="295"/>
      <c r="V46" s="295"/>
      <c r="W46" s="392"/>
      <c r="X46" s="393"/>
      <c r="Y46" s="293"/>
      <c r="Z46" s="294"/>
      <c r="AA46" s="293"/>
      <c r="AB46" s="383"/>
      <c r="AC46" s="387"/>
      <c r="AD46" s="587"/>
      <c r="AE46" s="298"/>
      <c r="AF46" s="677"/>
      <c r="AG46" s="371">
        <f t="shared" si="0"/>
        <v>0</v>
      </c>
      <c r="AH46" s="365">
        <v>1</v>
      </c>
      <c r="AI46" s="366"/>
      <c r="AJ46" s="366"/>
      <c r="AK46" s="388"/>
      <c r="AL46" s="389"/>
      <c r="AM46" s="302"/>
      <c r="AN46" s="302"/>
      <c r="AO46" s="302"/>
      <c r="AP46" s="302"/>
      <c r="AQ46" s="302"/>
      <c r="AR46" s="302"/>
      <c r="AS46" s="302"/>
      <c r="AT46" s="302"/>
      <c r="AU46" s="302"/>
      <c r="AV46" s="302"/>
      <c r="AW46" s="302"/>
      <c r="AX46" s="390"/>
      <c r="AY46" s="390"/>
      <c r="AZ46" s="385"/>
      <c r="BA46" s="387">
        <v>7500</v>
      </c>
      <c r="BB46" s="299">
        <f t="shared" si="1"/>
        <v>7500</v>
      </c>
      <c r="BC46" s="394"/>
      <c r="BD46" s="395"/>
      <c r="BE46" s="386">
        <v>300</v>
      </c>
      <c r="BF46" s="352">
        <f t="shared" ref="BF46:BF51" si="8">BB46+BD46+BC46</f>
        <v>7500</v>
      </c>
      <c r="BG46" s="451" t="str">
        <f t="shared" si="2"/>
        <v>Y</v>
      </c>
      <c r="BH46" s="451"/>
      <c r="BI46" s="299"/>
      <c r="BJ46" s="698"/>
      <c r="BK46" s="698"/>
      <c r="BL46" s="300">
        <v>2898</v>
      </c>
      <c r="BM46" s="707"/>
      <c r="BN46" s="391"/>
      <c r="BO46" s="707"/>
      <c r="BP46" s="717"/>
      <c r="BQ46" s="707"/>
      <c r="BR46" s="391"/>
      <c r="BS46" s="391"/>
      <c r="BT46" s="391"/>
      <c r="BU46" s="391"/>
      <c r="BV46" s="304"/>
      <c r="BW46" s="288"/>
      <c r="BX46" s="290" t="s">
        <v>1340</v>
      </c>
      <c r="BY46" s="374" t="s">
        <v>129</v>
      </c>
      <c r="BZ46" s="624"/>
      <c r="CA46" s="624"/>
      <c r="CB46" s="624"/>
      <c r="CC46" s="624"/>
      <c r="CD46" s="624"/>
      <c r="CE46" s="624"/>
      <c r="CF46" s="624"/>
      <c r="CG46" s="624"/>
      <c r="CH46" s="624"/>
    </row>
    <row r="47" spans="1:86" s="305" customFormat="1" ht="39" customHeight="1">
      <c r="A47" s="276"/>
      <c r="B47" s="348">
        <f t="shared" ref="B47:B64" si="9">B46+1</f>
        <v>34</v>
      </c>
      <c r="C47" s="348"/>
      <c r="D47" s="726" t="s">
        <v>1455</v>
      </c>
      <c r="E47" s="349">
        <v>36831</v>
      </c>
      <c r="F47" s="288">
        <v>2001</v>
      </c>
      <c r="G47" s="288">
        <v>8</v>
      </c>
      <c r="H47" s="288"/>
      <c r="I47" s="288">
        <v>2000</v>
      </c>
      <c r="J47" s="288">
        <v>13</v>
      </c>
      <c r="K47" s="358" t="s">
        <v>570</v>
      </c>
      <c r="L47" s="288" t="s">
        <v>130</v>
      </c>
      <c r="M47" s="288" t="s">
        <v>1273</v>
      </c>
      <c r="N47" s="290" t="s">
        <v>633</v>
      </c>
      <c r="O47" s="288" t="s">
        <v>1593</v>
      </c>
      <c r="P47" s="288" t="s">
        <v>1593</v>
      </c>
      <c r="Q47" s="375"/>
      <c r="R47" s="361"/>
      <c r="S47" s="294"/>
      <c r="T47" s="1058"/>
      <c r="U47" s="295"/>
      <c r="V47" s="295"/>
      <c r="W47" s="392"/>
      <c r="X47" s="393"/>
      <c r="Y47" s="293"/>
      <c r="Z47" s="294"/>
      <c r="AA47" s="293"/>
      <c r="AB47" s="383"/>
      <c r="AC47" s="387"/>
      <c r="AD47" s="587"/>
      <c r="AE47" s="298"/>
      <c r="AF47" s="677"/>
      <c r="AG47" s="371">
        <f t="shared" si="0"/>
        <v>0</v>
      </c>
      <c r="AH47" s="443">
        <v>0</v>
      </c>
      <c r="AI47" s="444"/>
      <c r="AJ47" s="444"/>
      <c r="AK47" s="388"/>
      <c r="AL47" s="389"/>
      <c r="AM47" s="302"/>
      <c r="AN47" s="302"/>
      <c r="AO47" s="302"/>
      <c r="AP47" s="302"/>
      <c r="AQ47" s="302"/>
      <c r="AR47" s="302"/>
      <c r="AS47" s="302"/>
      <c r="AT47" s="302"/>
      <c r="AU47" s="302"/>
      <c r="AV47" s="302"/>
      <c r="AW47" s="302"/>
      <c r="AX47" s="390"/>
      <c r="AY47" s="390"/>
      <c r="AZ47" s="385"/>
      <c r="BA47" s="387">
        <v>2577.8000000000002</v>
      </c>
      <c r="BB47" s="299">
        <f t="shared" si="1"/>
        <v>2577.8000000000002</v>
      </c>
      <c r="BC47" s="394"/>
      <c r="BD47" s="395"/>
      <c r="BE47" s="445">
        <v>3</v>
      </c>
      <c r="BF47" s="352">
        <f t="shared" si="8"/>
        <v>2577.8000000000002</v>
      </c>
      <c r="BG47" s="451" t="str">
        <f t="shared" si="2"/>
        <v>Y</v>
      </c>
      <c r="BH47" s="451"/>
      <c r="BI47" s="299"/>
      <c r="BJ47" s="698"/>
      <c r="BK47" s="698"/>
      <c r="BL47" s="300">
        <v>2898</v>
      </c>
      <c r="BM47" s="707"/>
      <c r="BN47" s="391"/>
      <c r="BO47" s="707"/>
      <c r="BP47" s="717"/>
      <c r="BQ47" s="707"/>
      <c r="BR47" s="391"/>
      <c r="BS47" s="391"/>
      <c r="BT47" s="391"/>
      <c r="BU47" s="391"/>
      <c r="BV47" s="304"/>
      <c r="BW47" s="288"/>
      <c r="BX47" s="290" t="s">
        <v>131</v>
      </c>
      <c r="BY47" s="374" t="s">
        <v>132</v>
      </c>
      <c r="BZ47" s="624"/>
      <c r="CA47" s="624"/>
      <c r="CB47" s="624"/>
      <c r="CC47" s="624"/>
      <c r="CD47" s="624"/>
      <c r="CE47" s="624"/>
      <c r="CF47" s="624"/>
      <c r="CG47" s="624"/>
      <c r="CH47" s="624"/>
    </row>
    <row r="48" spans="1:86" s="305" customFormat="1" ht="39" customHeight="1">
      <c r="A48" s="276"/>
      <c r="B48" s="348">
        <f t="shared" si="9"/>
        <v>35</v>
      </c>
      <c r="C48" s="348"/>
      <c r="D48" s="726" t="s">
        <v>1456</v>
      </c>
      <c r="E48" s="349">
        <v>36831</v>
      </c>
      <c r="F48" s="288">
        <v>2001</v>
      </c>
      <c r="G48" s="288">
        <v>9</v>
      </c>
      <c r="H48" s="288"/>
      <c r="I48" s="288">
        <v>2000</v>
      </c>
      <c r="J48" s="288">
        <v>14</v>
      </c>
      <c r="K48" s="358" t="s">
        <v>570</v>
      </c>
      <c r="L48" s="288" t="s">
        <v>412</v>
      </c>
      <c r="M48" s="358" t="s">
        <v>1961</v>
      </c>
      <c r="N48" s="290" t="s">
        <v>1884</v>
      </c>
      <c r="O48" s="288" t="s">
        <v>1884</v>
      </c>
      <c r="P48" s="288" t="s">
        <v>1884</v>
      </c>
      <c r="Q48" s="375"/>
      <c r="R48" s="361"/>
      <c r="S48" s="294"/>
      <c r="T48" s="1058"/>
      <c r="U48" s="295"/>
      <c r="V48" s="295"/>
      <c r="W48" s="392"/>
      <c r="X48" s="393"/>
      <c r="Y48" s="293"/>
      <c r="Z48" s="294"/>
      <c r="AA48" s="293"/>
      <c r="AB48" s="383"/>
      <c r="AC48" s="387"/>
      <c r="AD48" s="587"/>
      <c r="AE48" s="298"/>
      <c r="AF48" s="677"/>
      <c r="AG48" s="371">
        <f t="shared" si="0"/>
        <v>0</v>
      </c>
      <c r="AH48" s="383">
        <v>1</v>
      </c>
      <c r="AI48" s="384"/>
      <c r="AJ48" s="384"/>
      <c r="AK48" s="388"/>
      <c r="AL48" s="389"/>
      <c r="AM48" s="302"/>
      <c r="AN48" s="302"/>
      <c r="AO48" s="302"/>
      <c r="AP48" s="302"/>
      <c r="AQ48" s="302"/>
      <c r="AR48" s="302"/>
      <c r="AS48" s="302"/>
      <c r="AT48" s="302"/>
      <c r="AU48" s="302"/>
      <c r="AV48" s="302"/>
      <c r="AW48" s="302"/>
      <c r="AX48" s="390"/>
      <c r="AY48" s="390"/>
      <c r="AZ48" s="385">
        <v>25000</v>
      </c>
      <c r="BA48" s="387">
        <v>5500</v>
      </c>
      <c r="BB48" s="299">
        <f t="shared" si="1"/>
        <v>30500</v>
      </c>
      <c r="BC48" s="394"/>
      <c r="BD48" s="395"/>
      <c r="BE48" s="445">
        <v>3050</v>
      </c>
      <c r="BF48" s="352">
        <f t="shared" si="8"/>
        <v>30500</v>
      </c>
      <c r="BG48" s="451" t="str">
        <f t="shared" si="2"/>
        <v>Y</v>
      </c>
      <c r="BH48" s="451"/>
      <c r="BI48" s="299"/>
      <c r="BJ48" s="698"/>
      <c r="BK48" s="698"/>
      <c r="BL48" s="300">
        <v>2898</v>
      </c>
      <c r="BM48" s="707"/>
      <c r="BN48" s="391"/>
      <c r="BO48" s="707"/>
      <c r="BP48" s="717"/>
      <c r="BQ48" s="707"/>
      <c r="BR48" s="391"/>
      <c r="BS48" s="391"/>
      <c r="BT48" s="391"/>
      <c r="BU48" s="391"/>
      <c r="BV48" s="304"/>
      <c r="BW48" s="288"/>
      <c r="BX48" s="290"/>
      <c r="BY48" s="374" t="s">
        <v>1636</v>
      </c>
      <c r="BZ48" s="624"/>
      <c r="CA48" s="624"/>
      <c r="CB48" s="624"/>
      <c r="CC48" s="624"/>
      <c r="CD48" s="624"/>
      <c r="CE48" s="624"/>
      <c r="CF48" s="624"/>
      <c r="CG48" s="624"/>
      <c r="CH48" s="624"/>
    </row>
    <row r="49" spans="1:86" s="305" customFormat="1" ht="39" customHeight="1">
      <c r="A49" s="276"/>
      <c r="B49" s="348">
        <f t="shared" si="9"/>
        <v>36</v>
      </c>
      <c r="C49" s="348"/>
      <c r="D49" s="726" t="s">
        <v>1457</v>
      </c>
      <c r="E49" s="349">
        <v>36861</v>
      </c>
      <c r="F49" s="288">
        <v>2001</v>
      </c>
      <c r="G49" s="288">
        <v>10</v>
      </c>
      <c r="H49" s="288"/>
      <c r="I49" s="288">
        <v>2000</v>
      </c>
      <c r="J49" s="288">
        <v>15</v>
      </c>
      <c r="K49" s="288" t="s">
        <v>570</v>
      </c>
      <c r="L49" s="288" t="s">
        <v>1637</v>
      </c>
      <c r="M49" s="358" t="s">
        <v>1271</v>
      </c>
      <c r="N49" s="290" t="s">
        <v>1965</v>
      </c>
      <c r="O49" s="288" t="s">
        <v>1098</v>
      </c>
      <c r="P49" s="288" t="s">
        <v>1945</v>
      </c>
      <c r="Q49" s="375"/>
      <c r="R49" s="361"/>
      <c r="S49" s="294"/>
      <c r="T49" s="1058"/>
      <c r="U49" s="295"/>
      <c r="V49" s="295"/>
      <c r="W49" s="362"/>
      <c r="X49" s="379"/>
      <c r="Y49" s="293"/>
      <c r="Z49" s="294"/>
      <c r="AA49" s="293"/>
      <c r="AB49" s="383"/>
      <c r="AC49" s="387"/>
      <c r="AD49" s="587"/>
      <c r="AE49" s="298"/>
      <c r="AF49" s="677"/>
      <c r="AG49" s="371">
        <f t="shared" si="0"/>
        <v>0</v>
      </c>
      <c r="AH49" s="383">
        <v>0</v>
      </c>
      <c r="AI49" s="384"/>
      <c r="AJ49" s="384"/>
      <c r="AK49" s="388"/>
      <c r="AL49" s="389"/>
      <c r="AM49" s="302"/>
      <c r="AN49" s="302"/>
      <c r="AO49" s="302"/>
      <c r="AP49" s="302"/>
      <c r="AQ49" s="302"/>
      <c r="AR49" s="302"/>
      <c r="AS49" s="302"/>
      <c r="AT49" s="302"/>
      <c r="AU49" s="302"/>
      <c r="AV49" s="302"/>
      <c r="AW49" s="302"/>
      <c r="AX49" s="390"/>
      <c r="AY49" s="390"/>
      <c r="AZ49" s="385">
        <v>20000</v>
      </c>
      <c r="BA49" s="364"/>
      <c r="BB49" s="299">
        <f t="shared" si="1"/>
        <v>20000</v>
      </c>
      <c r="BC49" s="370"/>
      <c r="BD49" s="371"/>
      <c r="BE49" s="445">
        <v>3000</v>
      </c>
      <c r="BF49" s="352">
        <f t="shared" si="8"/>
        <v>20000</v>
      </c>
      <c r="BG49" s="451" t="str">
        <f t="shared" si="2"/>
        <v>Y</v>
      </c>
      <c r="BH49" s="451"/>
      <c r="BI49" s="299"/>
      <c r="BJ49" s="698"/>
      <c r="BK49" s="698"/>
      <c r="BL49" s="300">
        <v>2898</v>
      </c>
      <c r="BM49" s="707"/>
      <c r="BN49" s="391"/>
      <c r="BO49" s="707"/>
      <c r="BP49" s="717"/>
      <c r="BQ49" s="707"/>
      <c r="BR49" s="391"/>
      <c r="BS49" s="391"/>
      <c r="BT49" s="391"/>
      <c r="BU49" s="391"/>
      <c r="BV49" s="304"/>
      <c r="BW49" s="288"/>
      <c r="BX49" s="290" t="s">
        <v>1341</v>
      </c>
      <c r="BY49" s="374" t="s">
        <v>1638</v>
      </c>
      <c r="BZ49" s="624"/>
      <c r="CA49" s="624"/>
      <c r="CB49" s="624"/>
      <c r="CC49" s="624"/>
      <c r="CD49" s="624"/>
      <c r="CE49" s="624"/>
      <c r="CF49" s="624"/>
      <c r="CG49" s="624"/>
      <c r="CH49" s="624"/>
    </row>
    <row r="50" spans="1:86" s="305" customFormat="1" ht="39" customHeight="1">
      <c r="A50" s="276"/>
      <c r="B50" s="348">
        <f t="shared" si="9"/>
        <v>37</v>
      </c>
      <c r="C50" s="348"/>
      <c r="D50" s="726" t="s">
        <v>1458</v>
      </c>
      <c r="E50" s="349">
        <v>36892</v>
      </c>
      <c r="F50" s="288">
        <v>2001</v>
      </c>
      <c r="G50" s="288">
        <v>11</v>
      </c>
      <c r="H50" s="288"/>
      <c r="I50" s="288">
        <v>2001</v>
      </c>
      <c r="J50" s="288">
        <v>1</v>
      </c>
      <c r="K50" s="288" t="s">
        <v>1210</v>
      </c>
      <c r="L50" s="288" t="s">
        <v>1559</v>
      </c>
      <c r="M50" s="288" t="s">
        <v>1963</v>
      </c>
      <c r="N50" s="290" t="s">
        <v>1639</v>
      </c>
      <c r="O50" s="288" t="s">
        <v>1276</v>
      </c>
      <c r="P50" s="288" t="s">
        <v>1276</v>
      </c>
      <c r="Q50" s="375"/>
      <c r="R50" s="361"/>
      <c r="S50" s="294"/>
      <c r="T50" s="1058"/>
      <c r="U50" s="295"/>
      <c r="V50" s="295"/>
      <c r="W50" s="362"/>
      <c r="X50" s="379"/>
      <c r="Y50" s="293"/>
      <c r="Z50" s="294"/>
      <c r="AA50" s="293"/>
      <c r="AB50" s="365">
        <f>COUNTIF(AC50, "&gt;49999")</f>
        <v>0</v>
      </c>
      <c r="AC50" s="387">
        <v>25000</v>
      </c>
      <c r="AD50" s="587"/>
      <c r="AE50" s="298"/>
      <c r="AF50" s="677"/>
      <c r="AG50" s="371">
        <f t="shared" si="0"/>
        <v>25000</v>
      </c>
      <c r="AH50" s="383">
        <v>0</v>
      </c>
      <c r="AI50" s="384"/>
      <c r="AJ50" s="384"/>
      <c r="AK50" s="388"/>
      <c r="AL50" s="389"/>
      <c r="AM50" s="302"/>
      <c r="AN50" s="302"/>
      <c r="AO50" s="302"/>
      <c r="AP50" s="302"/>
      <c r="AQ50" s="302"/>
      <c r="AR50" s="302"/>
      <c r="AS50" s="302"/>
      <c r="AT50" s="302"/>
      <c r="AU50" s="302"/>
      <c r="AV50" s="302"/>
      <c r="AW50" s="302"/>
      <c r="AX50" s="390"/>
      <c r="AY50" s="390"/>
      <c r="AZ50" s="385"/>
      <c r="BA50" s="364"/>
      <c r="BB50" s="299">
        <f t="shared" si="1"/>
        <v>25000</v>
      </c>
      <c r="BC50" s="370"/>
      <c r="BD50" s="371"/>
      <c r="BE50" s="446">
        <v>5000</v>
      </c>
      <c r="BF50" s="352">
        <f t="shared" si="8"/>
        <v>25000</v>
      </c>
      <c r="BG50" s="451" t="str">
        <f t="shared" si="2"/>
        <v>Y</v>
      </c>
      <c r="BH50" s="451"/>
      <c r="BI50" s="299"/>
      <c r="BJ50" s="698"/>
      <c r="BK50" s="698"/>
      <c r="BL50" s="300">
        <v>2898</v>
      </c>
      <c r="BM50" s="707"/>
      <c r="BN50" s="391"/>
      <c r="BO50" s="707"/>
      <c r="BP50" s="717"/>
      <c r="BQ50" s="707"/>
      <c r="BR50" s="391"/>
      <c r="BS50" s="391"/>
      <c r="BT50" s="391"/>
      <c r="BU50" s="391"/>
      <c r="BV50" s="304"/>
      <c r="BW50" s="288"/>
      <c r="BX50" s="290" t="s">
        <v>417</v>
      </c>
      <c r="BY50" s="374" t="s">
        <v>1640</v>
      </c>
      <c r="BZ50" s="624"/>
      <c r="CA50" s="624"/>
      <c r="CB50" s="624"/>
      <c r="CC50" s="624"/>
      <c r="CD50" s="624"/>
      <c r="CE50" s="624"/>
      <c r="CF50" s="624"/>
      <c r="CG50" s="624"/>
      <c r="CH50" s="624"/>
    </row>
    <row r="51" spans="1:86" s="305" customFormat="1" ht="39" customHeight="1">
      <c r="A51" s="276"/>
      <c r="B51" s="355">
        <f t="shared" si="9"/>
        <v>38</v>
      </c>
      <c r="C51" s="355"/>
      <c r="D51" s="726" t="s">
        <v>1459</v>
      </c>
      <c r="E51" s="349">
        <v>36892</v>
      </c>
      <c r="F51" s="288">
        <v>2001</v>
      </c>
      <c r="G51" s="358">
        <v>12</v>
      </c>
      <c r="H51" s="358"/>
      <c r="I51" s="358">
        <v>2001</v>
      </c>
      <c r="J51" s="358">
        <v>2</v>
      </c>
      <c r="K51" s="358" t="s">
        <v>1211</v>
      </c>
      <c r="L51" s="358" t="s">
        <v>1641</v>
      </c>
      <c r="M51" s="358" t="s">
        <v>1961</v>
      </c>
      <c r="N51" s="359" t="s">
        <v>1884</v>
      </c>
      <c r="O51" s="358" t="s">
        <v>1884</v>
      </c>
      <c r="P51" s="358" t="s">
        <v>1884</v>
      </c>
      <c r="Q51" s="360"/>
      <c r="R51" s="361"/>
      <c r="S51" s="294"/>
      <c r="T51" s="1058"/>
      <c r="U51" s="295"/>
      <c r="V51" s="295"/>
      <c r="W51" s="362"/>
      <c r="X51" s="379"/>
      <c r="Y51" s="293"/>
      <c r="Z51" s="294"/>
      <c r="AA51" s="293"/>
      <c r="AB51" s="365"/>
      <c r="AC51" s="364"/>
      <c r="AD51" s="427"/>
      <c r="AE51" s="447">
        <v>77500</v>
      </c>
      <c r="AF51" s="680"/>
      <c r="AG51" s="371">
        <f t="shared" si="0"/>
        <v>77500</v>
      </c>
      <c r="AH51" s="365">
        <v>12</v>
      </c>
      <c r="AI51" s="366"/>
      <c r="AJ51" s="366"/>
      <c r="AK51" s="367"/>
      <c r="AL51" s="363"/>
      <c r="AM51" s="368"/>
      <c r="AN51" s="368"/>
      <c r="AO51" s="368"/>
      <c r="AP51" s="368"/>
      <c r="AQ51" s="368"/>
      <c r="AR51" s="368"/>
      <c r="AS51" s="368"/>
      <c r="AT51" s="368"/>
      <c r="AU51" s="368"/>
      <c r="AV51" s="368"/>
      <c r="AW51" s="368"/>
      <c r="AX51" s="369"/>
      <c r="AY51" s="369"/>
      <c r="AZ51" s="448">
        <v>150000</v>
      </c>
      <c r="BA51" s="364"/>
      <c r="BB51" s="299">
        <f t="shared" si="1"/>
        <v>227500</v>
      </c>
      <c r="BC51" s="370"/>
      <c r="BD51" s="371"/>
      <c r="BE51" s="372"/>
      <c r="BF51" s="352">
        <f t="shared" si="8"/>
        <v>227500</v>
      </c>
      <c r="BG51" s="451" t="str">
        <f t="shared" si="2"/>
        <v>Y</v>
      </c>
      <c r="BH51" s="451"/>
      <c r="BI51" s="299"/>
      <c r="BJ51" s="698"/>
      <c r="BK51" s="698"/>
      <c r="BL51" s="303">
        <v>2953</v>
      </c>
      <c r="BM51" s="706"/>
      <c r="BN51" s="373"/>
      <c r="BO51" s="706"/>
      <c r="BP51" s="716"/>
      <c r="BQ51" s="706"/>
      <c r="BR51" s="373"/>
      <c r="BS51" s="373"/>
      <c r="BT51" s="373"/>
      <c r="BU51" s="373"/>
      <c r="BV51" s="304"/>
      <c r="BW51" s="288"/>
      <c r="BX51" s="359"/>
      <c r="BY51" s="374" t="s">
        <v>1642</v>
      </c>
      <c r="BZ51" s="624"/>
      <c r="CA51" s="624"/>
      <c r="CB51" s="624"/>
      <c r="CC51" s="624"/>
      <c r="CD51" s="624"/>
      <c r="CE51" s="624"/>
      <c r="CF51" s="624"/>
      <c r="CG51" s="624"/>
      <c r="CH51" s="624"/>
    </row>
    <row r="52" spans="1:86" s="305" customFormat="1" ht="39" customHeight="1">
      <c r="A52" s="276"/>
      <c r="B52" s="355">
        <f t="shared" si="9"/>
        <v>39</v>
      </c>
      <c r="C52" s="355"/>
      <c r="D52" s="726" t="s">
        <v>1460</v>
      </c>
      <c r="E52" s="349">
        <v>36892</v>
      </c>
      <c r="F52" s="288">
        <v>2001</v>
      </c>
      <c r="G52" s="358">
        <v>13</v>
      </c>
      <c r="H52" s="358"/>
      <c r="I52" s="358">
        <v>2001</v>
      </c>
      <c r="J52" s="358">
        <v>3</v>
      </c>
      <c r="K52" s="288" t="s">
        <v>570</v>
      </c>
      <c r="L52" s="358" t="s">
        <v>1879</v>
      </c>
      <c r="M52" s="358" t="s">
        <v>1271</v>
      </c>
      <c r="N52" s="359" t="s">
        <v>1965</v>
      </c>
      <c r="O52" s="358" t="s">
        <v>1099</v>
      </c>
      <c r="P52" s="358" t="s">
        <v>1343</v>
      </c>
      <c r="Q52" s="360"/>
      <c r="R52" s="361"/>
      <c r="S52" s="294"/>
      <c r="T52" s="1058"/>
      <c r="U52" s="295"/>
      <c r="V52" s="295"/>
      <c r="W52" s="362"/>
      <c r="X52" s="379"/>
      <c r="Y52" s="293"/>
      <c r="Z52" s="294"/>
      <c r="AA52" s="293"/>
      <c r="AB52" s="365"/>
      <c r="AC52" s="364"/>
      <c r="AD52" s="427"/>
      <c r="AE52" s="299">
        <v>50000</v>
      </c>
      <c r="AF52" s="670"/>
      <c r="AG52" s="371">
        <f t="shared" si="0"/>
        <v>50000</v>
      </c>
      <c r="AH52" s="365">
        <v>0</v>
      </c>
      <c r="AI52" s="366"/>
      <c r="AJ52" s="366"/>
      <c r="AK52" s="367"/>
      <c r="AL52" s="363"/>
      <c r="AM52" s="368"/>
      <c r="AN52" s="368"/>
      <c r="AO52" s="368"/>
      <c r="AP52" s="368"/>
      <c r="AQ52" s="368"/>
      <c r="AR52" s="368"/>
      <c r="AS52" s="368"/>
      <c r="AT52" s="368"/>
      <c r="AU52" s="368"/>
      <c r="AV52" s="368"/>
      <c r="AW52" s="368"/>
      <c r="AX52" s="369"/>
      <c r="AY52" s="369"/>
      <c r="AZ52" s="352"/>
      <c r="BA52" s="364"/>
      <c r="BB52" s="299">
        <f t="shared" si="1"/>
        <v>50000</v>
      </c>
      <c r="BC52" s="370"/>
      <c r="BD52" s="371"/>
      <c r="BE52" s="372">
        <v>5000</v>
      </c>
      <c r="BF52" s="352">
        <f>AE52+AC52+AZ52+BA52</f>
        <v>50000</v>
      </c>
      <c r="BG52" s="451" t="str">
        <f t="shared" si="2"/>
        <v>Y</v>
      </c>
      <c r="BH52" s="451"/>
      <c r="BI52" s="299"/>
      <c r="BJ52" s="698"/>
      <c r="BK52" s="698"/>
      <c r="BL52" s="303">
        <v>2060</v>
      </c>
      <c r="BM52" s="706"/>
      <c r="BN52" s="373"/>
      <c r="BO52" s="706"/>
      <c r="BP52" s="716"/>
      <c r="BQ52" s="706"/>
      <c r="BR52" s="373"/>
      <c r="BS52" s="373"/>
      <c r="BT52" s="373"/>
      <c r="BU52" s="373"/>
      <c r="BV52" s="304"/>
      <c r="BW52" s="288"/>
      <c r="BX52" s="359" t="s">
        <v>1342</v>
      </c>
      <c r="BY52" s="374" t="s">
        <v>1646</v>
      </c>
      <c r="BZ52" s="624"/>
      <c r="CA52" s="624"/>
      <c r="CB52" s="624"/>
      <c r="CC52" s="624"/>
      <c r="CD52" s="624"/>
      <c r="CE52" s="624"/>
      <c r="CF52" s="624"/>
      <c r="CG52" s="624"/>
      <c r="CH52" s="624"/>
    </row>
    <row r="53" spans="1:86" s="305" customFormat="1" ht="39" customHeight="1">
      <c r="A53" s="276"/>
      <c r="B53" s="355">
        <f t="shared" si="9"/>
        <v>40</v>
      </c>
      <c r="C53" s="355"/>
      <c r="D53" s="726" t="s">
        <v>1461</v>
      </c>
      <c r="E53" s="349">
        <v>36892</v>
      </c>
      <c r="F53" s="288">
        <v>2001</v>
      </c>
      <c r="G53" s="358">
        <v>14</v>
      </c>
      <c r="H53" s="358"/>
      <c r="I53" s="358">
        <v>2001</v>
      </c>
      <c r="J53" s="358">
        <v>4</v>
      </c>
      <c r="K53" s="288" t="s">
        <v>570</v>
      </c>
      <c r="L53" s="358" t="s">
        <v>1944</v>
      </c>
      <c r="M53" s="358" t="s">
        <v>1961</v>
      </c>
      <c r="N53" s="359" t="s">
        <v>1884</v>
      </c>
      <c r="O53" s="358" t="s">
        <v>1884</v>
      </c>
      <c r="P53" s="358" t="s">
        <v>1884</v>
      </c>
      <c r="Q53" s="360">
        <v>15850000</v>
      </c>
      <c r="R53" s="361"/>
      <c r="S53" s="294"/>
      <c r="T53" s="1058"/>
      <c r="U53" s="295"/>
      <c r="V53" s="295"/>
      <c r="W53" s="362"/>
      <c r="X53" s="379"/>
      <c r="Y53" s="293"/>
      <c r="Z53" s="294"/>
      <c r="AA53" s="293"/>
      <c r="AB53" s="365">
        <f>COUNTIF(AC53, "&gt;49999")</f>
        <v>1</v>
      </c>
      <c r="AC53" s="364">
        <v>100000</v>
      </c>
      <c r="AD53" s="427"/>
      <c r="AE53" s="299">
        <v>25000</v>
      </c>
      <c r="AF53" s="670"/>
      <c r="AG53" s="371">
        <f t="shared" si="0"/>
        <v>125000</v>
      </c>
      <c r="AH53" s="365">
        <v>19</v>
      </c>
      <c r="AI53" s="366"/>
      <c r="AJ53" s="366"/>
      <c r="AK53" s="367"/>
      <c r="AL53" s="363"/>
      <c r="AM53" s="368"/>
      <c r="AN53" s="368"/>
      <c r="AO53" s="368"/>
      <c r="AP53" s="368"/>
      <c r="AQ53" s="368"/>
      <c r="AR53" s="368"/>
      <c r="AS53" s="368"/>
      <c r="AT53" s="368"/>
      <c r="AU53" s="368"/>
      <c r="AV53" s="368"/>
      <c r="AW53" s="368"/>
      <c r="AX53" s="369"/>
      <c r="AY53" s="369"/>
      <c r="AZ53" s="352">
        <v>1371479</v>
      </c>
      <c r="BA53" s="364">
        <v>366481.13</v>
      </c>
      <c r="BB53" s="299">
        <f t="shared" si="1"/>
        <v>1862960.13</v>
      </c>
      <c r="BC53" s="370"/>
      <c r="BD53" s="371"/>
      <c r="BE53" s="372">
        <f>134310+190185</f>
        <v>324495</v>
      </c>
      <c r="BF53" s="352">
        <v>14000000</v>
      </c>
      <c r="BG53" s="451" t="str">
        <f t="shared" si="2"/>
        <v>Y</v>
      </c>
      <c r="BH53" s="451"/>
      <c r="BI53" s="299"/>
      <c r="BJ53" s="698"/>
      <c r="BK53" s="698"/>
      <c r="BL53" s="303">
        <v>2954</v>
      </c>
      <c r="BM53" s="706"/>
      <c r="BN53" s="373"/>
      <c r="BO53" s="706"/>
      <c r="BP53" s="716"/>
      <c r="BQ53" s="706"/>
      <c r="BR53" s="373"/>
      <c r="BS53" s="373"/>
      <c r="BT53" s="373"/>
      <c r="BU53" s="373"/>
      <c r="BV53" s="304"/>
      <c r="BW53" s="288"/>
      <c r="BX53" s="359"/>
      <c r="BY53" s="374" t="s">
        <v>1647</v>
      </c>
      <c r="BZ53" s="624"/>
      <c r="CA53" s="624"/>
      <c r="CB53" s="624"/>
      <c r="CC53" s="624"/>
      <c r="CD53" s="624"/>
      <c r="CE53" s="624"/>
      <c r="CF53" s="624"/>
      <c r="CG53" s="624"/>
      <c r="CH53" s="624"/>
    </row>
    <row r="54" spans="1:86" s="305" customFormat="1" ht="39" customHeight="1">
      <c r="A54" s="276"/>
      <c r="B54" s="355">
        <f t="shared" si="9"/>
        <v>41</v>
      </c>
      <c r="C54" s="355"/>
      <c r="D54" s="726" t="s">
        <v>1459</v>
      </c>
      <c r="E54" s="356">
        <v>36923</v>
      </c>
      <c r="F54" s="288">
        <v>2001</v>
      </c>
      <c r="G54" s="358">
        <v>15</v>
      </c>
      <c r="H54" s="358"/>
      <c r="I54" s="358">
        <v>2001</v>
      </c>
      <c r="J54" s="358">
        <v>5</v>
      </c>
      <c r="K54" s="358" t="s">
        <v>1211</v>
      </c>
      <c r="L54" s="358" t="s">
        <v>1641</v>
      </c>
      <c r="M54" s="358" t="s">
        <v>1961</v>
      </c>
      <c r="N54" s="359" t="s">
        <v>1884</v>
      </c>
      <c r="O54" s="358" t="s">
        <v>1884</v>
      </c>
      <c r="P54" s="358" t="s">
        <v>1884</v>
      </c>
      <c r="Q54" s="360"/>
      <c r="R54" s="361"/>
      <c r="S54" s="294"/>
      <c r="T54" s="1058"/>
      <c r="U54" s="295"/>
      <c r="V54" s="295"/>
      <c r="W54" s="362"/>
      <c r="X54" s="379"/>
      <c r="Y54" s="293"/>
      <c r="Z54" s="294"/>
      <c r="AA54" s="293"/>
      <c r="AB54" s="365"/>
      <c r="AC54" s="364"/>
      <c r="AD54" s="427"/>
      <c r="AE54" s="299">
        <v>70000</v>
      </c>
      <c r="AF54" s="670"/>
      <c r="AG54" s="371">
        <f t="shared" si="0"/>
        <v>70000</v>
      </c>
      <c r="AH54" s="365">
        <v>8</v>
      </c>
      <c r="AI54" s="366"/>
      <c r="AJ54" s="366"/>
      <c r="AK54" s="367"/>
      <c r="AL54" s="363"/>
      <c r="AM54" s="368"/>
      <c r="AN54" s="368"/>
      <c r="AO54" s="368"/>
      <c r="AP54" s="368"/>
      <c r="AQ54" s="368"/>
      <c r="AR54" s="368"/>
      <c r="AS54" s="368"/>
      <c r="AT54" s="368"/>
      <c r="AU54" s="368"/>
      <c r="AV54" s="368"/>
      <c r="AW54" s="368"/>
      <c r="AX54" s="369"/>
      <c r="AY54" s="369"/>
      <c r="AZ54" s="352">
        <v>620000</v>
      </c>
      <c r="BA54" s="364"/>
      <c r="BB54" s="299">
        <f t="shared" si="1"/>
        <v>690000</v>
      </c>
      <c r="BC54" s="370"/>
      <c r="BD54" s="371"/>
      <c r="BE54" s="372">
        <f>((BF51+BF54)/3394172)*154000</f>
        <v>41628.709446663277</v>
      </c>
      <c r="BF54" s="352">
        <f t="shared" ref="BF54:BF59" si="10">BB54+BD54+BC54</f>
        <v>690000</v>
      </c>
      <c r="BG54" s="451" t="str">
        <f t="shared" si="2"/>
        <v>Y</v>
      </c>
      <c r="BH54" s="451"/>
      <c r="BI54" s="299"/>
      <c r="BJ54" s="698"/>
      <c r="BK54" s="698"/>
      <c r="BL54" s="303">
        <v>2953</v>
      </c>
      <c r="BM54" s="706"/>
      <c r="BN54" s="373"/>
      <c r="BO54" s="706"/>
      <c r="BP54" s="716"/>
      <c r="BQ54" s="706"/>
      <c r="BR54" s="373"/>
      <c r="BS54" s="373"/>
      <c r="BT54" s="373"/>
      <c r="BU54" s="373"/>
      <c r="BV54" s="304"/>
      <c r="BW54" s="288"/>
      <c r="BX54" s="359"/>
      <c r="BY54" s="374" t="s">
        <v>1649</v>
      </c>
      <c r="BZ54" s="624"/>
      <c r="CA54" s="624"/>
      <c r="CB54" s="624"/>
      <c r="CC54" s="624"/>
      <c r="CD54" s="624"/>
      <c r="CE54" s="624"/>
      <c r="CF54" s="624"/>
      <c r="CG54" s="624"/>
      <c r="CH54" s="624"/>
    </row>
    <row r="55" spans="1:86" s="305" customFormat="1" ht="39" customHeight="1">
      <c r="A55" s="275"/>
      <c r="B55" s="355">
        <f t="shared" si="9"/>
        <v>42</v>
      </c>
      <c r="C55" s="355"/>
      <c r="D55" s="726" t="s">
        <v>1804</v>
      </c>
      <c r="E55" s="356">
        <v>36923</v>
      </c>
      <c r="F55" s="358">
        <v>2001</v>
      </c>
      <c r="G55" s="358">
        <v>16</v>
      </c>
      <c r="H55" s="358"/>
      <c r="I55" s="358">
        <v>2001</v>
      </c>
      <c r="J55" s="358">
        <v>6</v>
      </c>
      <c r="K55" s="358" t="s">
        <v>1210</v>
      </c>
      <c r="L55" s="358" t="s">
        <v>1563</v>
      </c>
      <c r="M55" s="358" t="s">
        <v>1271</v>
      </c>
      <c r="N55" s="359" t="s">
        <v>1877</v>
      </c>
      <c r="O55" s="358" t="s">
        <v>1337</v>
      </c>
      <c r="P55" s="358" t="s">
        <v>1337</v>
      </c>
      <c r="Q55" s="360"/>
      <c r="R55" s="361"/>
      <c r="S55" s="294"/>
      <c r="T55" s="1058"/>
      <c r="U55" s="295"/>
      <c r="V55" s="295"/>
      <c r="W55" s="362"/>
      <c r="X55" s="379"/>
      <c r="Y55" s="293"/>
      <c r="Z55" s="294"/>
      <c r="AA55" s="293"/>
      <c r="AB55" s="365"/>
      <c r="AC55" s="364"/>
      <c r="AD55" s="427"/>
      <c r="AE55" s="299"/>
      <c r="AF55" s="670"/>
      <c r="AG55" s="371">
        <f t="shared" si="0"/>
        <v>0</v>
      </c>
      <c r="AH55" s="365">
        <v>1</v>
      </c>
      <c r="AI55" s="366"/>
      <c r="AJ55" s="366"/>
      <c r="AK55" s="367"/>
      <c r="AL55" s="363"/>
      <c r="AM55" s="368"/>
      <c r="AN55" s="368"/>
      <c r="AO55" s="368"/>
      <c r="AP55" s="368"/>
      <c r="AQ55" s="368"/>
      <c r="AR55" s="368"/>
      <c r="AS55" s="368"/>
      <c r="AT55" s="368"/>
      <c r="AU55" s="368"/>
      <c r="AV55" s="368"/>
      <c r="AW55" s="368"/>
      <c r="AX55" s="369"/>
      <c r="AY55" s="369"/>
      <c r="AZ55" s="352"/>
      <c r="BA55" s="364">
        <v>250000</v>
      </c>
      <c r="BB55" s="299">
        <f t="shared" si="1"/>
        <v>250000</v>
      </c>
      <c r="BC55" s="370"/>
      <c r="BD55" s="371"/>
      <c r="BE55" s="372">
        <f>(5*10000)+(250000*0.1)</f>
        <v>75000</v>
      </c>
      <c r="BF55" s="352">
        <f t="shared" si="10"/>
        <v>250000</v>
      </c>
      <c r="BG55" s="451" t="str">
        <f t="shared" si="2"/>
        <v>Y</v>
      </c>
      <c r="BH55" s="451"/>
      <c r="BI55" s="299"/>
      <c r="BJ55" s="698"/>
      <c r="BK55" s="698"/>
      <c r="BL55" s="303">
        <v>2675</v>
      </c>
      <c r="BM55" s="706"/>
      <c r="BN55" s="373"/>
      <c r="BO55" s="706"/>
      <c r="BP55" s="716"/>
      <c r="BQ55" s="706"/>
      <c r="BR55" s="373"/>
      <c r="BS55" s="373"/>
      <c r="BT55" s="373"/>
      <c r="BU55" s="373"/>
      <c r="BV55" s="318"/>
      <c r="BW55" s="358"/>
      <c r="BX55" s="359"/>
      <c r="BY55" s="374" t="s">
        <v>1650</v>
      </c>
      <c r="BZ55" s="624"/>
      <c r="CA55" s="624"/>
      <c r="CB55" s="624"/>
      <c r="CC55" s="624"/>
      <c r="CD55" s="624"/>
      <c r="CE55" s="624"/>
      <c r="CF55" s="624"/>
      <c r="CG55" s="624"/>
      <c r="CH55" s="624"/>
    </row>
    <row r="56" spans="1:86" s="305" customFormat="1" ht="39" customHeight="1">
      <c r="A56" s="275"/>
      <c r="B56" s="355">
        <f t="shared" si="9"/>
        <v>43</v>
      </c>
      <c r="C56" s="355"/>
      <c r="D56" s="726" t="s">
        <v>1462</v>
      </c>
      <c r="E56" s="356">
        <v>36923</v>
      </c>
      <c r="F56" s="358">
        <v>2001</v>
      </c>
      <c r="G56" s="358">
        <v>17</v>
      </c>
      <c r="H56" s="358"/>
      <c r="I56" s="358">
        <v>2001</v>
      </c>
      <c r="J56" s="358">
        <v>7</v>
      </c>
      <c r="K56" s="358" t="s">
        <v>1210</v>
      </c>
      <c r="L56" s="358" t="s">
        <v>1651</v>
      </c>
      <c r="M56" s="358" t="s">
        <v>1271</v>
      </c>
      <c r="N56" s="359" t="s">
        <v>1877</v>
      </c>
      <c r="O56" s="358" t="s">
        <v>1337</v>
      </c>
      <c r="P56" s="358" t="s">
        <v>1337</v>
      </c>
      <c r="Q56" s="360"/>
      <c r="R56" s="361"/>
      <c r="S56" s="294"/>
      <c r="T56" s="1058"/>
      <c r="U56" s="295"/>
      <c r="V56" s="295"/>
      <c r="W56" s="362"/>
      <c r="X56" s="379"/>
      <c r="Y56" s="293"/>
      <c r="Z56" s="294"/>
      <c r="AA56" s="293"/>
      <c r="AB56" s="365"/>
      <c r="AC56" s="364"/>
      <c r="AD56" s="427"/>
      <c r="AE56" s="299">
        <v>25000</v>
      </c>
      <c r="AF56" s="670"/>
      <c r="AG56" s="371">
        <f t="shared" si="0"/>
        <v>25000</v>
      </c>
      <c r="AH56" s="365">
        <v>2</v>
      </c>
      <c r="AI56" s="366"/>
      <c r="AJ56" s="366"/>
      <c r="AK56" s="367"/>
      <c r="AL56" s="363"/>
      <c r="AM56" s="368"/>
      <c r="AN56" s="368"/>
      <c r="AO56" s="368"/>
      <c r="AP56" s="368"/>
      <c r="AQ56" s="368"/>
      <c r="AR56" s="368"/>
      <c r="AS56" s="368"/>
      <c r="AT56" s="368"/>
      <c r="AU56" s="368"/>
      <c r="AV56" s="368"/>
      <c r="AW56" s="368"/>
      <c r="AX56" s="369"/>
      <c r="AY56" s="369"/>
      <c r="AZ56" s="352">
        <v>149000</v>
      </c>
      <c r="BA56" s="364"/>
      <c r="BB56" s="299">
        <f t="shared" si="1"/>
        <v>174000</v>
      </c>
      <c r="BC56" s="370"/>
      <c r="BD56" s="371"/>
      <c r="BE56" s="372">
        <f>5613*4</f>
        <v>22452</v>
      </c>
      <c r="BF56" s="352">
        <f t="shared" si="10"/>
        <v>174000</v>
      </c>
      <c r="BG56" s="451" t="str">
        <f t="shared" si="2"/>
        <v>Y</v>
      </c>
      <c r="BH56" s="451"/>
      <c r="BI56" s="299"/>
      <c r="BJ56" s="698"/>
      <c r="BK56" s="698"/>
      <c r="BL56" s="303">
        <v>2675</v>
      </c>
      <c r="BM56" s="706"/>
      <c r="BN56" s="373"/>
      <c r="BO56" s="706"/>
      <c r="BP56" s="716"/>
      <c r="BQ56" s="706"/>
      <c r="BR56" s="373"/>
      <c r="BS56" s="373"/>
      <c r="BT56" s="373"/>
      <c r="BU56" s="373"/>
      <c r="BV56" s="318"/>
      <c r="BW56" s="358"/>
      <c r="BX56" s="359"/>
      <c r="BY56" s="374" t="s">
        <v>1652</v>
      </c>
      <c r="BZ56" s="624"/>
      <c r="CA56" s="624"/>
      <c r="CB56" s="624"/>
      <c r="CC56" s="624"/>
      <c r="CD56" s="624"/>
      <c r="CE56" s="624"/>
      <c r="CF56" s="624"/>
      <c r="CG56" s="624"/>
      <c r="CH56" s="624"/>
    </row>
    <row r="57" spans="1:86" s="305" customFormat="1" ht="39" customHeight="1">
      <c r="A57" s="276"/>
      <c r="B57" s="348">
        <f t="shared" si="9"/>
        <v>44</v>
      </c>
      <c r="C57" s="348"/>
      <c r="D57" s="726" t="s">
        <v>1803</v>
      </c>
      <c r="E57" s="349">
        <v>36951</v>
      </c>
      <c r="F57" s="288">
        <v>2001</v>
      </c>
      <c r="G57" s="288">
        <v>18</v>
      </c>
      <c r="H57" s="288"/>
      <c r="I57" s="358">
        <v>2001</v>
      </c>
      <c r="J57" s="358">
        <v>8</v>
      </c>
      <c r="K57" s="288" t="s">
        <v>1211</v>
      </c>
      <c r="L57" s="288" t="s">
        <v>1653</v>
      </c>
      <c r="M57" s="358" t="s">
        <v>1271</v>
      </c>
      <c r="N57" s="359" t="s">
        <v>1877</v>
      </c>
      <c r="O57" s="358" t="s">
        <v>1337</v>
      </c>
      <c r="P57" s="358" t="s">
        <v>1337</v>
      </c>
      <c r="Q57" s="375"/>
      <c r="R57" s="361"/>
      <c r="S57" s="294"/>
      <c r="T57" s="1058"/>
      <c r="U57" s="295"/>
      <c r="V57" s="295"/>
      <c r="W57" s="362"/>
      <c r="X57" s="379"/>
      <c r="Y57" s="293"/>
      <c r="Z57" s="294"/>
      <c r="AA57" s="293"/>
      <c r="AB57" s="383"/>
      <c r="AC57" s="364"/>
      <c r="AD57" s="427"/>
      <c r="AE57" s="298">
        <v>15000</v>
      </c>
      <c r="AF57" s="677"/>
      <c r="AG57" s="371">
        <f t="shared" si="0"/>
        <v>15000</v>
      </c>
      <c r="AH57" s="383">
        <v>0</v>
      </c>
      <c r="AI57" s="384"/>
      <c r="AJ57" s="384"/>
      <c r="AK57" s="367"/>
      <c r="AL57" s="363"/>
      <c r="AM57" s="368"/>
      <c r="AN57" s="368"/>
      <c r="AO57" s="368"/>
      <c r="AP57" s="368"/>
      <c r="AQ57" s="368"/>
      <c r="AR57" s="368"/>
      <c r="AS57" s="368"/>
      <c r="AT57" s="368"/>
      <c r="AU57" s="368"/>
      <c r="AV57" s="368"/>
      <c r="AW57" s="368"/>
      <c r="AX57" s="369"/>
      <c r="AY57" s="369"/>
      <c r="AZ57" s="352"/>
      <c r="BA57" s="364"/>
      <c r="BB57" s="299">
        <f t="shared" si="1"/>
        <v>15000</v>
      </c>
      <c r="BC57" s="370"/>
      <c r="BD57" s="371"/>
      <c r="BE57" s="372">
        <v>1500</v>
      </c>
      <c r="BF57" s="352">
        <f t="shared" si="10"/>
        <v>15000</v>
      </c>
      <c r="BG57" s="451" t="str">
        <f t="shared" si="2"/>
        <v>Y</v>
      </c>
      <c r="BH57" s="451"/>
      <c r="BI57" s="299"/>
      <c r="BJ57" s="698"/>
      <c r="BK57" s="698"/>
      <c r="BL57" s="300">
        <v>2898</v>
      </c>
      <c r="BM57" s="707"/>
      <c r="BN57" s="391"/>
      <c r="BO57" s="707"/>
      <c r="BP57" s="717"/>
      <c r="BQ57" s="707"/>
      <c r="BR57" s="391"/>
      <c r="BS57" s="391"/>
      <c r="BT57" s="391"/>
      <c r="BU57" s="391"/>
      <c r="BV57" s="304"/>
      <c r="BW57" s="288"/>
      <c r="BX57" s="290"/>
      <c r="BY57" s="449" t="s">
        <v>1654</v>
      </c>
      <c r="BZ57" s="624"/>
      <c r="CA57" s="624"/>
      <c r="CB57" s="624"/>
      <c r="CC57" s="624"/>
      <c r="CD57" s="624"/>
      <c r="CE57" s="624"/>
      <c r="CF57" s="624"/>
      <c r="CG57" s="624"/>
      <c r="CH57" s="624"/>
    </row>
    <row r="58" spans="1:86" s="305" customFormat="1" ht="39" customHeight="1">
      <c r="A58" s="276"/>
      <c r="B58" s="348">
        <f t="shared" si="9"/>
        <v>45</v>
      </c>
      <c r="C58" s="348"/>
      <c r="D58" s="726" t="s">
        <v>1463</v>
      </c>
      <c r="E58" s="349">
        <v>36951</v>
      </c>
      <c r="F58" s="288">
        <v>2001</v>
      </c>
      <c r="G58" s="288">
        <v>19</v>
      </c>
      <c r="H58" s="288"/>
      <c r="I58" s="358">
        <v>2001</v>
      </c>
      <c r="J58" s="358">
        <v>9</v>
      </c>
      <c r="K58" s="288" t="s">
        <v>1211</v>
      </c>
      <c r="L58" s="288" t="s">
        <v>1655</v>
      </c>
      <c r="M58" s="358" t="s">
        <v>1271</v>
      </c>
      <c r="N58" s="359" t="s">
        <v>1877</v>
      </c>
      <c r="O58" s="358" t="s">
        <v>1337</v>
      </c>
      <c r="P58" s="358" t="s">
        <v>1337</v>
      </c>
      <c r="Q58" s="375"/>
      <c r="R58" s="361"/>
      <c r="S58" s="294"/>
      <c r="T58" s="1058"/>
      <c r="U58" s="295"/>
      <c r="V58" s="295"/>
      <c r="W58" s="362"/>
      <c r="X58" s="379"/>
      <c r="Y58" s="293"/>
      <c r="Z58" s="294"/>
      <c r="AA58" s="293"/>
      <c r="AB58" s="383"/>
      <c r="AC58" s="364"/>
      <c r="AD58" s="427"/>
      <c r="AE58" s="298">
        <v>15000</v>
      </c>
      <c r="AF58" s="677"/>
      <c r="AG58" s="371">
        <f t="shared" si="0"/>
        <v>15000</v>
      </c>
      <c r="AH58" s="365">
        <v>0</v>
      </c>
      <c r="AI58" s="366"/>
      <c r="AJ58" s="366"/>
      <c r="AK58" s="367">
        <f>761+5100+250</f>
        <v>6111</v>
      </c>
      <c r="AL58" s="363"/>
      <c r="AM58" s="368"/>
      <c r="AN58" s="368">
        <v>5100</v>
      </c>
      <c r="AO58" s="368"/>
      <c r="AP58" s="368"/>
      <c r="AQ58" s="368">
        <v>761</v>
      </c>
      <c r="AR58" s="368"/>
      <c r="AS58" s="368"/>
      <c r="AT58" s="368"/>
      <c r="AU58" s="368"/>
      <c r="AV58" s="368">
        <v>250</v>
      </c>
      <c r="AW58" s="368"/>
      <c r="AX58" s="369"/>
      <c r="AY58" s="369"/>
      <c r="AZ58" s="352">
        <v>0</v>
      </c>
      <c r="BA58" s="364">
        <v>0</v>
      </c>
      <c r="BB58" s="299">
        <f t="shared" si="1"/>
        <v>15000</v>
      </c>
      <c r="BC58" s="370"/>
      <c r="BD58" s="371"/>
      <c r="BE58" s="372">
        <f>4961*5</f>
        <v>24805</v>
      </c>
      <c r="BF58" s="352">
        <f t="shared" si="10"/>
        <v>15000</v>
      </c>
      <c r="BG58" s="451" t="str">
        <f t="shared" si="2"/>
        <v>Y</v>
      </c>
      <c r="BH58" s="451"/>
      <c r="BI58" s="299"/>
      <c r="BJ58" s="698"/>
      <c r="BK58" s="698"/>
      <c r="BL58" s="300">
        <v>2898</v>
      </c>
      <c r="BM58" s="707"/>
      <c r="BN58" s="391"/>
      <c r="BO58" s="707"/>
      <c r="BP58" s="717"/>
      <c r="BQ58" s="707"/>
      <c r="BR58" s="391"/>
      <c r="BS58" s="391"/>
      <c r="BT58" s="391"/>
      <c r="BU58" s="391"/>
      <c r="BV58" s="304"/>
      <c r="BW58" s="288"/>
      <c r="BX58" s="290"/>
      <c r="BY58" s="449"/>
      <c r="BZ58" s="624"/>
      <c r="CA58" s="624"/>
      <c r="CB58" s="624"/>
      <c r="CC58" s="624"/>
      <c r="CD58" s="624"/>
      <c r="CE58" s="624"/>
      <c r="CF58" s="624"/>
      <c r="CG58" s="624"/>
      <c r="CH58" s="624"/>
    </row>
    <row r="59" spans="1:86" s="305" customFormat="1" ht="39" customHeight="1">
      <c r="A59" s="276"/>
      <c r="B59" s="348">
        <f t="shared" si="9"/>
        <v>46</v>
      </c>
      <c r="C59" s="348"/>
      <c r="D59" s="726" t="s">
        <v>1464</v>
      </c>
      <c r="E59" s="349">
        <v>36982</v>
      </c>
      <c r="F59" s="288">
        <v>2001</v>
      </c>
      <c r="G59" s="288">
        <v>20</v>
      </c>
      <c r="H59" s="288"/>
      <c r="I59" s="358">
        <v>2001</v>
      </c>
      <c r="J59" s="358">
        <v>10</v>
      </c>
      <c r="K59" s="288" t="s">
        <v>1212</v>
      </c>
      <c r="L59" s="288" t="s">
        <v>1656</v>
      </c>
      <c r="M59" s="288" t="s">
        <v>1273</v>
      </c>
      <c r="N59" s="290" t="s">
        <v>1970</v>
      </c>
      <c r="O59" s="288" t="s">
        <v>1298</v>
      </c>
      <c r="P59" s="288" t="s">
        <v>1298</v>
      </c>
      <c r="Q59" s="375"/>
      <c r="R59" s="361"/>
      <c r="S59" s="294"/>
      <c r="T59" s="1058"/>
      <c r="U59" s="295"/>
      <c r="V59" s="295"/>
      <c r="W59" s="362"/>
      <c r="X59" s="379"/>
      <c r="Y59" s="293"/>
      <c r="Z59" s="294"/>
      <c r="AA59" s="293"/>
      <c r="AB59" s="383"/>
      <c r="AC59" s="364"/>
      <c r="AD59" s="427"/>
      <c r="AE59" s="298"/>
      <c r="AF59" s="677"/>
      <c r="AG59" s="371">
        <f t="shared" si="0"/>
        <v>0</v>
      </c>
      <c r="AH59" s="365">
        <v>2</v>
      </c>
      <c r="AI59" s="366"/>
      <c r="AJ59" s="366"/>
      <c r="AK59" s="367"/>
      <c r="AL59" s="363"/>
      <c r="AM59" s="368"/>
      <c r="AN59" s="368"/>
      <c r="AO59" s="368"/>
      <c r="AP59" s="368"/>
      <c r="AQ59" s="368"/>
      <c r="AR59" s="368"/>
      <c r="AS59" s="368"/>
      <c r="AT59" s="368"/>
      <c r="AU59" s="368"/>
      <c r="AV59" s="368"/>
      <c r="AW59" s="368"/>
      <c r="AX59" s="369"/>
      <c r="AY59" s="369"/>
      <c r="AZ59" s="352"/>
      <c r="BA59" s="364">
        <v>1000</v>
      </c>
      <c r="BB59" s="299">
        <f t="shared" si="1"/>
        <v>1000</v>
      </c>
      <c r="BC59" s="370"/>
      <c r="BD59" s="371"/>
      <c r="BE59" s="372"/>
      <c r="BF59" s="352">
        <f t="shared" si="10"/>
        <v>1000</v>
      </c>
      <c r="BG59" s="451" t="str">
        <f t="shared" si="2"/>
        <v>Y</v>
      </c>
      <c r="BH59" s="451"/>
      <c r="BI59" s="299"/>
      <c r="BJ59" s="698"/>
      <c r="BK59" s="698"/>
      <c r="BL59" s="300">
        <v>2898</v>
      </c>
      <c r="BM59" s="707"/>
      <c r="BN59" s="391"/>
      <c r="BO59" s="707"/>
      <c r="BP59" s="717"/>
      <c r="BQ59" s="707"/>
      <c r="BR59" s="391"/>
      <c r="BS59" s="391"/>
      <c r="BT59" s="391"/>
      <c r="BU59" s="391"/>
      <c r="BV59" s="304"/>
      <c r="BW59" s="288"/>
      <c r="BX59" s="290" t="s">
        <v>1149</v>
      </c>
      <c r="BY59" s="374" t="s">
        <v>1148</v>
      </c>
      <c r="BZ59" s="624"/>
      <c r="CA59" s="624"/>
      <c r="CB59" s="624"/>
      <c r="CC59" s="624"/>
      <c r="CD59" s="624"/>
      <c r="CE59" s="624"/>
      <c r="CF59" s="624"/>
      <c r="CG59" s="624"/>
      <c r="CH59" s="624"/>
    </row>
    <row r="60" spans="1:86" s="305" customFormat="1" ht="39" customHeight="1">
      <c r="A60" s="276"/>
      <c r="B60" s="348">
        <f t="shared" si="9"/>
        <v>47</v>
      </c>
      <c r="C60" s="348"/>
      <c r="D60" s="726" t="s">
        <v>1465</v>
      </c>
      <c r="E60" s="349">
        <v>37012</v>
      </c>
      <c r="F60" s="288">
        <v>2001</v>
      </c>
      <c r="G60" s="288">
        <v>21</v>
      </c>
      <c r="H60" s="288"/>
      <c r="I60" s="358">
        <v>2001</v>
      </c>
      <c r="J60" s="358">
        <v>11</v>
      </c>
      <c r="K60" s="358" t="s">
        <v>570</v>
      </c>
      <c r="L60" s="288" t="s">
        <v>1939</v>
      </c>
      <c r="M60" s="358" t="s">
        <v>1271</v>
      </c>
      <c r="N60" s="290" t="s">
        <v>1877</v>
      </c>
      <c r="O60" s="288" t="s">
        <v>1337</v>
      </c>
      <c r="P60" s="288" t="s">
        <v>1337</v>
      </c>
      <c r="Q60" s="375"/>
      <c r="R60" s="361"/>
      <c r="S60" s="294"/>
      <c r="T60" s="1058"/>
      <c r="U60" s="295"/>
      <c r="V60" s="295"/>
      <c r="W60" s="362"/>
      <c r="X60" s="379"/>
      <c r="Y60" s="293"/>
      <c r="Z60" s="294"/>
      <c r="AA60" s="293"/>
      <c r="AB60" s="383"/>
      <c r="AC60" s="364"/>
      <c r="AD60" s="427"/>
      <c r="AE60" s="298">
        <v>25000</v>
      </c>
      <c r="AF60" s="677"/>
      <c r="AG60" s="371">
        <f t="shared" si="0"/>
        <v>25000</v>
      </c>
      <c r="AH60" s="365">
        <v>0</v>
      </c>
      <c r="AI60" s="366"/>
      <c r="AJ60" s="366"/>
      <c r="AK60" s="367"/>
      <c r="AL60" s="363"/>
      <c r="AM60" s="368"/>
      <c r="AN60" s="368"/>
      <c r="AO60" s="368"/>
      <c r="AP60" s="368"/>
      <c r="AQ60" s="368"/>
      <c r="AR60" s="368"/>
      <c r="AS60" s="368"/>
      <c r="AT60" s="368"/>
      <c r="AU60" s="368"/>
      <c r="AV60" s="368"/>
      <c r="AW60" s="368"/>
      <c r="AX60" s="369"/>
      <c r="AY60" s="369"/>
      <c r="AZ60" s="352"/>
      <c r="BA60" s="364"/>
      <c r="BB60" s="299">
        <f t="shared" si="1"/>
        <v>25000</v>
      </c>
      <c r="BC60" s="370"/>
      <c r="BD60" s="371"/>
      <c r="BE60" s="445">
        <v>3000</v>
      </c>
      <c r="BF60" s="352">
        <f>AE60+AC60+AZ60+BA60</f>
        <v>25000</v>
      </c>
      <c r="BG60" s="451" t="str">
        <f t="shared" si="2"/>
        <v>Y</v>
      </c>
      <c r="BH60" s="451"/>
      <c r="BI60" s="299"/>
      <c r="BJ60" s="698"/>
      <c r="BK60" s="698"/>
      <c r="BL60" s="300">
        <v>2898</v>
      </c>
      <c r="BM60" s="707"/>
      <c r="BN60" s="391"/>
      <c r="BO60" s="707"/>
      <c r="BP60" s="717"/>
      <c r="BQ60" s="707"/>
      <c r="BR60" s="391"/>
      <c r="BS60" s="391"/>
      <c r="BT60" s="391"/>
      <c r="BU60" s="391"/>
      <c r="BV60" s="304"/>
      <c r="BW60" s="288"/>
      <c r="BX60" s="290"/>
      <c r="BY60" s="307" t="s">
        <v>480</v>
      </c>
      <c r="BZ60" s="624"/>
      <c r="CA60" s="624"/>
      <c r="CB60" s="624"/>
      <c r="CC60" s="624"/>
      <c r="CD60" s="624"/>
      <c r="CE60" s="624"/>
      <c r="CF60" s="624"/>
      <c r="CG60" s="624"/>
      <c r="CH60" s="624"/>
    </row>
    <row r="61" spans="1:86" s="305" customFormat="1" ht="39" customHeight="1">
      <c r="A61" s="276"/>
      <c r="B61" s="348">
        <f t="shared" si="9"/>
        <v>48</v>
      </c>
      <c r="C61" s="348"/>
      <c r="D61" s="726" t="s">
        <v>1466</v>
      </c>
      <c r="E61" s="349">
        <v>37043</v>
      </c>
      <c r="F61" s="288">
        <v>2001</v>
      </c>
      <c r="G61" s="288">
        <v>22</v>
      </c>
      <c r="H61" s="288"/>
      <c r="I61" s="358">
        <v>2001</v>
      </c>
      <c r="J61" s="358">
        <v>12</v>
      </c>
      <c r="K61" s="358" t="s">
        <v>570</v>
      </c>
      <c r="L61" s="288" t="s">
        <v>1657</v>
      </c>
      <c r="M61" s="288" t="s">
        <v>1273</v>
      </c>
      <c r="N61" s="290" t="s">
        <v>1940</v>
      </c>
      <c r="O61" s="288" t="s">
        <v>1940</v>
      </c>
      <c r="P61" s="288" t="s">
        <v>1940</v>
      </c>
      <c r="Q61" s="375"/>
      <c r="R61" s="361"/>
      <c r="S61" s="294"/>
      <c r="T61" s="1058"/>
      <c r="U61" s="295"/>
      <c r="V61" s="295"/>
      <c r="W61" s="362"/>
      <c r="X61" s="379"/>
      <c r="Y61" s="293"/>
      <c r="Z61" s="294"/>
      <c r="AA61" s="293"/>
      <c r="AB61" s="383"/>
      <c r="AC61" s="364"/>
      <c r="AD61" s="427"/>
      <c r="AE61" s="299"/>
      <c r="AF61" s="670"/>
      <c r="AG61" s="371">
        <f t="shared" si="0"/>
        <v>0</v>
      </c>
      <c r="AH61" s="365">
        <v>0</v>
      </c>
      <c r="AI61" s="366"/>
      <c r="AJ61" s="366"/>
      <c r="AK61" s="367">
        <v>10000</v>
      </c>
      <c r="AL61" s="363"/>
      <c r="AM61" s="368"/>
      <c r="AN61" s="368"/>
      <c r="AO61" s="368"/>
      <c r="AP61" s="368"/>
      <c r="AQ61" s="368"/>
      <c r="AR61" s="368"/>
      <c r="AS61" s="368"/>
      <c r="AT61" s="368"/>
      <c r="AU61" s="368"/>
      <c r="AV61" s="368"/>
      <c r="AW61" s="368"/>
      <c r="AX61" s="369"/>
      <c r="AY61" s="369"/>
      <c r="AZ61" s="352">
        <f>9*2300</f>
        <v>20700</v>
      </c>
      <c r="BA61" s="364"/>
      <c r="BB61" s="299">
        <f t="shared" si="1"/>
        <v>20700</v>
      </c>
      <c r="BC61" s="370"/>
      <c r="BD61" s="371"/>
      <c r="BE61" s="445">
        <f>10000*4</f>
        <v>40000</v>
      </c>
      <c r="BF61" s="352">
        <f>AE61+AC61+AZ61+BA61</f>
        <v>20700</v>
      </c>
      <c r="BG61" s="451" t="str">
        <f t="shared" si="2"/>
        <v>Y</v>
      </c>
      <c r="BH61" s="451"/>
      <c r="BI61" s="299"/>
      <c r="BJ61" s="698"/>
      <c r="BK61" s="698"/>
      <c r="BL61" s="300">
        <v>2898</v>
      </c>
      <c r="BM61" s="707"/>
      <c r="BN61" s="391"/>
      <c r="BO61" s="707"/>
      <c r="BP61" s="717"/>
      <c r="BQ61" s="707"/>
      <c r="BR61" s="391"/>
      <c r="BS61" s="391"/>
      <c r="BT61" s="391"/>
      <c r="BU61" s="391"/>
      <c r="BV61" s="304"/>
      <c r="BW61" s="288"/>
      <c r="BX61" s="290"/>
      <c r="BY61" s="374" t="s">
        <v>1658</v>
      </c>
      <c r="BZ61" s="624"/>
      <c r="CA61" s="624"/>
      <c r="CB61" s="624"/>
      <c r="CC61" s="624"/>
      <c r="CD61" s="624"/>
      <c r="CE61" s="624"/>
      <c r="CF61" s="624"/>
      <c r="CG61" s="624"/>
      <c r="CH61" s="624"/>
    </row>
    <row r="62" spans="1:86" s="305" customFormat="1" ht="39" customHeight="1">
      <c r="A62" s="276"/>
      <c r="B62" s="348">
        <f t="shared" si="9"/>
        <v>49</v>
      </c>
      <c r="C62" s="348"/>
      <c r="D62" s="726" t="s">
        <v>1467</v>
      </c>
      <c r="E62" s="349">
        <v>37043</v>
      </c>
      <c r="F62" s="288">
        <v>2001</v>
      </c>
      <c r="G62" s="288">
        <v>23</v>
      </c>
      <c r="H62" s="288"/>
      <c r="I62" s="358">
        <v>2001</v>
      </c>
      <c r="J62" s="358">
        <v>13</v>
      </c>
      <c r="K62" s="358" t="s">
        <v>570</v>
      </c>
      <c r="L62" s="288" t="s">
        <v>1659</v>
      </c>
      <c r="M62" s="358" t="s">
        <v>1271</v>
      </c>
      <c r="N62" s="290" t="s">
        <v>1877</v>
      </c>
      <c r="O62" s="288" t="s">
        <v>1337</v>
      </c>
      <c r="P62" s="288" t="s">
        <v>1337</v>
      </c>
      <c r="Q62" s="375"/>
      <c r="R62" s="361"/>
      <c r="S62" s="294"/>
      <c r="T62" s="1058"/>
      <c r="U62" s="295"/>
      <c r="V62" s="295"/>
      <c r="W62" s="362"/>
      <c r="X62" s="379"/>
      <c r="Y62" s="293"/>
      <c r="Z62" s="294"/>
      <c r="AA62" s="293"/>
      <c r="AB62" s="383"/>
      <c r="AC62" s="364"/>
      <c r="AD62" s="427"/>
      <c r="AE62" s="299"/>
      <c r="AF62" s="670"/>
      <c r="AG62" s="371">
        <f t="shared" si="0"/>
        <v>0</v>
      </c>
      <c r="AH62" s="365">
        <v>0</v>
      </c>
      <c r="AI62" s="366"/>
      <c r="AJ62" s="366"/>
      <c r="AK62" s="367">
        <v>6000</v>
      </c>
      <c r="AL62" s="363"/>
      <c r="AM62" s="368"/>
      <c r="AN62" s="368">
        <v>6000</v>
      </c>
      <c r="AO62" s="368"/>
      <c r="AP62" s="368"/>
      <c r="AQ62" s="368"/>
      <c r="AR62" s="368"/>
      <c r="AS62" s="368"/>
      <c r="AT62" s="368"/>
      <c r="AU62" s="368"/>
      <c r="AV62" s="368"/>
      <c r="AW62" s="368"/>
      <c r="AX62" s="369"/>
      <c r="AY62" s="369"/>
      <c r="AZ62" s="352">
        <v>18000</v>
      </c>
      <c r="BA62" s="364"/>
      <c r="BB62" s="299">
        <f t="shared" si="1"/>
        <v>18000</v>
      </c>
      <c r="BC62" s="370"/>
      <c r="BD62" s="371"/>
      <c r="BE62" s="372">
        <v>6000</v>
      </c>
      <c r="BF62" s="352">
        <f t="shared" ref="BF62:BF67" si="11">BB62+BD62+BC62</f>
        <v>18000</v>
      </c>
      <c r="BG62" s="451" t="str">
        <f t="shared" si="2"/>
        <v>Y</v>
      </c>
      <c r="BH62" s="451"/>
      <c r="BI62" s="299"/>
      <c r="BJ62" s="698"/>
      <c r="BK62" s="698"/>
      <c r="BL62" s="300">
        <v>2898</v>
      </c>
      <c r="BM62" s="707"/>
      <c r="BN62" s="391"/>
      <c r="BO62" s="707"/>
      <c r="BP62" s="717"/>
      <c r="BQ62" s="707"/>
      <c r="BR62" s="391"/>
      <c r="BS62" s="391"/>
      <c r="BT62" s="391"/>
      <c r="BU62" s="391"/>
      <c r="BV62" s="304"/>
      <c r="BW62" s="288"/>
      <c r="BX62" s="290"/>
      <c r="BY62" s="374" t="s">
        <v>1227</v>
      </c>
      <c r="BZ62" s="624"/>
      <c r="CA62" s="624"/>
      <c r="CB62" s="624"/>
      <c r="CC62" s="624"/>
      <c r="CD62" s="624"/>
      <c r="CE62" s="624"/>
      <c r="CF62" s="624"/>
      <c r="CG62" s="624"/>
      <c r="CH62" s="624"/>
    </row>
    <row r="63" spans="1:86" s="305" customFormat="1" ht="39" customHeight="1">
      <c r="A63" s="276"/>
      <c r="B63" s="348">
        <f t="shared" si="9"/>
        <v>50</v>
      </c>
      <c r="C63" s="348"/>
      <c r="D63" s="726" t="s">
        <v>99</v>
      </c>
      <c r="E63" s="349">
        <v>37043</v>
      </c>
      <c r="F63" s="288">
        <v>2001</v>
      </c>
      <c r="G63" s="288">
        <v>24</v>
      </c>
      <c r="H63" s="288"/>
      <c r="I63" s="358">
        <v>2001</v>
      </c>
      <c r="J63" s="358">
        <v>14</v>
      </c>
      <c r="K63" s="288" t="s">
        <v>1211</v>
      </c>
      <c r="L63" s="288" t="s">
        <v>1655</v>
      </c>
      <c r="M63" s="358" t="s">
        <v>1961</v>
      </c>
      <c r="N63" s="290" t="s">
        <v>1884</v>
      </c>
      <c r="O63" s="288" t="s">
        <v>1884</v>
      </c>
      <c r="P63" s="288" t="s">
        <v>1884</v>
      </c>
      <c r="Q63" s="375"/>
      <c r="R63" s="361"/>
      <c r="S63" s="294"/>
      <c r="T63" s="1058"/>
      <c r="U63" s="295"/>
      <c r="V63" s="295"/>
      <c r="W63" s="362"/>
      <c r="X63" s="379"/>
      <c r="Y63" s="293"/>
      <c r="Z63" s="294"/>
      <c r="AA63" s="293"/>
      <c r="AB63" s="383"/>
      <c r="AC63" s="364"/>
      <c r="AD63" s="427"/>
      <c r="AE63" s="299">
        <v>24420</v>
      </c>
      <c r="AF63" s="670"/>
      <c r="AG63" s="371">
        <f t="shared" si="0"/>
        <v>24420</v>
      </c>
      <c r="AH63" s="365">
        <v>3</v>
      </c>
      <c r="AI63" s="366"/>
      <c r="AJ63" s="366"/>
      <c r="AK63" s="367">
        <f>250+5100+263+494</f>
        <v>6107</v>
      </c>
      <c r="AL63" s="363"/>
      <c r="AM63" s="368"/>
      <c r="AN63" s="368">
        <v>5100</v>
      </c>
      <c r="AO63" s="368"/>
      <c r="AP63" s="368"/>
      <c r="AQ63" s="368">
        <v>757</v>
      </c>
      <c r="AR63" s="368"/>
      <c r="AS63" s="368"/>
      <c r="AT63" s="368"/>
      <c r="AU63" s="368"/>
      <c r="AV63" s="368">
        <v>250</v>
      </c>
      <c r="AW63" s="368"/>
      <c r="AX63" s="369"/>
      <c r="AY63" s="369"/>
      <c r="AZ63" s="352">
        <v>361260</v>
      </c>
      <c r="BA63" s="364">
        <f>48790+160+264500</f>
        <v>313450</v>
      </c>
      <c r="BB63" s="299">
        <f t="shared" si="1"/>
        <v>699130</v>
      </c>
      <c r="BC63" s="370"/>
      <c r="BD63" s="371"/>
      <c r="BE63" s="372">
        <v>15000</v>
      </c>
      <c r="BF63" s="352">
        <f t="shared" si="11"/>
        <v>699130</v>
      </c>
      <c r="BG63" s="451" t="str">
        <f t="shared" si="2"/>
        <v>Y</v>
      </c>
      <c r="BH63" s="451"/>
      <c r="BI63" s="299"/>
      <c r="BJ63" s="698"/>
      <c r="BK63" s="698"/>
      <c r="BL63" s="300">
        <v>2676</v>
      </c>
      <c r="BM63" s="707"/>
      <c r="BN63" s="391"/>
      <c r="BO63" s="707"/>
      <c r="BP63" s="717"/>
      <c r="BQ63" s="707"/>
      <c r="BR63" s="391"/>
      <c r="BS63" s="391"/>
      <c r="BT63" s="391"/>
      <c r="BU63" s="391"/>
      <c r="BV63" s="382"/>
      <c r="BW63" s="288"/>
      <c r="BX63" s="290"/>
      <c r="BY63" s="374" t="s">
        <v>845</v>
      </c>
      <c r="BZ63" s="624"/>
      <c r="CA63" s="624"/>
      <c r="CB63" s="624"/>
      <c r="CC63" s="624"/>
      <c r="CD63" s="624"/>
      <c r="CE63" s="624"/>
      <c r="CF63" s="624"/>
      <c r="CG63" s="624"/>
      <c r="CH63" s="624"/>
    </row>
    <row r="64" spans="1:86" s="305" customFormat="1" ht="39" customHeight="1">
      <c r="A64" s="276"/>
      <c r="B64" s="355">
        <f t="shared" si="9"/>
        <v>51</v>
      </c>
      <c r="C64" s="355"/>
      <c r="D64" s="726" t="s">
        <v>1830</v>
      </c>
      <c r="E64" s="356">
        <v>37073</v>
      </c>
      <c r="F64" s="288">
        <v>2002</v>
      </c>
      <c r="G64" s="358">
        <v>1</v>
      </c>
      <c r="H64" s="358"/>
      <c r="I64" s="358">
        <v>2001</v>
      </c>
      <c r="J64" s="358">
        <v>15</v>
      </c>
      <c r="K64" s="288" t="s">
        <v>570</v>
      </c>
      <c r="L64" s="358" t="s">
        <v>1944</v>
      </c>
      <c r="M64" s="358" t="s">
        <v>1271</v>
      </c>
      <c r="N64" s="359" t="s">
        <v>1877</v>
      </c>
      <c r="O64" s="358" t="s">
        <v>1337</v>
      </c>
      <c r="P64" s="358" t="s">
        <v>1337</v>
      </c>
      <c r="Q64" s="360">
        <v>6000000</v>
      </c>
      <c r="R64" s="361"/>
      <c r="S64" s="294"/>
      <c r="T64" s="1058"/>
      <c r="U64" s="295"/>
      <c r="V64" s="295"/>
      <c r="W64" s="362"/>
      <c r="X64" s="379"/>
      <c r="Y64" s="293"/>
      <c r="Z64" s="294"/>
      <c r="AA64" s="293"/>
      <c r="AB64" s="365"/>
      <c r="AC64" s="364"/>
      <c r="AD64" s="427"/>
      <c r="AE64" s="299"/>
      <c r="AF64" s="670"/>
      <c r="AG64" s="371">
        <f t="shared" si="0"/>
        <v>0</v>
      </c>
      <c r="AH64" s="365">
        <v>0</v>
      </c>
      <c r="AI64" s="366"/>
      <c r="AJ64" s="366"/>
      <c r="AK64" s="367"/>
      <c r="AL64" s="363"/>
      <c r="AM64" s="368"/>
      <c r="AN64" s="368"/>
      <c r="AO64" s="368"/>
      <c r="AP64" s="368"/>
      <c r="AQ64" s="368"/>
      <c r="AR64" s="368"/>
      <c r="AS64" s="368"/>
      <c r="AT64" s="368"/>
      <c r="AU64" s="368"/>
      <c r="AV64" s="368"/>
      <c r="AW64" s="368"/>
      <c r="AX64" s="369"/>
      <c r="AY64" s="369"/>
      <c r="AZ64" s="352">
        <v>100000</v>
      </c>
      <c r="BA64" s="364"/>
      <c r="BB64" s="299">
        <f t="shared" si="1"/>
        <v>100000</v>
      </c>
      <c r="BC64" s="370"/>
      <c r="BD64" s="371"/>
      <c r="BE64" s="372">
        <v>10000</v>
      </c>
      <c r="BF64" s="352">
        <f t="shared" si="11"/>
        <v>100000</v>
      </c>
      <c r="BG64" s="451" t="str">
        <f t="shared" si="2"/>
        <v>Y</v>
      </c>
      <c r="BH64" s="451"/>
      <c r="BI64" s="299"/>
      <c r="BJ64" s="698"/>
      <c r="BK64" s="698"/>
      <c r="BL64" s="303">
        <v>2954</v>
      </c>
      <c r="BM64" s="706"/>
      <c r="BN64" s="373"/>
      <c r="BO64" s="706"/>
      <c r="BP64" s="716"/>
      <c r="BQ64" s="706"/>
      <c r="BR64" s="373"/>
      <c r="BS64" s="373"/>
      <c r="BT64" s="373"/>
      <c r="BU64" s="373"/>
      <c r="BV64" s="304"/>
      <c r="BW64" s="288"/>
      <c r="BX64" s="359"/>
      <c r="BY64" s="374"/>
      <c r="BZ64" s="624"/>
      <c r="CA64" s="624"/>
      <c r="CB64" s="624"/>
      <c r="CC64" s="624"/>
      <c r="CD64" s="624"/>
      <c r="CE64" s="624"/>
      <c r="CF64" s="624"/>
      <c r="CG64" s="624"/>
      <c r="CH64" s="624"/>
    </row>
    <row r="65" spans="1:86" s="305" customFormat="1" ht="39" customHeight="1">
      <c r="A65" s="276"/>
      <c r="B65" s="355">
        <v>52</v>
      </c>
      <c r="C65" s="355"/>
      <c r="D65" s="726" t="s">
        <v>1468</v>
      </c>
      <c r="E65" s="356">
        <v>37104</v>
      </c>
      <c r="F65" s="288">
        <v>2002</v>
      </c>
      <c r="G65" s="358">
        <v>2</v>
      </c>
      <c r="H65" s="358"/>
      <c r="I65" s="358">
        <v>2001</v>
      </c>
      <c r="J65" s="358">
        <v>16</v>
      </c>
      <c r="K65" s="358" t="s">
        <v>1211</v>
      </c>
      <c r="L65" s="303" t="s">
        <v>1641</v>
      </c>
      <c r="M65" s="358" t="s">
        <v>1271</v>
      </c>
      <c r="N65" s="374" t="s">
        <v>1874</v>
      </c>
      <c r="O65" s="358" t="s">
        <v>1874</v>
      </c>
      <c r="P65" s="358" t="s">
        <v>1874</v>
      </c>
      <c r="Q65" s="360"/>
      <c r="R65" s="361"/>
      <c r="S65" s="294"/>
      <c r="T65" s="1058"/>
      <c r="U65" s="295"/>
      <c r="V65" s="295"/>
      <c r="W65" s="362"/>
      <c r="X65" s="379"/>
      <c r="Y65" s="293"/>
      <c r="Z65" s="294"/>
      <c r="AA65" s="293"/>
      <c r="AB65" s="365"/>
      <c r="AC65" s="364"/>
      <c r="AD65" s="427"/>
      <c r="AE65" s="299">
        <v>25000</v>
      </c>
      <c r="AF65" s="670"/>
      <c r="AG65" s="371">
        <f t="shared" si="0"/>
        <v>25000</v>
      </c>
      <c r="AH65" s="365">
        <v>5</v>
      </c>
      <c r="AI65" s="366"/>
      <c r="AJ65" s="366"/>
      <c r="AK65" s="367"/>
      <c r="AL65" s="363"/>
      <c r="AM65" s="368"/>
      <c r="AN65" s="368"/>
      <c r="AO65" s="368"/>
      <c r="AP65" s="368"/>
      <c r="AQ65" s="368"/>
      <c r="AR65" s="368"/>
      <c r="AS65" s="368"/>
      <c r="AT65" s="368"/>
      <c r="AU65" s="368"/>
      <c r="AV65" s="368"/>
      <c r="AW65" s="368"/>
      <c r="AX65" s="369"/>
      <c r="AY65" s="369"/>
      <c r="AZ65" s="352"/>
      <c r="BA65" s="364"/>
      <c r="BB65" s="299">
        <f t="shared" si="1"/>
        <v>25000</v>
      </c>
      <c r="BC65" s="370"/>
      <c r="BD65" s="371"/>
      <c r="BE65" s="372">
        <v>5000</v>
      </c>
      <c r="BF65" s="352">
        <f t="shared" si="11"/>
        <v>25000</v>
      </c>
      <c r="BG65" s="451" t="str">
        <f t="shared" si="2"/>
        <v>Y</v>
      </c>
      <c r="BH65" s="451"/>
      <c r="BI65" s="299"/>
      <c r="BJ65" s="698"/>
      <c r="BK65" s="698"/>
      <c r="BL65" s="303">
        <v>2837</v>
      </c>
      <c r="BM65" s="706"/>
      <c r="BN65" s="373"/>
      <c r="BO65" s="706"/>
      <c r="BP65" s="716"/>
      <c r="BQ65" s="706"/>
      <c r="BR65" s="373"/>
      <c r="BS65" s="373"/>
      <c r="BT65" s="373"/>
      <c r="BU65" s="373"/>
      <c r="BV65" s="304"/>
      <c r="BW65" s="288"/>
      <c r="BX65" s="359"/>
      <c r="BY65" s="374" t="s">
        <v>1161</v>
      </c>
      <c r="BZ65" s="624"/>
      <c r="CA65" s="624"/>
      <c r="CB65" s="624"/>
      <c r="CC65" s="624"/>
      <c r="CD65" s="624"/>
      <c r="CE65" s="624"/>
      <c r="CF65" s="624"/>
      <c r="CG65" s="624"/>
      <c r="CH65" s="624"/>
    </row>
    <row r="66" spans="1:86" s="305" customFormat="1" ht="39" customHeight="1">
      <c r="A66" s="276"/>
      <c r="B66" s="355">
        <v>52</v>
      </c>
      <c r="C66" s="355"/>
      <c r="D66" s="726" t="s">
        <v>1469</v>
      </c>
      <c r="E66" s="356">
        <v>37104</v>
      </c>
      <c r="F66" s="288">
        <v>2002</v>
      </c>
      <c r="G66" s="358">
        <v>2</v>
      </c>
      <c r="H66" s="358"/>
      <c r="I66" s="358">
        <v>2001</v>
      </c>
      <c r="J66" s="358">
        <v>16</v>
      </c>
      <c r="K66" s="358" t="s">
        <v>1211</v>
      </c>
      <c r="L66" s="303" t="s">
        <v>1660</v>
      </c>
      <c r="M66" s="358" t="s">
        <v>1271</v>
      </c>
      <c r="N66" s="374" t="s">
        <v>1874</v>
      </c>
      <c r="O66" s="358" t="s">
        <v>1874</v>
      </c>
      <c r="P66" s="358" t="s">
        <v>1874</v>
      </c>
      <c r="Q66" s="360"/>
      <c r="R66" s="361"/>
      <c r="S66" s="294"/>
      <c r="T66" s="1058"/>
      <c r="U66" s="295"/>
      <c r="V66" s="295"/>
      <c r="W66" s="362"/>
      <c r="X66" s="379"/>
      <c r="Y66" s="293"/>
      <c r="Z66" s="294"/>
      <c r="AA66" s="293"/>
      <c r="AB66" s="365"/>
      <c r="AC66" s="364"/>
      <c r="AD66" s="427"/>
      <c r="AE66" s="299"/>
      <c r="AF66" s="670"/>
      <c r="AG66" s="371">
        <f t="shared" si="0"/>
        <v>0</v>
      </c>
      <c r="AH66" s="365"/>
      <c r="AI66" s="366"/>
      <c r="AJ66" s="366"/>
      <c r="AK66" s="367"/>
      <c r="AL66" s="363"/>
      <c r="AM66" s="368"/>
      <c r="AN66" s="368"/>
      <c r="AO66" s="368"/>
      <c r="AP66" s="368"/>
      <c r="AQ66" s="368"/>
      <c r="AR66" s="368"/>
      <c r="AS66" s="368"/>
      <c r="AT66" s="368"/>
      <c r="AU66" s="368"/>
      <c r="AV66" s="368"/>
      <c r="AW66" s="368"/>
      <c r="AX66" s="369"/>
      <c r="AY66" s="369"/>
      <c r="AZ66" s="352"/>
      <c r="BA66" s="364"/>
      <c r="BB66" s="299">
        <f t="shared" si="1"/>
        <v>0</v>
      </c>
      <c r="BC66" s="370"/>
      <c r="BD66" s="371"/>
      <c r="BE66" s="372"/>
      <c r="BF66" s="352">
        <f t="shared" si="11"/>
        <v>0</v>
      </c>
      <c r="BG66" s="451" t="str">
        <f t="shared" si="2"/>
        <v>Y</v>
      </c>
      <c r="BH66" s="451"/>
      <c r="BI66" s="299"/>
      <c r="BJ66" s="698"/>
      <c r="BK66" s="698"/>
      <c r="BL66" s="303">
        <v>2837</v>
      </c>
      <c r="BM66" s="706"/>
      <c r="BN66" s="373"/>
      <c r="BO66" s="706"/>
      <c r="BP66" s="716"/>
      <c r="BQ66" s="706"/>
      <c r="BR66" s="373"/>
      <c r="BS66" s="373"/>
      <c r="BT66" s="373"/>
      <c r="BU66" s="373"/>
      <c r="BV66" s="304"/>
      <c r="BW66" s="288"/>
      <c r="BX66" s="359"/>
      <c r="BY66" s="374"/>
      <c r="BZ66" s="624"/>
      <c r="CA66" s="624"/>
      <c r="CB66" s="624"/>
      <c r="CC66" s="624"/>
      <c r="CD66" s="624"/>
      <c r="CE66" s="624"/>
      <c r="CF66" s="624"/>
      <c r="CG66" s="624"/>
      <c r="CH66" s="624"/>
    </row>
    <row r="67" spans="1:86" s="305" customFormat="1" ht="39" customHeight="1">
      <c r="A67" s="276"/>
      <c r="B67" s="355">
        <v>52</v>
      </c>
      <c r="C67" s="355"/>
      <c r="D67" s="726" t="s">
        <v>1474</v>
      </c>
      <c r="E67" s="356">
        <v>37104</v>
      </c>
      <c r="F67" s="288">
        <v>2002</v>
      </c>
      <c r="G67" s="358">
        <v>2</v>
      </c>
      <c r="H67" s="358"/>
      <c r="I67" s="358">
        <v>2001</v>
      </c>
      <c r="J67" s="358">
        <v>16</v>
      </c>
      <c r="K67" s="358" t="s">
        <v>1211</v>
      </c>
      <c r="L67" s="303" t="s">
        <v>1886</v>
      </c>
      <c r="M67" s="358" t="s">
        <v>1271</v>
      </c>
      <c r="N67" s="374" t="s">
        <v>1874</v>
      </c>
      <c r="O67" s="358" t="s">
        <v>1874</v>
      </c>
      <c r="P67" s="358" t="s">
        <v>1874</v>
      </c>
      <c r="Q67" s="360"/>
      <c r="R67" s="361"/>
      <c r="S67" s="294"/>
      <c r="T67" s="1058"/>
      <c r="U67" s="295"/>
      <c r="V67" s="295"/>
      <c r="W67" s="362"/>
      <c r="X67" s="379"/>
      <c r="Y67" s="293"/>
      <c r="Z67" s="294"/>
      <c r="AA67" s="293"/>
      <c r="AB67" s="365"/>
      <c r="AC67" s="364"/>
      <c r="AD67" s="427"/>
      <c r="AE67" s="299"/>
      <c r="AF67" s="670"/>
      <c r="AG67" s="371">
        <f t="shared" si="0"/>
        <v>0</v>
      </c>
      <c r="AH67" s="365"/>
      <c r="AI67" s="366"/>
      <c r="AJ67" s="366"/>
      <c r="AK67" s="367"/>
      <c r="AL67" s="363"/>
      <c r="AM67" s="368"/>
      <c r="AN67" s="368"/>
      <c r="AO67" s="368"/>
      <c r="AP67" s="368"/>
      <c r="AQ67" s="368"/>
      <c r="AR67" s="368"/>
      <c r="AS67" s="368"/>
      <c r="AT67" s="368"/>
      <c r="AU67" s="368"/>
      <c r="AV67" s="368"/>
      <c r="AW67" s="368"/>
      <c r="AX67" s="369"/>
      <c r="AY67" s="369"/>
      <c r="AZ67" s="352"/>
      <c r="BA67" s="364"/>
      <c r="BB67" s="299">
        <f t="shared" si="1"/>
        <v>0</v>
      </c>
      <c r="BC67" s="370"/>
      <c r="BD67" s="371"/>
      <c r="BE67" s="372"/>
      <c r="BF67" s="352">
        <f t="shared" si="11"/>
        <v>0</v>
      </c>
      <c r="BG67" s="451" t="str">
        <f t="shared" si="2"/>
        <v>Y</v>
      </c>
      <c r="BH67" s="451"/>
      <c r="BI67" s="299"/>
      <c r="BJ67" s="698"/>
      <c r="BK67" s="698"/>
      <c r="BL67" s="303">
        <v>2837</v>
      </c>
      <c r="BM67" s="706"/>
      <c r="BN67" s="373"/>
      <c r="BO67" s="706"/>
      <c r="BP67" s="716"/>
      <c r="BQ67" s="706"/>
      <c r="BR67" s="373"/>
      <c r="BS67" s="373"/>
      <c r="BT67" s="373"/>
      <c r="BU67" s="373"/>
      <c r="BV67" s="304"/>
      <c r="BW67" s="288"/>
      <c r="BX67" s="359"/>
      <c r="BY67" s="374"/>
      <c r="BZ67" s="624"/>
      <c r="CA67" s="624"/>
      <c r="CB67" s="624"/>
      <c r="CC67" s="624"/>
      <c r="CD67" s="624"/>
      <c r="CE67" s="624"/>
      <c r="CF67" s="624"/>
      <c r="CG67" s="624"/>
      <c r="CH67" s="624"/>
    </row>
    <row r="68" spans="1:86" s="305" customFormat="1" ht="39" customHeight="1">
      <c r="A68" s="276"/>
      <c r="B68" s="355">
        <v>52</v>
      </c>
      <c r="C68" s="355"/>
      <c r="D68" s="726" t="s">
        <v>1475</v>
      </c>
      <c r="E68" s="356">
        <v>37104</v>
      </c>
      <c r="F68" s="288">
        <v>2002</v>
      </c>
      <c r="G68" s="358">
        <v>2</v>
      </c>
      <c r="H68" s="358"/>
      <c r="I68" s="358">
        <v>2001</v>
      </c>
      <c r="J68" s="358">
        <v>16</v>
      </c>
      <c r="K68" s="358" t="s">
        <v>1211</v>
      </c>
      <c r="L68" s="303" t="s">
        <v>1661</v>
      </c>
      <c r="M68" s="358" t="s">
        <v>1271</v>
      </c>
      <c r="N68" s="374" t="s">
        <v>1874</v>
      </c>
      <c r="O68" s="358" t="s">
        <v>1874</v>
      </c>
      <c r="P68" s="358" t="s">
        <v>1874</v>
      </c>
      <c r="Q68" s="360"/>
      <c r="R68" s="361"/>
      <c r="S68" s="294"/>
      <c r="T68" s="1058"/>
      <c r="U68" s="295"/>
      <c r="V68" s="295"/>
      <c r="W68" s="362"/>
      <c r="X68" s="379"/>
      <c r="Y68" s="293"/>
      <c r="Z68" s="294"/>
      <c r="AA68" s="293"/>
      <c r="AB68" s="365"/>
      <c r="AC68" s="364"/>
      <c r="AD68" s="427"/>
      <c r="AE68" s="299"/>
      <c r="AF68" s="670"/>
      <c r="AG68" s="371">
        <f t="shared" si="0"/>
        <v>0</v>
      </c>
      <c r="AH68" s="365"/>
      <c r="AI68" s="366"/>
      <c r="AJ68" s="366"/>
      <c r="AK68" s="367"/>
      <c r="AL68" s="363"/>
      <c r="AM68" s="368"/>
      <c r="AN68" s="368"/>
      <c r="AO68" s="368"/>
      <c r="AP68" s="368"/>
      <c r="AQ68" s="368"/>
      <c r="AR68" s="368"/>
      <c r="AS68" s="368"/>
      <c r="AT68" s="368"/>
      <c r="AU68" s="368"/>
      <c r="AV68" s="368"/>
      <c r="AW68" s="368"/>
      <c r="AX68" s="369"/>
      <c r="AY68" s="369"/>
      <c r="AZ68" s="352"/>
      <c r="BA68" s="364"/>
      <c r="BB68" s="299">
        <f t="shared" si="1"/>
        <v>0</v>
      </c>
      <c r="BC68" s="370"/>
      <c r="BD68" s="371"/>
      <c r="BE68" s="372"/>
      <c r="BF68" s="352">
        <f>AE68+AC68+AZ68+BA68</f>
        <v>0</v>
      </c>
      <c r="BG68" s="451" t="str">
        <f t="shared" si="2"/>
        <v>Y</v>
      </c>
      <c r="BH68" s="451"/>
      <c r="BI68" s="299"/>
      <c r="BJ68" s="698"/>
      <c r="BK68" s="698"/>
      <c r="BL68" s="303">
        <v>2837</v>
      </c>
      <c r="BM68" s="706"/>
      <c r="BN68" s="373"/>
      <c r="BO68" s="706"/>
      <c r="BP68" s="716"/>
      <c r="BQ68" s="706"/>
      <c r="BR68" s="373"/>
      <c r="BS68" s="373"/>
      <c r="BT68" s="373"/>
      <c r="BU68" s="373"/>
      <c r="BV68" s="304"/>
      <c r="BW68" s="288"/>
      <c r="BX68" s="359"/>
      <c r="BY68" s="374"/>
      <c r="BZ68" s="624"/>
      <c r="CA68" s="624"/>
      <c r="CB68" s="624"/>
      <c r="CC68" s="624"/>
      <c r="CD68" s="624"/>
      <c r="CE68" s="624"/>
      <c r="CF68" s="624"/>
      <c r="CG68" s="624"/>
      <c r="CH68" s="624"/>
    </row>
    <row r="69" spans="1:86" s="305" customFormat="1" ht="39" customHeight="1">
      <c r="A69" s="276"/>
      <c r="B69" s="355">
        <f>B65+1</f>
        <v>53</v>
      </c>
      <c r="C69" s="355"/>
      <c r="D69" s="726" t="s">
        <v>1476</v>
      </c>
      <c r="E69" s="356">
        <v>37135</v>
      </c>
      <c r="F69" s="358">
        <v>2002</v>
      </c>
      <c r="G69" s="358">
        <v>3</v>
      </c>
      <c r="H69" s="358"/>
      <c r="I69" s="358">
        <v>2001</v>
      </c>
      <c r="J69" s="358">
        <v>17</v>
      </c>
      <c r="K69" s="358" t="s">
        <v>1211</v>
      </c>
      <c r="L69" s="303" t="s">
        <v>1662</v>
      </c>
      <c r="M69" s="358" t="s">
        <v>1961</v>
      </c>
      <c r="N69" s="374" t="s">
        <v>1887</v>
      </c>
      <c r="O69" s="358" t="s">
        <v>641</v>
      </c>
      <c r="P69" s="358" t="s">
        <v>641</v>
      </c>
      <c r="Q69" s="360"/>
      <c r="R69" s="361"/>
      <c r="S69" s="294"/>
      <c r="T69" s="1058"/>
      <c r="U69" s="295"/>
      <c r="V69" s="295"/>
      <c r="W69" s="362"/>
      <c r="X69" s="379"/>
      <c r="Y69" s="293"/>
      <c r="Z69" s="294"/>
      <c r="AA69" s="293"/>
      <c r="AB69" s="365"/>
      <c r="AC69" s="364"/>
      <c r="AD69" s="427"/>
      <c r="AE69" s="299">
        <v>10000</v>
      </c>
      <c r="AF69" s="670"/>
      <c r="AG69" s="371">
        <f t="shared" si="0"/>
        <v>10000</v>
      </c>
      <c r="AH69" s="365"/>
      <c r="AI69" s="366"/>
      <c r="AJ69" s="366"/>
      <c r="AK69" s="367"/>
      <c r="AL69" s="363"/>
      <c r="AM69" s="368"/>
      <c r="AN69" s="368"/>
      <c r="AO69" s="368"/>
      <c r="AP69" s="368"/>
      <c r="AQ69" s="368"/>
      <c r="AR69" s="368"/>
      <c r="AS69" s="368"/>
      <c r="AT69" s="368"/>
      <c r="AU69" s="368"/>
      <c r="AV69" s="368"/>
      <c r="AW69" s="368"/>
      <c r="AX69" s="369"/>
      <c r="AY69" s="369"/>
      <c r="AZ69" s="352"/>
      <c r="BA69" s="364"/>
      <c r="BB69" s="299">
        <f t="shared" si="1"/>
        <v>10000</v>
      </c>
      <c r="BC69" s="370"/>
      <c r="BD69" s="371"/>
      <c r="BE69" s="372">
        <v>1000</v>
      </c>
      <c r="BF69" s="352">
        <f>AE69+AC69+AZ69+BA69</f>
        <v>10000</v>
      </c>
      <c r="BG69" s="451" t="str">
        <f t="shared" si="2"/>
        <v>Y</v>
      </c>
      <c r="BH69" s="451"/>
      <c r="BI69" s="299"/>
      <c r="BJ69" s="698"/>
      <c r="BK69" s="698"/>
      <c r="BL69" s="303">
        <v>2898</v>
      </c>
      <c r="BM69" s="706"/>
      <c r="BN69" s="373"/>
      <c r="BO69" s="706"/>
      <c r="BP69" s="716"/>
      <c r="BQ69" s="706"/>
      <c r="BR69" s="373"/>
      <c r="BS69" s="373"/>
      <c r="BT69" s="373"/>
      <c r="BU69" s="373"/>
      <c r="BV69" s="304"/>
      <c r="BW69" s="288"/>
      <c r="BX69" s="359"/>
      <c r="BY69" s="374" t="s">
        <v>1666</v>
      </c>
      <c r="BZ69" s="624"/>
      <c r="CA69" s="624"/>
      <c r="CB69" s="624"/>
      <c r="CC69" s="624"/>
      <c r="CD69" s="624"/>
      <c r="CE69" s="624"/>
      <c r="CF69" s="624"/>
      <c r="CG69" s="624"/>
      <c r="CH69" s="624"/>
    </row>
    <row r="70" spans="1:86" s="305" customFormat="1" ht="39" customHeight="1">
      <c r="A70" s="276"/>
      <c r="B70" s="355">
        <v>54</v>
      </c>
      <c r="C70" s="355"/>
      <c r="D70" s="726" t="s">
        <v>1477</v>
      </c>
      <c r="E70" s="356">
        <v>37135</v>
      </c>
      <c r="F70" s="358">
        <v>2002</v>
      </c>
      <c r="G70" s="358">
        <v>4</v>
      </c>
      <c r="H70" s="358"/>
      <c r="I70" s="358">
        <v>2001</v>
      </c>
      <c r="J70" s="358">
        <v>18</v>
      </c>
      <c r="K70" s="288" t="s">
        <v>570</v>
      </c>
      <c r="L70" s="303" t="s">
        <v>1667</v>
      </c>
      <c r="M70" s="358" t="s">
        <v>1273</v>
      </c>
      <c r="N70" s="359" t="s">
        <v>1940</v>
      </c>
      <c r="O70" s="358" t="s">
        <v>1940</v>
      </c>
      <c r="P70" s="358" t="s">
        <v>1940</v>
      </c>
      <c r="Q70" s="360"/>
      <c r="R70" s="361"/>
      <c r="S70" s="294"/>
      <c r="T70" s="1058"/>
      <c r="U70" s="295"/>
      <c r="V70" s="295"/>
      <c r="W70" s="362"/>
      <c r="X70" s="379"/>
      <c r="Y70" s="293"/>
      <c r="Z70" s="294"/>
      <c r="AA70" s="293"/>
      <c r="AB70" s="365"/>
      <c r="AC70" s="364"/>
      <c r="AD70" s="427"/>
      <c r="AE70" s="299"/>
      <c r="AF70" s="670"/>
      <c r="AG70" s="371">
        <f t="shared" si="0"/>
        <v>0</v>
      </c>
      <c r="AH70" s="365">
        <v>12</v>
      </c>
      <c r="AI70" s="366"/>
      <c r="AJ70" s="366"/>
      <c r="AK70" s="367"/>
      <c r="AL70" s="363"/>
      <c r="AM70" s="368"/>
      <c r="AN70" s="368"/>
      <c r="AO70" s="368"/>
      <c r="AP70" s="368"/>
      <c r="AQ70" s="368"/>
      <c r="AR70" s="368"/>
      <c r="AS70" s="368"/>
      <c r="AT70" s="368"/>
      <c r="AU70" s="368"/>
      <c r="AV70" s="368"/>
      <c r="AW70" s="368"/>
      <c r="AX70" s="369"/>
      <c r="AY70" s="369"/>
      <c r="AZ70" s="352">
        <v>2032231</v>
      </c>
      <c r="BA70" s="364">
        <v>200000</v>
      </c>
      <c r="BB70" s="299">
        <f t="shared" si="1"/>
        <v>2232231</v>
      </c>
      <c r="BC70" s="370">
        <f>12000000-BB70</f>
        <v>9767769</v>
      </c>
      <c r="BD70" s="371"/>
      <c r="BE70" s="372">
        <v>380000</v>
      </c>
      <c r="BF70" s="352">
        <f t="shared" ref="BF70:BF75" si="12">BB70+BD70+BC70</f>
        <v>12000000</v>
      </c>
      <c r="BG70" s="451" t="str">
        <f t="shared" si="2"/>
        <v>Y</v>
      </c>
      <c r="BH70" s="451"/>
      <c r="BI70" s="299"/>
      <c r="BJ70" s="698"/>
      <c r="BK70" s="698"/>
      <c r="BL70" s="303">
        <v>2677</v>
      </c>
      <c r="BM70" s="706"/>
      <c r="BN70" s="373"/>
      <c r="BO70" s="706"/>
      <c r="BP70" s="716"/>
      <c r="BQ70" s="706"/>
      <c r="BR70" s="373"/>
      <c r="BS70" s="373"/>
      <c r="BT70" s="373"/>
      <c r="BU70" s="373"/>
      <c r="BV70" s="304"/>
      <c r="BW70" s="288"/>
      <c r="BX70" s="359"/>
      <c r="BY70" s="374" t="s">
        <v>1545</v>
      </c>
      <c r="BZ70" s="624"/>
      <c r="CA70" s="624"/>
      <c r="CB70" s="624"/>
      <c r="CC70" s="624"/>
      <c r="CD70" s="624"/>
      <c r="CE70" s="624"/>
      <c r="CF70" s="624"/>
      <c r="CG70" s="624"/>
      <c r="CH70" s="624"/>
    </row>
    <row r="71" spans="1:86" s="305" customFormat="1" ht="39" customHeight="1">
      <c r="A71" s="276"/>
      <c r="B71" s="355">
        <v>54</v>
      </c>
      <c r="C71" s="355"/>
      <c r="D71" s="726" t="s">
        <v>1478</v>
      </c>
      <c r="E71" s="356">
        <v>37135</v>
      </c>
      <c r="F71" s="358">
        <v>2002</v>
      </c>
      <c r="G71" s="358">
        <v>4</v>
      </c>
      <c r="H71" s="358"/>
      <c r="I71" s="358">
        <v>2001</v>
      </c>
      <c r="J71" s="358">
        <v>18</v>
      </c>
      <c r="K71" s="288" t="s">
        <v>570</v>
      </c>
      <c r="L71" s="303" t="s">
        <v>1668</v>
      </c>
      <c r="M71" s="358" t="s">
        <v>1273</v>
      </c>
      <c r="N71" s="359" t="s">
        <v>1940</v>
      </c>
      <c r="O71" s="358" t="s">
        <v>1940</v>
      </c>
      <c r="P71" s="358" t="s">
        <v>1940</v>
      </c>
      <c r="Q71" s="360"/>
      <c r="R71" s="361"/>
      <c r="S71" s="294"/>
      <c r="T71" s="1058"/>
      <c r="U71" s="295"/>
      <c r="V71" s="295"/>
      <c r="W71" s="362"/>
      <c r="X71" s="379"/>
      <c r="Y71" s="293"/>
      <c r="Z71" s="294"/>
      <c r="AA71" s="293"/>
      <c r="AB71" s="365"/>
      <c r="AC71" s="364"/>
      <c r="AD71" s="427"/>
      <c r="AE71" s="299"/>
      <c r="AF71" s="670"/>
      <c r="AG71" s="371">
        <f t="shared" ref="AG71:AG134" si="13">AC71+AD71+AE71</f>
        <v>0</v>
      </c>
      <c r="AH71" s="365"/>
      <c r="AI71" s="366"/>
      <c r="AJ71" s="366"/>
      <c r="AK71" s="367"/>
      <c r="AL71" s="363"/>
      <c r="AM71" s="368"/>
      <c r="AN71" s="368"/>
      <c r="AO71" s="368"/>
      <c r="AP71" s="368"/>
      <c r="AQ71" s="368"/>
      <c r="AR71" s="368"/>
      <c r="AS71" s="368"/>
      <c r="AT71" s="368"/>
      <c r="AU71" s="368"/>
      <c r="AV71" s="368"/>
      <c r="AW71" s="368"/>
      <c r="AX71" s="369"/>
      <c r="AY71" s="369"/>
      <c r="AZ71" s="352"/>
      <c r="BA71" s="364"/>
      <c r="BB71" s="299">
        <f t="shared" ref="BB71:BB134" si="14">AG71+AZ71+BA71</f>
        <v>0</v>
      </c>
      <c r="BC71" s="370"/>
      <c r="BD71" s="371"/>
      <c r="BE71" s="372"/>
      <c r="BF71" s="352">
        <f t="shared" si="12"/>
        <v>0</v>
      </c>
      <c r="BG71" s="451" t="str">
        <f t="shared" si="2"/>
        <v>Y</v>
      </c>
      <c r="BH71" s="451"/>
      <c r="BI71" s="299"/>
      <c r="BJ71" s="698"/>
      <c r="BK71" s="698"/>
      <c r="BL71" s="303">
        <v>2677</v>
      </c>
      <c r="BM71" s="706"/>
      <c r="BN71" s="373"/>
      <c r="BO71" s="706"/>
      <c r="BP71" s="716"/>
      <c r="BQ71" s="706"/>
      <c r="BR71" s="373"/>
      <c r="BS71" s="373"/>
      <c r="BT71" s="373"/>
      <c r="BU71" s="373"/>
      <c r="BV71" s="304"/>
      <c r="BW71" s="288"/>
      <c r="BX71" s="359"/>
      <c r="BY71" s="374"/>
      <c r="BZ71" s="624"/>
      <c r="CA71" s="624"/>
      <c r="CB71" s="624"/>
      <c r="CC71" s="624"/>
      <c r="CD71" s="624"/>
      <c r="CE71" s="624"/>
      <c r="CF71" s="624"/>
      <c r="CG71" s="624"/>
      <c r="CH71" s="624"/>
    </row>
    <row r="72" spans="1:86" s="305" customFormat="1" ht="39" customHeight="1">
      <c r="A72" s="276"/>
      <c r="B72" s="355">
        <v>54</v>
      </c>
      <c r="C72" s="355"/>
      <c r="D72" s="726" t="s">
        <v>1479</v>
      </c>
      <c r="E72" s="356">
        <v>37135</v>
      </c>
      <c r="F72" s="358">
        <v>2002</v>
      </c>
      <c r="G72" s="358">
        <v>4</v>
      </c>
      <c r="H72" s="358"/>
      <c r="I72" s="358">
        <v>2001</v>
      </c>
      <c r="J72" s="358">
        <v>18</v>
      </c>
      <c r="K72" s="358" t="s">
        <v>570</v>
      </c>
      <c r="L72" s="303" t="s">
        <v>1669</v>
      </c>
      <c r="M72" s="358" t="s">
        <v>1273</v>
      </c>
      <c r="N72" s="359" t="s">
        <v>1940</v>
      </c>
      <c r="O72" s="358" t="s">
        <v>1940</v>
      </c>
      <c r="P72" s="358" t="s">
        <v>1940</v>
      </c>
      <c r="Q72" s="360"/>
      <c r="R72" s="361"/>
      <c r="S72" s="294"/>
      <c r="T72" s="1058"/>
      <c r="U72" s="295"/>
      <c r="V72" s="295"/>
      <c r="W72" s="362"/>
      <c r="X72" s="379"/>
      <c r="Y72" s="293"/>
      <c r="Z72" s="294"/>
      <c r="AA72" s="293"/>
      <c r="AB72" s="365"/>
      <c r="AC72" s="364"/>
      <c r="AD72" s="427"/>
      <c r="AE72" s="299"/>
      <c r="AF72" s="670"/>
      <c r="AG72" s="371">
        <f t="shared" si="13"/>
        <v>0</v>
      </c>
      <c r="AH72" s="365"/>
      <c r="AI72" s="366"/>
      <c r="AJ72" s="366"/>
      <c r="AK72" s="367"/>
      <c r="AL72" s="363"/>
      <c r="AM72" s="368"/>
      <c r="AN72" s="368"/>
      <c r="AO72" s="368"/>
      <c r="AP72" s="368"/>
      <c r="AQ72" s="368"/>
      <c r="AR72" s="368"/>
      <c r="AS72" s="368"/>
      <c r="AT72" s="368"/>
      <c r="AU72" s="368"/>
      <c r="AV72" s="368"/>
      <c r="AW72" s="368"/>
      <c r="AX72" s="369"/>
      <c r="AY72" s="369"/>
      <c r="AZ72" s="352"/>
      <c r="BA72" s="364"/>
      <c r="BB72" s="299">
        <f t="shared" si="14"/>
        <v>0</v>
      </c>
      <c r="BC72" s="370"/>
      <c r="BD72" s="371"/>
      <c r="BE72" s="372"/>
      <c r="BF72" s="352">
        <f t="shared" si="12"/>
        <v>0</v>
      </c>
      <c r="BG72" s="451" t="str">
        <f t="shared" ref="BG72:BG103" si="15">IF(OR(BL72=2799,BL72=2099),"N","Y")</f>
        <v>Y</v>
      </c>
      <c r="BH72" s="451"/>
      <c r="BI72" s="299"/>
      <c r="BJ72" s="698"/>
      <c r="BK72" s="698"/>
      <c r="BL72" s="303">
        <v>2677</v>
      </c>
      <c r="BM72" s="706"/>
      <c r="BN72" s="373"/>
      <c r="BO72" s="706"/>
      <c r="BP72" s="716"/>
      <c r="BQ72" s="706"/>
      <c r="BR72" s="373"/>
      <c r="BS72" s="373"/>
      <c r="BT72" s="373"/>
      <c r="BU72" s="373"/>
      <c r="BV72" s="304"/>
      <c r="BW72" s="288"/>
      <c r="BX72" s="359"/>
      <c r="BY72" s="374"/>
      <c r="BZ72" s="624"/>
      <c r="CA72" s="624"/>
      <c r="CB72" s="624"/>
      <c r="CC72" s="624"/>
      <c r="CD72" s="624"/>
      <c r="CE72" s="624"/>
      <c r="CF72" s="624"/>
      <c r="CG72" s="624"/>
      <c r="CH72" s="624"/>
    </row>
    <row r="73" spans="1:86" s="305" customFormat="1" ht="39" customHeight="1">
      <c r="A73" s="276"/>
      <c r="B73" s="355">
        <v>54</v>
      </c>
      <c r="C73" s="355"/>
      <c r="D73" s="726" t="s">
        <v>1480</v>
      </c>
      <c r="E73" s="356">
        <v>37135</v>
      </c>
      <c r="F73" s="358">
        <v>2002</v>
      </c>
      <c r="G73" s="358">
        <v>4</v>
      </c>
      <c r="H73" s="358"/>
      <c r="I73" s="358">
        <v>2001</v>
      </c>
      <c r="J73" s="358">
        <v>18</v>
      </c>
      <c r="K73" s="358" t="s">
        <v>570</v>
      </c>
      <c r="L73" s="303" t="s">
        <v>1670</v>
      </c>
      <c r="M73" s="358" t="s">
        <v>1273</v>
      </c>
      <c r="N73" s="359" t="s">
        <v>1940</v>
      </c>
      <c r="O73" s="358" t="s">
        <v>1940</v>
      </c>
      <c r="P73" s="358" t="s">
        <v>1940</v>
      </c>
      <c r="Q73" s="360"/>
      <c r="R73" s="361"/>
      <c r="S73" s="294"/>
      <c r="T73" s="1058"/>
      <c r="U73" s="295"/>
      <c r="V73" s="295"/>
      <c r="W73" s="362"/>
      <c r="X73" s="379"/>
      <c r="Y73" s="293"/>
      <c r="Z73" s="294"/>
      <c r="AA73" s="293"/>
      <c r="AB73" s="365"/>
      <c r="AC73" s="364"/>
      <c r="AD73" s="427"/>
      <c r="AE73" s="299"/>
      <c r="AF73" s="670"/>
      <c r="AG73" s="371">
        <f t="shared" si="13"/>
        <v>0</v>
      </c>
      <c r="AH73" s="365"/>
      <c r="AI73" s="366"/>
      <c r="AJ73" s="366"/>
      <c r="AK73" s="367"/>
      <c r="AL73" s="363"/>
      <c r="AM73" s="368"/>
      <c r="AN73" s="368"/>
      <c r="AO73" s="368"/>
      <c r="AP73" s="368"/>
      <c r="AQ73" s="368"/>
      <c r="AR73" s="368"/>
      <c r="AS73" s="368"/>
      <c r="AT73" s="368"/>
      <c r="AU73" s="368"/>
      <c r="AV73" s="368"/>
      <c r="AW73" s="368"/>
      <c r="AX73" s="369"/>
      <c r="AY73" s="369"/>
      <c r="AZ73" s="352"/>
      <c r="BA73" s="364"/>
      <c r="BB73" s="299">
        <f t="shared" si="14"/>
        <v>0</v>
      </c>
      <c r="BC73" s="370"/>
      <c r="BD73" s="371"/>
      <c r="BE73" s="372"/>
      <c r="BF73" s="352">
        <f t="shared" si="12"/>
        <v>0</v>
      </c>
      <c r="BG73" s="451" t="str">
        <f t="shared" si="15"/>
        <v>Y</v>
      </c>
      <c r="BH73" s="451"/>
      <c r="BI73" s="299"/>
      <c r="BJ73" s="698"/>
      <c r="BK73" s="698"/>
      <c r="BL73" s="303">
        <v>2677</v>
      </c>
      <c r="BM73" s="706"/>
      <c r="BN73" s="373"/>
      <c r="BO73" s="706"/>
      <c r="BP73" s="716"/>
      <c r="BQ73" s="706"/>
      <c r="BR73" s="373"/>
      <c r="BS73" s="373"/>
      <c r="BT73" s="373"/>
      <c r="BU73" s="373"/>
      <c r="BV73" s="304"/>
      <c r="BW73" s="288"/>
      <c r="BX73" s="359"/>
      <c r="BY73" s="374"/>
      <c r="BZ73" s="624"/>
      <c r="CA73" s="624"/>
      <c r="CB73" s="624"/>
      <c r="CC73" s="624"/>
      <c r="CD73" s="624"/>
      <c r="CE73" s="624"/>
      <c r="CF73" s="624"/>
      <c r="CG73" s="624"/>
      <c r="CH73" s="624"/>
    </row>
    <row r="74" spans="1:86" s="305" customFormat="1" ht="39" customHeight="1">
      <c r="A74" s="276"/>
      <c r="B74" s="355">
        <v>54</v>
      </c>
      <c r="C74" s="355"/>
      <c r="D74" s="726" t="s">
        <v>1481</v>
      </c>
      <c r="E74" s="356">
        <v>37135</v>
      </c>
      <c r="F74" s="358">
        <v>2002</v>
      </c>
      <c r="G74" s="358">
        <v>4</v>
      </c>
      <c r="H74" s="358"/>
      <c r="I74" s="358">
        <v>2001</v>
      </c>
      <c r="J74" s="358">
        <v>18</v>
      </c>
      <c r="K74" s="358" t="s">
        <v>570</v>
      </c>
      <c r="L74" s="303" t="s">
        <v>1671</v>
      </c>
      <c r="M74" s="358" t="s">
        <v>1273</v>
      </c>
      <c r="N74" s="359" t="s">
        <v>1940</v>
      </c>
      <c r="O74" s="358" t="s">
        <v>1940</v>
      </c>
      <c r="P74" s="358" t="s">
        <v>1940</v>
      </c>
      <c r="Q74" s="360"/>
      <c r="R74" s="361"/>
      <c r="S74" s="294"/>
      <c r="T74" s="1058"/>
      <c r="U74" s="295"/>
      <c r="V74" s="295"/>
      <c r="W74" s="362"/>
      <c r="X74" s="379"/>
      <c r="Y74" s="293"/>
      <c r="Z74" s="294"/>
      <c r="AA74" s="293"/>
      <c r="AB74" s="365"/>
      <c r="AC74" s="364"/>
      <c r="AD74" s="427"/>
      <c r="AE74" s="299"/>
      <c r="AF74" s="670"/>
      <c r="AG74" s="371">
        <f t="shared" si="13"/>
        <v>0</v>
      </c>
      <c r="AH74" s="365"/>
      <c r="AI74" s="366"/>
      <c r="AJ74" s="366"/>
      <c r="AK74" s="367"/>
      <c r="AL74" s="363"/>
      <c r="AM74" s="368"/>
      <c r="AN74" s="368"/>
      <c r="AO74" s="368"/>
      <c r="AP74" s="368"/>
      <c r="AQ74" s="368"/>
      <c r="AR74" s="368"/>
      <c r="AS74" s="368"/>
      <c r="AT74" s="368"/>
      <c r="AU74" s="368"/>
      <c r="AV74" s="368"/>
      <c r="AW74" s="368"/>
      <c r="AX74" s="369"/>
      <c r="AY74" s="369"/>
      <c r="AZ74" s="352"/>
      <c r="BA74" s="364"/>
      <c r="BB74" s="299">
        <f t="shared" si="14"/>
        <v>0</v>
      </c>
      <c r="BC74" s="370"/>
      <c r="BD74" s="371"/>
      <c r="BE74" s="372"/>
      <c r="BF74" s="352">
        <f t="shared" si="12"/>
        <v>0</v>
      </c>
      <c r="BG74" s="451" t="str">
        <f t="shared" si="15"/>
        <v>Y</v>
      </c>
      <c r="BH74" s="451"/>
      <c r="BI74" s="299"/>
      <c r="BJ74" s="698"/>
      <c r="BK74" s="698"/>
      <c r="BL74" s="303">
        <v>2677</v>
      </c>
      <c r="BM74" s="706"/>
      <c r="BN74" s="373"/>
      <c r="BO74" s="706"/>
      <c r="BP74" s="716"/>
      <c r="BQ74" s="706"/>
      <c r="BR74" s="373"/>
      <c r="BS74" s="373"/>
      <c r="BT74" s="373"/>
      <c r="BU74" s="373"/>
      <c r="BV74" s="304"/>
      <c r="BW74" s="288"/>
      <c r="BX74" s="359"/>
      <c r="BY74" s="374"/>
      <c r="BZ74" s="624"/>
      <c r="CA74" s="624"/>
      <c r="CB74" s="624"/>
      <c r="CC74" s="624"/>
      <c r="CD74" s="624"/>
      <c r="CE74" s="624"/>
      <c r="CF74" s="624"/>
      <c r="CG74" s="624"/>
      <c r="CH74" s="624"/>
    </row>
    <row r="75" spans="1:86" s="305" customFormat="1" ht="39" customHeight="1">
      <c r="A75" s="276"/>
      <c r="B75" s="355">
        <f>B70+1</f>
        <v>55</v>
      </c>
      <c r="C75" s="355"/>
      <c r="D75" s="726" t="s">
        <v>1482</v>
      </c>
      <c r="E75" s="356">
        <v>37135</v>
      </c>
      <c r="F75" s="358">
        <v>2002</v>
      </c>
      <c r="G75" s="358">
        <v>5</v>
      </c>
      <c r="H75" s="358"/>
      <c r="I75" s="358">
        <v>2001</v>
      </c>
      <c r="J75" s="358">
        <v>19</v>
      </c>
      <c r="K75" s="358" t="s">
        <v>1212</v>
      </c>
      <c r="L75" s="358" t="s">
        <v>1672</v>
      </c>
      <c r="M75" s="358" t="s">
        <v>1273</v>
      </c>
      <c r="N75" s="359" t="s">
        <v>1673</v>
      </c>
      <c r="O75" s="358" t="s">
        <v>1673</v>
      </c>
      <c r="P75" s="358" t="s">
        <v>1673</v>
      </c>
      <c r="Q75" s="360"/>
      <c r="R75" s="361"/>
      <c r="S75" s="294"/>
      <c r="T75" s="1058"/>
      <c r="U75" s="295"/>
      <c r="V75" s="295"/>
      <c r="W75" s="362"/>
      <c r="X75" s="379"/>
      <c r="Y75" s="293"/>
      <c r="Z75" s="294"/>
      <c r="AA75" s="293"/>
      <c r="AB75" s="365"/>
      <c r="AC75" s="450"/>
      <c r="AD75" s="1036"/>
      <c r="AE75" s="299">
        <v>3257775.37</v>
      </c>
      <c r="AF75" s="670"/>
      <c r="AG75" s="371">
        <f t="shared" si="13"/>
        <v>3257775.37</v>
      </c>
      <c r="AH75" s="365">
        <v>30</v>
      </c>
      <c r="AI75" s="366"/>
      <c r="AJ75" s="366"/>
      <c r="AK75" s="367"/>
      <c r="AL75" s="363"/>
      <c r="AM75" s="294"/>
      <c r="AN75" s="294"/>
      <c r="AO75" s="294"/>
      <c r="AP75" s="294"/>
      <c r="AQ75" s="294"/>
      <c r="AR75" s="294"/>
      <c r="AS75" s="294"/>
      <c r="AT75" s="294"/>
      <c r="AU75" s="294"/>
      <c r="AV75" s="294"/>
      <c r="AW75" s="294"/>
      <c r="AX75" s="452"/>
      <c r="AY75" s="452"/>
      <c r="AZ75" s="453">
        <v>0</v>
      </c>
      <c r="BA75" s="364">
        <v>257704</v>
      </c>
      <c r="BB75" s="299">
        <f t="shared" si="14"/>
        <v>3515479.37</v>
      </c>
      <c r="BC75" s="370"/>
      <c r="BD75" s="371"/>
      <c r="BE75" s="372">
        <f>437*6</f>
        <v>2622</v>
      </c>
      <c r="BF75" s="352">
        <f t="shared" si="12"/>
        <v>3515479.37</v>
      </c>
      <c r="BG75" s="451" t="str">
        <f t="shared" si="15"/>
        <v>Y</v>
      </c>
      <c r="BH75" s="451"/>
      <c r="BI75" s="299"/>
      <c r="BJ75" s="698"/>
      <c r="BK75" s="698"/>
      <c r="BL75" s="303">
        <v>4949</v>
      </c>
      <c r="BM75" s="706"/>
      <c r="BN75" s="373"/>
      <c r="BO75" s="706"/>
      <c r="BP75" s="716"/>
      <c r="BQ75" s="706"/>
      <c r="BR75" s="373"/>
      <c r="BS75" s="373"/>
      <c r="BT75" s="373"/>
      <c r="BU75" s="373"/>
      <c r="BV75" s="304"/>
      <c r="BW75" s="288"/>
      <c r="BX75" s="788">
        <v>39702</v>
      </c>
      <c r="BY75" s="374" t="s">
        <v>1674</v>
      </c>
      <c r="BZ75" s="624"/>
      <c r="CA75" s="624"/>
      <c r="CB75" s="624"/>
      <c r="CC75" s="624"/>
      <c r="CD75" s="624"/>
      <c r="CE75" s="624"/>
      <c r="CF75" s="624"/>
      <c r="CG75" s="624"/>
      <c r="CH75" s="624"/>
    </row>
    <row r="76" spans="1:86" s="305" customFormat="1" ht="39" customHeight="1">
      <c r="A76" s="276"/>
      <c r="B76" s="355">
        <f>B75+1</f>
        <v>56</v>
      </c>
      <c r="C76" s="355"/>
      <c r="D76" s="726" t="s">
        <v>1483</v>
      </c>
      <c r="E76" s="356">
        <v>37135</v>
      </c>
      <c r="F76" s="358">
        <v>2002</v>
      </c>
      <c r="G76" s="358">
        <v>6</v>
      </c>
      <c r="H76" s="358"/>
      <c r="I76" s="358">
        <v>2001</v>
      </c>
      <c r="J76" s="358">
        <v>20</v>
      </c>
      <c r="K76" s="358" t="s">
        <v>1211</v>
      </c>
      <c r="L76" s="358" t="s">
        <v>1876</v>
      </c>
      <c r="M76" s="358" t="s">
        <v>1273</v>
      </c>
      <c r="N76" s="359" t="s">
        <v>1970</v>
      </c>
      <c r="O76" s="358" t="s">
        <v>1296</v>
      </c>
      <c r="P76" s="358" t="s">
        <v>1296</v>
      </c>
      <c r="Q76" s="360"/>
      <c r="R76" s="361"/>
      <c r="S76" s="294"/>
      <c r="T76" s="1058"/>
      <c r="U76" s="295"/>
      <c r="V76" s="295"/>
      <c r="W76" s="362"/>
      <c r="X76" s="379"/>
      <c r="Y76" s="293"/>
      <c r="Z76" s="294"/>
      <c r="AA76" s="293"/>
      <c r="AB76" s="365"/>
      <c r="AC76" s="364"/>
      <c r="AD76" s="427"/>
      <c r="AE76" s="299"/>
      <c r="AF76" s="670"/>
      <c r="AG76" s="371">
        <f t="shared" si="13"/>
        <v>0</v>
      </c>
      <c r="AH76" s="365">
        <v>4</v>
      </c>
      <c r="AI76" s="366"/>
      <c r="AJ76" s="366"/>
      <c r="AK76" s="367"/>
      <c r="AL76" s="363"/>
      <c r="AM76" s="368"/>
      <c r="AN76" s="368"/>
      <c r="AO76" s="368"/>
      <c r="AP76" s="368"/>
      <c r="AQ76" s="368"/>
      <c r="AR76" s="368"/>
      <c r="AS76" s="368"/>
      <c r="AT76" s="368"/>
      <c r="AU76" s="368"/>
      <c r="AV76" s="368"/>
      <c r="AW76" s="368"/>
      <c r="AX76" s="369"/>
      <c r="AY76" s="369"/>
      <c r="AZ76" s="352">
        <v>0</v>
      </c>
      <c r="BA76" s="364">
        <v>15000</v>
      </c>
      <c r="BB76" s="299">
        <f t="shared" si="14"/>
        <v>15000</v>
      </c>
      <c r="BC76" s="370"/>
      <c r="BD76" s="371"/>
      <c r="BE76" s="372">
        <f>19*5</f>
        <v>95</v>
      </c>
      <c r="BF76" s="352">
        <f>AE76+AC76+AZ76+BA76</f>
        <v>15000</v>
      </c>
      <c r="BG76" s="451" t="str">
        <f t="shared" si="15"/>
        <v>Y</v>
      </c>
      <c r="BH76" s="451"/>
      <c r="BI76" s="299"/>
      <c r="BJ76" s="698"/>
      <c r="BK76" s="698"/>
      <c r="BL76" s="303">
        <v>2679</v>
      </c>
      <c r="BM76" s="706"/>
      <c r="BN76" s="373"/>
      <c r="BO76" s="706"/>
      <c r="BP76" s="716"/>
      <c r="BQ76" s="706"/>
      <c r="BR76" s="373"/>
      <c r="BS76" s="373"/>
      <c r="BT76" s="373"/>
      <c r="BU76" s="373"/>
      <c r="BV76" s="304"/>
      <c r="BW76" s="288"/>
      <c r="BX76" s="359" t="s">
        <v>1150</v>
      </c>
      <c r="BY76" s="374" t="s">
        <v>1675</v>
      </c>
      <c r="BZ76" s="624"/>
      <c r="CA76" s="624"/>
      <c r="CB76" s="624"/>
      <c r="CC76" s="624"/>
      <c r="CD76" s="624"/>
      <c r="CE76" s="624"/>
      <c r="CF76" s="624"/>
      <c r="CG76" s="624"/>
      <c r="CH76" s="624"/>
    </row>
    <row r="77" spans="1:86" s="305" customFormat="1" ht="39" customHeight="1">
      <c r="A77" s="276"/>
      <c r="B77" s="355">
        <f>B76+1</f>
        <v>57</v>
      </c>
      <c r="C77" s="355"/>
      <c r="D77" s="726" t="s">
        <v>1807</v>
      </c>
      <c r="E77" s="356">
        <v>37165</v>
      </c>
      <c r="F77" s="358">
        <v>2002</v>
      </c>
      <c r="G77" s="358">
        <v>7</v>
      </c>
      <c r="H77" s="358"/>
      <c r="I77" s="358">
        <v>2001</v>
      </c>
      <c r="J77" s="358">
        <v>21</v>
      </c>
      <c r="K77" s="358" t="s">
        <v>1211</v>
      </c>
      <c r="L77" s="358" t="s">
        <v>1876</v>
      </c>
      <c r="M77" s="358" t="s">
        <v>1271</v>
      </c>
      <c r="N77" s="359" t="s">
        <v>1965</v>
      </c>
      <c r="O77" s="288" t="s">
        <v>1098</v>
      </c>
      <c r="P77" s="288" t="s">
        <v>1892</v>
      </c>
      <c r="Q77" s="360"/>
      <c r="R77" s="361"/>
      <c r="S77" s="294"/>
      <c r="T77" s="1058"/>
      <c r="U77" s="295"/>
      <c r="V77" s="295"/>
      <c r="W77" s="362"/>
      <c r="X77" s="379"/>
      <c r="Y77" s="293"/>
      <c r="Z77" s="294"/>
      <c r="AA77" s="293"/>
      <c r="AB77" s="365"/>
      <c r="AC77" s="364"/>
      <c r="AD77" s="427"/>
      <c r="AE77" s="299">
        <v>25000</v>
      </c>
      <c r="AF77" s="670"/>
      <c r="AG77" s="371">
        <f t="shared" si="13"/>
        <v>25000</v>
      </c>
      <c r="AH77" s="365">
        <v>1</v>
      </c>
      <c r="AI77" s="366"/>
      <c r="AJ77" s="366"/>
      <c r="AK77" s="367"/>
      <c r="AL77" s="363"/>
      <c r="AM77" s="368"/>
      <c r="AN77" s="368"/>
      <c r="AO77" s="368"/>
      <c r="AP77" s="368"/>
      <c r="AQ77" s="368"/>
      <c r="AR77" s="368"/>
      <c r="AS77" s="368"/>
      <c r="AT77" s="368"/>
      <c r="AU77" s="368"/>
      <c r="AV77" s="368"/>
      <c r="AW77" s="368"/>
      <c r="AX77" s="369"/>
      <c r="AY77" s="369"/>
      <c r="AZ77" s="352"/>
      <c r="BA77" s="364"/>
      <c r="BB77" s="299">
        <f t="shared" si="14"/>
        <v>25000</v>
      </c>
      <c r="BC77" s="370"/>
      <c r="BD77" s="371"/>
      <c r="BE77" s="372">
        <f>1000*5</f>
        <v>5000</v>
      </c>
      <c r="BF77" s="352">
        <f>AE77+AC77+AZ77+BA77</f>
        <v>25000</v>
      </c>
      <c r="BG77" s="451" t="str">
        <f t="shared" si="15"/>
        <v>Y</v>
      </c>
      <c r="BH77" s="451"/>
      <c r="BI77" s="299"/>
      <c r="BJ77" s="698"/>
      <c r="BK77" s="698"/>
      <c r="BL77" s="303">
        <v>2898</v>
      </c>
      <c r="BM77" s="706"/>
      <c r="BN77" s="373"/>
      <c r="BO77" s="706"/>
      <c r="BP77" s="716"/>
      <c r="BQ77" s="706"/>
      <c r="BR77" s="373"/>
      <c r="BS77" s="373"/>
      <c r="BT77" s="373"/>
      <c r="BU77" s="373"/>
      <c r="BV77" s="304"/>
      <c r="BW77" s="288"/>
      <c r="BX77" s="359" t="s">
        <v>1676</v>
      </c>
      <c r="BY77" s="374" t="s">
        <v>1677</v>
      </c>
      <c r="BZ77" s="624"/>
      <c r="CA77" s="624"/>
      <c r="CB77" s="624"/>
      <c r="CC77" s="624"/>
      <c r="CD77" s="624"/>
      <c r="CE77" s="624"/>
      <c r="CF77" s="624"/>
      <c r="CG77" s="624"/>
      <c r="CH77" s="624"/>
    </row>
    <row r="78" spans="1:86" s="305" customFormat="1" ht="39" customHeight="1">
      <c r="A78" s="276"/>
      <c r="B78" s="355">
        <f>B77+1</f>
        <v>58</v>
      </c>
      <c r="C78" s="355"/>
      <c r="D78" s="726" t="s">
        <v>1484</v>
      </c>
      <c r="E78" s="356">
        <v>37165</v>
      </c>
      <c r="F78" s="358">
        <v>2002</v>
      </c>
      <c r="G78" s="358">
        <v>8</v>
      </c>
      <c r="H78" s="358"/>
      <c r="I78" s="358">
        <v>2001</v>
      </c>
      <c r="J78" s="358">
        <v>22</v>
      </c>
      <c r="K78" s="358" t="s">
        <v>1211</v>
      </c>
      <c r="L78" s="358" t="s">
        <v>121</v>
      </c>
      <c r="M78" s="358" t="s">
        <v>1271</v>
      </c>
      <c r="N78" s="359" t="s">
        <v>1965</v>
      </c>
      <c r="O78" s="288" t="s">
        <v>1098</v>
      </c>
      <c r="P78" s="288" t="s">
        <v>1892</v>
      </c>
      <c r="Q78" s="360"/>
      <c r="R78" s="361"/>
      <c r="S78" s="294"/>
      <c r="T78" s="1058"/>
      <c r="U78" s="295"/>
      <c r="V78" s="295"/>
      <c r="W78" s="362"/>
      <c r="X78" s="379"/>
      <c r="Y78" s="293"/>
      <c r="Z78" s="294"/>
      <c r="AA78" s="293"/>
      <c r="AB78" s="365"/>
      <c r="AC78" s="364"/>
      <c r="AD78" s="427"/>
      <c r="AE78" s="299">
        <v>25000</v>
      </c>
      <c r="AF78" s="670"/>
      <c r="AG78" s="371">
        <f t="shared" si="13"/>
        <v>25000</v>
      </c>
      <c r="AH78" s="365">
        <v>3</v>
      </c>
      <c r="AI78" s="366"/>
      <c r="AJ78" s="366"/>
      <c r="AK78" s="367"/>
      <c r="AL78" s="363"/>
      <c r="AM78" s="368"/>
      <c r="AN78" s="368"/>
      <c r="AO78" s="368"/>
      <c r="AP78" s="368"/>
      <c r="AQ78" s="368"/>
      <c r="AR78" s="368"/>
      <c r="AS78" s="368"/>
      <c r="AT78" s="368"/>
      <c r="AU78" s="368"/>
      <c r="AV78" s="368"/>
      <c r="AW78" s="368"/>
      <c r="AX78" s="369"/>
      <c r="AY78" s="369"/>
      <c r="AZ78" s="352">
        <v>69000</v>
      </c>
      <c r="BA78" s="364">
        <v>3982</v>
      </c>
      <c r="BB78" s="299">
        <f t="shared" si="14"/>
        <v>97982</v>
      </c>
      <c r="BC78" s="370"/>
      <c r="BD78" s="371"/>
      <c r="BE78" s="372">
        <v>5000</v>
      </c>
      <c r="BF78" s="352">
        <f t="shared" ref="BF78:BF83" si="16">BB78+BD78+BC78</f>
        <v>97982</v>
      </c>
      <c r="BG78" s="451" t="str">
        <f t="shared" si="15"/>
        <v>Y</v>
      </c>
      <c r="BH78" s="451"/>
      <c r="BI78" s="299"/>
      <c r="BJ78" s="698"/>
      <c r="BK78" s="698"/>
      <c r="BL78" s="303">
        <v>2678</v>
      </c>
      <c r="BM78" s="706"/>
      <c r="BN78" s="373"/>
      <c r="BO78" s="706"/>
      <c r="BP78" s="716"/>
      <c r="BQ78" s="706"/>
      <c r="BR78" s="373"/>
      <c r="BS78" s="373"/>
      <c r="BT78" s="373"/>
      <c r="BU78" s="373"/>
      <c r="BV78" s="304"/>
      <c r="BW78" s="288"/>
      <c r="BX78" s="359" t="s">
        <v>1678</v>
      </c>
      <c r="BY78" s="374" t="s">
        <v>1679</v>
      </c>
      <c r="BZ78" s="624"/>
      <c r="CA78" s="624"/>
      <c r="CB78" s="624"/>
      <c r="CC78" s="624"/>
      <c r="CD78" s="624"/>
      <c r="CE78" s="624"/>
      <c r="CF78" s="624"/>
      <c r="CG78" s="624"/>
      <c r="CH78" s="624"/>
    </row>
    <row r="79" spans="1:86" s="305" customFormat="1" ht="39" customHeight="1">
      <c r="A79" s="276"/>
      <c r="B79" s="355">
        <f>B78+1</f>
        <v>59</v>
      </c>
      <c r="C79" s="355"/>
      <c r="D79" s="726" t="s">
        <v>1485</v>
      </c>
      <c r="E79" s="356">
        <v>37165</v>
      </c>
      <c r="F79" s="358">
        <v>2002</v>
      </c>
      <c r="G79" s="358">
        <v>9</v>
      </c>
      <c r="H79" s="358"/>
      <c r="I79" s="358">
        <v>2001</v>
      </c>
      <c r="J79" s="358">
        <v>23</v>
      </c>
      <c r="K79" s="358" t="s">
        <v>1211</v>
      </c>
      <c r="L79" s="358" t="s">
        <v>121</v>
      </c>
      <c r="M79" s="358" t="s">
        <v>1273</v>
      </c>
      <c r="N79" s="359" t="s">
        <v>1970</v>
      </c>
      <c r="O79" s="358" t="s">
        <v>1299</v>
      </c>
      <c r="P79" s="358" t="s">
        <v>1299</v>
      </c>
      <c r="Q79" s="360"/>
      <c r="R79" s="361"/>
      <c r="S79" s="294"/>
      <c r="T79" s="1058"/>
      <c r="U79" s="295"/>
      <c r="V79" s="295"/>
      <c r="W79" s="362"/>
      <c r="X79" s="379"/>
      <c r="Y79" s="293"/>
      <c r="Z79" s="294"/>
      <c r="AA79" s="293"/>
      <c r="AB79" s="365"/>
      <c r="AC79" s="364"/>
      <c r="AD79" s="427"/>
      <c r="AE79" s="299"/>
      <c r="AF79" s="670"/>
      <c r="AG79" s="371">
        <f t="shared" si="13"/>
        <v>0</v>
      </c>
      <c r="AH79" s="365">
        <v>2</v>
      </c>
      <c r="AI79" s="366"/>
      <c r="AJ79" s="366"/>
      <c r="AK79" s="367"/>
      <c r="AL79" s="363"/>
      <c r="AM79" s="368"/>
      <c r="AN79" s="368"/>
      <c r="AO79" s="368"/>
      <c r="AP79" s="368"/>
      <c r="AQ79" s="368"/>
      <c r="AR79" s="368"/>
      <c r="AS79" s="368"/>
      <c r="AT79" s="368"/>
      <c r="AU79" s="368"/>
      <c r="AV79" s="368"/>
      <c r="AW79" s="368"/>
      <c r="AX79" s="369"/>
      <c r="AY79" s="369"/>
      <c r="AZ79" s="352">
        <v>0</v>
      </c>
      <c r="BA79" s="364">
        <v>4400</v>
      </c>
      <c r="BB79" s="299">
        <f t="shared" si="14"/>
        <v>4400</v>
      </c>
      <c r="BC79" s="370"/>
      <c r="BD79" s="371"/>
      <c r="BE79" s="372">
        <f>27*5</f>
        <v>135</v>
      </c>
      <c r="BF79" s="352">
        <f t="shared" si="16"/>
        <v>4400</v>
      </c>
      <c r="BG79" s="451" t="str">
        <f t="shared" si="15"/>
        <v>Y</v>
      </c>
      <c r="BH79" s="451"/>
      <c r="BI79" s="299"/>
      <c r="BJ79" s="698"/>
      <c r="BK79" s="698"/>
      <c r="BL79" s="303">
        <v>2898</v>
      </c>
      <c r="BM79" s="706"/>
      <c r="BN79" s="373"/>
      <c r="BO79" s="706"/>
      <c r="BP79" s="716"/>
      <c r="BQ79" s="706"/>
      <c r="BR79" s="373"/>
      <c r="BS79" s="373"/>
      <c r="BT79" s="373"/>
      <c r="BU79" s="373"/>
      <c r="BV79" s="304"/>
      <c r="BW79" s="288"/>
      <c r="BX79" s="359" t="s">
        <v>1584</v>
      </c>
      <c r="BY79" s="374" t="s">
        <v>1585</v>
      </c>
      <c r="BZ79" s="624"/>
      <c r="CA79" s="624"/>
      <c r="CB79" s="624"/>
      <c r="CC79" s="624"/>
      <c r="CD79" s="624"/>
      <c r="CE79" s="624"/>
      <c r="CF79" s="624"/>
      <c r="CG79" s="624"/>
      <c r="CH79" s="624"/>
    </row>
    <row r="80" spans="1:86" s="305" customFormat="1" ht="39" customHeight="1">
      <c r="A80" s="276"/>
      <c r="B80" s="355">
        <v>60</v>
      </c>
      <c r="C80" s="355"/>
      <c r="D80" s="726" t="s">
        <v>1486</v>
      </c>
      <c r="E80" s="356">
        <v>37165</v>
      </c>
      <c r="F80" s="358">
        <v>2002</v>
      </c>
      <c r="G80" s="358">
        <v>10</v>
      </c>
      <c r="H80" s="358"/>
      <c r="I80" s="358">
        <v>2001</v>
      </c>
      <c r="J80" s="358">
        <v>24</v>
      </c>
      <c r="K80" s="358" t="s">
        <v>1211</v>
      </c>
      <c r="L80" s="358" t="s">
        <v>1660</v>
      </c>
      <c r="M80" s="358" t="s">
        <v>1271</v>
      </c>
      <c r="N80" s="359" t="s">
        <v>1965</v>
      </c>
      <c r="O80" s="288" t="s">
        <v>1098</v>
      </c>
      <c r="P80" s="288" t="s">
        <v>1586</v>
      </c>
      <c r="Q80" s="360"/>
      <c r="R80" s="361"/>
      <c r="S80" s="294"/>
      <c r="T80" s="1058"/>
      <c r="U80" s="295"/>
      <c r="V80" s="295"/>
      <c r="W80" s="362"/>
      <c r="X80" s="379"/>
      <c r="Y80" s="293"/>
      <c r="Z80" s="294"/>
      <c r="AA80" s="293"/>
      <c r="AB80" s="365"/>
      <c r="AC80" s="364"/>
      <c r="AD80" s="427"/>
      <c r="AE80" s="299"/>
      <c r="AF80" s="670"/>
      <c r="AG80" s="371">
        <f t="shared" si="13"/>
        <v>0</v>
      </c>
      <c r="AH80" s="365"/>
      <c r="AI80" s="366"/>
      <c r="AJ80" s="366"/>
      <c r="AK80" s="367"/>
      <c r="AL80" s="363"/>
      <c r="AM80" s="368"/>
      <c r="AN80" s="368"/>
      <c r="AO80" s="368"/>
      <c r="AP80" s="368"/>
      <c r="AQ80" s="368"/>
      <c r="AR80" s="368"/>
      <c r="AS80" s="368"/>
      <c r="AT80" s="368"/>
      <c r="AU80" s="368"/>
      <c r="AV80" s="368"/>
      <c r="AW80" s="368"/>
      <c r="AX80" s="369"/>
      <c r="AY80" s="369"/>
      <c r="AZ80" s="352"/>
      <c r="BA80" s="364"/>
      <c r="BB80" s="299">
        <f t="shared" si="14"/>
        <v>0</v>
      </c>
      <c r="BC80" s="370"/>
      <c r="BD80" s="371"/>
      <c r="BE80" s="372"/>
      <c r="BF80" s="352">
        <f t="shared" si="16"/>
        <v>0</v>
      </c>
      <c r="BG80" s="451" t="str">
        <f t="shared" si="15"/>
        <v>Y</v>
      </c>
      <c r="BH80" s="451"/>
      <c r="BI80" s="299"/>
      <c r="BJ80" s="698"/>
      <c r="BK80" s="698"/>
      <c r="BL80" s="303">
        <v>2898</v>
      </c>
      <c r="BM80" s="706"/>
      <c r="BN80" s="373"/>
      <c r="BO80" s="706"/>
      <c r="BP80" s="716"/>
      <c r="BQ80" s="706"/>
      <c r="BR80" s="373"/>
      <c r="BS80" s="373"/>
      <c r="BT80" s="373"/>
      <c r="BU80" s="373"/>
      <c r="BV80" s="304"/>
      <c r="BW80" s="288"/>
      <c r="BX80" s="359" t="s">
        <v>1587</v>
      </c>
      <c r="BY80" s="374"/>
      <c r="BZ80" s="624"/>
      <c r="CA80" s="624"/>
      <c r="CB80" s="624"/>
      <c r="CC80" s="624"/>
      <c r="CD80" s="624"/>
      <c r="CE80" s="624"/>
      <c r="CF80" s="624"/>
      <c r="CG80" s="624"/>
      <c r="CH80" s="624"/>
    </row>
    <row r="81" spans="1:86" s="305" customFormat="1" ht="39" customHeight="1">
      <c r="A81" s="276"/>
      <c r="B81" s="355">
        <v>60</v>
      </c>
      <c r="C81" s="355"/>
      <c r="D81" s="726" t="s">
        <v>1487</v>
      </c>
      <c r="E81" s="356">
        <v>37196</v>
      </c>
      <c r="F81" s="358">
        <v>2002</v>
      </c>
      <c r="G81" s="358">
        <v>10</v>
      </c>
      <c r="H81" s="358"/>
      <c r="I81" s="358">
        <v>2001</v>
      </c>
      <c r="J81" s="358">
        <v>24</v>
      </c>
      <c r="K81" s="358" t="s">
        <v>1211</v>
      </c>
      <c r="L81" s="358" t="s">
        <v>1886</v>
      </c>
      <c r="M81" s="358" t="s">
        <v>1271</v>
      </c>
      <c r="N81" s="359" t="s">
        <v>1965</v>
      </c>
      <c r="O81" s="288" t="s">
        <v>1098</v>
      </c>
      <c r="P81" s="288" t="s">
        <v>1586</v>
      </c>
      <c r="Q81" s="360"/>
      <c r="R81" s="361"/>
      <c r="S81" s="294"/>
      <c r="T81" s="1058"/>
      <c r="U81" s="295"/>
      <c r="V81" s="295"/>
      <c r="W81" s="362"/>
      <c r="X81" s="379"/>
      <c r="Y81" s="293"/>
      <c r="Z81" s="294"/>
      <c r="AA81" s="293"/>
      <c r="AB81" s="365"/>
      <c r="AC81" s="364"/>
      <c r="AD81" s="427"/>
      <c r="AE81" s="299"/>
      <c r="AF81" s="670"/>
      <c r="AG81" s="371">
        <f t="shared" si="13"/>
        <v>0</v>
      </c>
      <c r="AH81" s="365"/>
      <c r="AI81" s="366"/>
      <c r="AJ81" s="366"/>
      <c r="AK81" s="367"/>
      <c r="AL81" s="363"/>
      <c r="AM81" s="368"/>
      <c r="AN81" s="368"/>
      <c r="AO81" s="368"/>
      <c r="AP81" s="368"/>
      <c r="AQ81" s="368"/>
      <c r="AR81" s="368"/>
      <c r="AS81" s="368"/>
      <c r="AT81" s="368"/>
      <c r="AU81" s="368"/>
      <c r="AV81" s="368"/>
      <c r="AW81" s="368"/>
      <c r="AX81" s="369"/>
      <c r="AY81" s="369"/>
      <c r="AZ81" s="352"/>
      <c r="BA81" s="364">
        <f>10000+50000</f>
        <v>60000</v>
      </c>
      <c r="BB81" s="299">
        <f t="shared" si="14"/>
        <v>60000</v>
      </c>
      <c r="BC81" s="370"/>
      <c r="BD81" s="371"/>
      <c r="BE81" s="372">
        <f>1000*5</f>
        <v>5000</v>
      </c>
      <c r="BF81" s="352">
        <f t="shared" si="16"/>
        <v>60000</v>
      </c>
      <c r="BG81" s="451" t="str">
        <f t="shared" si="15"/>
        <v>Y</v>
      </c>
      <c r="BH81" s="451"/>
      <c r="BI81" s="299"/>
      <c r="BJ81" s="698"/>
      <c r="BK81" s="698"/>
      <c r="BL81" s="303">
        <v>2898</v>
      </c>
      <c r="BM81" s="706"/>
      <c r="BN81" s="373"/>
      <c r="BO81" s="706"/>
      <c r="BP81" s="716"/>
      <c r="BQ81" s="706"/>
      <c r="BR81" s="373"/>
      <c r="BS81" s="373"/>
      <c r="BT81" s="373"/>
      <c r="BU81" s="373"/>
      <c r="BV81" s="304"/>
      <c r="BW81" s="288"/>
      <c r="BX81" s="359" t="s">
        <v>1587</v>
      </c>
      <c r="BY81" s="374" t="s">
        <v>1588</v>
      </c>
      <c r="BZ81" s="624"/>
      <c r="CA81" s="624"/>
      <c r="CB81" s="624"/>
      <c r="CC81" s="624"/>
      <c r="CD81" s="624"/>
      <c r="CE81" s="624"/>
      <c r="CF81" s="624"/>
      <c r="CG81" s="624"/>
      <c r="CH81" s="624"/>
    </row>
    <row r="82" spans="1:86" s="305" customFormat="1" ht="39" customHeight="1">
      <c r="A82" s="276"/>
      <c r="B82" s="355">
        <v>60</v>
      </c>
      <c r="C82" s="355"/>
      <c r="D82" s="726" t="s">
        <v>1488</v>
      </c>
      <c r="E82" s="356">
        <v>37196</v>
      </c>
      <c r="F82" s="358">
        <v>2002</v>
      </c>
      <c r="G82" s="358">
        <v>10</v>
      </c>
      <c r="H82" s="358"/>
      <c r="I82" s="358">
        <v>2001</v>
      </c>
      <c r="J82" s="358">
        <v>24</v>
      </c>
      <c r="K82" s="358" t="s">
        <v>1211</v>
      </c>
      <c r="L82" s="358" t="s">
        <v>1589</v>
      </c>
      <c r="M82" s="358" t="s">
        <v>1271</v>
      </c>
      <c r="N82" s="359" t="s">
        <v>1965</v>
      </c>
      <c r="O82" s="288" t="s">
        <v>1098</v>
      </c>
      <c r="P82" s="288" t="s">
        <v>1586</v>
      </c>
      <c r="Q82" s="360"/>
      <c r="R82" s="361"/>
      <c r="S82" s="294"/>
      <c r="T82" s="1058"/>
      <c r="U82" s="295"/>
      <c r="V82" s="295"/>
      <c r="W82" s="362"/>
      <c r="X82" s="379"/>
      <c r="Y82" s="293"/>
      <c r="Z82" s="294"/>
      <c r="AA82" s="293"/>
      <c r="AB82" s="365"/>
      <c r="AC82" s="364"/>
      <c r="AD82" s="427"/>
      <c r="AE82" s="299"/>
      <c r="AF82" s="670"/>
      <c r="AG82" s="371">
        <f t="shared" si="13"/>
        <v>0</v>
      </c>
      <c r="AH82" s="365"/>
      <c r="AI82" s="366"/>
      <c r="AJ82" s="366"/>
      <c r="AK82" s="367"/>
      <c r="AL82" s="363"/>
      <c r="AM82" s="368"/>
      <c r="AN82" s="368"/>
      <c r="AO82" s="368"/>
      <c r="AP82" s="368"/>
      <c r="AQ82" s="368"/>
      <c r="AR82" s="368"/>
      <c r="AS82" s="368"/>
      <c r="AT82" s="368"/>
      <c r="AU82" s="368"/>
      <c r="AV82" s="368"/>
      <c r="AW82" s="368"/>
      <c r="AX82" s="369"/>
      <c r="AY82" s="369"/>
      <c r="AZ82" s="352"/>
      <c r="BA82" s="364"/>
      <c r="BB82" s="299">
        <f t="shared" si="14"/>
        <v>0</v>
      </c>
      <c r="BC82" s="370"/>
      <c r="BD82" s="371"/>
      <c r="BE82" s="372"/>
      <c r="BF82" s="352">
        <f t="shared" si="16"/>
        <v>0</v>
      </c>
      <c r="BG82" s="451" t="str">
        <f t="shared" si="15"/>
        <v>Y</v>
      </c>
      <c r="BH82" s="451"/>
      <c r="BI82" s="299"/>
      <c r="BJ82" s="698"/>
      <c r="BK82" s="698"/>
      <c r="BL82" s="303">
        <v>2898</v>
      </c>
      <c r="BM82" s="706"/>
      <c r="BN82" s="373"/>
      <c r="BO82" s="706"/>
      <c r="BP82" s="716"/>
      <c r="BQ82" s="706"/>
      <c r="BR82" s="373"/>
      <c r="BS82" s="373"/>
      <c r="BT82" s="373"/>
      <c r="BU82" s="373"/>
      <c r="BV82" s="304"/>
      <c r="BW82" s="288"/>
      <c r="BX82" s="359" t="s">
        <v>1587</v>
      </c>
      <c r="BY82" s="374"/>
      <c r="BZ82" s="624"/>
      <c r="CA82" s="624"/>
      <c r="CB82" s="624"/>
      <c r="CC82" s="624"/>
      <c r="CD82" s="624"/>
      <c r="CE82" s="624"/>
      <c r="CF82" s="624"/>
      <c r="CG82" s="624"/>
      <c r="CH82" s="624"/>
    </row>
    <row r="83" spans="1:86" s="305" customFormat="1" ht="39" customHeight="1">
      <c r="A83" s="276"/>
      <c r="B83" s="355">
        <v>60</v>
      </c>
      <c r="C83" s="355"/>
      <c r="D83" s="726" t="s">
        <v>1805</v>
      </c>
      <c r="E83" s="356">
        <v>37196</v>
      </c>
      <c r="F83" s="358">
        <v>2002</v>
      </c>
      <c r="G83" s="358">
        <v>10</v>
      </c>
      <c r="H83" s="358"/>
      <c r="I83" s="358">
        <v>2001</v>
      </c>
      <c r="J83" s="358">
        <v>24</v>
      </c>
      <c r="K83" s="358" t="s">
        <v>1211</v>
      </c>
      <c r="L83" s="358" t="s">
        <v>1590</v>
      </c>
      <c r="M83" s="358" t="s">
        <v>1271</v>
      </c>
      <c r="N83" s="359" t="s">
        <v>1965</v>
      </c>
      <c r="O83" s="288" t="s">
        <v>1098</v>
      </c>
      <c r="P83" s="288" t="s">
        <v>1586</v>
      </c>
      <c r="Q83" s="360"/>
      <c r="R83" s="361"/>
      <c r="S83" s="294"/>
      <c r="T83" s="1058"/>
      <c r="U83" s="295"/>
      <c r="V83" s="295"/>
      <c r="W83" s="362"/>
      <c r="X83" s="379"/>
      <c r="Y83" s="293"/>
      <c r="Z83" s="294"/>
      <c r="AA83" s="293"/>
      <c r="AB83" s="365"/>
      <c r="AC83" s="364"/>
      <c r="AD83" s="427"/>
      <c r="AE83" s="299">
        <v>5000</v>
      </c>
      <c r="AF83" s="670"/>
      <c r="AG83" s="371">
        <f t="shared" si="13"/>
        <v>5000</v>
      </c>
      <c r="AH83" s="365"/>
      <c r="AI83" s="366"/>
      <c r="AJ83" s="366"/>
      <c r="AK83" s="367"/>
      <c r="AL83" s="363"/>
      <c r="AM83" s="368"/>
      <c r="AN83" s="368"/>
      <c r="AO83" s="368"/>
      <c r="AP83" s="368"/>
      <c r="AQ83" s="368"/>
      <c r="AR83" s="368"/>
      <c r="AS83" s="368"/>
      <c r="AT83" s="368"/>
      <c r="AU83" s="368"/>
      <c r="AV83" s="368"/>
      <c r="AW83" s="368"/>
      <c r="AX83" s="369"/>
      <c r="AY83" s="369"/>
      <c r="AZ83" s="352"/>
      <c r="BA83" s="364"/>
      <c r="BB83" s="299">
        <f t="shared" si="14"/>
        <v>5000</v>
      </c>
      <c r="BC83" s="370"/>
      <c r="BD83" s="371"/>
      <c r="BE83" s="372"/>
      <c r="BF83" s="352">
        <f t="shared" si="16"/>
        <v>5000</v>
      </c>
      <c r="BG83" s="451" t="str">
        <f t="shared" si="15"/>
        <v>Y</v>
      </c>
      <c r="BH83" s="451"/>
      <c r="BI83" s="299"/>
      <c r="BJ83" s="698"/>
      <c r="BK83" s="698"/>
      <c r="BL83" s="303">
        <v>2898</v>
      </c>
      <c r="BM83" s="706"/>
      <c r="BN83" s="373"/>
      <c r="BO83" s="706"/>
      <c r="BP83" s="716"/>
      <c r="BQ83" s="706"/>
      <c r="BR83" s="373"/>
      <c r="BS83" s="373"/>
      <c r="BT83" s="373"/>
      <c r="BU83" s="373"/>
      <c r="BV83" s="304"/>
      <c r="BW83" s="288"/>
      <c r="BX83" s="359" t="s">
        <v>1587</v>
      </c>
      <c r="BY83" s="374"/>
      <c r="BZ83" s="624"/>
      <c r="CA83" s="624"/>
      <c r="CB83" s="624"/>
      <c r="CC83" s="624"/>
      <c r="CD83" s="624"/>
      <c r="CE83" s="624"/>
      <c r="CF83" s="624"/>
      <c r="CG83" s="624"/>
      <c r="CH83" s="624"/>
    </row>
    <row r="84" spans="1:86" s="305" customFormat="1" ht="39" customHeight="1">
      <c r="A84" s="276"/>
      <c r="B84" s="355">
        <f>B80+1</f>
        <v>61</v>
      </c>
      <c r="C84" s="355"/>
      <c r="D84" s="726" t="s">
        <v>1319</v>
      </c>
      <c r="E84" s="356">
        <v>37196</v>
      </c>
      <c r="F84" s="358">
        <v>2002</v>
      </c>
      <c r="G84" s="358">
        <v>11</v>
      </c>
      <c r="H84" s="358"/>
      <c r="I84" s="358">
        <v>2001</v>
      </c>
      <c r="J84" s="358">
        <v>25</v>
      </c>
      <c r="K84" s="358" t="s">
        <v>1211</v>
      </c>
      <c r="L84" s="358" t="s">
        <v>1891</v>
      </c>
      <c r="M84" s="358" t="s">
        <v>1271</v>
      </c>
      <c r="N84" s="359" t="s">
        <v>1965</v>
      </c>
      <c r="O84" s="288" t="s">
        <v>1098</v>
      </c>
      <c r="P84" s="288" t="s">
        <v>1586</v>
      </c>
      <c r="Q84" s="360"/>
      <c r="R84" s="361"/>
      <c r="S84" s="294"/>
      <c r="T84" s="1058"/>
      <c r="U84" s="295"/>
      <c r="V84" s="295"/>
      <c r="W84" s="362"/>
      <c r="X84" s="379"/>
      <c r="Y84" s="293"/>
      <c r="Z84" s="294"/>
      <c r="AA84" s="293"/>
      <c r="AB84" s="365"/>
      <c r="AC84" s="364"/>
      <c r="AD84" s="427"/>
      <c r="AE84" s="299">
        <v>5000</v>
      </c>
      <c r="AF84" s="670"/>
      <c r="AG84" s="371">
        <f t="shared" si="13"/>
        <v>5000</v>
      </c>
      <c r="AH84" s="365">
        <v>0</v>
      </c>
      <c r="AI84" s="366"/>
      <c r="AJ84" s="366"/>
      <c r="AK84" s="367"/>
      <c r="AL84" s="363"/>
      <c r="AM84" s="368"/>
      <c r="AN84" s="368"/>
      <c r="AO84" s="368"/>
      <c r="AP84" s="368"/>
      <c r="AQ84" s="368"/>
      <c r="AR84" s="368"/>
      <c r="AS84" s="368"/>
      <c r="AT84" s="368"/>
      <c r="AU84" s="368"/>
      <c r="AV84" s="368"/>
      <c r="AW84" s="368"/>
      <c r="AX84" s="369"/>
      <c r="AY84" s="369"/>
      <c r="AZ84" s="352"/>
      <c r="BA84" s="364"/>
      <c r="BB84" s="299">
        <f t="shared" si="14"/>
        <v>5000</v>
      </c>
      <c r="BC84" s="370"/>
      <c r="BD84" s="371"/>
      <c r="BE84" s="372"/>
      <c r="BF84" s="352">
        <f>AE84+AC84+AZ84+BA84</f>
        <v>5000</v>
      </c>
      <c r="BG84" s="451" t="str">
        <f t="shared" si="15"/>
        <v>Y</v>
      </c>
      <c r="BH84" s="451"/>
      <c r="BI84" s="299"/>
      <c r="BJ84" s="698"/>
      <c r="BK84" s="698"/>
      <c r="BL84" s="303">
        <v>2898</v>
      </c>
      <c r="BM84" s="706"/>
      <c r="BN84" s="373"/>
      <c r="BO84" s="706"/>
      <c r="BP84" s="716"/>
      <c r="BQ84" s="706"/>
      <c r="BR84" s="373"/>
      <c r="BS84" s="373"/>
      <c r="BT84" s="373"/>
      <c r="BU84" s="373"/>
      <c r="BV84" s="304"/>
      <c r="BW84" s="288"/>
      <c r="BX84" s="359" t="s">
        <v>1587</v>
      </c>
      <c r="BY84" s="374"/>
      <c r="BZ84" s="624"/>
      <c r="CA84" s="624"/>
      <c r="CB84" s="624"/>
      <c r="CC84" s="624"/>
      <c r="CD84" s="624"/>
      <c r="CE84" s="624"/>
      <c r="CF84" s="624"/>
      <c r="CG84" s="624"/>
      <c r="CH84" s="624"/>
    </row>
    <row r="85" spans="1:86" s="305" customFormat="1" ht="39" customHeight="1">
      <c r="A85" s="276"/>
      <c r="B85" s="355">
        <f t="shared" ref="B85:B93" si="17">B84+1</f>
        <v>62</v>
      </c>
      <c r="C85" s="355"/>
      <c r="D85" s="726" t="s">
        <v>1489</v>
      </c>
      <c r="E85" s="356">
        <v>37196</v>
      </c>
      <c r="F85" s="358">
        <v>2002</v>
      </c>
      <c r="G85" s="358">
        <v>12</v>
      </c>
      <c r="H85" s="358"/>
      <c r="I85" s="358">
        <v>2001</v>
      </c>
      <c r="J85" s="358">
        <v>26</v>
      </c>
      <c r="K85" s="358" t="s">
        <v>1212</v>
      </c>
      <c r="L85" s="358" t="s">
        <v>1672</v>
      </c>
      <c r="M85" s="358" t="s">
        <v>1273</v>
      </c>
      <c r="N85" s="359" t="s">
        <v>1970</v>
      </c>
      <c r="O85" s="358" t="s">
        <v>1296</v>
      </c>
      <c r="P85" s="358" t="s">
        <v>1296</v>
      </c>
      <c r="Q85" s="360"/>
      <c r="R85" s="361"/>
      <c r="S85" s="294"/>
      <c r="T85" s="1058"/>
      <c r="U85" s="295"/>
      <c r="V85" s="295"/>
      <c r="W85" s="362"/>
      <c r="X85" s="379"/>
      <c r="Y85" s="293"/>
      <c r="Z85" s="294"/>
      <c r="AA85" s="293"/>
      <c r="AB85" s="365"/>
      <c r="AC85" s="364"/>
      <c r="AD85" s="427"/>
      <c r="AE85" s="299"/>
      <c r="AF85" s="670"/>
      <c r="AG85" s="371">
        <f t="shared" si="13"/>
        <v>0</v>
      </c>
      <c r="AH85" s="365">
        <v>5</v>
      </c>
      <c r="AI85" s="366"/>
      <c r="AJ85" s="366"/>
      <c r="AK85" s="367"/>
      <c r="AL85" s="363"/>
      <c r="AM85" s="368"/>
      <c r="AN85" s="368"/>
      <c r="AO85" s="368"/>
      <c r="AP85" s="368"/>
      <c r="AQ85" s="368"/>
      <c r="AR85" s="368"/>
      <c r="AS85" s="368"/>
      <c r="AT85" s="368"/>
      <c r="AU85" s="368"/>
      <c r="AV85" s="368"/>
      <c r="AW85" s="368"/>
      <c r="AX85" s="369"/>
      <c r="AY85" s="369"/>
      <c r="AZ85" s="352">
        <v>0</v>
      </c>
      <c r="BA85" s="364">
        <v>500</v>
      </c>
      <c r="BB85" s="299">
        <f t="shared" si="14"/>
        <v>500</v>
      </c>
      <c r="BC85" s="370"/>
      <c r="BD85" s="371"/>
      <c r="BE85" s="372"/>
      <c r="BF85" s="352">
        <f>AE85+AC85+AZ85+BA85</f>
        <v>500</v>
      </c>
      <c r="BG85" s="451" t="str">
        <f t="shared" si="15"/>
        <v>Y</v>
      </c>
      <c r="BH85" s="451"/>
      <c r="BI85" s="299"/>
      <c r="BJ85" s="698"/>
      <c r="BK85" s="698"/>
      <c r="BL85" s="303">
        <v>2680</v>
      </c>
      <c r="BM85" s="706"/>
      <c r="BN85" s="373"/>
      <c r="BO85" s="706"/>
      <c r="BP85" s="716"/>
      <c r="BQ85" s="706"/>
      <c r="BR85" s="373"/>
      <c r="BS85" s="373"/>
      <c r="BT85" s="373"/>
      <c r="BU85" s="373"/>
      <c r="BV85" s="382"/>
      <c r="BW85" s="288"/>
      <c r="BX85" s="359" t="s">
        <v>1591</v>
      </c>
      <c r="BY85" s="374" t="s">
        <v>1592</v>
      </c>
      <c r="BZ85" s="624"/>
      <c r="CA85" s="624"/>
      <c r="CB85" s="624"/>
      <c r="CC85" s="624"/>
      <c r="CD85" s="624"/>
      <c r="CE85" s="624"/>
      <c r="CF85" s="624"/>
      <c r="CG85" s="624"/>
      <c r="CH85" s="624"/>
    </row>
    <row r="86" spans="1:86" s="305" customFormat="1" ht="39" customHeight="1">
      <c r="A86" s="276"/>
      <c r="B86" s="348">
        <f t="shared" si="17"/>
        <v>63</v>
      </c>
      <c r="C86" s="348"/>
      <c r="D86" s="726" t="s">
        <v>1490</v>
      </c>
      <c r="E86" s="356">
        <v>37257</v>
      </c>
      <c r="F86" s="358">
        <v>2002</v>
      </c>
      <c r="G86" s="288">
        <v>13</v>
      </c>
      <c r="H86" s="288"/>
      <c r="I86" s="288">
        <v>2002</v>
      </c>
      <c r="J86" s="358">
        <v>1</v>
      </c>
      <c r="K86" s="288" t="s">
        <v>570</v>
      </c>
      <c r="L86" s="358" t="s">
        <v>1889</v>
      </c>
      <c r="M86" s="358" t="s">
        <v>1273</v>
      </c>
      <c r="N86" s="359" t="s">
        <v>633</v>
      </c>
      <c r="O86" s="358" t="s">
        <v>1593</v>
      </c>
      <c r="P86" s="358" t="s">
        <v>1274</v>
      </c>
      <c r="Q86" s="360"/>
      <c r="R86" s="361"/>
      <c r="S86" s="294"/>
      <c r="T86" s="1058"/>
      <c r="U86" s="295"/>
      <c r="V86" s="295"/>
      <c r="W86" s="362"/>
      <c r="X86" s="379"/>
      <c r="Y86" s="293"/>
      <c r="Z86" s="294"/>
      <c r="AA86" s="293"/>
      <c r="AB86" s="365"/>
      <c r="AC86" s="364"/>
      <c r="AD86" s="427"/>
      <c r="AE86" s="299"/>
      <c r="AF86" s="670"/>
      <c r="AG86" s="371">
        <f t="shared" si="13"/>
        <v>0</v>
      </c>
      <c r="AH86" s="365"/>
      <c r="AI86" s="366"/>
      <c r="AJ86" s="366"/>
      <c r="AK86" s="367"/>
      <c r="AL86" s="363"/>
      <c r="AM86" s="368"/>
      <c r="AN86" s="368"/>
      <c r="AO86" s="368"/>
      <c r="AP86" s="368"/>
      <c r="AQ86" s="368"/>
      <c r="AR86" s="368"/>
      <c r="AS86" s="368"/>
      <c r="AT86" s="368"/>
      <c r="AU86" s="368"/>
      <c r="AV86" s="368"/>
      <c r="AW86" s="368"/>
      <c r="AX86" s="369"/>
      <c r="AY86" s="369"/>
      <c r="AZ86" s="448">
        <v>10000</v>
      </c>
      <c r="BA86" s="364"/>
      <c r="BB86" s="299">
        <f t="shared" si="14"/>
        <v>10000</v>
      </c>
      <c r="BC86" s="370"/>
      <c r="BD86" s="371"/>
      <c r="BE86" s="454">
        <v>2079</v>
      </c>
      <c r="BF86" s="352">
        <f>BB86+BD86+BC86</f>
        <v>10000</v>
      </c>
      <c r="BG86" s="451" t="str">
        <f t="shared" si="15"/>
        <v>Y</v>
      </c>
      <c r="BH86" s="451"/>
      <c r="BI86" s="299"/>
      <c r="BJ86" s="698"/>
      <c r="BK86" s="698"/>
      <c r="BL86" s="303">
        <v>2898</v>
      </c>
      <c r="BM86" s="706"/>
      <c r="BN86" s="373"/>
      <c r="BO86" s="706"/>
      <c r="BP86" s="716"/>
      <c r="BQ86" s="706"/>
      <c r="BR86" s="373"/>
      <c r="BS86" s="373"/>
      <c r="BT86" s="373"/>
      <c r="BU86" s="373"/>
      <c r="BV86" s="304"/>
      <c r="BW86" s="288"/>
      <c r="BX86" s="359" t="s">
        <v>1151</v>
      </c>
      <c r="BY86" s="374"/>
      <c r="BZ86" s="624"/>
      <c r="CA86" s="624"/>
      <c r="CB86" s="624"/>
      <c r="CC86" s="624"/>
      <c r="CD86" s="624"/>
      <c r="CE86" s="624"/>
      <c r="CF86" s="624"/>
      <c r="CG86" s="624"/>
      <c r="CH86" s="624"/>
    </row>
    <row r="87" spans="1:86" s="305" customFormat="1" ht="39" customHeight="1">
      <c r="A87" s="276"/>
      <c r="B87" s="348">
        <f t="shared" si="17"/>
        <v>64</v>
      </c>
      <c r="C87" s="348"/>
      <c r="D87" s="726" t="s">
        <v>1491</v>
      </c>
      <c r="E87" s="356">
        <v>37257</v>
      </c>
      <c r="F87" s="358">
        <v>2002</v>
      </c>
      <c r="G87" s="288">
        <v>14</v>
      </c>
      <c r="H87" s="288"/>
      <c r="I87" s="288">
        <v>2002</v>
      </c>
      <c r="J87" s="358">
        <v>2</v>
      </c>
      <c r="K87" s="358" t="s">
        <v>570</v>
      </c>
      <c r="L87" s="358" t="s">
        <v>1594</v>
      </c>
      <c r="M87" s="358" t="s">
        <v>1271</v>
      </c>
      <c r="N87" s="359" t="s">
        <v>1965</v>
      </c>
      <c r="O87" s="358" t="s">
        <v>1643</v>
      </c>
      <c r="P87" s="358"/>
      <c r="Q87" s="360"/>
      <c r="R87" s="361"/>
      <c r="S87" s="294"/>
      <c r="T87" s="1058"/>
      <c r="U87" s="295"/>
      <c r="V87" s="295"/>
      <c r="W87" s="362"/>
      <c r="X87" s="379"/>
      <c r="Y87" s="293"/>
      <c r="Z87" s="294"/>
      <c r="AA87" s="293"/>
      <c r="AB87" s="365"/>
      <c r="AC87" s="364"/>
      <c r="AD87" s="427"/>
      <c r="AE87" s="299"/>
      <c r="AF87" s="670"/>
      <c r="AG87" s="371">
        <f t="shared" si="13"/>
        <v>0</v>
      </c>
      <c r="AH87" s="365">
        <v>1</v>
      </c>
      <c r="AI87" s="366"/>
      <c r="AJ87" s="366"/>
      <c r="AK87" s="367"/>
      <c r="AL87" s="363"/>
      <c r="AM87" s="368"/>
      <c r="AN87" s="368"/>
      <c r="AO87" s="368"/>
      <c r="AP87" s="368"/>
      <c r="AQ87" s="368"/>
      <c r="AR87" s="368"/>
      <c r="AS87" s="368"/>
      <c r="AT87" s="368"/>
      <c r="AU87" s="368"/>
      <c r="AV87" s="368"/>
      <c r="AW87" s="368"/>
      <c r="AX87" s="369"/>
      <c r="AY87" s="369"/>
      <c r="AZ87" s="448">
        <v>71832</v>
      </c>
      <c r="BA87" s="364"/>
      <c r="BB87" s="299">
        <f t="shared" si="14"/>
        <v>71832</v>
      </c>
      <c r="BC87" s="370"/>
      <c r="BD87" s="371"/>
      <c r="BE87" s="367">
        <f>4000*5</f>
        <v>20000</v>
      </c>
      <c r="BF87" s="352">
        <f>BB87+BD87+BC87</f>
        <v>71832</v>
      </c>
      <c r="BG87" s="451" t="str">
        <f t="shared" si="15"/>
        <v>Y</v>
      </c>
      <c r="BH87" s="451"/>
      <c r="BI87" s="299"/>
      <c r="BJ87" s="698"/>
      <c r="BK87" s="698"/>
      <c r="BL87" s="303">
        <v>2898</v>
      </c>
      <c r="BM87" s="706"/>
      <c r="BN87" s="373"/>
      <c r="BO87" s="706"/>
      <c r="BP87" s="716"/>
      <c r="BQ87" s="706"/>
      <c r="BR87" s="373"/>
      <c r="BS87" s="373"/>
      <c r="BT87" s="373"/>
      <c r="BU87" s="373"/>
      <c r="BV87" s="304"/>
      <c r="BW87" s="288"/>
      <c r="BX87" s="359"/>
      <c r="BY87" s="374" t="s">
        <v>1595</v>
      </c>
      <c r="BZ87" s="624"/>
      <c r="CA87" s="624"/>
      <c r="CB87" s="624"/>
      <c r="CC87" s="624"/>
      <c r="CD87" s="624"/>
      <c r="CE87" s="624"/>
      <c r="CF87" s="624"/>
      <c r="CG87" s="624"/>
      <c r="CH87" s="624"/>
    </row>
    <row r="88" spans="1:86" s="305" customFormat="1" ht="39" customHeight="1">
      <c r="A88" s="276"/>
      <c r="B88" s="348">
        <f t="shared" si="17"/>
        <v>65</v>
      </c>
      <c r="C88" s="348"/>
      <c r="D88" s="726" t="s">
        <v>1492</v>
      </c>
      <c r="E88" s="356">
        <v>37257</v>
      </c>
      <c r="F88" s="358">
        <v>2002</v>
      </c>
      <c r="G88" s="288">
        <v>15</v>
      </c>
      <c r="H88" s="288"/>
      <c r="I88" s="288">
        <v>2002</v>
      </c>
      <c r="J88" s="358">
        <v>3</v>
      </c>
      <c r="K88" s="358" t="s">
        <v>1210</v>
      </c>
      <c r="L88" s="358" t="s">
        <v>1596</v>
      </c>
      <c r="M88" s="358" t="s">
        <v>1961</v>
      </c>
      <c r="N88" s="374" t="s">
        <v>1887</v>
      </c>
      <c r="O88" s="358" t="s">
        <v>641</v>
      </c>
      <c r="P88" s="358" t="s">
        <v>641</v>
      </c>
      <c r="Q88" s="360"/>
      <c r="R88" s="361"/>
      <c r="S88" s="294"/>
      <c r="T88" s="1058"/>
      <c r="U88" s="295"/>
      <c r="V88" s="295"/>
      <c r="W88" s="362"/>
      <c r="X88" s="379"/>
      <c r="Y88" s="293"/>
      <c r="Z88" s="294"/>
      <c r="AA88" s="293"/>
      <c r="AB88" s="365">
        <f>COUNTIF(AC88, "&gt;49999")</f>
        <v>0</v>
      </c>
      <c r="AC88" s="364">
        <v>25000</v>
      </c>
      <c r="AD88" s="427"/>
      <c r="AE88" s="299"/>
      <c r="AF88" s="670"/>
      <c r="AG88" s="371">
        <f t="shared" si="13"/>
        <v>25000</v>
      </c>
      <c r="AH88" s="365"/>
      <c r="AI88" s="366"/>
      <c r="AJ88" s="366"/>
      <c r="AK88" s="367"/>
      <c r="AL88" s="363"/>
      <c r="AM88" s="368"/>
      <c r="AN88" s="368"/>
      <c r="AO88" s="368"/>
      <c r="AP88" s="368"/>
      <c r="AQ88" s="368"/>
      <c r="AR88" s="368"/>
      <c r="AS88" s="368"/>
      <c r="AT88" s="368"/>
      <c r="AU88" s="368"/>
      <c r="AV88" s="368"/>
      <c r="AW88" s="368"/>
      <c r="AX88" s="369"/>
      <c r="AY88" s="369"/>
      <c r="AZ88" s="448">
        <v>20000</v>
      </c>
      <c r="BA88" s="364"/>
      <c r="BB88" s="299">
        <f t="shared" si="14"/>
        <v>45000</v>
      </c>
      <c r="BC88" s="370"/>
      <c r="BD88" s="371"/>
      <c r="BE88" s="367">
        <f>10000*3</f>
        <v>30000</v>
      </c>
      <c r="BF88" s="352">
        <f>BB88+BD88+BC88</f>
        <v>45000</v>
      </c>
      <c r="BG88" s="451" t="str">
        <f t="shared" si="15"/>
        <v>Y</v>
      </c>
      <c r="BH88" s="451"/>
      <c r="BI88" s="299"/>
      <c r="BJ88" s="698"/>
      <c r="BK88" s="698"/>
      <c r="BL88" s="303">
        <v>2681</v>
      </c>
      <c r="BM88" s="706"/>
      <c r="BN88" s="373"/>
      <c r="BO88" s="706"/>
      <c r="BP88" s="716"/>
      <c r="BQ88" s="706"/>
      <c r="BR88" s="373"/>
      <c r="BS88" s="373"/>
      <c r="BT88" s="373"/>
      <c r="BU88" s="373"/>
      <c r="BV88" s="304"/>
      <c r="BW88" s="288"/>
      <c r="BX88" s="359" t="s">
        <v>1152</v>
      </c>
      <c r="BY88" s="374" t="s">
        <v>1597</v>
      </c>
      <c r="BZ88" s="624"/>
      <c r="CA88" s="624"/>
      <c r="CB88" s="624"/>
      <c r="CC88" s="624"/>
      <c r="CD88" s="624"/>
      <c r="CE88" s="624"/>
      <c r="CF88" s="624"/>
      <c r="CG88" s="624"/>
      <c r="CH88" s="624"/>
    </row>
    <row r="89" spans="1:86" s="305" customFormat="1" ht="39" customHeight="1">
      <c r="A89" s="276"/>
      <c r="B89" s="348">
        <f t="shared" si="17"/>
        <v>66</v>
      </c>
      <c r="C89" s="348"/>
      <c r="D89" s="726" t="s">
        <v>1493</v>
      </c>
      <c r="E89" s="356">
        <v>37257</v>
      </c>
      <c r="F89" s="358">
        <v>2002</v>
      </c>
      <c r="G89" s="288">
        <v>17</v>
      </c>
      <c r="H89" s="288"/>
      <c r="I89" s="288">
        <v>2002</v>
      </c>
      <c r="J89" s="358">
        <v>5</v>
      </c>
      <c r="K89" s="358" t="s">
        <v>1210</v>
      </c>
      <c r="L89" s="358" t="s">
        <v>1598</v>
      </c>
      <c r="M89" s="358" t="s">
        <v>1273</v>
      </c>
      <c r="N89" s="359" t="s">
        <v>1969</v>
      </c>
      <c r="O89" s="358" t="s">
        <v>1294</v>
      </c>
      <c r="P89" s="358" t="s">
        <v>1294</v>
      </c>
      <c r="Q89" s="360"/>
      <c r="R89" s="361"/>
      <c r="S89" s="294"/>
      <c r="T89" s="1058"/>
      <c r="U89" s="295"/>
      <c r="V89" s="295"/>
      <c r="W89" s="362"/>
      <c r="X89" s="379"/>
      <c r="Y89" s="293"/>
      <c r="Z89" s="294"/>
      <c r="AA89" s="293"/>
      <c r="AB89" s="365">
        <f>COUNTIF(AC89, "&gt;49999")</f>
        <v>0</v>
      </c>
      <c r="AC89" s="387">
        <v>21612.23</v>
      </c>
      <c r="AD89" s="587"/>
      <c r="AE89" s="299"/>
      <c r="AF89" s="670"/>
      <c r="AG89" s="371">
        <f t="shared" si="13"/>
        <v>21612.23</v>
      </c>
      <c r="AH89" s="365"/>
      <c r="AI89" s="366"/>
      <c r="AJ89" s="366"/>
      <c r="AK89" s="388"/>
      <c r="AL89" s="389"/>
      <c r="AM89" s="302"/>
      <c r="AN89" s="302"/>
      <c r="AO89" s="302"/>
      <c r="AP89" s="302"/>
      <c r="AQ89" s="302"/>
      <c r="AR89" s="302"/>
      <c r="AS89" s="302"/>
      <c r="AT89" s="302"/>
      <c r="AU89" s="302"/>
      <c r="AV89" s="302"/>
      <c r="AW89" s="302"/>
      <c r="AX89" s="390"/>
      <c r="AY89" s="390"/>
      <c r="AZ89" s="448"/>
      <c r="BA89" s="364"/>
      <c r="BB89" s="299">
        <f t="shared" si="14"/>
        <v>21612.23</v>
      </c>
      <c r="BC89" s="370"/>
      <c r="BD89" s="371"/>
      <c r="BE89" s="367">
        <f>(20000/(1523000*0.62))*32000</f>
        <v>677.77942515832501</v>
      </c>
      <c r="BF89" s="352">
        <f>AE89+AC89+AZ89+BA89</f>
        <v>21612.23</v>
      </c>
      <c r="BG89" s="451" t="str">
        <f t="shared" si="15"/>
        <v>Y</v>
      </c>
      <c r="BH89" s="451"/>
      <c r="BI89" s="299"/>
      <c r="BJ89" s="698"/>
      <c r="BK89" s="698"/>
      <c r="BL89" s="303">
        <v>2682</v>
      </c>
      <c r="BM89" s="706"/>
      <c r="BN89" s="373"/>
      <c r="BO89" s="706"/>
      <c r="BP89" s="716"/>
      <c r="BQ89" s="706"/>
      <c r="BR89" s="373"/>
      <c r="BS89" s="373"/>
      <c r="BT89" s="373"/>
      <c r="BU89" s="373"/>
      <c r="BV89" s="304"/>
      <c r="BW89" s="288"/>
      <c r="BX89" s="359" t="s">
        <v>1599</v>
      </c>
      <c r="BY89" s="374" t="s">
        <v>1602</v>
      </c>
      <c r="BZ89" s="624"/>
      <c r="CA89" s="624"/>
      <c r="CB89" s="624"/>
      <c r="CC89" s="624"/>
      <c r="CD89" s="624"/>
      <c r="CE89" s="624"/>
      <c r="CF89" s="624"/>
      <c r="CG89" s="624"/>
      <c r="CH89" s="624"/>
    </row>
    <row r="90" spans="1:86" s="305" customFormat="1" ht="39" customHeight="1">
      <c r="A90" s="276"/>
      <c r="B90" s="355">
        <f t="shared" si="17"/>
        <v>67</v>
      </c>
      <c r="C90" s="355"/>
      <c r="D90" s="726" t="s">
        <v>1402</v>
      </c>
      <c r="E90" s="356">
        <v>37288</v>
      </c>
      <c r="F90" s="358">
        <v>2002</v>
      </c>
      <c r="G90" s="358">
        <v>16</v>
      </c>
      <c r="H90" s="358"/>
      <c r="I90" s="288">
        <v>2002</v>
      </c>
      <c r="J90" s="358">
        <v>4</v>
      </c>
      <c r="K90" s="358" t="s">
        <v>570</v>
      </c>
      <c r="L90" s="358" t="s">
        <v>1883</v>
      </c>
      <c r="M90" s="358" t="s">
        <v>1961</v>
      </c>
      <c r="N90" s="290" t="s">
        <v>1884</v>
      </c>
      <c r="O90" s="288" t="s">
        <v>1884</v>
      </c>
      <c r="P90" s="288" t="s">
        <v>1884</v>
      </c>
      <c r="Q90" s="360"/>
      <c r="R90" s="361"/>
      <c r="S90" s="294"/>
      <c r="T90" s="1058"/>
      <c r="U90" s="295"/>
      <c r="V90" s="295"/>
      <c r="W90" s="362"/>
      <c r="X90" s="379"/>
      <c r="Y90" s="293"/>
      <c r="Z90" s="294"/>
      <c r="AA90" s="293"/>
      <c r="AB90" s="365"/>
      <c r="AC90" s="364"/>
      <c r="AD90" s="427"/>
      <c r="AE90" s="299"/>
      <c r="AF90" s="670"/>
      <c r="AG90" s="371">
        <f t="shared" si="13"/>
        <v>0</v>
      </c>
      <c r="AH90" s="365">
        <v>1</v>
      </c>
      <c r="AI90" s="366"/>
      <c r="AJ90" s="366"/>
      <c r="AK90" s="367"/>
      <c r="AL90" s="363"/>
      <c r="AM90" s="368"/>
      <c r="AN90" s="368"/>
      <c r="AO90" s="368"/>
      <c r="AP90" s="368"/>
      <c r="AQ90" s="368"/>
      <c r="AR90" s="368"/>
      <c r="AS90" s="368"/>
      <c r="AT90" s="368"/>
      <c r="AU90" s="368"/>
      <c r="AV90" s="368"/>
      <c r="AW90" s="368"/>
      <c r="AX90" s="369"/>
      <c r="AY90" s="369"/>
      <c r="AZ90" s="448">
        <v>350424.24</v>
      </c>
      <c r="BA90" s="364"/>
      <c r="BB90" s="299">
        <f t="shared" si="14"/>
        <v>350424.24</v>
      </c>
      <c r="BC90" s="370"/>
      <c r="BD90" s="371"/>
      <c r="BE90" s="367">
        <v>49315</v>
      </c>
      <c r="BF90" s="352">
        <f>BB90+BD90+BC90</f>
        <v>350424.24</v>
      </c>
      <c r="BG90" s="451" t="str">
        <f t="shared" si="15"/>
        <v>Y</v>
      </c>
      <c r="BH90" s="451"/>
      <c r="BI90" s="299"/>
      <c r="BJ90" s="698"/>
      <c r="BK90" s="698"/>
      <c r="BL90" s="303">
        <v>2814</v>
      </c>
      <c r="BM90" s="706"/>
      <c r="BN90" s="373"/>
      <c r="BO90" s="706"/>
      <c r="BP90" s="716"/>
      <c r="BQ90" s="706"/>
      <c r="BR90" s="373"/>
      <c r="BS90" s="373"/>
      <c r="BT90" s="373"/>
      <c r="BU90" s="373"/>
      <c r="BV90" s="304"/>
      <c r="BW90" s="288"/>
      <c r="BX90" s="359"/>
      <c r="BY90" s="374"/>
      <c r="BZ90" s="624"/>
      <c r="CA90" s="624"/>
      <c r="CB90" s="624"/>
      <c r="CC90" s="624"/>
      <c r="CD90" s="624"/>
      <c r="CE90" s="624"/>
      <c r="CF90" s="624"/>
      <c r="CG90" s="624"/>
      <c r="CH90" s="624"/>
    </row>
    <row r="91" spans="1:86" s="305" customFormat="1" ht="39" customHeight="1">
      <c r="A91" s="276"/>
      <c r="B91" s="348">
        <f t="shared" si="17"/>
        <v>68</v>
      </c>
      <c r="C91" s="348"/>
      <c r="D91" s="726" t="s">
        <v>1803</v>
      </c>
      <c r="E91" s="356">
        <v>37316</v>
      </c>
      <c r="F91" s="358">
        <v>2002</v>
      </c>
      <c r="G91" s="288">
        <v>18</v>
      </c>
      <c r="H91" s="288"/>
      <c r="I91" s="288">
        <v>2002</v>
      </c>
      <c r="J91" s="358">
        <v>6</v>
      </c>
      <c r="K91" s="358" t="s">
        <v>1211</v>
      </c>
      <c r="L91" s="358" t="s">
        <v>1653</v>
      </c>
      <c r="M91" s="358" t="s">
        <v>1271</v>
      </c>
      <c r="N91" s="359" t="s">
        <v>1877</v>
      </c>
      <c r="O91" s="358" t="s">
        <v>1337</v>
      </c>
      <c r="P91" s="358" t="s">
        <v>1337</v>
      </c>
      <c r="Q91" s="360"/>
      <c r="R91" s="361"/>
      <c r="S91" s="294"/>
      <c r="T91" s="1058"/>
      <c r="U91" s="295"/>
      <c r="V91" s="295"/>
      <c r="W91" s="362"/>
      <c r="X91" s="379"/>
      <c r="Y91" s="293"/>
      <c r="Z91" s="294"/>
      <c r="AA91" s="293"/>
      <c r="AB91" s="365"/>
      <c r="AC91" s="364"/>
      <c r="AD91" s="427"/>
      <c r="AE91" s="299">
        <v>11700</v>
      </c>
      <c r="AF91" s="670"/>
      <c r="AG91" s="371">
        <f t="shared" si="13"/>
        <v>11700</v>
      </c>
      <c r="AH91" s="365"/>
      <c r="AI91" s="366"/>
      <c r="AJ91" s="366"/>
      <c r="AK91" s="367"/>
      <c r="AL91" s="363"/>
      <c r="AM91" s="368"/>
      <c r="AN91" s="368"/>
      <c r="AO91" s="368"/>
      <c r="AP91" s="368"/>
      <c r="AQ91" s="368"/>
      <c r="AR91" s="368"/>
      <c r="AS91" s="368"/>
      <c r="AT91" s="368"/>
      <c r="AU91" s="368"/>
      <c r="AV91" s="368"/>
      <c r="AW91" s="368"/>
      <c r="AX91" s="369"/>
      <c r="AY91" s="369"/>
      <c r="AZ91" s="448"/>
      <c r="BA91" s="364"/>
      <c r="BB91" s="299">
        <f t="shared" si="14"/>
        <v>11700</v>
      </c>
      <c r="BC91" s="370"/>
      <c r="BD91" s="371"/>
      <c r="BE91" s="367">
        <v>300</v>
      </c>
      <c r="BF91" s="352">
        <f>AE91+AC91+AZ91+BA91</f>
        <v>11700</v>
      </c>
      <c r="BG91" s="451" t="str">
        <f t="shared" si="15"/>
        <v>Y</v>
      </c>
      <c r="BH91" s="451"/>
      <c r="BI91" s="299"/>
      <c r="BJ91" s="698"/>
      <c r="BK91" s="698"/>
      <c r="BL91" s="303">
        <v>2898</v>
      </c>
      <c r="BM91" s="706"/>
      <c r="BN91" s="373"/>
      <c r="BO91" s="706"/>
      <c r="BP91" s="716"/>
      <c r="BQ91" s="706"/>
      <c r="BR91" s="373"/>
      <c r="BS91" s="373"/>
      <c r="BT91" s="373"/>
      <c r="BU91" s="373"/>
      <c r="BV91" s="304"/>
      <c r="BW91" s="288"/>
      <c r="BX91" s="359"/>
      <c r="BY91" s="374"/>
      <c r="BZ91" s="624"/>
      <c r="CA91" s="624"/>
      <c r="CB91" s="624"/>
      <c r="CC91" s="624"/>
      <c r="CD91" s="624"/>
      <c r="CE91" s="624"/>
      <c r="CF91" s="624"/>
      <c r="CG91" s="624"/>
      <c r="CH91" s="624"/>
    </row>
    <row r="92" spans="1:86" s="305" customFormat="1" ht="39" customHeight="1">
      <c r="A92" s="276"/>
      <c r="B92" s="348">
        <f t="shared" si="17"/>
        <v>69</v>
      </c>
      <c r="C92" s="348"/>
      <c r="D92" s="726" t="s">
        <v>1494</v>
      </c>
      <c r="E92" s="356">
        <v>37316</v>
      </c>
      <c r="F92" s="358">
        <v>2002</v>
      </c>
      <c r="G92" s="288">
        <v>19</v>
      </c>
      <c r="H92" s="288"/>
      <c r="I92" s="288">
        <v>2002</v>
      </c>
      <c r="J92" s="358">
        <v>7</v>
      </c>
      <c r="K92" s="288" t="s">
        <v>570</v>
      </c>
      <c r="L92" s="358" t="s">
        <v>1667</v>
      </c>
      <c r="M92" s="358" t="s">
        <v>1961</v>
      </c>
      <c r="N92" s="359" t="s">
        <v>1884</v>
      </c>
      <c r="O92" s="358" t="s">
        <v>1884</v>
      </c>
      <c r="P92" s="358" t="s">
        <v>1884</v>
      </c>
      <c r="Q92" s="360"/>
      <c r="R92" s="361"/>
      <c r="S92" s="294"/>
      <c r="T92" s="1058"/>
      <c r="U92" s="295"/>
      <c r="V92" s="295"/>
      <c r="W92" s="362"/>
      <c r="X92" s="379"/>
      <c r="Y92" s="293"/>
      <c r="Z92" s="294"/>
      <c r="AA92" s="293"/>
      <c r="AB92" s="365"/>
      <c r="AC92" s="387"/>
      <c r="AD92" s="427">
        <f>96787+8018</f>
        <v>104805</v>
      </c>
      <c r="AE92" s="299"/>
      <c r="AF92" s="670"/>
      <c r="AG92" s="371">
        <f t="shared" si="13"/>
        <v>104805</v>
      </c>
      <c r="AH92" s="365">
        <v>2</v>
      </c>
      <c r="AI92" s="366"/>
      <c r="AJ92" s="366"/>
      <c r="AK92" s="367"/>
      <c r="AL92" s="363"/>
      <c r="AM92" s="368"/>
      <c r="AN92" s="368"/>
      <c r="AO92" s="368"/>
      <c r="AP92" s="368"/>
      <c r="AQ92" s="368"/>
      <c r="AR92" s="368"/>
      <c r="AS92" s="368"/>
      <c r="AT92" s="368"/>
      <c r="AU92" s="368"/>
      <c r="AV92" s="368"/>
      <c r="AW92" s="368"/>
      <c r="AX92" s="369"/>
      <c r="AY92" s="369"/>
      <c r="AZ92" s="448"/>
      <c r="BA92" s="364"/>
      <c r="BB92" s="299">
        <f t="shared" si="14"/>
        <v>104805</v>
      </c>
      <c r="BC92" s="370"/>
      <c r="BD92" s="371"/>
      <c r="BE92" s="454">
        <f>10000+(96787*0.1)</f>
        <v>19678.7</v>
      </c>
      <c r="BF92" s="352">
        <f t="shared" ref="BF92:BF97" si="18">BB92+BD92+BC92</f>
        <v>104805</v>
      </c>
      <c r="BG92" s="451" t="str">
        <f t="shared" si="15"/>
        <v>Y</v>
      </c>
      <c r="BH92" s="451"/>
      <c r="BI92" s="299"/>
      <c r="BJ92" s="698"/>
      <c r="BK92" s="698"/>
      <c r="BL92" s="303">
        <v>2876</v>
      </c>
      <c r="BM92" s="706"/>
      <c r="BN92" s="373"/>
      <c r="BO92" s="706"/>
      <c r="BP92" s="716"/>
      <c r="BQ92" s="706"/>
      <c r="BR92" s="373"/>
      <c r="BS92" s="373"/>
      <c r="BT92" s="373"/>
      <c r="BU92" s="373"/>
      <c r="BV92" s="304"/>
      <c r="BW92" s="288"/>
      <c r="BX92" s="359"/>
      <c r="BY92" s="374" t="s">
        <v>1218</v>
      </c>
      <c r="BZ92" s="624"/>
      <c r="CA92" s="624"/>
      <c r="CB92" s="624"/>
      <c r="CC92" s="624"/>
      <c r="CD92" s="624"/>
      <c r="CE92" s="624"/>
      <c r="CF92" s="624"/>
      <c r="CG92" s="624"/>
      <c r="CH92" s="624"/>
    </row>
    <row r="93" spans="1:86" s="305" customFormat="1" ht="39" customHeight="1">
      <c r="A93" s="276"/>
      <c r="B93" s="348">
        <f t="shared" si="17"/>
        <v>70</v>
      </c>
      <c r="C93" s="348"/>
      <c r="D93" s="726" t="s">
        <v>1452</v>
      </c>
      <c r="E93" s="356">
        <v>37347</v>
      </c>
      <c r="F93" s="358">
        <v>2002</v>
      </c>
      <c r="G93" s="288">
        <v>20</v>
      </c>
      <c r="H93" s="288"/>
      <c r="I93" s="288">
        <v>2002</v>
      </c>
      <c r="J93" s="358">
        <v>8</v>
      </c>
      <c r="K93" s="358" t="s">
        <v>570</v>
      </c>
      <c r="L93" s="358" t="s">
        <v>126</v>
      </c>
      <c r="M93" s="358" t="s">
        <v>1273</v>
      </c>
      <c r="N93" s="359" t="s">
        <v>1940</v>
      </c>
      <c r="O93" s="358" t="s">
        <v>1940</v>
      </c>
      <c r="P93" s="358" t="s">
        <v>1940</v>
      </c>
      <c r="Q93" s="360"/>
      <c r="R93" s="361"/>
      <c r="S93" s="294"/>
      <c r="T93" s="1058"/>
      <c r="U93" s="295"/>
      <c r="V93" s="295"/>
      <c r="W93" s="362"/>
      <c r="X93" s="379"/>
      <c r="Y93" s="293"/>
      <c r="Z93" s="294"/>
      <c r="AA93" s="293"/>
      <c r="AB93" s="365">
        <f>COUNTIF(AC93, "&gt;49999")</f>
        <v>0</v>
      </c>
      <c r="AC93" s="364">
        <v>25000</v>
      </c>
      <c r="AD93" s="427"/>
      <c r="AE93" s="299">
        <f>125000+75000</f>
        <v>200000</v>
      </c>
      <c r="AF93" s="670"/>
      <c r="AG93" s="371">
        <f t="shared" si="13"/>
        <v>225000</v>
      </c>
      <c r="AH93" s="365">
        <v>1</v>
      </c>
      <c r="AI93" s="366"/>
      <c r="AJ93" s="366"/>
      <c r="AK93" s="367"/>
      <c r="AL93" s="363"/>
      <c r="AM93" s="368"/>
      <c r="AN93" s="368"/>
      <c r="AO93" s="368"/>
      <c r="AP93" s="368"/>
      <c r="AQ93" s="368"/>
      <c r="AR93" s="368"/>
      <c r="AS93" s="368"/>
      <c r="AT93" s="368"/>
      <c r="AU93" s="368"/>
      <c r="AV93" s="368"/>
      <c r="AW93" s="368"/>
      <c r="AX93" s="369"/>
      <c r="AY93" s="369"/>
      <c r="AZ93" s="448"/>
      <c r="BA93" s="364"/>
      <c r="BB93" s="299">
        <f t="shared" si="14"/>
        <v>225000</v>
      </c>
      <c r="BC93" s="370"/>
      <c r="BD93" s="371"/>
      <c r="BE93" s="367"/>
      <c r="BF93" s="352">
        <f t="shared" si="18"/>
        <v>225000</v>
      </c>
      <c r="BG93" s="451" t="str">
        <f t="shared" si="15"/>
        <v>Y</v>
      </c>
      <c r="BH93" s="451"/>
      <c r="BI93" s="299"/>
      <c r="BJ93" s="698"/>
      <c r="BK93" s="698"/>
      <c r="BL93" s="303">
        <v>2898</v>
      </c>
      <c r="BM93" s="706"/>
      <c r="BN93" s="373"/>
      <c r="BO93" s="706"/>
      <c r="BP93" s="716"/>
      <c r="BQ93" s="706"/>
      <c r="BR93" s="373"/>
      <c r="BS93" s="373"/>
      <c r="BT93" s="373"/>
      <c r="BU93" s="373"/>
      <c r="BV93" s="304"/>
      <c r="BW93" s="288"/>
      <c r="BX93" s="359"/>
      <c r="BY93" s="374" t="s">
        <v>1603</v>
      </c>
      <c r="BZ93" s="624"/>
      <c r="CA93" s="624"/>
      <c r="CB93" s="624"/>
      <c r="CC93" s="624"/>
      <c r="CD93" s="624"/>
      <c r="CE93" s="624"/>
      <c r="CF93" s="624"/>
      <c r="CG93" s="624"/>
      <c r="CH93" s="624"/>
    </row>
    <row r="94" spans="1:86" s="305" customFormat="1" ht="39" customHeight="1">
      <c r="A94" s="276"/>
      <c r="B94" s="348">
        <v>71</v>
      </c>
      <c r="C94" s="348"/>
      <c r="D94" s="726" t="s">
        <v>1808</v>
      </c>
      <c r="E94" s="356">
        <v>37377</v>
      </c>
      <c r="F94" s="358">
        <v>2002</v>
      </c>
      <c r="G94" s="288">
        <v>21</v>
      </c>
      <c r="H94" s="288"/>
      <c r="I94" s="288">
        <v>2002</v>
      </c>
      <c r="J94" s="358">
        <v>9</v>
      </c>
      <c r="K94" s="358" t="s">
        <v>1211</v>
      </c>
      <c r="L94" s="358" t="s">
        <v>1604</v>
      </c>
      <c r="M94" s="358" t="s">
        <v>1271</v>
      </c>
      <c r="N94" s="359" t="s">
        <v>1877</v>
      </c>
      <c r="O94" s="358" t="s">
        <v>1337</v>
      </c>
      <c r="P94" s="358" t="s">
        <v>1337</v>
      </c>
      <c r="Q94" s="360"/>
      <c r="R94" s="361"/>
      <c r="S94" s="294"/>
      <c r="T94" s="1058"/>
      <c r="U94" s="295"/>
      <c r="V94" s="295"/>
      <c r="W94" s="362"/>
      <c r="X94" s="379"/>
      <c r="Y94" s="293"/>
      <c r="Z94" s="294"/>
      <c r="AA94" s="293"/>
      <c r="AB94" s="365"/>
      <c r="AC94" s="364"/>
      <c r="AD94" s="427"/>
      <c r="AE94" s="299">
        <v>2000</v>
      </c>
      <c r="AF94" s="670"/>
      <c r="AG94" s="371">
        <f t="shared" si="13"/>
        <v>2000</v>
      </c>
      <c r="AH94" s="365"/>
      <c r="AI94" s="366"/>
      <c r="AJ94" s="366"/>
      <c r="AK94" s="367"/>
      <c r="AL94" s="363"/>
      <c r="AM94" s="368"/>
      <c r="AN94" s="368"/>
      <c r="AO94" s="368"/>
      <c r="AP94" s="368"/>
      <c r="AQ94" s="368"/>
      <c r="AR94" s="368"/>
      <c r="AS94" s="368"/>
      <c r="AT94" s="368"/>
      <c r="AU94" s="368"/>
      <c r="AV94" s="368"/>
      <c r="AW94" s="368"/>
      <c r="AX94" s="369"/>
      <c r="AY94" s="369"/>
      <c r="AZ94" s="448"/>
      <c r="BA94" s="364"/>
      <c r="BB94" s="299">
        <f t="shared" si="14"/>
        <v>2000</v>
      </c>
      <c r="BC94" s="370"/>
      <c r="BD94" s="371"/>
      <c r="BE94" s="367"/>
      <c r="BF94" s="352">
        <f t="shared" si="18"/>
        <v>2000</v>
      </c>
      <c r="BG94" s="451" t="str">
        <f t="shared" si="15"/>
        <v>Y</v>
      </c>
      <c r="BH94" s="451"/>
      <c r="BI94" s="299"/>
      <c r="BJ94" s="698"/>
      <c r="BK94" s="698"/>
      <c r="BL94" s="303">
        <v>2898</v>
      </c>
      <c r="BM94" s="706"/>
      <c r="BN94" s="373"/>
      <c r="BO94" s="706"/>
      <c r="BP94" s="716"/>
      <c r="BQ94" s="706"/>
      <c r="BR94" s="373"/>
      <c r="BS94" s="373"/>
      <c r="BT94" s="373"/>
      <c r="BU94" s="373"/>
      <c r="BV94" s="304"/>
      <c r="BW94" s="288"/>
      <c r="BX94" s="359"/>
      <c r="BY94" s="374"/>
      <c r="BZ94" s="624"/>
      <c r="CA94" s="624"/>
      <c r="CB94" s="624"/>
      <c r="CC94" s="624"/>
      <c r="CD94" s="624"/>
      <c r="CE94" s="624"/>
      <c r="CF94" s="624"/>
      <c r="CG94" s="624"/>
      <c r="CH94" s="624"/>
    </row>
    <row r="95" spans="1:86" s="305" customFormat="1" ht="39" customHeight="1">
      <c r="A95" s="276"/>
      <c r="B95" s="348">
        <v>71</v>
      </c>
      <c r="C95" s="348"/>
      <c r="D95" s="726" t="s">
        <v>532</v>
      </c>
      <c r="E95" s="356">
        <v>37377</v>
      </c>
      <c r="F95" s="358">
        <v>2002</v>
      </c>
      <c r="G95" s="288">
        <v>21</v>
      </c>
      <c r="H95" s="288"/>
      <c r="I95" s="288">
        <v>2002</v>
      </c>
      <c r="J95" s="358">
        <v>9</v>
      </c>
      <c r="K95" s="358" t="s">
        <v>1211</v>
      </c>
      <c r="L95" s="358" t="s">
        <v>1878</v>
      </c>
      <c r="M95" s="358" t="s">
        <v>1271</v>
      </c>
      <c r="N95" s="359" t="s">
        <v>1877</v>
      </c>
      <c r="O95" s="358" t="s">
        <v>1337</v>
      </c>
      <c r="P95" s="358" t="s">
        <v>1337</v>
      </c>
      <c r="Q95" s="360"/>
      <c r="R95" s="361"/>
      <c r="S95" s="294"/>
      <c r="T95" s="1058"/>
      <c r="U95" s="295"/>
      <c r="V95" s="295"/>
      <c r="W95" s="362"/>
      <c r="X95" s="379"/>
      <c r="Y95" s="293"/>
      <c r="Z95" s="294"/>
      <c r="AA95" s="293"/>
      <c r="AB95" s="365"/>
      <c r="AC95" s="364"/>
      <c r="AD95" s="427"/>
      <c r="AE95" s="299">
        <v>2000</v>
      </c>
      <c r="AF95" s="670"/>
      <c r="AG95" s="371">
        <f t="shared" si="13"/>
        <v>2000</v>
      </c>
      <c r="AH95" s="365"/>
      <c r="AI95" s="366"/>
      <c r="AJ95" s="366"/>
      <c r="AK95" s="367"/>
      <c r="AL95" s="363"/>
      <c r="AM95" s="368"/>
      <c r="AN95" s="368"/>
      <c r="AO95" s="368"/>
      <c r="AP95" s="368"/>
      <c r="AQ95" s="368"/>
      <c r="AR95" s="368"/>
      <c r="AS95" s="368"/>
      <c r="AT95" s="368"/>
      <c r="AU95" s="368"/>
      <c r="AV95" s="368"/>
      <c r="AW95" s="368"/>
      <c r="AX95" s="369"/>
      <c r="AY95" s="369"/>
      <c r="AZ95" s="448"/>
      <c r="BA95" s="364"/>
      <c r="BB95" s="299">
        <f t="shared" si="14"/>
        <v>2000</v>
      </c>
      <c r="BC95" s="370"/>
      <c r="BD95" s="371"/>
      <c r="BE95" s="454">
        <v>0</v>
      </c>
      <c r="BF95" s="352">
        <f t="shared" si="18"/>
        <v>2000</v>
      </c>
      <c r="BG95" s="451" t="str">
        <f t="shared" si="15"/>
        <v>Y</v>
      </c>
      <c r="BH95" s="451"/>
      <c r="BI95" s="299"/>
      <c r="BJ95" s="698"/>
      <c r="BK95" s="698"/>
      <c r="BL95" s="303">
        <v>2898</v>
      </c>
      <c r="BM95" s="706"/>
      <c r="BN95" s="373"/>
      <c r="BO95" s="706"/>
      <c r="BP95" s="716"/>
      <c r="BQ95" s="706"/>
      <c r="BR95" s="373"/>
      <c r="BS95" s="373"/>
      <c r="BT95" s="373"/>
      <c r="BU95" s="373"/>
      <c r="BV95" s="304"/>
      <c r="BW95" s="288"/>
      <c r="BX95" s="359"/>
      <c r="BY95" s="374"/>
      <c r="BZ95" s="624"/>
      <c r="CA95" s="624"/>
      <c r="CB95" s="624"/>
      <c r="CC95" s="624"/>
      <c r="CD95" s="624"/>
      <c r="CE95" s="624"/>
      <c r="CF95" s="624"/>
      <c r="CG95" s="624"/>
      <c r="CH95" s="624"/>
    </row>
    <row r="96" spans="1:86" s="305" customFormat="1" ht="39" customHeight="1">
      <c r="A96" s="276"/>
      <c r="B96" s="348">
        <f>B94+1</f>
        <v>72</v>
      </c>
      <c r="C96" s="348"/>
      <c r="D96" s="726" t="s">
        <v>1806</v>
      </c>
      <c r="E96" s="356">
        <v>37377</v>
      </c>
      <c r="F96" s="358">
        <v>2002</v>
      </c>
      <c r="G96" s="288">
        <v>22</v>
      </c>
      <c r="H96" s="288"/>
      <c r="I96" s="288">
        <v>2002</v>
      </c>
      <c r="J96" s="288">
        <v>10</v>
      </c>
      <c r="K96" s="358" t="s">
        <v>1210</v>
      </c>
      <c r="L96" s="358" t="s">
        <v>1605</v>
      </c>
      <c r="M96" s="358" t="s">
        <v>1271</v>
      </c>
      <c r="N96" s="359" t="s">
        <v>1877</v>
      </c>
      <c r="O96" s="358" t="s">
        <v>1337</v>
      </c>
      <c r="P96" s="358" t="s">
        <v>1337</v>
      </c>
      <c r="Q96" s="360"/>
      <c r="R96" s="361"/>
      <c r="S96" s="294"/>
      <c r="T96" s="1058"/>
      <c r="U96" s="295"/>
      <c r="V96" s="295"/>
      <c r="W96" s="362"/>
      <c r="X96" s="379"/>
      <c r="Y96" s="293"/>
      <c r="Z96" s="294"/>
      <c r="AA96" s="293"/>
      <c r="AB96" s="365">
        <f>COUNTIF(AC96, "&gt;49999")</f>
        <v>0</v>
      </c>
      <c r="AC96" s="364">
        <v>10000</v>
      </c>
      <c r="AD96" s="427"/>
      <c r="AE96" s="299"/>
      <c r="AF96" s="670"/>
      <c r="AG96" s="371">
        <f t="shared" si="13"/>
        <v>10000</v>
      </c>
      <c r="AH96" s="365"/>
      <c r="AI96" s="366"/>
      <c r="AJ96" s="366"/>
      <c r="AK96" s="367"/>
      <c r="AL96" s="363"/>
      <c r="AM96" s="368"/>
      <c r="AN96" s="368"/>
      <c r="AO96" s="368"/>
      <c r="AP96" s="368"/>
      <c r="AQ96" s="368"/>
      <c r="AR96" s="368"/>
      <c r="AS96" s="368"/>
      <c r="AT96" s="368"/>
      <c r="AU96" s="368"/>
      <c r="AV96" s="368"/>
      <c r="AW96" s="368"/>
      <c r="AX96" s="369"/>
      <c r="AY96" s="369"/>
      <c r="AZ96" s="448"/>
      <c r="BA96" s="364"/>
      <c r="BB96" s="299">
        <f t="shared" si="14"/>
        <v>10000</v>
      </c>
      <c r="BC96" s="370"/>
      <c r="BD96" s="371"/>
      <c r="BE96" s="454">
        <f>(10000/(1737000*0.62))*125000</f>
        <v>1160.6960462049883</v>
      </c>
      <c r="BF96" s="352">
        <f t="shared" si="18"/>
        <v>10000</v>
      </c>
      <c r="BG96" s="451" t="str">
        <f t="shared" si="15"/>
        <v>Y</v>
      </c>
      <c r="BH96" s="451"/>
      <c r="BI96" s="299"/>
      <c r="BJ96" s="698"/>
      <c r="BK96" s="698"/>
      <c r="BL96" s="303">
        <v>2898</v>
      </c>
      <c r="BM96" s="706"/>
      <c r="BN96" s="373"/>
      <c r="BO96" s="706"/>
      <c r="BP96" s="716"/>
      <c r="BQ96" s="706"/>
      <c r="BR96" s="373"/>
      <c r="BS96" s="373"/>
      <c r="BT96" s="373"/>
      <c r="BU96" s="373"/>
      <c r="BV96" s="304"/>
      <c r="BW96" s="288"/>
      <c r="BX96" s="359"/>
      <c r="BY96" s="374"/>
      <c r="BZ96" s="624"/>
      <c r="CA96" s="624"/>
      <c r="CB96" s="624"/>
      <c r="CC96" s="624"/>
      <c r="CD96" s="624"/>
      <c r="CE96" s="624"/>
      <c r="CF96" s="624"/>
      <c r="CG96" s="624"/>
      <c r="CH96" s="624"/>
    </row>
    <row r="97" spans="1:86" s="305" customFormat="1" ht="39" customHeight="1">
      <c r="A97" s="276"/>
      <c r="B97" s="355">
        <f>B96+1</f>
        <v>73</v>
      </c>
      <c r="C97" s="355"/>
      <c r="D97" s="726" t="s">
        <v>1495</v>
      </c>
      <c r="E97" s="356">
        <v>37377</v>
      </c>
      <c r="F97" s="358">
        <v>2002</v>
      </c>
      <c r="G97" s="358">
        <v>23</v>
      </c>
      <c r="H97" s="358"/>
      <c r="I97" s="288">
        <v>2002</v>
      </c>
      <c r="J97" s="358">
        <v>11</v>
      </c>
      <c r="K97" s="358" t="s">
        <v>1210</v>
      </c>
      <c r="L97" s="358" t="s">
        <v>1651</v>
      </c>
      <c r="M97" s="358" t="s">
        <v>1271</v>
      </c>
      <c r="N97" s="359" t="s">
        <v>2023</v>
      </c>
      <c r="O97" s="358" t="s">
        <v>2023</v>
      </c>
      <c r="P97" s="358" t="s">
        <v>2023</v>
      </c>
      <c r="Q97" s="360"/>
      <c r="R97" s="361"/>
      <c r="S97" s="294"/>
      <c r="T97" s="1058"/>
      <c r="U97" s="295"/>
      <c r="V97" s="295"/>
      <c r="W97" s="362"/>
      <c r="X97" s="379"/>
      <c r="Y97" s="293"/>
      <c r="Z97" s="294"/>
      <c r="AA97" s="293"/>
      <c r="AB97" s="365"/>
      <c r="AC97" s="364"/>
      <c r="AD97" s="427"/>
      <c r="AE97" s="299"/>
      <c r="AF97" s="670"/>
      <c r="AG97" s="371">
        <f t="shared" si="13"/>
        <v>0</v>
      </c>
      <c r="AH97" s="365">
        <v>3</v>
      </c>
      <c r="AI97" s="366"/>
      <c r="AJ97" s="366"/>
      <c r="AK97" s="367"/>
      <c r="AL97" s="363"/>
      <c r="AM97" s="368"/>
      <c r="AN97" s="368"/>
      <c r="AO97" s="368"/>
      <c r="AP97" s="368"/>
      <c r="AQ97" s="368"/>
      <c r="AR97" s="368"/>
      <c r="AS97" s="368"/>
      <c r="AT97" s="368"/>
      <c r="AU97" s="368"/>
      <c r="AV97" s="368"/>
      <c r="AW97" s="368"/>
      <c r="AX97" s="369"/>
      <c r="AY97" s="369"/>
      <c r="AZ97" s="448"/>
      <c r="BA97" s="364">
        <v>100000</v>
      </c>
      <c r="BB97" s="299">
        <f t="shared" si="14"/>
        <v>100000</v>
      </c>
      <c r="BC97" s="370"/>
      <c r="BD97" s="371"/>
      <c r="BE97" s="367">
        <v>96000</v>
      </c>
      <c r="BF97" s="352">
        <f t="shared" si="18"/>
        <v>100000</v>
      </c>
      <c r="BG97" s="451" t="str">
        <f t="shared" si="15"/>
        <v>Y</v>
      </c>
      <c r="BH97" s="451"/>
      <c r="BI97" s="299"/>
      <c r="BJ97" s="698"/>
      <c r="BK97" s="698"/>
      <c r="BL97" s="303">
        <v>2683</v>
      </c>
      <c r="BM97" s="706"/>
      <c r="BN97" s="373"/>
      <c r="BO97" s="706"/>
      <c r="BP97" s="716"/>
      <c r="BQ97" s="706"/>
      <c r="BR97" s="373"/>
      <c r="BS97" s="373"/>
      <c r="BT97" s="373"/>
      <c r="BU97" s="373"/>
      <c r="BV97" s="318"/>
      <c r="BW97" s="288"/>
      <c r="BX97" s="359"/>
      <c r="BY97" s="374"/>
      <c r="BZ97" s="624"/>
      <c r="CA97" s="624"/>
      <c r="CB97" s="624"/>
      <c r="CC97" s="624"/>
      <c r="CD97" s="624"/>
      <c r="CE97" s="624"/>
      <c r="CF97" s="624"/>
      <c r="CG97" s="624"/>
      <c r="CH97" s="624"/>
    </row>
    <row r="98" spans="1:86" s="305" customFormat="1" ht="39" customHeight="1">
      <c r="A98" s="276"/>
      <c r="B98" s="355">
        <f>B97+1</f>
        <v>74</v>
      </c>
      <c r="C98" s="355"/>
      <c r="D98" s="726" t="s">
        <v>1496</v>
      </c>
      <c r="E98" s="356">
        <v>37408</v>
      </c>
      <c r="F98" s="358">
        <v>2002</v>
      </c>
      <c r="G98" s="358">
        <v>24</v>
      </c>
      <c r="H98" s="358"/>
      <c r="I98" s="288">
        <v>2002</v>
      </c>
      <c r="J98" s="288">
        <v>12</v>
      </c>
      <c r="K98" s="358" t="s">
        <v>1211</v>
      </c>
      <c r="L98" s="358" t="s">
        <v>1886</v>
      </c>
      <c r="M98" s="358" t="s">
        <v>1271</v>
      </c>
      <c r="N98" s="359" t="s">
        <v>1877</v>
      </c>
      <c r="O98" s="358" t="s">
        <v>1337</v>
      </c>
      <c r="P98" s="358" t="s">
        <v>1337</v>
      </c>
      <c r="Q98" s="360"/>
      <c r="R98" s="361"/>
      <c r="S98" s="294"/>
      <c r="T98" s="1058"/>
      <c r="U98" s="295"/>
      <c r="V98" s="295"/>
      <c r="W98" s="362"/>
      <c r="X98" s="379"/>
      <c r="Y98" s="293"/>
      <c r="Z98" s="294"/>
      <c r="AA98" s="293"/>
      <c r="AB98" s="365"/>
      <c r="AC98" s="364"/>
      <c r="AD98" s="427"/>
      <c r="AE98" s="299"/>
      <c r="AF98" s="670"/>
      <c r="AG98" s="371">
        <f t="shared" si="13"/>
        <v>0</v>
      </c>
      <c r="AH98" s="365">
        <v>1</v>
      </c>
      <c r="AI98" s="366"/>
      <c r="AJ98" s="366"/>
      <c r="AK98" s="367"/>
      <c r="AL98" s="363"/>
      <c r="AM98" s="368"/>
      <c r="AN98" s="368"/>
      <c r="AO98" s="368"/>
      <c r="AP98" s="368"/>
      <c r="AQ98" s="368"/>
      <c r="AR98" s="368"/>
      <c r="AS98" s="368"/>
      <c r="AT98" s="368"/>
      <c r="AU98" s="368"/>
      <c r="AV98" s="368"/>
      <c r="AW98" s="368"/>
      <c r="AX98" s="369"/>
      <c r="AY98" s="369"/>
      <c r="AZ98" s="448"/>
      <c r="BA98" s="364"/>
      <c r="BB98" s="299">
        <f t="shared" si="14"/>
        <v>0</v>
      </c>
      <c r="BC98" s="370"/>
      <c r="BD98" s="371"/>
      <c r="BE98" s="367">
        <v>0</v>
      </c>
      <c r="BF98" s="352">
        <f>AE98+AC98+AZ98+BA98</f>
        <v>0</v>
      </c>
      <c r="BG98" s="451" t="str">
        <f t="shared" si="15"/>
        <v>Y</v>
      </c>
      <c r="BH98" s="451"/>
      <c r="BI98" s="299"/>
      <c r="BJ98" s="698"/>
      <c r="BK98" s="698"/>
      <c r="BL98" s="303">
        <v>2821</v>
      </c>
      <c r="BM98" s="706"/>
      <c r="BN98" s="373"/>
      <c r="BO98" s="706"/>
      <c r="BP98" s="716"/>
      <c r="BQ98" s="706"/>
      <c r="BR98" s="373"/>
      <c r="BS98" s="373"/>
      <c r="BT98" s="373"/>
      <c r="BU98" s="373"/>
      <c r="BV98" s="304"/>
      <c r="BW98" s="288"/>
      <c r="BX98" s="359"/>
      <c r="BY98" s="374" t="s">
        <v>1607</v>
      </c>
      <c r="BZ98" s="624"/>
      <c r="CA98" s="624"/>
      <c r="CB98" s="624"/>
      <c r="CC98" s="624"/>
      <c r="CD98" s="624"/>
      <c r="CE98" s="624"/>
      <c r="CF98" s="624"/>
      <c r="CG98" s="624"/>
      <c r="CH98" s="624"/>
    </row>
    <row r="99" spans="1:86" s="305" customFormat="1" ht="39" customHeight="1">
      <c r="A99" s="276"/>
      <c r="B99" s="348">
        <f>B98+1</f>
        <v>75</v>
      </c>
      <c r="C99" s="348"/>
      <c r="D99" s="726" t="s">
        <v>1497</v>
      </c>
      <c r="E99" s="356">
        <v>37408</v>
      </c>
      <c r="F99" s="358">
        <v>2002</v>
      </c>
      <c r="G99" s="288">
        <v>25</v>
      </c>
      <c r="H99" s="288"/>
      <c r="I99" s="288">
        <v>2002</v>
      </c>
      <c r="J99" s="358">
        <v>13</v>
      </c>
      <c r="K99" s="358" t="s">
        <v>570</v>
      </c>
      <c r="L99" s="358" t="s">
        <v>1608</v>
      </c>
      <c r="M99" s="358" t="s">
        <v>1273</v>
      </c>
      <c r="N99" s="359" t="s">
        <v>633</v>
      </c>
      <c r="O99" s="358" t="s">
        <v>1300</v>
      </c>
      <c r="P99" s="358" t="s">
        <v>1300</v>
      </c>
      <c r="Q99" s="360"/>
      <c r="R99" s="361"/>
      <c r="S99" s="294"/>
      <c r="T99" s="1058"/>
      <c r="U99" s="295"/>
      <c r="V99" s="295"/>
      <c r="W99" s="362"/>
      <c r="X99" s="379"/>
      <c r="Y99" s="293"/>
      <c r="Z99" s="294"/>
      <c r="AA99" s="293"/>
      <c r="AB99" s="365">
        <f>COUNTIF(AC99, "&gt;49999")</f>
        <v>0</v>
      </c>
      <c r="AC99" s="364">
        <v>10000</v>
      </c>
      <c r="AD99" s="427"/>
      <c r="AE99" s="299"/>
      <c r="AF99" s="670"/>
      <c r="AG99" s="371">
        <f t="shared" si="13"/>
        <v>10000</v>
      </c>
      <c r="AH99" s="455"/>
      <c r="AI99" s="456"/>
      <c r="AJ99" s="456"/>
      <c r="AK99" s="367"/>
      <c r="AL99" s="363"/>
      <c r="AM99" s="368"/>
      <c r="AN99" s="368"/>
      <c r="AO99" s="368"/>
      <c r="AP99" s="368"/>
      <c r="AQ99" s="368"/>
      <c r="AR99" s="368"/>
      <c r="AS99" s="368"/>
      <c r="AT99" s="368"/>
      <c r="AU99" s="368"/>
      <c r="AV99" s="368"/>
      <c r="AW99" s="368"/>
      <c r="AX99" s="369"/>
      <c r="AY99" s="369"/>
      <c r="AZ99" s="448"/>
      <c r="BA99" s="364"/>
      <c r="BB99" s="299">
        <f t="shared" si="14"/>
        <v>10000</v>
      </c>
      <c r="BC99" s="370"/>
      <c r="BD99" s="371"/>
      <c r="BE99" s="454">
        <f>((10000/370000)*8000)</f>
        <v>216.21621621621622</v>
      </c>
      <c r="BF99" s="352">
        <f>AE99+AC99+AZ99+BA99</f>
        <v>10000</v>
      </c>
      <c r="BG99" s="451" t="str">
        <f t="shared" si="15"/>
        <v>Y</v>
      </c>
      <c r="BH99" s="451"/>
      <c r="BI99" s="299"/>
      <c r="BJ99" s="698"/>
      <c r="BK99" s="698"/>
      <c r="BL99" s="303">
        <v>2898</v>
      </c>
      <c r="BM99" s="706"/>
      <c r="BN99" s="373"/>
      <c r="BO99" s="706"/>
      <c r="BP99" s="716"/>
      <c r="BQ99" s="706"/>
      <c r="BR99" s="373"/>
      <c r="BS99" s="373"/>
      <c r="BT99" s="373"/>
      <c r="BU99" s="373"/>
      <c r="BV99" s="304"/>
      <c r="BW99" s="288"/>
      <c r="BX99" s="359" t="s">
        <v>1153</v>
      </c>
      <c r="BY99" s="374" t="s">
        <v>1609</v>
      </c>
      <c r="BZ99" s="624"/>
      <c r="CA99" s="624"/>
      <c r="CB99" s="624"/>
      <c r="CC99" s="624"/>
      <c r="CD99" s="624"/>
      <c r="CE99" s="624"/>
      <c r="CF99" s="624"/>
      <c r="CG99" s="624"/>
      <c r="CH99" s="624"/>
    </row>
    <row r="100" spans="1:86" s="305" customFormat="1" ht="39" customHeight="1">
      <c r="A100" s="276"/>
      <c r="B100" s="348">
        <v>76</v>
      </c>
      <c r="C100" s="348"/>
      <c r="D100" s="726" t="s">
        <v>1801</v>
      </c>
      <c r="E100" s="356">
        <v>37408</v>
      </c>
      <c r="F100" s="358">
        <v>2002</v>
      </c>
      <c r="G100" s="288">
        <v>26</v>
      </c>
      <c r="H100" s="288"/>
      <c r="I100" s="288">
        <v>2002</v>
      </c>
      <c r="J100" s="288">
        <v>14</v>
      </c>
      <c r="K100" s="288" t="s">
        <v>570</v>
      </c>
      <c r="L100" s="358" t="s">
        <v>1879</v>
      </c>
      <c r="M100" s="358" t="s">
        <v>1271</v>
      </c>
      <c r="N100" s="359" t="s">
        <v>1877</v>
      </c>
      <c r="O100" s="358" t="s">
        <v>1337</v>
      </c>
      <c r="P100" s="358" t="s">
        <v>1337</v>
      </c>
      <c r="Q100" s="360"/>
      <c r="R100" s="361"/>
      <c r="S100" s="294"/>
      <c r="T100" s="1058"/>
      <c r="U100" s="295"/>
      <c r="V100" s="295"/>
      <c r="W100" s="362"/>
      <c r="X100" s="379"/>
      <c r="Y100" s="293"/>
      <c r="Z100" s="294"/>
      <c r="AA100" s="293"/>
      <c r="AB100" s="457"/>
      <c r="AC100" s="364"/>
      <c r="AD100" s="427"/>
      <c r="AE100" s="299">
        <v>75000</v>
      </c>
      <c r="AF100" s="670"/>
      <c r="AG100" s="371">
        <f t="shared" si="13"/>
        <v>75000</v>
      </c>
      <c r="AH100" s="455"/>
      <c r="AI100" s="456"/>
      <c r="AJ100" s="456"/>
      <c r="AK100" s="367"/>
      <c r="AL100" s="363"/>
      <c r="AM100" s="368"/>
      <c r="AN100" s="368"/>
      <c r="AO100" s="368"/>
      <c r="AP100" s="368"/>
      <c r="AQ100" s="368"/>
      <c r="AR100" s="368"/>
      <c r="AS100" s="368"/>
      <c r="AT100" s="368"/>
      <c r="AU100" s="368"/>
      <c r="AV100" s="368"/>
      <c r="AW100" s="368"/>
      <c r="AX100" s="369"/>
      <c r="AY100" s="369"/>
      <c r="AZ100" s="448"/>
      <c r="BA100" s="364"/>
      <c r="BB100" s="299">
        <f t="shared" si="14"/>
        <v>75000</v>
      </c>
      <c r="BC100" s="370"/>
      <c r="BD100" s="371"/>
      <c r="BE100" s="454">
        <f>(BF100/3343000)*100000</f>
        <v>2243.493867783428</v>
      </c>
      <c r="BF100" s="352">
        <f t="shared" ref="BF100:BF105" si="19">BB100+BD100+BC100</f>
        <v>75000</v>
      </c>
      <c r="BG100" s="451" t="str">
        <f t="shared" si="15"/>
        <v>Y</v>
      </c>
      <c r="BH100" s="451"/>
      <c r="BI100" s="299"/>
      <c r="BJ100" s="698"/>
      <c r="BK100" s="698"/>
      <c r="BL100" s="693">
        <v>2060</v>
      </c>
      <c r="BM100" s="711"/>
      <c r="BN100" s="458"/>
      <c r="BO100" s="711"/>
      <c r="BP100" s="458"/>
      <c r="BQ100" s="711"/>
      <c r="BR100" s="458"/>
      <c r="BS100" s="458"/>
      <c r="BT100" s="458"/>
      <c r="BU100" s="458"/>
      <c r="BV100" s="382"/>
      <c r="BW100" s="288"/>
      <c r="BX100" s="359"/>
      <c r="BY100" s="374" t="s">
        <v>1610</v>
      </c>
      <c r="BZ100" s="624"/>
      <c r="CA100" s="624"/>
      <c r="CB100" s="624"/>
      <c r="CC100" s="624"/>
      <c r="CD100" s="624"/>
      <c r="CE100" s="624"/>
      <c r="CF100" s="624"/>
      <c r="CG100" s="624"/>
      <c r="CH100" s="624"/>
    </row>
    <row r="101" spans="1:86" s="305" customFormat="1" ht="39" customHeight="1">
      <c r="A101" s="276"/>
      <c r="B101" s="348">
        <v>76</v>
      </c>
      <c r="C101" s="348"/>
      <c r="D101" s="726" t="s">
        <v>1801</v>
      </c>
      <c r="E101" s="356">
        <v>37408</v>
      </c>
      <c r="F101" s="358">
        <v>2002</v>
      </c>
      <c r="G101" s="288">
        <v>26</v>
      </c>
      <c r="H101" s="288"/>
      <c r="I101" s="288">
        <v>2002</v>
      </c>
      <c r="J101" s="288">
        <v>14</v>
      </c>
      <c r="K101" s="288" t="s">
        <v>570</v>
      </c>
      <c r="L101" s="358" t="s">
        <v>1879</v>
      </c>
      <c r="M101" s="358" t="s">
        <v>1271</v>
      </c>
      <c r="N101" s="359" t="s">
        <v>1877</v>
      </c>
      <c r="O101" s="358" t="s">
        <v>1337</v>
      </c>
      <c r="P101" s="358" t="s">
        <v>1337</v>
      </c>
      <c r="Q101" s="360"/>
      <c r="R101" s="361"/>
      <c r="S101" s="294"/>
      <c r="T101" s="1058"/>
      <c r="U101" s="295"/>
      <c r="V101" s="295"/>
      <c r="W101" s="362"/>
      <c r="X101" s="379"/>
      <c r="Y101" s="293"/>
      <c r="Z101" s="294"/>
      <c r="AA101" s="293"/>
      <c r="AB101" s="457"/>
      <c r="AC101" s="364"/>
      <c r="AD101" s="427"/>
      <c r="AE101" s="299">
        <v>25000</v>
      </c>
      <c r="AF101" s="670"/>
      <c r="AG101" s="371">
        <f t="shared" si="13"/>
        <v>25000</v>
      </c>
      <c r="AH101" s="455"/>
      <c r="AI101" s="456"/>
      <c r="AJ101" s="456"/>
      <c r="AK101" s="367"/>
      <c r="AL101" s="363"/>
      <c r="AM101" s="368"/>
      <c r="AN101" s="368"/>
      <c r="AO101" s="368"/>
      <c r="AP101" s="368"/>
      <c r="AQ101" s="368"/>
      <c r="AR101" s="368"/>
      <c r="AS101" s="368"/>
      <c r="AT101" s="368"/>
      <c r="AU101" s="368"/>
      <c r="AV101" s="368"/>
      <c r="AW101" s="368"/>
      <c r="AX101" s="369"/>
      <c r="AY101" s="369"/>
      <c r="AZ101" s="448"/>
      <c r="BA101" s="364"/>
      <c r="BB101" s="299">
        <f t="shared" si="14"/>
        <v>25000</v>
      </c>
      <c r="BC101" s="370"/>
      <c r="BD101" s="371"/>
      <c r="BE101" s="454"/>
      <c r="BF101" s="352">
        <f t="shared" si="19"/>
        <v>25000</v>
      </c>
      <c r="BG101" s="451" t="str">
        <f t="shared" si="15"/>
        <v>Y</v>
      </c>
      <c r="BH101" s="451"/>
      <c r="BI101" s="299"/>
      <c r="BJ101" s="698"/>
      <c r="BK101" s="698"/>
      <c r="BL101" s="693">
        <v>2898</v>
      </c>
      <c r="BM101" s="711"/>
      <c r="BN101" s="458"/>
      <c r="BO101" s="711"/>
      <c r="BP101" s="458"/>
      <c r="BQ101" s="711"/>
      <c r="BR101" s="458"/>
      <c r="BS101" s="458"/>
      <c r="BT101" s="458"/>
      <c r="BU101" s="458"/>
      <c r="BV101" s="382"/>
      <c r="BW101" s="288"/>
      <c r="BX101" s="359"/>
      <c r="BY101" s="374"/>
      <c r="BZ101" s="624"/>
      <c r="CA101" s="624"/>
      <c r="CB101" s="624"/>
      <c r="CC101" s="624"/>
      <c r="CD101" s="624"/>
      <c r="CE101" s="624"/>
      <c r="CF101" s="624"/>
      <c r="CG101" s="624"/>
      <c r="CH101" s="624"/>
    </row>
    <row r="102" spans="1:86" s="305" customFormat="1" ht="39" customHeight="1">
      <c r="A102" s="276"/>
      <c r="B102" s="348">
        <v>76</v>
      </c>
      <c r="C102" s="348"/>
      <c r="D102" s="726" t="s">
        <v>1801</v>
      </c>
      <c r="E102" s="356">
        <v>37408</v>
      </c>
      <c r="F102" s="358">
        <v>2002</v>
      </c>
      <c r="G102" s="288">
        <v>26</v>
      </c>
      <c r="H102" s="288"/>
      <c r="I102" s="288">
        <v>2002</v>
      </c>
      <c r="J102" s="288">
        <v>14</v>
      </c>
      <c r="K102" s="288" t="s">
        <v>570</v>
      </c>
      <c r="L102" s="358" t="s">
        <v>1879</v>
      </c>
      <c r="M102" s="358" t="s">
        <v>1271</v>
      </c>
      <c r="N102" s="359" t="s">
        <v>1877</v>
      </c>
      <c r="O102" s="358" t="s">
        <v>1337</v>
      </c>
      <c r="P102" s="358" t="s">
        <v>1337</v>
      </c>
      <c r="Q102" s="360"/>
      <c r="R102" s="361"/>
      <c r="S102" s="294"/>
      <c r="T102" s="1058"/>
      <c r="U102" s="295"/>
      <c r="V102" s="295"/>
      <c r="W102" s="362"/>
      <c r="X102" s="379"/>
      <c r="Y102" s="293"/>
      <c r="Z102" s="294"/>
      <c r="AA102" s="293"/>
      <c r="AB102" s="457"/>
      <c r="AC102" s="364"/>
      <c r="AD102" s="427"/>
      <c r="AE102" s="299">
        <v>100000</v>
      </c>
      <c r="AF102" s="670"/>
      <c r="AG102" s="371">
        <f t="shared" si="13"/>
        <v>100000</v>
      </c>
      <c r="AH102" s="455"/>
      <c r="AI102" s="456"/>
      <c r="AJ102" s="456"/>
      <c r="AK102" s="367"/>
      <c r="AL102" s="363"/>
      <c r="AM102" s="368"/>
      <c r="AN102" s="368"/>
      <c r="AO102" s="368"/>
      <c r="AP102" s="368"/>
      <c r="AQ102" s="368"/>
      <c r="AR102" s="368"/>
      <c r="AS102" s="368"/>
      <c r="AT102" s="368"/>
      <c r="AU102" s="368"/>
      <c r="AV102" s="368"/>
      <c r="AW102" s="368"/>
      <c r="AX102" s="369"/>
      <c r="AY102" s="369"/>
      <c r="AZ102" s="448"/>
      <c r="BA102" s="364"/>
      <c r="BB102" s="299">
        <f t="shared" si="14"/>
        <v>100000</v>
      </c>
      <c r="BC102" s="370"/>
      <c r="BD102" s="371"/>
      <c r="BE102" s="454"/>
      <c r="BF102" s="352">
        <f t="shared" si="19"/>
        <v>100000</v>
      </c>
      <c r="BG102" s="451" t="str">
        <f t="shared" si="15"/>
        <v>N</v>
      </c>
      <c r="BH102" s="451"/>
      <c r="BI102" s="299"/>
      <c r="BJ102" s="698"/>
      <c r="BK102" s="698"/>
      <c r="BL102" s="693">
        <v>2099</v>
      </c>
      <c r="BM102" s="711"/>
      <c r="BN102" s="458"/>
      <c r="BO102" s="711"/>
      <c r="BP102" s="458"/>
      <c r="BQ102" s="711"/>
      <c r="BR102" s="458"/>
      <c r="BS102" s="458"/>
      <c r="BT102" s="458"/>
      <c r="BU102" s="458"/>
      <c r="BV102" s="382"/>
      <c r="BW102" s="288"/>
      <c r="BX102" s="359"/>
      <c r="BY102" s="374" t="s">
        <v>1623</v>
      </c>
      <c r="BZ102" s="624"/>
      <c r="CA102" s="624"/>
      <c r="CB102" s="624"/>
      <c r="CC102" s="624"/>
      <c r="CD102" s="624"/>
      <c r="CE102" s="624"/>
      <c r="CF102" s="624"/>
      <c r="CG102" s="624"/>
      <c r="CH102" s="624"/>
    </row>
    <row r="103" spans="1:86" s="305" customFormat="1" ht="39" customHeight="1">
      <c r="A103" s="276"/>
      <c r="B103" s="355">
        <f>B100+1</f>
        <v>77</v>
      </c>
      <c r="C103" s="355"/>
      <c r="D103" s="726" t="s">
        <v>1465</v>
      </c>
      <c r="E103" s="356">
        <v>37438</v>
      </c>
      <c r="F103" s="358">
        <v>2003</v>
      </c>
      <c r="G103" s="358">
        <v>1</v>
      </c>
      <c r="H103" s="358"/>
      <c r="I103" s="288">
        <v>2002</v>
      </c>
      <c r="J103" s="288">
        <v>15</v>
      </c>
      <c r="K103" s="358" t="s">
        <v>570</v>
      </c>
      <c r="L103" s="358" t="s">
        <v>1939</v>
      </c>
      <c r="M103" s="358" t="s">
        <v>1271</v>
      </c>
      <c r="N103" s="359" t="s">
        <v>1877</v>
      </c>
      <c r="O103" s="358" t="s">
        <v>1337</v>
      </c>
      <c r="P103" s="358" t="s">
        <v>1337</v>
      </c>
      <c r="Q103" s="360"/>
      <c r="R103" s="361"/>
      <c r="S103" s="294"/>
      <c r="T103" s="1058"/>
      <c r="U103" s="295"/>
      <c r="V103" s="295"/>
      <c r="W103" s="362"/>
      <c r="X103" s="379"/>
      <c r="Y103" s="293"/>
      <c r="Z103" s="294"/>
      <c r="AA103" s="293"/>
      <c r="AB103" s="365"/>
      <c r="AC103" s="364"/>
      <c r="AD103" s="427"/>
      <c r="AE103" s="299">
        <v>50000</v>
      </c>
      <c r="AF103" s="670"/>
      <c r="AG103" s="371">
        <f t="shared" si="13"/>
        <v>50000</v>
      </c>
      <c r="AH103" s="459">
        <v>1</v>
      </c>
      <c r="AI103" s="460"/>
      <c r="AJ103" s="460"/>
      <c r="AK103" s="367"/>
      <c r="AL103" s="363"/>
      <c r="AM103" s="368"/>
      <c r="AN103" s="368"/>
      <c r="AO103" s="368"/>
      <c r="AP103" s="368"/>
      <c r="AQ103" s="368"/>
      <c r="AR103" s="368"/>
      <c r="AS103" s="368"/>
      <c r="AT103" s="368"/>
      <c r="AU103" s="368"/>
      <c r="AV103" s="368"/>
      <c r="AW103" s="368"/>
      <c r="AX103" s="369"/>
      <c r="AY103" s="369"/>
      <c r="AZ103" s="448"/>
      <c r="BA103" s="364"/>
      <c r="BB103" s="299">
        <f t="shared" si="14"/>
        <v>50000</v>
      </c>
      <c r="BC103" s="370"/>
      <c r="BD103" s="371"/>
      <c r="BE103" s="454">
        <v>5000</v>
      </c>
      <c r="BF103" s="352">
        <f t="shared" si="19"/>
        <v>50000</v>
      </c>
      <c r="BG103" s="451" t="str">
        <f t="shared" si="15"/>
        <v>Y</v>
      </c>
      <c r="BH103" s="451"/>
      <c r="BI103" s="299"/>
      <c r="BJ103" s="698"/>
      <c r="BK103" s="698"/>
      <c r="BL103" s="303">
        <v>2664</v>
      </c>
      <c r="BM103" s="706"/>
      <c r="BN103" s="373"/>
      <c r="BO103" s="706"/>
      <c r="BP103" s="716"/>
      <c r="BQ103" s="706"/>
      <c r="BR103" s="373"/>
      <c r="BS103" s="373"/>
      <c r="BT103" s="373"/>
      <c r="BU103" s="373"/>
      <c r="BV103" s="318"/>
      <c r="BW103" s="288"/>
      <c r="BX103" s="359"/>
      <c r="BY103" s="307" t="s">
        <v>481</v>
      </c>
      <c r="BZ103" s="624"/>
      <c r="CA103" s="624"/>
      <c r="CB103" s="624"/>
      <c r="CC103" s="624"/>
      <c r="CD103" s="624"/>
      <c r="CE103" s="624"/>
      <c r="CF103" s="624"/>
      <c r="CG103" s="624"/>
      <c r="CH103" s="624"/>
    </row>
    <row r="104" spans="1:86" s="305" customFormat="1" ht="39" customHeight="1">
      <c r="A104" s="276"/>
      <c r="B104" s="348">
        <f>B103+1</f>
        <v>78</v>
      </c>
      <c r="C104" s="348"/>
      <c r="D104" s="726" t="s">
        <v>1498</v>
      </c>
      <c r="E104" s="356">
        <v>37438</v>
      </c>
      <c r="F104" s="358">
        <v>2003</v>
      </c>
      <c r="G104" s="288">
        <v>2</v>
      </c>
      <c r="H104" s="288"/>
      <c r="I104" s="288">
        <v>2002</v>
      </c>
      <c r="J104" s="288">
        <v>16</v>
      </c>
      <c r="K104" s="288" t="s">
        <v>570</v>
      </c>
      <c r="L104" s="288" t="s">
        <v>1625</v>
      </c>
      <c r="M104" s="358" t="s">
        <v>1271</v>
      </c>
      <c r="N104" s="359" t="s">
        <v>1965</v>
      </c>
      <c r="O104" s="288" t="s">
        <v>1098</v>
      </c>
      <c r="P104" s="288" t="s">
        <v>1626</v>
      </c>
      <c r="Q104" s="375"/>
      <c r="R104" s="361"/>
      <c r="S104" s="294"/>
      <c r="T104" s="1058"/>
      <c r="U104" s="295"/>
      <c r="V104" s="295"/>
      <c r="W104" s="392"/>
      <c r="X104" s="393"/>
      <c r="Y104" s="293"/>
      <c r="Z104" s="294"/>
      <c r="AA104" s="293"/>
      <c r="AB104" s="383"/>
      <c r="AC104" s="387"/>
      <c r="AD104" s="587"/>
      <c r="AE104" s="298"/>
      <c r="AF104" s="677"/>
      <c r="AG104" s="371">
        <f t="shared" si="13"/>
        <v>0</v>
      </c>
      <c r="AH104" s="461"/>
      <c r="AI104" s="462"/>
      <c r="AJ104" s="462"/>
      <c r="AK104" s="388"/>
      <c r="AL104" s="389"/>
      <c r="AM104" s="302"/>
      <c r="AN104" s="302"/>
      <c r="AO104" s="302"/>
      <c r="AP104" s="302"/>
      <c r="AQ104" s="302"/>
      <c r="AR104" s="302"/>
      <c r="AS104" s="302"/>
      <c r="AT104" s="302"/>
      <c r="AU104" s="302"/>
      <c r="AV104" s="302"/>
      <c r="AW104" s="302"/>
      <c r="AX104" s="390"/>
      <c r="AY104" s="390"/>
      <c r="AZ104" s="385">
        <v>10000</v>
      </c>
      <c r="BA104" s="387"/>
      <c r="BB104" s="299">
        <f t="shared" si="14"/>
        <v>10000</v>
      </c>
      <c r="BC104" s="394"/>
      <c r="BD104" s="395"/>
      <c r="BE104" s="463">
        <v>1000</v>
      </c>
      <c r="BF104" s="352">
        <f t="shared" si="19"/>
        <v>10000</v>
      </c>
      <c r="BG104" s="451" t="str">
        <f t="shared" ref="BG104:BG136" si="20">IF(OR(BL104=2799,BL104=2099),"N","Y")</f>
        <v>Y</v>
      </c>
      <c r="BH104" s="451"/>
      <c r="BI104" s="299"/>
      <c r="BJ104" s="698"/>
      <c r="BK104" s="698"/>
      <c r="BL104" s="300">
        <v>2898</v>
      </c>
      <c r="BM104" s="707"/>
      <c r="BN104" s="391"/>
      <c r="BO104" s="707"/>
      <c r="BP104" s="717"/>
      <c r="BQ104" s="707"/>
      <c r="BR104" s="391"/>
      <c r="BS104" s="391"/>
      <c r="BT104" s="391"/>
      <c r="BU104" s="391"/>
      <c r="BV104" s="304"/>
      <c r="BW104" s="288"/>
      <c r="BX104" s="290" t="s">
        <v>1627</v>
      </c>
      <c r="BY104" s="449" t="s">
        <v>1628</v>
      </c>
      <c r="BZ104" s="624"/>
      <c r="CA104" s="624"/>
      <c r="CB104" s="624"/>
      <c r="CC104" s="624"/>
      <c r="CD104" s="624"/>
      <c r="CE104" s="624"/>
      <c r="CF104" s="624"/>
      <c r="CG104" s="624"/>
      <c r="CH104" s="624"/>
    </row>
    <row r="105" spans="1:86" s="305" customFormat="1" ht="39" customHeight="1">
      <c r="A105" s="276"/>
      <c r="B105" s="348">
        <f>B104+1</f>
        <v>79</v>
      </c>
      <c r="C105" s="348"/>
      <c r="D105" s="726" t="s">
        <v>1499</v>
      </c>
      <c r="E105" s="356">
        <v>37438</v>
      </c>
      <c r="F105" s="358">
        <v>2003</v>
      </c>
      <c r="G105" s="288">
        <v>3</v>
      </c>
      <c r="H105" s="288"/>
      <c r="I105" s="288">
        <v>2002</v>
      </c>
      <c r="J105" s="288">
        <v>17</v>
      </c>
      <c r="K105" s="358" t="s">
        <v>1211</v>
      </c>
      <c r="L105" s="358" t="s">
        <v>1655</v>
      </c>
      <c r="M105" s="358" t="s">
        <v>1271</v>
      </c>
      <c r="N105" s="359" t="s">
        <v>1965</v>
      </c>
      <c r="O105" s="358" t="s">
        <v>1099</v>
      </c>
      <c r="P105" s="358" t="s">
        <v>1343</v>
      </c>
      <c r="Q105" s="360"/>
      <c r="R105" s="361"/>
      <c r="S105" s="294"/>
      <c r="T105" s="1058"/>
      <c r="U105" s="295"/>
      <c r="V105" s="295"/>
      <c r="W105" s="362"/>
      <c r="X105" s="379"/>
      <c r="Y105" s="293"/>
      <c r="Z105" s="294"/>
      <c r="AA105" s="293"/>
      <c r="AB105" s="365">
        <f>COUNTIF(AC105, "&gt;49999")</f>
        <v>0</v>
      </c>
      <c r="AC105" s="364">
        <v>5000</v>
      </c>
      <c r="AD105" s="427"/>
      <c r="AE105" s="299"/>
      <c r="AF105" s="670"/>
      <c r="AG105" s="371">
        <f t="shared" si="13"/>
        <v>5000</v>
      </c>
      <c r="AH105" s="459"/>
      <c r="AI105" s="460"/>
      <c r="AJ105" s="460"/>
      <c r="AK105" s="367"/>
      <c r="AL105" s="363"/>
      <c r="AM105" s="368"/>
      <c r="AN105" s="368"/>
      <c r="AO105" s="368"/>
      <c r="AP105" s="368"/>
      <c r="AQ105" s="368"/>
      <c r="AR105" s="368"/>
      <c r="AS105" s="368"/>
      <c r="AT105" s="368"/>
      <c r="AU105" s="368"/>
      <c r="AV105" s="368"/>
      <c r="AW105" s="368"/>
      <c r="AX105" s="369"/>
      <c r="AY105" s="369"/>
      <c r="AZ105" s="448"/>
      <c r="BA105" s="364"/>
      <c r="BB105" s="299">
        <f t="shared" si="14"/>
        <v>5000</v>
      </c>
      <c r="BC105" s="370"/>
      <c r="BD105" s="371"/>
      <c r="BE105" s="454"/>
      <c r="BF105" s="352">
        <f t="shared" si="19"/>
        <v>5000</v>
      </c>
      <c r="BG105" s="451" t="str">
        <f t="shared" si="20"/>
        <v>Y</v>
      </c>
      <c r="BH105" s="451"/>
      <c r="BI105" s="299"/>
      <c r="BJ105" s="698"/>
      <c r="BK105" s="698"/>
      <c r="BL105" s="303">
        <v>2898</v>
      </c>
      <c r="BM105" s="706"/>
      <c r="BN105" s="373"/>
      <c r="BO105" s="706"/>
      <c r="BP105" s="716"/>
      <c r="BQ105" s="706"/>
      <c r="BR105" s="373"/>
      <c r="BS105" s="373"/>
      <c r="BT105" s="373"/>
      <c r="BU105" s="373"/>
      <c r="BV105" s="304"/>
      <c r="BW105" s="288"/>
      <c r="BX105" s="359"/>
      <c r="BY105" s="374" t="s">
        <v>1629</v>
      </c>
      <c r="BZ105" s="624"/>
      <c r="CA105" s="624"/>
      <c r="CB105" s="624"/>
      <c r="CC105" s="624"/>
      <c r="CD105" s="624"/>
      <c r="CE105" s="624"/>
      <c r="CF105" s="624"/>
      <c r="CG105" s="624"/>
      <c r="CH105" s="624"/>
    </row>
    <row r="106" spans="1:86" s="305" customFormat="1" ht="39" customHeight="1">
      <c r="A106" s="276"/>
      <c r="B106" s="348">
        <f>B105+1</f>
        <v>80</v>
      </c>
      <c r="C106" s="348"/>
      <c r="D106" s="726" t="s">
        <v>1500</v>
      </c>
      <c r="E106" s="356">
        <v>37438</v>
      </c>
      <c r="F106" s="358">
        <v>2003</v>
      </c>
      <c r="G106" s="288">
        <v>4</v>
      </c>
      <c r="H106" s="288"/>
      <c r="I106" s="288">
        <v>2002</v>
      </c>
      <c r="J106" s="288">
        <v>18</v>
      </c>
      <c r="K106" s="358" t="s">
        <v>1211</v>
      </c>
      <c r="L106" s="358" t="s">
        <v>1653</v>
      </c>
      <c r="M106" s="358" t="s">
        <v>1271</v>
      </c>
      <c r="N106" s="359" t="s">
        <v>1965</v>
      </c>
      <c r="O106" s="358" t="s">
        <v>1099</v>
      </c>
      <c r="P106" s="358" t="s">
        <v>1343</v>
      </c>
      <c r="Q106" s="360"/>
      <c r="R106" s="361"/>
      <c r="S106" s="294"/>
      <c r="T106" s="1058"/>
      <c r="U106" s="295"/>
      <c r="V106" s="295"/>
      <c r="W106" s="362"/>
      <c r="X106" s="379"/>
      <c r="Y106" s="293"/>
      <c r="Z106" s="294"/>
      <c r="AA106" s="293"/>
      <c r="AB106" s="365">
        <f>COUNTIF(AC106, "&gt;49999")</f>
        <v>0</v>
      </c>
      <c r="AC106" s="364">
        <v>5000</v>
      </c>
      <c r="AD106" s="427"/>
      <c r="AE106" s="299"/>
      <c r="AF106" s="670"/>
      <c r="AG106" s="371">
        <f t="shared" si="13"/>
        <v>5000</v>
      </c>
      <c r="AH106" s="459"/>
      <c r="AI106" s="460"/>
      <c r="AJ106" s="460"/>
      <c r="AK106" s="367"/>
      <c r="AL106" s="363"/>
      <c r="AM106" s="368"/>
      <c r="AN106" s="368"/>
      <c r="AO106" s="368"/>
      <c r="AP106" s="368"/>
      <c r="AQ106" s="368"/>
      <c r="AR106" s="368"/>
      <c r="AS106" s="368"/>
      <c r="AT106" s="368"/>
      <c r="AU106" s="368"/>
      <c r="AV106" s="368"/>
      <c r="AW106" s="368"/>
      <c r="AX106" s="369"/>
      <c r="AY106" s="369"/>
      <c r="AZ106" s="448"/>
      <c r="BA106" s="364"/>
      <c r="BB106" s="299">
        <f t="shared" si="14"/>
        <v>5000</v>
      </c>
      <c r="BC106" s="370"/>
      <c r="BD106" s="371"/>
      <c r="BE106" s="454"/>
      <c r="BF106" s="352">
        <f>AE106+AC106+AZ106+BA106</f>
        <v>5000</v>
      </c>
      <c r="BG106" s="451" t="str">
        <f t="shared" si="20"/>
        <v>Y</v>
      </c>
      <c r="BH106" s="451"/>
      <c r="BI106" s="299"/>
      <c r="BJ106" s="698"/>
      <c r="BK106" s="698"/>
      <c r="BL106" s="303">
        <v>2898</v>
      </c>
      <c r="BM106" s="706"/>
      <c r="BN106" s="373"/>
      <c r="BO106" s="706"/>
      <c r="BP106" s="716"/>
      <c r="BQ106" s="706"/>
      <c r="BR106" s="373"/>
      <c r="BS106" s="373"/>
      <c r="BT106" s="373"/>
      <c r="BU106" s="373"/>
      <c r="BV106" s="304"/>
      <c r="BW106" s="288"/>
      <c r="BX106" s="359"/>
      <c r="BY106" s="374" t="s">
        <v>1629</v>
      </c>
      <c r="BZ106" s="624"/>
      <c r="CA106" s="624"/>
      <c r="CB106" s="624"/>
      <c r="CC106" s="624"/>
      <c r="CD106" s="624"/>
      <c r="CE106" s="624"/>
      <c r="CF106" s="624"/>
      <c r="CG106" s="624"/>
      <c r="CH106" s="624"/>
    </row>
    <row r="107" spans="1:86" s="305" customFormat="1" ht="39" customHeight="1">
      <c r="A107" s="276"/>
      <c r="B107" s="348">
        <f>B106+1</f>
        <v>81</v>
      </c>
      <c r="C107" s="348"/>
      <c r="D107" s="726" t="s">
        <v>1444</v>
      </c>
      <c r="E107" s="356">
        <v>37438</v>
      </c>
      <c r="F107" s="358">
        <v>2003</v>
      </c>
      <c r="G107" s="288">
        <v>5</v>
      </c>
      <c r="H107" s="288"/>
      <c r="I107" s="288">
        <v>2002</v>
      </c>
      <c r="J107" s="288">
        <v>19</v>
      </c>
      <c r="K107" s="358" t="s">
        <v>1211</v>
      </c>
      <c r="L107" s="358" t="s">
        <v>1558</v>
      </c>
      <c r="M107" s="358" t="s">
        <v>1271</v>
      </c>
      <c r="N107" s="359" t="s">
        <v>1877</v>
      </c>
      <c r="O107" s="358" t="s">
        <v>1337</v>
      </c>
      <c r="P107" s="358" t="s">
        <v>1337</v>
      </c>
      <c r="Q107" s="360"/>
      <c r="R107" s="361"/>
      <c r="S107" s="294"/>
      <c r="T107" s="1058"/>
      <c r="U107" s="295"/>
      <c r="V107" s="295"/>
      <c r="W107" s="362"/>
      <c r="X107" s="379"/>
      <c r="Y107" s="293"/>
      <c r="Z107" s="294"/>
      <c r="AA107" s="293"/>
      <c r="AB107" s="365"/>
      <c r="AC107" s="364"/>
      <c r="AD107" s="427"/>
      <c r="AE107" s="299">
        <v>50000</v>
      </c>
      <c r="AF107" s="670"/>
      <c r="AG107" s="371">
        <f t="shared" si="13"/>
        <v>50000</v>
      </c>
      <c r="AH107" s="459">
        <v>1</v>
      </c>
      <c r="AI107" s="460"/>
      <c r="AJ107" s="460"/>
      <c r="AK107" s="367"/>
      <c r="AL107" s="363"/>
      <c r="AM107" s="368"/>
      <c r="AN107" s="368"/>
      <c r="AO107" s="368"/>
      <c r="AP107" s="368"/>
      <c r="AQ107" s="368"/>
      <c r="AR107" s="368"/>
      <c r="AS107" s="368"/>
      <c r="AT107" s="368"/>
      <c r="AU107" s="368"/>
      <c r="AV107" s="368"/>
      <c r="AW107" s="368"/>
      <c r="AX107" s="369"/>
      <c r="AY107" s="369"/>
      <c r="AZ107" s="448"/>
      <c r="BA107" s="364"/>
      <c r="BB107" s="299">
        <f t="shared" si="14"/>
        <v>50000</v>
      </c>
      <c r="BC107" s="370"/>
      <c r="BD107" s="371"/>
      <c r="BE107" s="454">
        <f>640*6</f>
        <v>3840</v>
      </c>
      <c r="BF107" s="352">
        <f>AE107+AC107+AZ107+BA107</f>
        <v>50000</v>
      </c>
      <c r="BG107" s="451" t="str">
        <f t="shared" si="20"/>
        <v>Y</v>
      </c>
      <c r="BH107" s="451"/>
      <c r="BI107" s="299"/>
      <c r="BJ107" s="698"/>
      <c r="BK107" s="698"/>
      <c r="BL107" s="303">
        <v>2912</v>
      </c>
      <c r="BM107" s="706"/>
      <c r="BN107" s="373"/>
      <c r="BO107" s="706"/>
      <c r="BP107" s="716"/>
      <c r="BQ107" s="706"/>
      <c r="BR107" s="373"/>
      <c r="BS107" s="373"/>
      <c r="BT107" s="373"/>
      <c r="BU107" s="373"/>
      <c r="BV107" s="304"/>
      <c r="BW107" s="288"/>
      <c r="BX107" s="359"/>
      <c r="BY107" s="374" t="s">
        <v>384</v>
      </c>
      <c r="BZ107" s="624"/>
      <c r="CA107" s="624"/>
      <c r="CB107" s="624"/>
      <c r="CC107" s="624"/>
      <c r="CD107" s="624"/>
      <c r="CE107" s="624"/>
      <c r="CF107" s="624"/>
      <c r="CG107" s="624"/>
      <c r="CH107" s="624"/>
    </row>
    <row r="108" spans="1:86" s="305" customFormat="1" ht="39" customHeight="1">
      <c r="A108" s="276"/>
      <c r="B108" s="348">
        <f>B107+1</f>
        <v>82</v>
      </c>
      <c r="C108" s="348"/>
      <c r="D108" s="726" t="s">
        <v>1830</v>
      </c>
      <c r="E108" s="356">
        <v>37469</v>
      </c>
      <c r="F108" s="358">
        <v>2003</v>
      </c>
      <c r="G108" s="288">
        <v>6</v>
      </c>
      <c r="H108" s="288"/>
      <c r="I108" s="288">
        <v>2002</v>
      </c>
      <c r="J108" s="288">
        <v>20</v>
      </c>
      <c r="K108" s="288" t="s">
        <v>570</v>
      </c>
      <c r="L108" s="358" t="s">
        <v>1944</v>
      </c>
      <c r="M108" s="358" t="s">
        <v>1271</v>
      </c>
      <c r="N108" s="359" t="s">
        <v>1877</v>
      </c>
      <c r="O108" s="358" t="s">
        <v>1337</v>
      </c>
      <c r="P108" s="358" t="s">
        <v>1337</v>
      </c>
      <c r="Q108" s="360"/>
      <c r="R108" s="361"/>
      <c r="S108" s="294"/>
      <c r="T108" s="1058"/>
      <c r="U108" s="295"/>
      <c r="V108" s="295"/>
      <c r="W108" s="392"/>
      <c r="X108" s="393"/>
      <c r="Y108" s="293"/>
      <c r="Z108" s="294"/>
      <c r="AA108" s="293"/>
      <c r="AB108" s="365">
        <f>COUNTIF(AC108, "&gt;49999")</f>
        <v>1</v>
      </c>
      <c r="AC108" s="364">
        <f>65976.81+942.15</f>
        <v>66918.959999999992</v>
      </c>
      <c r="AD108" s="427"/>
      <c r="AE108" s="299"/>
      <c r="AF108" s="670"/>
      <c r="AG108" s="371">
        <f t="shared" si="13"/>
        <v>66918.959999999992</v>
      </c>
      <c r="AH108" s="459">
        <v>7</v>
      </c>
      <c r="AI108" s="460"/>
      <c r="AJ108" s="460"/>
      <c r="AK108" s="367">
        <v>2900</v>
      </c>
      <c r="AL108" s="363"/>
      <c r="AM108" s="368"/>
      <c r="AN108" s="368"/>
      <c r="AO108" s="368"/>
      <c r="AP108" s="368"/>
      <c r="AQ108" s="368"/>
      <c r="AR108" s="368"/>
      <c r="AS108" s="368"/>
      <c r="AT108" s="368"/>
      <c r="AU108" s="368"/>
      <c r="AV108" s="368"/>
      <c r="AW108" s="368"/>
      <c r="AX108" s="369"/>
      <c r="AY108" s="369"/>
      <c r="AZ108" s="352">
        <f>104068.14+18843.02</f>
        <v>122911.16</v>
      </c>
      <c r="BA108" s="387">
        <f>(1755.65+306.02+10+18473.32+7422.56+3571.4+6029.12+386+9218.53+15.1)-(4764.95)</f>
        <v>42422.75</v>
      </c>
      <c r="BB108" s="299">
        <f t="shared" si="14"/>
        <v>232252.87</v>
      </c>
      <c r="BC108" s="394"/>
      <c r="BD108" s="395"/>
      <c r="BE108" s="454">
        <f>(2900*5)+(10000*2)+(1000*2)</f>
        <v>36500</v>
      </c>
      <c r="BF108" s="352">
        <f t="shared" ref="BF108:BF113" si="21">BB108+BD108+BC108</f>
        <v>232252.87</v>
      </c>
      <c r="BG108" s="451" t="str">
        <f t="shared" si="20"/>
        <v>Y</v>
      </c>
      <c r="BH108" s="451"/>
      <c r="BI108" s="299"/>
      <c r="BJ108" s="698"/>
      <c r="BK108" s="698"/>
      <c r="BL108" s="303">
        <v>2954</v>
      </c>
      <c r="BM108" s="706"/>
      <c r="BN108" s="373"/>
      <c r="BO108" s="706"/>
      <c r="BP108" s="716"/>
      <c r="BQ108" s="706"/>
      <c r="BR108" s="373"/>
      <c r="BS108" s="373"/>
      <c r="BT108" s="373"/>
      <c r="BU108" s="373"/>
      <c r="BV108" s="304"/>
      <c r="BW108" s="288"/>
      <c r="BX108" s="359"/>
      <c r="BY108" s="464" t="s">
        <v>385</v>
      </c>
      <c r="BZ108" s="624"/>
      <c r="CA108" s="624"/>
      <c r="CB108" s="624"/>
      <c r="CC108" s="624"/>
      <c r="CD108" s="624"/>
      <c r="CE108" s="624"/>
      <c r="CF108" s="624"/>
      <c r="CG108" s="624"/>
      <c r="CH108" s="624"/>
    </row>
    <row r="109" spans="1:86" s="305" customFormat="1" ht="39" customHeight="1">
      <c r="A109" s="276"/>
      <c r="B109" s="355">
        <v>83</v>
      </c>
      <c r="C109" s="355"/>
      <c r="D109" s="726" t="s">
        <v>1809</v>
      </c>
      <c r="E109" s="356">
        <v>37469</v>
      </c>
      <c r="F109" s="358">
        <v>2003</v>
      </c>
      <c r="G109" s="358">
        <v>7</v>
      </c>
      <c r="H109" s="358"/>
      <c r="I109" s="288">
        <v>2002</v>
      </c>
      <c r="J109" s="288">
        <v>21</v>
      </c>
      <c r="K109" s="358" t="s">
        <v>570</v>
      </c>
      <c r="L109" s="358" t="s">
        <v>386</v>
      </c>
      <c r="M109" s="358" t="s">
        <v>1271</v>
      </c>
      <c r="N109" s="359" t="s">
        <v>1877</v>
      </c>
      <c r="O109" s="358" t="s">
        <v>1337</v>
      </c>
      <c r="P109" s="358" t="s">
        <v>1337</v>
      </c>
      <c r="Q109" s="360"/>
      <c r="R109" s="361"/>
      <c r="S109" s="294"/>
      <c r="T109" s="1058"/>
      <c r="U109" s="295"/>
      <c r="V109" s="295"/>
      <c r="W109" s="362"/>
      <c r="X109" s="379"/>
      <c r="Y109" s="293"/>
      <c r="Z109" s="294"/>
      <c r="AA109" s="293"/>
      <c r="AB109" s="365"/>
      <c r="AC109" s="364"/>
      <c r="AD109" s="427"/>
      <c r="AE109" s="299"/>
      <c r="AF109" s="670"/>
      <c r="AG109" s="371">
        <f t="shared" si="13"/>
        <v>0</v>
      </c>
      <c r="AH109" s="459">
        <v>3</v>
      </c>
      <c r="AI109" s="460"/>
      <c r="AJ109" s="460"/>
      <c r="AK109" s="367">
        <v>14500</v>
      </c>
      <c r="AL109" s="363"/>
      <c r="AM109" s="368"/>
      <c r="AN109" s="368"/>
      <c r="AO109" s="368"/>
      <c r="AP109" s="368"/>
      <c r="AQ109" s="368"/>
      <c r="AR109" s="368"/>
      <c r="AS109" s="368"/>
      <c r="AT109" s="368"/>
      <c r="AU109" s="368">
        <v>14500</v>
      </c>
      <c r="AV109" s="368"/>
      <c r="AW109" s="368"/>
      <c r="AX109" s="369"/>
      <c r="AY109" s="369"/>
      <c r="AZ109" s="448">
        <f>14500*7.1</f>
        <v>102950</v>
      </c>
      <c r="BA109" s="364">
        <f>8000+523.48+2109.68+1556.68</f>
        <v>12189.84</v>
      </c>
      <c r="BB109" s="299">
        <f t="shared" si="14"/>
        <v>115139.84</v>
      </c>
      <c r="BC109" s="370"/>
      <c r="BD109" s="371"/>
      <c r="BE109" s="454">
        <f>14500*4</f>
        <v>58000</v>
      </c>
      <c r="BF109" s="352">
        <f t="shared" si="21"/>
        <v>115139.84</v>
      </c>
      <c r="BG109" s="451" t="str">
        <f t="shared" si="20"/>
        <v>Y</v>
      </c>
      <c r="BH109" s="451"/>
      <c r="BI109" s="299"/>
      <c r="BJ109" s="698"/>
      <c r="BK109" s="698"/>
      <c r="BL109" s="303">
        <v>2685</v>
      </c>
      <c r="BM109" s="706"/>
      <c r="BN109" s="373"/>
      <c r="BO109" s="706"/>
      <c r="BP109" s="716"/>
      <c r="BQ109" s="706"/>
      <c r="BR109" s="373"/>
      <c r="BS109" s="373"/>
      <c r="BT109" s="373"/>
      <c r="BU109" s="373"/>
      <c r="BV109" s="304"/>
      <c r="BW109" s="288"/>
      <c r="BX109" s="359"/>
      <c r="BY109" s="374" t="s">
        <v>846</v>
      </c>
      <c r="BZ109" s="624"/>
      <c r="CA109" s="624"/>
      <c r="CB109" s="624"/>
      <c r="CC109" s="624"/>
      <c r="CD109" s="624"/>
      <c r="CE109" s="624"/>
      <c r="CF109" s="624"/>
      <c r="CG109" s="624"/>
      <c r="CH109" s="624"/>
    </row>
    <row r="110" spans="1:86" s="305" customFormat="1" ht="39" customHeight="1">
      <c r="A110" s="276"/>
      <c r="B110" s="355">
        <v>83</v>
      </c>
      <c r="C110" s="355"/>
      <c r="D110" s="726" t="s">
        <v>1501</v>
      </c>
      <c r="E110" s="356">
        <v>37469</v>
      </c>
      <c r="F110" s="358">
        <v>2003</v>
      </c>
      <c r="G110" s="358">
        <v>7</v>
      </c>
      <c r="H110" s="358"/>
      <c r="I110" s="288">
        <v>2002</v>
      </c>
      <c r="J110" s="288">
        <v>21</v>
      </c>
      <c r="K110" s="358" t="s">
        <v>570</v>
      </c>
      <c r="L110" s="358" t="s">
        <v>387</v>
      </c>
      <c r="M110" s="358" t="s">
        <v>1271</v>
      </c>
      <c r="N110" s="359" t="s">
        <v>1877</v>
      </c>
      <c r="O110" s="358" t="s">
        <v>1337</v>
      </c>
      <c r="P110" s="358" t="s">
        <v>1337</v>
      </c>
      <c r="Q110" s="360"/>
      <c r="R110" s="361"/>
      <c r="S110" s="294"/>
      <c r="T110" s="1058"/>
      <c r="U110" s="295"/>
      <c r="V110" s="295"/>
      <c r="W110" s="362"/>
      <c r="X110" s="379"/>
      <c r="Y110" s="293"/>
      <c r="Z110" s="294"/>
      <c r="AA110" s="293"/>
      <c r="AB110" s="365"/>
      <c r="AC110" s="364"/>
      <c r="AD110" s="427"/>
      <c r="AE110" s="299">
        <f>15000+25000+25000+10000</f>
        <v>75000</v>
      </c>
      <c r="AF110" s="670"/>
      <c r="AG110" s="371">
        <f t="shared" si="13"/>
        <v>75000</v>
      </c>
      <c r="AH110" s="459"/>
      <c r="AI110" s="460"/>
      <c r="AJ110" s="460"/>
      <c r="AK110" s="367"/>
      <c r="AL110" s="363"/>
      <c r="AM110" s="368"/>
      <c r="AN110" s="368"/>
      <c r="AO110" s="368"/>
      <c r="AP110" s="368"/>
      <c r="AQ110" s="368"/>
      <c r="AR110" s="368"/>
      <c r="AS110" s="368"/>
      <c r="AT110" s="368"/>
      <c r="AU110" s="368"/>
      <c r="AV110" s="368"/>
      <c r="AW110" s="368"/>
      <c r="AX110" s="369"/>
      <c r="AY110" s="369"/>
      <c r="AZ110" s="448"/>
      <c r="BA110" s="364"/>
      <c r="BB110" s="299">
        <f t="shared" si="14"/>
        <v>75000</v>
      </c>
      <c r="BC110" s="370"/>
      <c r="BD110" s="371"/>
      <c r="BE110" s="454">
        <v>7500</v>
      </c>
      <c r="BF110" s="352">
        <f t="shared" si="21"/>
        <v>75000</v>
      </c>
      <c r="BG110" s="451" t="str">
        <f t="shared" si="20"/>
        <v>N</v>
      </c>
      <c r="BH110" s="451"/>
      <c r="BI110" s="299"/>
      <c r="BJ110" s="698"/>
      <c r="BK110" s="698"/>
      <c r="BL110" s="303">
        <v>2099</v>
      </c>
      <c r="BM110" s="706"/>
      <c r="BN110" s="373"/>
      <c r="BO110" s="706"/>
      <c r="BP110" s="716"/>
      <c r="BQ110" s="706"/>
      <c r="BR110" s="373"/>
      <c r="BS110" s="373"/>
      <c r="BT110" s="373"/>
      <c r="BU110" s="373"/>
      <c r="BV110" s="304"/>
      <c r="BW110" s="288"/>
      <c r="BX110" s="359"/>
      <c r="BY110" s="374" t="s">
        <v>388</v>
      </c>
      <c r="BZ110" s="624"/>
      <c r="CA110" s="624"/>
      <c r="CB110" s="624"/>
      <c r="CC110" s="624"/>
      <c r="CD110" s="624"/>
      <c r="CE110" s="624"/>
      <c r="CF110" s="624"/>
      <c r="CG110" s="624"/>
      <c r="CH110" s="624"/>
    </row>
    <row r="111" spans="1:86" s="305" customFormat="1" ht="39" customHeight="1">
      <c r="A111" s="276"/>
      <c r="B111" s="355">
        <v>83</v>
      </c>
      <c r="C111" s="355"/>
      <c r="D111" s="726" t="s">
        <v>1502</v>
      </c>
      <c r="E111" s="356">
        <v>37469</v>
      </c>
      <c r="F111" s="358">
        <v>2003</v>
      </c>
      <c r="G111" s="358">
        <v>7</v>
      </c>
      <c r="H111" s="358"/>
      <c r="I111" s="288">
        <v>2002</v>
      </c>
      <c r="J111" s="288">
        <v>21</v>
      </c>
      <c r="K111" s="358" t="s">
        <v>570</v>
      </c>
      <c r="L111" s="465" t="s">
        <v>389</v>
      </c>
      <c r="M111" s="358" t="s">
        <v>1271</v>
      </c>
      <c r="N111" s="359" t="s">
        <v>1877</v>
      </c>
      <c r="O111" s="358" t="s">
        <v>1337</v>
      </c>
      <c r="P111" s="358" t="s">
        <v>1337</v>
      </c>
      <c r="Q111" s="466"/>
      <c r="R111" s="467"/>
      <c r="S111" s="468"/>
      <c r="T111" s="1060"/>
      <c r="U111" s="469"/>
      <c r="V111" s="469"/>
      <c r="W111" s="470"/>
      <c r="X111" s="471"/>
      <c r="Y111" s="472"/>
      <c r="Z111" s="468"/>
      <c r="AA111" s="472"/>
      <c r="AB111" s="473"/>
      <c r="AC111" s="474"/>
      <c r="AD111" s="1047"/>
      <c r="AE111" s="475">
        <f>25000+25000+40000</f>
        <v>90000</v>
      </c>
      <c r="AF111" s="681"/>
      <c r="AG111" s="371">
        <f t="shared" si="13"/>
        <v>90000</v>
      </c>
      <c r="AH111" s="476"/>
      <c r="AI111" s="477"/>
      <c r="AJ111" s="477"/>
      <c r="AK111" s="478"/>
      <c r="AL111" s="479"/>
      <c r="AM111" s="480"/>
      <c r="AN111" s="480"/>
      <c r="AO111" s="480"/>
      <c r="AP111" s="480"/>
      <c r="AQ111" s="480"/>
      <c r="AR111" s="480"/>
      <c r="AS111" s="480"/>
      <c r="AT111" s="480"/>
      <c r="AU111" s="480"/>
      <c r="AV111" s="480"/>
      <c r="AW111" s="480"/>
      <c r="AX111" s="481"/>
      <c r="AY111" s="481"/>
      <c r="AZ111" s="482"/>
      <c r="BA111" s="474"/>
      <c r="BB111" s="299">
        <f t="shared" si="14"/>
        <v>90000</v>
      </c>
      <c r="BC111" s="483"/>
      <c r="BD111" s="484"/>
      <c r="BE111" s="485">
        <v>9000</v>
      </c>
      <c r="BF111" s="352">
        <f t="shared" si="21"/>
        <v>90000</v>
      </c>
      <c r="BG111" s="451" t="str">
        <f t="shared" si="20"/>
        <v>N</v>
      </c>
      <c r="BH111" s="451"/>
      <c r="BI111" s="299"/>
      <c r="BJ111" s="698"/>
      <c r="BK111" s="698"/>
      <c r="BL111" s="694">
        <v>2099</v>
      </c>
      <c r="BM111" s="712"/>
      <c r="BN111" s="486"/>
      <c r="BO111" s="712"/>
      <c r="BP111" s="720"/>
      <c r="BQ111" s="712"/>
      <c r="BR111" s="486"/>
      <c r="BS111" s="486"/>
      <c r="BT111" s="486"/>
      <c r="BU111" s="486"/>
      <c r="BV111" s="304"/>
      <c r="BW111" s="288"/>
      <c r="BX111" s="488"/>
      <c r="BY111" s="374" t="s">
        <v>390</v>
      </c>
      <c r="BZ111" s="624"/>
      <c r="CA111" s="624"/>
      <c r="CB111" s="624"/>
      <c r="CC111" s="624"/>
      <c r="CD111" s="624"/>
      <c r="CE111" s="624"/>
      <c r="CF111" s="624"/>
      <c r="CG111" s="624"/>
      <c r="CH111" s="624"/>
    </row>
    <row r="112" spans="1:86" s="305" customFormat="1" ht="39" customHeight="1">
      <c r="A112" s="276"/>
      <c r="B112" s="355">
        <v>83</v>
      </c>
      <c r="C112" s="355"/>
      <c r="D112" s="726" t="s">
        <v>1503</v>
      </c>
      <c r="E112" s="356">
        <v>37469</v>
      </c>
      <c r="F112" s="358">
        <v>2003</v>
      </c>
      <c r="G112" s="358">
        <v>7</v>
      </c>
      <c r="H112" s="358"/>
      <c r="I112" s="288">
        <v>2002</v>
      </c>
      <c r="J112" s="288">
        <v>21</v>
      </c>
      <c r="K112" s="358" t="s">
        <v>570</v>
      </c>
      <c r="L112" s="465" t="s">
        <v>391</v>
      </c>
      <c r="M112" s="358" t="s">
        <v>1271</v>
      </c>
      <c r="N112" s="359" t="s">
        <v>1877</v>
      </c>
      <c r="O112" s="358" t="s">
        <v>1337</v>
      </c>
      <c r="P112" s="358" t="s">
        <v>1337</v>
      </c>
      <c r="Q112" s="466"/>
      <c r="R112" s="467"/>
      <c r="S112" s="468"/>
      <c r="T112" s="1060"/>
      <c r="U112" s="469"/>
      <c r="V112" s="469"/>
      <c r="W112" s="470"/>
      <c r="X112" s="471"/>
      <c r="Y112" s="472"/>
      <c r="Z112" s="468"/>
      <c r="AA112" s="472"/>
      <c r="AB112" s="473"/>
      <c r="AC112" s="474"/>
      <c r="AD112" s="1047"/>
      <c r="AE112" s="475">
        <v>10000</v>
      </c>
      <c r="AF112" s="681"/>
      <c r="AG112" s="371">
        <f t="shared" si="13"/>
        <v>10000</v>
      </c>
      <c r="AH112" s="476"/>
      <c r="AI112" s="477"/>
      <c r="AJ112" s="477"/>
      <c r="AK112" s="478"/>
      <c r="AL112" s="479"/>
      <c r="AM112" s="480"/>
      <c r="AN112" s="480"/>
      <c r="AO112" s="480"/>
      <c r="AP112" s="480"/>
      <c r="AQ112" s="480"/>
      <c r="AR112" s="480"/>
      <c r="AS112" s="480"/>
      <c r="AT112" s="480"/>
      <c r="AU112" s="480"/>
      <c r="AV112" s="480"/>
      <c r="AW112" s="480"/>
      <c r="AX112" s="481"/>
      <c r="AY112" s="481"/>
      <c r="AZ112" s="482"/>
      <c r="BA112" s="474"/>
      <c r="BB112" s="299">
        <f t="shared" si="14"/>
        <v>10000</v>
      </c>
      <c r="BC112" s="483"/>
      <c r="BD112" s="484"/>
      <c r="BE112" s="485">
        <v>1000</v>
      </c>
      <c r="BF112" s="352">
        <f t="shared" si="21"/>
        <v>10000</v>
      </c>
      <c r="BG112" s="451" t="str">
        <f t="shared" si="20"/>
        <v>Y</v>
      </c>
      <c r="BH112" s="451"/>
      <c r="BI112" s="299"/>
      <c r="BJ112" s="698"/>
      <c r="BK112" s="698"/>
      <c r="BL112" s="694">
        <v>2608</v>
      </c>
      <c r="BM112" s="712"/>
      <c r="BN112" s="486"/>
      <c r="BO112" s="712"/>
      <c r="BP112" s="720"/>
      <c r="BQ112" s="712"/>
      <c r="BR112" s="486"/>
      <c r="BS112" s="486"/>
      <c r="BT112" s="486"/>
      <c r="BU112" s="486"/>
      <c r="BV112" s="304"/>
      <c r="BW112" s="288"/>
      <c r="BX112" s="488"/>
      <c r="BY112" s="374" t="s">
        <v>392</v>
      </c>
      <c r="BZ112" s="624"/>
      <c r="CA112" s="624"/>
      <c r="CB112" s="624"/>
      <c r="CC112" s="624"/>
      <c r="CD112" s="624"/>
      <c r="CE112" s="624"/>
      <c r="CF112" s="624"/>
      <c r="CG112" s="624"/>
      <c r="CH112" s="624"/>
    </row>
    <row r="113" spans="1:86" s="305" customFormat="1" ht="39" customHeight="1">
      <c r="A113" s="276"/>
      <c r="B113" s="355">
        <v>83</v>
      </c>
      <c r="C113" s="355"/>
      <c r="D113" s="726" t="s">
        <v>1504</v>
      </c>
      <c r="E113" s="356">
        <v>37469</v>
      </c>
      <c r="F113" s="358">
        <v>2003</v>
      </c>
      <c r="G113" s="358">
        <v>7</v>
      </c>
      <c r="H113" s="358"/>
      <c r="I113" s="288">
        <v>2002</v>
      </c>
      <c r="J113" s="288">
        <v>21</v>
      </c>
      <c r="K113" s="358" t="s">
        <v>570</v>
      </c>
      <c r="L113" s="465" t="s">
        <v>393</v>
      </c>
      <c r="M113" s="358" t="s">
        <v>1271</v>
      </c>
      <c r="N113" s="359" t="s">
        <v>1877</v>
      </c>
      <c r="O113" s="358" t="s">
        <v>1337</v>
      </c>
      <c r="P113" s="358" t="s">
        <v>1337</v>
      </c>
      <c r="Q113" s="466"/>
      <c r="R113" s="467"/>
      <c r="S113" s="468"/>
      <c r="T113" s="1060"/>
      <c r="U113" s="469"/>
      <c r="V113" s="469"/>
      <c r="W113" s="470"/>
      <c r="X113" s="471"/>
      <c r="Y113" s="472"/>
      <c r="Z113" s="468"/>
      <c r="AA113" s="472"/>
      <c r="AB113" s="473"/>
      <c r="AC113" s="474"/>
      <c r="AD113" s="1047"/>
      <c r="AE113" s="475">
        <f>10000+25000</f>
        <v>35000</v>
      </c>
      <c r="AF113" s="681"/>
      <c r="AG113" s="371">
        <f t="shared" si="13"/>
        <v>35000</v>
      </c>
      <c r="AH113" s="476"/>
      <c r="AI113" s="477"/>
      <c r="AJ113" s="477"/>
      <c r="AK113" s="478"/>
      <c r="AL113" s="479"/>
      <c r="AM113" s="480"/>
      <c r="AN113" s="480"/>
      <c r="AO113" s="480"/>
      <c r="AP113" s="480"/>
      <c r="AQ113" s="480"/>
      <c r="AR113" s="480"/>
      <c r="AS113" s="480"/>
      <c r="AT113" s="480"/>
      <c r="AU113" s="480"/>
      <c r="AV113" s="480"/>
      <c r="AW113" s="480"/>
      <c r="AX113" s="481"/>
      <c r="AY113" s="481"/>
      <c r="AZ113" s="482"/>
      <c r="BA113" s="474"/>
      <c r="BB113" s="299">
        <f t="shared" si="14"/>
        <v>35000</v>
      </c>
      <c r="BC113" s="483"/>
      <c r="BD113" s="484"/>
      <c r="BE113" s="485">
        <v>3500</v>
      </c>
      <c r="BF113" s="352">
        <f t="shared" si="21"/>
        <v>35000</v>
      </c>
      <c r="BG113" s="451" t="str">
        <f t="shared" si="20"/>
        <v>N</v>
      </c>
      <c r="BH113" s="451"/>
      <c r="BI113" s="299"/>
      <c r="BJ113" s="698"/>
      <c r="BK113" s="698"/>
      <c r="BL113" s="694">
        <v>2099</v>
      </c>
      <c r="BM113" s="712"/>
      <c r="BN113" s="486"/>
      <c r="BO113" s="712"/>
      <c r="BP113" s="720"/>
      <c r="BQ113" s="712"/>
      <c r="BR113" s="486"/>
      <c r="BS113" s="486"/>
      <c r="BT113" s="486"/>
      <c r="BU113" s="486"/>
      <c r="BV113" s="304"/>
      <c r="BW113" s="288"/>
      <c r="BX113" s="488"/>
      <c r="BY113" s="374" t="s">
        <v>394</v>
      </c>
      <c r="BZ113" s="624"/>
      <c r="CA113" s="624"/>
      <c r="CB113" s="624"/>
      <c r="CC113" s="624"/>
      <c r="CD113" s="624"/>
      <c r="CE113" s="624"/>
      <c r="CF113" s="624"/>
      <c r="CG113" s="624"/>
      <c r="CH113" s="624"/>
    </row>
    <row r="114" spans="1:86" s="305" customFormat="1" ht="39" customHeight="1">
      <c r="A114" s="276"/>
      <c r="B114" s="355">
        <v>83</v>
      </c>
      <c r="C114" s="355"/>
      <c r="D114" s="726" t="s">
        <v>1505</v>
      </c>
      <c r="E114" s="356">
        <v>37469</v>
      </c>
      <c r="F114" s="358">
        <v>2003</v>
      </c>
      <c r="G114" s="358">
        <v>7</v>
      </c>
      <c r="H114" s="358"/>
      <c r="I114" s="288">
        <v>2002</v>
      </c>
      <c r="J114" s="288">
        <v>21</v>
      </c>
      <c r="K114" s="358" t="s">
        <v>570</v>
      </c>
      <c r="L114" s="465" t="s">
        <v>130</v>
      </c>
      <c r="M114" s="358" t="s">
        <v>1271</v>
      </c>
      <c r="N114" s="359" t="s">
        <v>1877</v>
      </c>
      <c r="O114" s="358" t="s">
        <v>1337</v>
      </c>
      <c r="P114" s="358" t="s">
        <v>1337</v>
      </c>
      <c r="Q114" s="466"/>
      <c r="R114" s="467"/>
      <c r="S114" s="468"/>
      <c r="T114" s="1060"/>
      <c r="U114" s="469"/>
      <c r="V114" s="469"/>
      <c r="W114" s="470"/>
      <c r="X114" s="471"/>
      <c r="Y114" s="472"/>
      <c r="Z114" s="468"/>
      <c r="AA114" s="472"/>
      <c r="AB114" s="473"/>
      <c r="AC114" s="474"/>
      <c r="AD114" s="1047"/>
      <c r="AE114" s="475">
        <v>25000</v>
      </c>
      <c r="AF114" s="681"/>
      <c r="AG114" s="371">
        <f t="shared" si="13"/>
        <v>25000</v>
      </c>
      <c r="AH114" s="476"/>
      <c r="AI114" s="477"/>
      <c r="AJ114" s="477"/>
      <c r="AK114" s="478"/>
      <c r="AL114" s="479"/>
      <c r="AM114" s="480"/>
      <c r="AN114" s="480"/>
      <c r="AO114" s="480"/>
      <c r="AP114" s="480"/>
      <c r="AQ114" s="480"/>
      <c r="AR114" s="480"/>
      <c r="AS114" s="480"/>
      <c r="AT114" s="480"/>
      <c r="AU114" s="480"/>
      <c r="AV114" s="480"/>
      <c r="AW114" s="480"/>
      <c r="AX114" s="481"/>
      <c r="AY114" s="481"/>
      <c r="AZ114" s="482"/>
      <c r="BA114" s="474"/>
      <c r="BB114" s="299">
        <f t="shared" si="14"/>
        <v>25000</v>
      </c>
      <c r="BC114" s="483"/>
      <c r="BD114" s="484"/>
      <c r="BE114" s="485">
        <v>2500</v>
      </c>
      <c r="BF114" s="352">
        <f>AE114+AC114+AZ114+BA114</f>
        <v>25000</v>
      </c>
      <c r="BG114" s="451" t="str">
        <f t="shared" si="20"/>
        <v>Y</v>
      </c>
      <c r="BH114" s="451"/>
      <c r="BI114" s="299"/>
      <c r="BJ114" s="698"/>
      <c r="BK114" s="698"/>
      <c r="BL114" s="694">
        <v>2608</v>
      </c>
      <c r="BM114" s="712"/>
      <c r="BN114" s="486"/>
      <c r="BO114" s="712"/>
      <c r="BP114" s="720"/>
      <c r="BQ114" s="712"/>
      <c r="BR114" s="486"/>
      <c r="BS114" s="486"/>
      <c r="BT114" s="486"/>
      <c r="BU114" s="486"/>
      <c r="BV114" s="304"/>
      <c r="BW114" s="288"/>
      <c r="BX114" s="488"/>
      <c r="BY114" s="374" t="s">
        <v>395</v>
      </c>
      <c r="BZ114" s="624"/>
      <c r="CA114" s="624"/>
      <c r="CB114" s="624"/>
      <c r="CC114" s="624"/>
      <c r="CD114" s="624"/>
      <c r="CE114" s="624"/>
      <c r="CF114" s="624"/>
      <c r="CG114" s="624"/>
      <c r="CH114" s="624"/>
    </row>
    <row r="115" spans="1:86" s="305" customFormat="1" ht="39" customHeight="1">
      <c r="A115" s="276"/>
      <c r="B115" s="348">
        <f>B109+1</f>
        <v>84</v>
      </c>
      <c r="C115" s="348"/>
      <c r="D115" s="726" t="s">
        <v>1807</v>
      </c>
      <c r="E115" s="487">
        <v>37500</v>
      </c>
      <c r="F115" s="358">
        <v>2003</v>
      </c>
      <c r="G115" s="288">
        <v>8</v>
      </c>
      <c r="H115" s="288"/>
      <c r="I115" s="288">
        <v>2002</v>
      </c>
      <c r="J115" s="288">
        <v>22</v>
      </c>
      <c r="K115" s="465" t="s">
        <v>1211</v>
      </c>
      <c r="L115" s="465" t="s">
        <v>1876</v>
      </c>
      <c r="M115" s="358" t="s">
        <v>1271</v>
      </c>
      <c r="N115" s="359" t="s">
        <v>1965</v>
      </c>
      <c r="O115" s="288" t="s">
        <v>1098</v>
      </c>
      <c r="P115" s="465" t="s">
        <v>1892</v>
      </c>
      <c r="Q115" s="466"/>
      <c r="R115" s="467"/>
      <c r="S115" s="468"/>
      <c r="T115" s="1060"/>
      <c r="U115" s="469"/>
      <c r="V115" s="469"/>
      <c r="W115" s="470"/>
      <c r="X115" s="471"/>
      <c r="Y115" s="472"/>
      <c r="Z115" s="468"/>
      <c r="AA115" s="472"/>
      <c r="AB115" s="473"/>
      <c r="AC115" s="474"/>
      <c r="AD115" s="1047"/>
      <c r="AE115" s="475"/>
      <c r="AF115" s="681"/>
      <c r="AG115" s="371">
        <f t="shared" si="13"/>
        <v>0</v>
      </c>
      <c r="AH115" s="476">
        <v>2</v>
      </c>
      <c r="AI115" s="477"/>
      <c r="AJ115" s="477"/>
      <c r="AK115" s="478"/>
      <c r="AL115" s="479"/>
      <c r="AM115" s="480"/>
      <c r="AN115" s="480"/>
      <c r="AO115" s="480"/>
      <c r="AP115" s="480"/>
      <c r="AQ115" s="480"/>
      <c r="AR115" s="480"/>
      <c r="AS115" s="480"/>
      <c r="AT115" s="480"/>
      <c r="AU115" s="480"/>
      <c r="AV115" s="480"/>
      <c r="AW115" s="480"/>
      <c r="AX115" s="481"/>
      <c r="AY115" s="481"/>
      <c r="AZ115" s="482"/>
      <c r="BA115" s="474">
        <v>60000</v>
      </c>
      <c r="BB115" s="299">
        <f t="shared" si="14"/>
        <v>60000</v>
      </c>
      <c r="BC115" s="483"/>
      <c r="BD115" s="484"/>
      <c r="BE115" s="485">
        <f>4000*5</f>
        <v>20000</v>
      </c>
      <c r="BF115" s="352">
        <f>AE115+AC115+AZ115+BA115</f>
        <v>60000</v>
      </c>
      <c r="BG115" s="451" t="str">
        <f t="shared" si="20"/>
        <v>Y</v>
      </c>
      <c r="BH115" s="451"/>
      <c r="BI115" s="299"/>
      <c r="BJ115" s="698"/>
      <c r="BK115" s="698"/>
      <c r="BL115" s="694">
        <v>2687</v>
      </c>
      <c r="BM115" s="712"/>
      <c r="BN115" s="486"/>
      <c r="BO115" s="712"/>
      <c r="BP115" s="720"/>
      <c r="BQ115" s="712"/>
      <c r="BR115" s="486"/>
      <c r="BS115" s="486"/>
      <c r="BT115" s="486"/>
      <c r="BU115" s="486"/>
      <c r="BV115" s="304"/>
      <c r="BW115" s="288"/>
      <c r="BX115" s="488" t="s">
        <v>396</v>
      </c>
      <c r="BY115" s="374" t="s">
        <v>397</v>
      </c>
      <c r="BZ115" s="624"/>
      <c r="CA115" s="624"/>
      <c r="CB115" s="624"/>
      <c r="CC115" s="624"/>
      <c r="CD115" s="624"/>
      <c r="CE115" s="624"/>
      <c r="CF115" s="624"/>
      <c r="CG115" s="624"/>
      <c r="CH115" s="624"/>
    </row>
    <row r="116" spans="1:86" s="305" customFormat="1" ht="39" customHeight="1">
      <c r="A116" s="276"/>
      <c r="B116" s="348">
        <f>B115+1</f>
        <v>85</v>
      </c>
      <c r="C116" s="348"/>
      <c r="D116" s="726" t="s">
        <v>1506</v>
      </c>
      <c r="E116" s="487">
        <v>37530</v>
      </c>
      <c r="F116" s="358">
        <v>2003</v>
      </c>
      <c r="G116" s="288">
        <v>9</v>
      </c>
      <c r="H116" s="288"/>
      <c r="I116" s="288">
        <v>2002</v>
      </c>
      <c r="J116" s="288">
        <v>23</v>
      </c>
      <c r="K116" s="465" t="s">
        <v>1211</v>
      </c>
      <c r="L116" s="465" t="s">
        <v>398</v>
      </c>
      <c r="M116" s="358" t="s">
        <v>1271</v>
      </c>
      <c r="N116" s="488" t="s">
        <v>1874</v>
      </c>
      <c r="O116" s="465" t="s">
        <v>1874</v>
      </c>
      <c r="P116" s="465" t="s">
        <v>1874</v>
      </c>
      <c r="Q116" s="466"/>
      <c r="R116" s="467"/>
      <c r="S116" s="468"/>
      <c r="T116" s="1060"/>
      <c r="U116" s="469"/>
      <c r="V116" s="469"/>
      <c r="W116" s="470"/>
      <c r="X116" s="471"/>
      <c r="Y116" s="472"/>
      <c r="Z116" s="468"/>
      <c r="AA116" s="472"/>
      <c r="AB116" s="473"/>
      <c r="AC116" s="474"/>
      <c r="AD116" s="1047"/>
      <c r="AE116" s="475"/>
      <c r="AF116" s="681"/>
      <c r="AG116" s="371">
        <f t="shared" si="13"/>
        <v>0</v>
      </c>
      <c r="AH116" s="476">
        <v>2</v>
      </c>
      <c r="AI116" s="477"/>
      <c r="AJ116" s="477"/>
      <c r="AK116" s="478"/>
      <c r="AL116" s="479"/>
      <c r="AM116" s="480"/>
      <c r="AN116" s="480"/>
      <c r="AO116" s="480"/>
      <c r="AP116" s="480"/>
      <c r="AQ116" s="480"/>
      <c r="AR116" s="480"/>
      <c r="AS116" s="480"/>
      <c r="AT116" s="480"/>
      <c r="AU116" s="480"/>
      <c r="AV116" s="480"/>
      <c r="AW116" s="480"/>
      <c r="AX116" s="481"/>
      <c r="AY116" s="481"/>
      <c r="AZ116" s="482"/>
      <c r="BA116" s="474"/>
      <c r="BB116" s="299">
        <f t="shared" si="14"/>
        <v>0</v>
      </c>
      <c r="BC116" s="483"/>
      <c r="BD116" s="484"/>
      <c r="BE116" s="485">
        <v>8165</v>
      </c>
      <c r="BF116" s="352">
        <f t="shared" ref="BF116:BF121" si="22">BB116+BD116+BC116</f>
        <v>0</v>
      </c>
      <c r="BG116" s="451" t="str">
        <f t="shared" si="20"/>
        <v>Y</v>
      </c>
      <c r="BH116" s="451"/>
      <c r="BI116" s="299"/>
      <c r="BJ116" s="698"/>
      <c r="BK116" s="698"/>
      <c r="BL116" s="694">
        <v>2898</v>
      </c>
      <c r="BM116" s="712"/>
      <c r="BN116" s="486"/>
      <c r="BO116" s="712"/>
      <c r="BP116" s="720"/>
      <c r="BQ116" s="712"/>
      <c r="BR116" s="486"/>
      <c r="BS116" s="486"/>
      <c r="BT116" s="486"/>
      <c r="BU116" s="486"/>
      <c r="BV116" s="304"/>
      <c r="BW116" s="288"/>
      <c r="BX116" s="488"/>
      <c r="BY116" s="374" t="s">
        <v>399</v>
      </c>
      <c r="BZ116" s="624"/>
      <c r="CA116" s="624"/>
      <c r="CB116" s="624"/>
      <c r="CC116" s="624"/>
      <c r="CD116" s="624"/>
      <c r="CE116" s="624"/>
      <c r="CF116" s="624"/>
      <c r="CG116" s="624"/>
      <c r="CH116" s="624"/>
    </row>
    <row r="117" spans="1:86" s="305" customFormat="1" ht="39" customHeight="1">
      <c r="A117" s="276"/>
      <c r="B117" s="348">
        <f>B116+1</f>
        <v>86</v>
      </c>
      <c r="C117" s="348"/>
      <c r="D117" s="726" t="s">
        <v>1807</v>
      </c>
      <c r="E117" s="487">
        <v>37530</v>
      </c>
      <c r="F117" s="358">
        <v>2003</v>
      </c>
      <c r="G117" s="288">
        <v>10</v>
      </c>
      <c r="H117" s="288"/>
      <c r="I117" s="288">
        <v>2002</v>
      </c>
      <c r="J117" s="288">
        <v>24</v>
      </c>
      <c r="K117" s="465" t="s">
        <v>1211</v>
      </c>
      <c r="L117" s="465" t="s">
        <v>1876</v>
      </c>
      <c r="M117" s="358" t="s">
        <v>1271</v>
      </c>
      <c r="N117" s="488" t="s">
        <v>1965</v>
      </c>
      <c r="O117" s="465" t="s">
        <v>1098</v>
      </c>
      <c r="P117" s="465" t="s">
        <v>1892</v>
      </c>
      <c r="Q117" s="466"/>
      <c r="R117" s="467"/>
      <c r="S117" s="468"/>
      <c r="T117" s="1060"/>
      <c r="U117" s="469"/>
      <c r="V117" s="469"/>
      <c r="W117" s="470"/>
      <c r="X117" s="471"/>
      <c r="Y117" s="472"/>
      <c r="Z117" s="468"/>
      <c r="AA117" s="472"/>
      <c r="AB117" s="473"/>
      <c r="AC117" s="474"/>
      <c r="AD117" s="1047"/>
      <c r="AE117" s="475"/>
      <c r="AF117" s="681"/>
      <c r="AG117" s="371">
        <f t="shared" si="13"/>
        <v>0</v>
      </c>
      <c r="AH117" s="476">
        <v>1</v>
      </c>
      <c r="AI117" s="477"/>
      <c r="AJ117" s="477"/>
      <c r="AK117" s="478"/>
      <c r="AL117" s="479"/>
      <c r="AM117" s="480"/>
      <c r="AN117" s="480"/>
      <c r="AO117" s="480"/>
      <c r="AP117" s="480"/>
      <c r="AQ117" s="480"/>
      <c r="AR117" s="480"/>
      <c r="AS117" s="480"/>
      <c r="AT117" s="480"/>
      <c r="AU117" s="480"/>
      <c r="AV117" s="480"/>
      <c r="AW117" s="480"/>
      <c r="AX117" s="481"/>
      <c r="AY117" s="481"/>
      <c r="AZ117" s="482"/>
      <c r="BA117" s="474"/>
      <c r="BB117" s="299">
        <f t="shared" si="14"/>
        <v>0</v>
      </c>
      <c r="BC117" s="483"/>
      <c r="BD117" s="484"/>
      <c r="BE117" s="485"/>
      <c r="BF117" s="352">
        <f t="shared" si="22"/>
        <v>0</v>
      </c>
      <c r="BG117" s="451" t="str">
        <f t="shared" si="20"/>
        <v>Y</v>
      </c>
      <c r="BH117" s="451"/>
      <c r="BI117" s="299"/>
      <c r="BJ117" s="698"/>
      <c r="BK117" s="698"/>
      <c r="BL117" s="694">
        <v>2688</v>
      </c>
      <c r="BM117" s="712"/>
      <c r="BN117" s="486"/>
      <c r="BO117" s="712"/>
      <c r="BP117" s="720"/>
      <c r="BQ117" s="712"/>
      <c r="BR117" s="486"/>
      <c r="BS117" s="486"/>
      <c r="BT117" s="486"/>
      <c r="BU117" s="486"/>
      <c r="BV117" s="304"/>
      <c r="BW117" s="288"/>
      <c r="BX117" s="488" t="s">
        <v>400</v>
      </c>
      <c r="BY117" s="374"/>
      <c r="BZ117" s="624"/>
      <c r="CA117" s="624"/>
      <c r="CB117" s="624"/>
      <c r="CC117" s="624"/>
      <c r="CD117" s="624"/>
      <c r="CE117" s="624"/>
      <c r="CF117" s="624"/>
      <c r="CG117" s="624"/>
      <c r="CH117" s="624"/>
    </row>
    <row r="118" spans="1:86" s="305" customFormat="1" ht="39" customHeight="1">
      <c r="A118" s="276"/>
      <c r="B118" s="348">
        <f>B117+1</f>
        <v>87</v>
      </c>
      <c r="C118" s="348"/>
      <c r="D118" s="726" t="s">
        <v>1507</v>
      </c>
      <c r="E118" s="487">
        <v>37530</v>
      </c>
      <c r="F118" s="358">
        <v>2003</v>
      </c>
      <c r="G118" s="288">
        <v>11</v>
      </c>
      <c r="H118" s="288"/>
      <c r="I118" s="288">
        <v>2002</v>
      </c>
      <c r="J118" s="288">
        <v>25</v>
      </c>
      <c r="K118" s="288" t="s">
        <v>570</v>
      </c>
      <c r="L118" s="465" t="s">
        <v>401</v>
      </c>
      <c r="M118" s="358" t="s">
        <v>1271</v>
      </c>
      <c r="N118" s="488" t="s">
        <v>1965</v>
      </c>
      <c r="O118" s="465" t="s">
        <v>1098</v>
      </c>
      <c r="P118" s="465" t="s">
        <v>1626</v>
      </c>
      <c r="Q118" s="466"/>
      <c r="R118" s="467"/>
      <c r="S118" s="468"/>
      <c r="T118" s="1060"/>
      <c r="U118" s="469"/>
      <c r="V118" s="469"/>
      <c r="W118" s="470"/>
      <c r="X118" s="471"/>
      <c r="Y118" s="472"/>
      <c r="Z118" s="468"/>
      <c r="AA118" s="472"/>
      <c r="AB118" s="473"/>
      <c r="AC118" s="474"/>
      <c r="AD118" s="1047"/>
      <c r="AE118" s="475">
        <f>100000+10000+10000</f>
        <v>120000</v>
      </c>
      <c r="AF118" s="681"/>
      <c r="AG118" s="371">
        <f t="shared" si="13"/>
        <v>120000</v>
      </c>
      <c r="AH118" s="476"/>
      <c r="AI118" s="477"/>
      <c r="AJ118" s="477"/>
      <c r="AK118" s="478"/>
      <c r="AL118" s="479"/>
      <c r="AM118" s="480"/>
      <c r="AN118" s="480"/>
      <c r="AO118" s="480"/>
      <c r="AP118" s="480"/>
      <c r="AQ118" s="480"/>
      <c r="AR118" s="480"/>
      <c r="AS118" s="480"/>
      <c r="AT118" s="480"/>
      <c r="AU118" s="480"/>
      <c r="AV118" s="480"/>
      <c r="AW118" s="480"/>
      <c r="AX118" s="481"/>
      <c r="AY118" s="481"/>
      <c r="AZ118" s="482"/>
      <c r="BA118" s="474">
        <v>10000</v>
      </c>
      <c r="BB118" s="299">
        <f t="shared" si="14"/>
        <v>130000</v>
      </c>
      <c r="BC118" s="483"/>
      <c r="BD118" s="484"/>
      <c r="BE118" s="485">
        <f>(155*5)+5000</f>
        <v>5775</v>
      </c>
      <c r="BF118" s="352">
        <f t="shared" si="22"/>
        <v>130000</v>
      </c>
      <c r="BG118" s="451" t="str">
        <f t="shared" si="20"/>
        <v>Y</v>
      </c>
      <c r="BH118" s="451"/>
      <c r="BI118" s="299"/>
      <c r="BJ118" s="698"/>
      <c r="BK118" s="698"/>
      <c r="BL118" s="694">
        <v>2686</v>
      </c>
      <c r="BM118" s="712"/>
      <c r="BN118" s="486"/>
      <c r="BO118" s="712"/>
      <c r="BP118" s="720"/>
      <c r="BQ118" s="712"/>
      <c r="BR118" s="486"/>
      <c r="BS118" s="486"/>
      <c r="BT118" s="486"/>
      <c r="BU118" s="486"/>
      <c r="BV118" s="304"/>
      <c r="BW118" s="288"/>
      <c r="BX118" s="488" t="s">
        <v>402</v>
      </c>
      <c r="BY118" s="374" t="s">
        <v>1749</v>
      </c>
      <c r="BZ118" s="624"/>
      <c r="CA118" s="624"/>
      <c r="CB118" s="624"/>
      <c r="CC118" s="624"/>
      <c r="CD118" s="624"/>
      <c r="CE118" s="624"/>
      <c r="CF118" s="624"/>
      <c r="CG118" s="624"/>
      <c r="CH118" s="624"/>
    </row>
    <row r="119" spans="1:86" s="305" customFormat="1" ht="39" customHeight="1">
      <c r="A119" s="276"/>
      <c r="B119" s="348">
        <f>B118+1</f>
        <v>88</v>
      </c>
      <c r="C119" s="348"/>
      <c r="D119" s="726" t="s">
        <v>403</v>
      </c>
      <c r="E119" s="487">
        <v>37530</v>
      </c>
      <c r="F119" s="358">
        <v>2003</v>
      </c>
      <c r="G119" s="288">
        <v>12</v>
      </c>
      <c r="H119" s="288"/>
      <c r="I119" s="288">
        <v>2002</v>
      </c>
      <c r="J119" s="288">
        <v>26</v>
      </c>
      <c r="K119" s="358" t="s">
        <v>570</v>
      </c>
      <c r="L119" s="465" t="s">
        <v>1750</v>
      </c>
      <c r="M119" s="358" t="s">
        <v>1961</v>
      </c>
      <c r="N119" s="488" t="s">
        <v>1884</v>
      </c>
      <c r="O119" s="465" t="s">
        <v>1884</v>
      </c>
      <c r="P119" s="465" t="s">
        <v>1884</v>
      </c>
      <c r="Q119" s="466"/>
      <c r="R119" s="467"/>
      <c r="S119" s="468"/>
      <c r="T119" s="1060"/>
      <c r="U119" s="469"/>
      <c r="V119" s="469"/>
      <c r="W119" s="470"/>
      <c r="X119" s="471"/>
      <c r="Y119" s="472"/>
      <c r="Z119" s="468"/>
      <c r="AA119" s="472"/>
      <c r="AB119" s="473"/>
      <c r="AC119" s="474"/>
      <c r="AD119" s="1047"/>
      <c r="AE119" s="475">
        <v>10000</v>
      </c>
      <c r="AF119" s="681"/>
      <c r="AG119" s="371">
        <f t="shared" si="13"/>
        <v>10000</v>
      </c>
      <c r="AH119" s="476"/>
      <c r="AI119" s="477"/>
      <c r="AJ119" s="477"/>
      <c r="AK119" s="478"/>
      <c r="AL119" s="479"/>
      <c r="AM119" s="480"/>
      <c r="AN119" s="480"/>
      <c r="AO119" s="480"/>
      <c r="AP119" s="480"/>
      <c r="AQ119" s="480"/>
      <c r="AR119" s="480"/>
      <c r="AS119" s="480"/>
      <c r="AT119" s="480"/>
      <c r="AU119" s="480"/>
      <c r="AV119" s="480"/>
      <c r="AW119" s="480"/>
      <c r="AX119" s="481"/>
      <c r="AY119" s="481"/>
      <c r="AZ119" s="482"/>
      <c r="BA119" s="474"/>
      <c r="BB119" s="299">
        <f t="shared" si="14"/>
        <v>10000</v>
      </c>
      <c r="BC119" s="483"/>
      <c r="BD119" s="484"/>
      <c r="BE119" s="485"/>
      <c r="BF119" s="352">
        <f t="shared" si="22"/>
        <v>10000</v>
      </c>
      <c r="BG119" s="451" t="str">
        <f t="shared" si="20"/>
        <v>Y</v>
      </c>
      <c r="BH119" s="451"/>
      <c r="BI119" s="299"/>
      <c r="BJ119" s="698"/>
      <c r="BK119" s="698"/>
      <c r="BL119" s="694">
        <v>2608</v>
      </c>
      <c r="BM119" s="712"/>
      <c r="BN119" s="486"/>
      <c r="BO119" s="712"/>
      <c r="BP119" s="720"/>
      <c r="BQ119" s="712"/>
      <c r="BR119" s="486"/>
      <c r="BS119" s="486"/>
      <c r="BT119" s="486"/>
      <c r="BU119" s="486"/>
      <c r="BV119" s="304"/>
      <c r="BW119" s="288"/>
      <c r="BX119" s="488"/>
      <c r="BY119" s="374" t="s">
        <v>1751</v>
      </c>
      <c r="BZ119" s="624"/>
      <c r="CA119" s="624"/>
      <c r="CB119" s="624"/>
      <c r="CC119" s="624"/>
      <c r="CD119" s="624"/>
      <c r="CE119" s="624"/>
      <c r="CF119" s="624"/>
      <c r="CG119" s="624"/>
      <c r="CH119" s="624"/>
    </row>
    <row r="120" spans="1:86" s="305" customFormat="1" ht="39" customHeight="1">
      <c r="A120" s="276"/>
      <c r="B120" s="348">
        <v>89</v>
      </c>
      <c r="C120" s="348"/>
      <c r="D120" s="726" t="s">
        <v>1508</v>
      </c>
      <c r="E120" s="487">
        <v>37530</v>
      </c>
      <c r="F120" s="358">
        <v>2003</v>
      </c>
      <c r="G120" s="288">
        <v>13</v>
      </c>
      <c r="H120" s="288"/>
      <c r="I120" s="288">
        <v>2002</v>
      </c>
      <c r="J120" s="288">
        <v>27</v>
      </c>
      <c r="K120" s="288" t="s">
        <v>570</v>
      </c>
      <c r="L120" s="465" t="s">
        <v>1565</v>
      </c>
      <c r="M120" s="465"/>
      <c r="N120" s="488" t="s">
        <v>1673</v>
      </c>
      <c r="O120" s="465" t="s">
        <v>1673</v>
      </c>
      <c r="P120" s="465" t="s">
        <v>1673</v>
      </c>
      <c r="Q120" s="466"/>
      <c r="R120" s="467"/>
      <c r="S120" s="468"/>
      <c r="T120" s="1060"/>
      <c r="U120" s="469"/>
      <c r="V120" s="469"/>
      <c r="W120" s="470"/>
      <c r="X120" s="471"/>
      <c r="Y120" s="472"/>
      <c r="Z120" s="468"/>
      <c r="AA120" s="472"/>
      <c r="AB120" s="473"/>
      <c r="AC120" s="474"/>
      <c r="AD120" s="1047"/>
      <c r="AE120" s="475">
        <f>30000+10000+5000+1670</f>
        <v>46670</v>
      </c>
      <c r="AF120" s="681"/>
      <c r="AG120" s="371">
        <f t="shared" si="13"/>
        <v>46670</v>
      </c>
      <c r="AH120" s="476"/>
      <c r="AI120" s="477"/>
      <c r="AJ120" s="477"/>
      <c r="AK120" s="478"/>
      <c r="AL120" s="479"/>
      <c r="AM120" s="480"/>
      <c r="AN120" s="480"/>
      <c r="AO120" s="480"/>
      <c r="AP120" s="480"/>
      <c r="AQ120" s="480"/>
      <c r="AR120" s="480"/>
      <c r="AS120" s="480"/>
      <c r="AT120" s="480"/>
      <c r="AU120" s="480"/>
      <c r="AV120" s="480"/>
      <c r="AW120" s="480"/>
      <c r="AX120" s="481"/>
      <c r="AY120" s="481"/>
      <c r="AZ120" s="482"/>
      <c r="BA120" s="474"/>
      <c r="BB120" s="299">
        <f t="shared" si="14"/>
        <v>46670</v>
      </c>
      <c r="BC120" s="483"/>
      <c r="BD120" s="484"/>
      <c r="BE120" s="485"/>
      <c r="BF120" s="352">
        <f t="shared" si="22"/>
        <v>46670</v>
      </c>
      <c r="BG120" s="451" t="str">
        <f t="shared" si="20"/>
        <v>Y</v>
      </c>
      <c r="BH120" s="451"/>
      <c r="BI120" s="299"/>
      <c r="BJ120" s="698"/>
      <c r="BK120" s="698"/>
      <c r="BL120" s="694">
        <v>2613</v>
      </c>
      <c r="BM120" s="712"/>
      <c r="BN120" s="486"/>
      <c r="BO120" s="712"/>
      <c r="BP120" s="720"/>
      <c r="BQ120" s="712"/>
      <c r="BR120" s="486"/>
      <c r="BS120" s="486"/>
      <c r="BT120" s="486"/>
      <c r="BU120" s="486"/>
      <c r="BV120" s="304"/>
      <c r="BW120" s="288"/>
      <c r="BX120" s="488" t="s">
        <v>1154</v>
      </c>
      <c r="BY120" s="374" t="s">
        <v>1756</v>
      </c>
      <c r="BZ120" s="624"/>
      <c r="CA120" s="624"/>
      <c r="CB120" s="624"/>
      <c r="CC120" s="624"/>
      <c r="CD120" s="624"/>
      <c r="CE120" s="624"/>
      <c r="CF120" s="624"/>
      <c r="CG120" s="624"/>
      <c r="CH120" s="624"/>
    </row>
    <row r="121" spans="1:86" s="305" customFormat="1" ht="39" customHeight="1">
      <c r="A121" s="276"/>
      <c r="B121" s="348">
        <v>89</v>
      </c>
      <c r="C121" s="348"/>
      <c r="D121" s="726" t="s">
        <v>1509</v>
      </c>
      <c r="E121" s="487">
        <v>37530</v>
      </c>
      <c r="F121" s="358">
        <v>2003</v>
      </c>
      <c r="G121" s="288">
        <v>13</v>
      </c>
      <c r="H121" s="288"/>
      <c r="I121" s="288">
        <v>2002</v>
      </c>
      <c r="J121" s="288">
        <v>27</v>
      </c>
      <c r="K121" s="288" t="s">
        <v>570</v>
      </c>
      <c r="L121" s="465" t="s">
        <v>1757</v>
      </c>
      <c r="M121" s="465"/>
      <c r="N121" s="488" t="s">
        <v>1673</v>
      </c>
      <c r="O121" s="465" t="s">
        <v>1673</v>
      </c>
      <c r="P121" s="465" t="s">
        <v>1673</v>
      </c>
      <c r="Q121" s="466"/>
      <c r="R121" s="467"/>
      <c r="S121" s="468"/>
      <c r="T121" s="1060"/>
      <c r="U121" s="469"/>
      <c r="V121" s="469"/>
      <c r="W121" s="470"/>
      <c r="X121" s="471"/>
      <c r="Y121" s="472"/>
      <c r="Z121" s="468"/>
      <c r="AA121" s="472"/>
      <c r="AB121" s="473"/>
      <c r="AC121" s="474"/>
      <c r="AD121" s="1047"/>
      <c r="AE121" s="475">
        <f>70000+10000+5000+152898.78</f>
        <v>237898.78</v>
      </c>
      <c r="AF121" s="681"/>
      <c r="AG121" s="371">
        <f t="shared" si="13"/>
        <v>237898.78</v>
      </c>
      <c r="AH121" s="476">
        <v>1</v>
      </c>
      <c r="AI121" s="477"/>
      <c r="AJ121" s="477"/>
      <c r="AK121" s="478"/>
      <c r="AL121" s="479"/>
      <c r="AM121" s="480"/>
      <c r="AN121" s="480"/>
      <c r="AO121" s="480"/>
      <c r="AP121" s="480"/>
      <c r="AQ121" s="480"/>
      <c r="AR121" s="480"/>
      <c r="AS121" s="480"/>
      <c r="AT121" s="480"/>
      <c r="AU121" s="480"/>
      <c r="AV121" s="480"/>
      <c r="AW121" s="480"/>
      <c r="AX121" s="481"/>
      <c r="AY121" s="481"/>
      <c r="AZ121" s="482"/>
      <c r="BA121" s="474"/>
      <c r="BB121" s="299">
        <f t="shared" si="14"/>
        <v>237898.78</v>
      </c>
      <c r="BC121" s="483"/>
      <c r="BD121" s="484"/>
      <c r="BE121" s="485"/>
      <c r="BF121" s="352">
        <f t="shared" si="22"/>
        <v>237898.78</v>
      </c>
      <c r="BG121" s="451" t="str">
        <f t="shared" si="20"/>
        <v>Y</v>
      </c>
      <c r="BH121" s="451"/>
      <c r="BI121" s="299"/>
      <c r="BJ121" s="698"/>
      <c r="BK121" s="698"/>
      <c r="BL121" s="694">
        <v>2613</v>
      </c>
      <c r="BM121" s="712"/>
      <c r="BN121" s="486"/>
      <c r="BO121" s="712"/>
      <c r="BP121" s="720"/>
      <c r="BQ121" s="712"/>
      <c r="BR121" s="486"/>
      <c r="BS121" s="486"/>
      <c r="BT121" s="486"/>
      <c r="BU121" s="486"/>
      <c r="BV121" s="304"/>
      <c r="BW121" s="288"/>
      <c r="BX121" s="488" t="s">
        <v>1154</v>
      </c>
      <c r="BY121" s="374" t="s">
        <v>590</v>
      </c>
      <c r="BZ121" s="624"/>
      <c r="CA121" s="624"/>
      <c r="CB121" s="624"/>
      <c r="CC121" s="624"/>
      <c r="CD121" s="624"/>
      <c r="CE121" s="624"/>
      <c r="CF121" s="624"/>
      <c r="CG121" s="624"/>
      <c r="CH121" s="624"/>
    </row>
    <row r="122" spans="1:86" s="305" customFormat="1" ht="39" customHeight="1">
      <c r="A122" s="276"/>
      <c r="B122" s="348">
        <f>B120+1</f>
        <v>90</v>
      </c>
      <c r="C122" s="348"/>
      <c r="D122" s="726" t="s">
        <v>1510</v>
      </c>
      <c r="E122" s="487">
        <v>37530</v>
      </c>
      <c r="F122" s="358">
        <v>2003</v>
      </c>
      <c r="G122" s="288">
        <v>14</v>
      </c>
      <c r="H122" s="288"/>
      <c r="I122" s="288">
        <v>2002</v>
      </c>
      <c r="J122" s="288">
        <v>28</v>
      </c>
      <c r="K122" s="288" t="s">
        <v>570</v>
      </c>
      <c r="L122" s="465" t="s">
        <v>1947</v>
      </c>
      <c r="M122" s="358"/>
      <c r="N122" s="359" t="s">
        <v>633</v>
      </c>
      <c r="O122" s="358" t="s">
        <v>1593</v>
      </c>
      <c r="P122" s="358" t="s">
        <v>1274</v>
      </c>
      <c r="Q122" s="466"/>
      <c r="R122" s="467"/>
      <c r="S122" s="468"/>
      <c r="T122" s="1060"/>
      <c r="U122" s="469"/>
      <c r="V122" s="469"/>
      <c r="W122" s="470"/>
      <c r="X122" s="471"/>
      <c r="Y122" s="472"/>
      <c r="Z122" s="468"/>
      <c r="AA122" s="472"/>
      <c r="AB122" s="473"/>
      <c r="AC122" s="474"/>
      <c r="AD122" s="1047"/>
      <c r="AE122" s="475">
        <v>100000</v>
      </c>
      <c r="AF122" s="681"/>
      <c r="AG122" s="371">
        <f t="shared" si="13"/>
        <v>100000</v>
      </c>
      <c r="AH122" s="476"/>
      <c r="AI122" s="477"/>
      <c r="AJ122" s="477"/>
      <c r="AK122" s="478"/>
      <c r="AL122" s="479"/>
      <c r="AM122" s="480"/>
      <c r="AN122" s="480"/>
      <c r="AO122" s="480"/>
      <c r="AP122" s="480"/>
      <c r="AQ122" s="480"/>
      <c r="AR122" s="480"/>
      <c r="AS122" s="480"/>
      <c r="AT122" s="480"/>
      <c r="AU122" s="480"/>
      <c r="AV122" s="480"/>
      <c r="AW122" s="480"/>
      <c r="AX122" s="481"/>
      <c r="AY122" s="481"/>
      <c r="AZ122" s="482"/>
      <c r="BA122" s="474"/>
      <c r="BB122" s="299">
        <f t="shared" si="14"/>
        <v>100000</v>
      </c>
      <c r="BC122" s="483"/>
      <c r="BD122" s="484"/>
      <c r="BE122" s="485">
        <v>1000</v>
      </c>
      <c r="BF122" s="352">
        <f>AE122+AC122+AZ122+BA122</f>
        <v>100000</v>
      </c>
      <c r="BG122" s="451" t="str">
        <f t="shared" si="20"/>
        <v>Y</v>
      </c>
      <c r="BH122" s="451"/>
      <c r="BI122" s="299"/>
      <c r="BJ122" s="698"/>
      <c r="BK122" s="698"/>
      <c r="BL122" s="694">
        <v>2608</v>
      </c>
      <c r="BM122" s="712"/>
      <c r="BN122" s="486"/>
      <c r="BO122" s="712"/>
      <c r="BP122" s="720"/>
      <c r="BQ122" s="712"/>
      <c r="BR122" s="486"/>
      <c r="BS122" s="486"/>
      <c r="BT122" s="486"/>
      <c r="BU122" s="486"/>
      <c r="BV122" s="304"/>
      <c r="BW122" s="288"/>
      <c r="BX122" s="488" t="s">
        <v>1155</v>
      </c>
      <c r="BY122" s="374" t="s">
        <v>591</v>
      </c>
      <c r="BZ122" s="624"/>
      <c r="CA122" s="624"/>
      <c r="CB122" s="624"/>
      <c r="CC122" s="624"/>
      <c r="CD122" s="624"/>
      <c r="CE122" s="624"/>
      <c r="CF122" s="624"/>
      <c r="CG122" s="624"/>
      <c r="CH122" s="624"/>
    </row>
    <row r="123" spans="1:86" s="305" customFormat="1" ht="39" customHeight="1">
      <c r="A123" s="276"/>
      <c r="B123" s="348">
        <f t="shared" ref="B123:B128" si="23">B122+1</f>
        <v>91</v>
      </c>
      <c r="C123" s="348"/>
      <c r="D123" s="726" t="s">
        <v>1488</v>
      </c>
      <c r="E123" s="487">
        <v>37530</v>
      </c>
      <c r="F123" s="358">
        <v>2003</v>
      </c>
      <c r="G123" s="288">
        <v>15</v>
      </c>
      <c r="H123" s="288"/>
      <c r="I123" s="288">
        <v>2002</v>
      </c>
      <c r="J123" s="288">
        <v>29</v>
      </c>
      <c r="K123" s="465" t="s">
        <v>1211</v>
      </c>
      <c r="L123" s="465" t="s">
        <v>1589</v>
      </c>
      <c r="M123" s="358" t="s">
        <v>1271</v>
      </c>
      <c r="N123" s="488" t="s">
        <v>1965</v>
      </c>
      <c r="O123" s="465" t="s">
        <v>1098</v>
      </c>
      <c r="P123" s="465" t="s">
        <v>1892</v>
      </c>
      <c r="Q123" s="466"/>
      <c r="R123" s="467"/>
      <c r="S123" s="468"/>
      <c r="T123" s="1060"/>
      <c r="U123" s="469"/>
      <c r="V123" s="469"/>
      <c r="W123" s="470"/>
      <c r="X123" s="471"/>
      <c r="Y123" s="472"/>
      <c r="Z123" s="468"/>
      <c r="AA123" s="472"/>
      <c r="AB123" s="365">
        <f>COUNTIF(AC123, "&gt;49999")</f>
        <v>0</v>
      </c>
      <c r="AC123" s="474">
        <v>10000</v>
      </c>
      <c r="AD123" s="1047"/>
      <c r="AE123" s="475"/>
      <c r="AF123" s="681"/>
      <c r="AG123" s="371">
        <f t="shared" si="13"/>
        <v>10000</v>
      </c>
      <c r="AH123" s="476"/>
      <c r="AI123" s="477"/>
      <c r="AJ123" s="477"/>
      <c r="AK123" s="478"/>
      <c r="AL123" s="479"/>
      <c r="AM123" s="480"/>
      <c r="AN123" s="480"/>
      <c r="AO123" s="480"/>
      <c r="AP123" s="480"/>
      <c r="AQ123" s="480"/>
      <c r="AR123" s="480"/>
      <c r="AS123" s="480"/>
      <c r="AT123" s="480"/>
      <c r="AU123" s="480"/>
      <c r="AV123" s="480"/>
      <c r="AW123" s="480"/>
      <c r="AX123" s="481"/>
      <c r="AY123" s="481"/>
      <c r="AZ123" s="482"/>
      <c r="BA123" s="474"/>
      <c r="BB123" s="299">
        <f t="shared" si="14"/>
        <v>10000</v>
      </c>
      <c r="BC123" s="483"/>
      <c r="BD123" s="484"/>
      <c r="BE123" s="485">
        <v>1000</v>
      </c>
      <c r="BF123" s="352">
        <f>AE123+AC123+AZ123+BA123</f>
        <v>10000</v>
      </c>
      <c r="BG123" s="451" t="str">
        <f t="shared" si="20"/>
        <v>Y</v>
      </c>
      <c r="BH123" s="451"/>
      <c r="BI123" s="299"/>
      <c r="BJ123" s="698"/>
      <c r="BK123" s="698"/>
      <c r="BL123" s="694">
        <v>2898</v>
      </c>
      <c r="BM123" s="712"/>
      <c r="BN123" s="486"/>
      <c r="BO123" s="712"/>
      <c r="BP123" s="720"/>
      <c r="BQ123" s="712"/>
      <c r="BR123" s="486"/>
      <c r="BS123" s="486"/>
      <c r="BT123" s="486"/>
      <c r="BU123" s="486"/>
      <c r="BV123" s="304"/>
      <c r="BW123" s="288"/>
      <c r="BX123" s="488" t="s">
        <v>592</v>
      </c>
      <c r="BY123" s="374" t="s">
        <v>593</v>
      </c>
      <c r="BZ123" s="624"/>
      <c r="CA123" s="624"/>
      <c r="CB123" s="624"/>
      <c r="CC123" s="624"/>
      <c r="CD123" s="624"/>
      <c r="CE123" s="624"/>
      <c r="CF123" s="624"/>
      <c r="CG123" s="624"/>
      <c r="CH123" s="624"/>
    </row>
    <row r="124" spans="1:86" s="305" customFormat="1" ht="39" customHeight="1">
      <c r="A124" s="276"/>
      <c r="B124" s="348">
        <f t="shared" si="23"/>
        <v>92</v>
      </c>
      <c r="C124" s="348"/>
      <c r="D124" s="726" t="s">
        <v>1511</v>
      </c>
      <c r="E124" s="487">
        <v>37530</v>
      </c>
      <c r="F124" s="358">
        <v>2003</v>
      </c>
      <c r="G124" s="288">
        <v>16</v>
      </c>
      <c r="H124" s="288"/>
      <c r="I124" s="288">
        <v>2002</v>
      </c>
      <c r="J124" s="288">
        <v>30</v>
      </c>
      <c r="K124" s="465" t="s">
        <v>1210</v>
      </c>
      <c r="L124" s="465" t="s">
        <v>594</v>
      </c>
      <c r="M124" s="465"/>
      <c r="N124" s="488" t="s">
        <v>2023</v>
      </c>
      <c r="O124" s="465" t="s">
        <v>2023</v>
      </c>
      <c r="P124" s="465" t="s">
        <v>2023</v>
      </c>
      <c r="Q124" s="466"/>
      <c r="R124" s="467"/>
      <c r="S124" s="468"/>
      <c r="T124" s="1060"/>
      <c r="U124" s="469"/>
      <c r="V124" s="469"/>
      <c r="W124" s="470"/>
      <c r="X124" s="471"/>
      <c r="Y124" s="472"/>
      <c r="Z124" s="468"/>
      <c r="AA124" s="472"/>
      <c r="AB124" s="365">
        <f>COUNTIF(AC124, "&gt;49999")</f>
        <v>0</v>
      </c>
      <c r="AC124" s="474">
        <v>25000</v>
      </c>
      <c r="AD124" s="1047"/>
      <c r="AE124" s="475"/>
      <c r="AF124" s="681"/>
      <c r="AG124" s="371">
        <f t="shared" si="13"/>
        <v>25000</v>
      </c>
      <c r="AH124" s="476"/>
      <c r="AI124" s="477"/>
      <c r="AJ124" s="477"/>
      <c r="AK124" s="478"/>
      <c r="AL124" s="479"/>
      <c r="AM124" s="480"/>
      <c r="AN124" s="480"/>
      <c r="AO124" s="480"/>
      <c r="AP124" s="480"/>
      <c r="AQ124" s="480"/>
      <c r="AR124" s="480"/>
      <c r="AS124" s="480"/>
      <c r="AT124" s="480"/>
      <c r="AU124" s="480"/>
      <c r="AV124" s="480"/>
      <c r="AW124" s="480"/>
      <c r="AX124" s="481"/>
      <c r="AY124" s="481"/>
      <c r="AZ124" s="482"/>
      <c r="BA124" s="474"/>
      <c r="BB124" s="299">
        <f t="shared" si="14"/>
        <v>25000</v>
      </c>
      <c r="BC124" s="483"/>
      <c r="BD124" s="484"/>
      <c r="BE124" s="485">
        <v>2500</v>
      </c>
      <c r="BF124" s="352">
        <f t="shared" ref="BF124:BF129" si="24">BB124+BD124+BC124</f>
        <v>25000</v>
      </c>
      <c r="BG124" s="451" t="str">
        <f t="shared" si="20"/>
        <v>Y</v>
      </c>
      <c r="BH124" s="451"/>
      <c r="BI124" s="299"/>
      <c r="BJ124" s="698"/>
      <c r="BK124" s="698"/>
      <c r="BL124" s="694">
        <v>2898</v>
      </c>
      <c r="BM124" s="712"/>
      <c r="BN124" s="486"/>
      <c r="BO124" s="712"/>
      <c r="BP124" s="720"/>
      <c r="BQ124" s="712"/>
      <c r="BR124" s="486"/>
      <c r="BS124" s="486"/>
      <c r="BT124" s="486"/>
      <c r="BU124" s="486"/>
      <c r="BV124" s="304"/>
      <c r="BW124" s="288"/>
      <c r="BX124" s="488"/>
      <c r="BY124" s="374" t="s">
        <v>595</v>
      </c>
      <c r="BZ124" s="624"/>
      <c r="CA124" s="624"/>
      <c r="CB124" s="624"/>
      <c r="CC124" s="624"/>
      <c r="CD124" s="624"/>
      <c r="CE124" s="624"/>
      <c r="CF124" s="624"/>
      <c r="CG124" s="624"/>
      <c r="CH124" s="624"/>
    </row>
    <row r="125" spans="1:86" s="305" customFormat="1" ht="39" customHeight="1">
      <c r="A125" s="276"/>
      <c r="B125" s="348">
        <f t="shared" si="23"/>
        <v>93</v>
      </c>
      <c r="C125" s="348"/>
      <c r="D125" s="726" t="s">
        <v>532</v>
      </c>
      <c r="E125" s="487">
        <v>37591</v>
      </c>
      <c r="F125" s="358">
        <v>2003</v>
      </c>
      <c r="G125" s="288">
        <v>17</v>
      </c>
      <c r="H125" s="288"/>
      <c r="I125" s="288">
        <v>2002</v>
      </c>
      <c r="J125" s="288">
        <v>31</v>
      </c>
      <c r="K125" s="465" t="s">
        <v>1211</v>
      </c>
      <c r="L125" s="465" t="s">
        <v>1878</v>
      </c>
      <c r="M125" s="358" t="s">
        <v>1271</v>
      </c>
      <c r="N125" s="488" t="s">
        <v>1877</v>
      </c>
      <c r="O125" s="465" t="s">
        <v>1337</v>
      </c>
      <c r="P125" s="465" t="s">
        <v>1337</v>
      </c>
      <c r="Q125" s="466"/>
      <c r="R125" s="467"/>
      <c r="S125" s="468"/>
      <c r="T125" s="1060"/>
      <c r="U125" s="469"/>
      <c r="V125" s="469"/>
      <c r="W125" s="470"/>
      <c r="X125" s="471"/>
      <c r="Y125" s="472"/>
      <c r="Z125" s="468"/>
      <c r="AA125" s="472"/>
      <c r="AB125" s="473"/>
      <c r="AC125" s="474"/>
      <c r="AD125" s="1047"/>
      <c r="AE125" s="475">
        <v>1000</v>
      </c>
      <c r="AF125" s="681"/>
      <c r="AG125" s="371">
        <f t="shared" si="13"/>
        <v>1000</v>
      </c>
      <c r="AH125" s="476"/>
      <c r="AI125" s="477"/>
      <c r="AJ125" s="477"/>
      <c r="AK125" s="478"/>
      <c r="AL125" s="479"/>
      <c r="AM125" s="480"/>
      <c r="AN125" s="480"/>
      <c r="AO125" s="480"/>
      <c r="AP125" s="480"/>
      <c r="AQ125" s="480"/>
      <c r="AR125" s="480"/>
      <c r="AS125" s="480"/>
      <c r="AT125" s="480"/>
      <c r="AU125" s="480"/>
      <c r="AV125" s="480"/>
      <c r="AW125" s="480"/>
      <c r="AX125" s="481"/>
      <c r="AY125" s="481"/>
      <c r="AZ125" s="482"/>
      <c r="BA125" s="474"/>
      <c r="BB125" s="299">
        <f t="shared" si="14"/>
        <v>1000</v>
      </c>
      <c r="BC125" s="483"/>
      <c r="BD125" s="484"/>
      <c r="BE125" s="485"/>
      <c r="BF125" s="352">
        <f t="shared" si="24"/>
        <v>1000</v>
      </c>
      <c r="BG125" s="451" t="str">
        <f t="shared" si="20"/>
        <v>Y</v>
      </c>
      <c r="BH125" s="451"/>
      <c r="BI125" s="299"/>
      <c r="BJ125" s="698"/>
      <c r="BK125" s="698"/>
      <c r="BL125" s="694">
        <v>2898</v>
      </c>
      <c r="BM125" s="712"/>
      <c r="BN125" s="486"/>
      <c r="BO125" s="712"/>
      <c r="BP125" s="720"/>
      <c r="BQ125" s="712"/>
      <c r="BR125" s="486"/>
      <c r="BS125" s="486"/>
      <c r="BT125" s="486"/>
      <c r="BU125" s="486"/>
      <c r="BV125" s="304"/>
      <c r="BW125" s="288"/>
      <c r="BX125" s="488"/>
      <c r="BY125" s="374" t="s">
        <v>596</v>
      </c>
      <c r="BZ125" s="624"/>
      <c r="CA125" s="624"/>
      <c r="CB125" s="624"/>
      <c r="CC125" s="624"/>
      <c r="CD125" s="624"/>
      <c r="CE125" s="624"/>
      <c r="CF125" s="624"/>
      <c r="CG125" s="624"/>
      <c r="CH125" s="624"/>
    </row>
    <row r="126" spans="1:86" s="305" customFormat="1" ht="39" customHeight="1">
      <c r="A126" s="276"/>
      <c r="B126" s="348">
        <f t="shared" si="23"/>
        <v>94</v>
      </c>
      <c r="C126" s="348"/>
      <c r="D126" s="726" t="s">
        <v>1808</v>
      </c>
      <c r="E126" s="487">
        <v>37591</v>
      </c>
      <c r="F126" s="358">
        <v>2003</v>
      </c>
      <c r="G126" s="288">
        <v>18</v>
      </c>
      <c r="H126" s="288"/>
      <c r="I126" s="288">
        <v>2002</v>
      </c>
      <c r="J126" s="288">
        <v>32</v>
      </c>
      <c r="K126" s="465" t="s">
        <v>1211</v>
      </c>
      <c r="L126" s="465" t="s">
        <v>1604</v>
      </c>
      <c r="M126" s="358" t="s">
        <v>1271</v>
      </c>
      <c r="N126" s="488" t="s">
        <v>1877</v>
      </c>
      <c r="O126" s="465" t="s">
        <v>1337</v>
      </c>
      <c r="P126" s="465" t="s">
        <v>1337</v>
      </c>
      <c r="Q126" s="466"/>
      <c r="R126" s="467"/>
      <c r="S126" s="468"/>
      <c r="T126" s="1060"/>
      <c r="U126" s="469"/>
      <c r="V126" s="469"/>
      <c r="W126" s="470"/>
      <c r="X126" s="471"/>
      <c r="Y126" s="472"/>
      <c r="Z126" s="468"/>
      <c r="AA126" s="472"/>
      <c r="AB126" s="473"/>
      <c r="AC126" s="474"/>
      <c r="AD126" s="1047"/>
      <c r="AE126" s="475">
        <v>1345</v>
      </c>
      <c r="AF126" s="681"/>
      <c r="AG126" s="371">
        <f t="shared" si="13"/>
        <v>1345</v>
      </c>
      <c r="AH126" s="476"/>
      <c r="AI126" s="477"/>
      <c r="AJ126" s="477"/>
      <c r="AK126" s="478">
        <v>675</v>
      </c>
      <c r="AL126" s="479"/>
      <c r="AM126" s="480"/>
      <c r="AN126" s="480"/>
      <c r="AO126" s="480"/>
      <c r="AP126" s="480"/>
      <c r="AQ126" s="480"/>
      <c r="AR126" s="480"/>
      <c r="AS126" s="480"/>
      <c r="AT126" s="480"/>
      <c r="AU126" s="480"/>
      <c r="AV126" s="480"/>
      <c r="AW126" s="480"/>
      <c r="AX126" s="481"/>
      <c r="AY126" s="481"/>
      <c r="AZ126" s="482"/>
      <c r="BA126" s="474"/>
      <c r="BB126" s="299">
        <f t="shared" si="14"/>
        <v>1345</v>
      </c>
      <c r="BC126" s="483"/>
      <c r="BD126" s="484"/>
      <c r="BE126" s="485">
        <v>675</v>
      </c>
      <c r="BF126" s="352">
        <f t="shared" si="24"/>
        <v>1345</v>
      </c>
      <c r="BG126" s="451" t="str">
        <f t="shared" si="20"/>
        <v>Y</v>
      </c>
      <c r="BH126" s="451"/>
      <c r="BI126" s="299"/>
      <c r="BJ126" s="698"/>
      <c r="BK126" s="698"/>
      <c r="BL126" s="694">
        <v>2898</v>
      </c>
      <c r="BM126" s="712"/>
      <c r="BN126" s="486"/>
      <c r="BO126" s="712"/>
      <c r="BP126" s="720"/>
      <c r="BQ126" s="712"/>
      <c r="BR126" s="486"/>
      <c r="BS126" s="486"/>
      <c r="BT126" s="486"/>
      <c r="BU126" s="486"/>
      <c r="BV126" s="304"/>
      <c r="BW126" s="288"/>
      <c r="BX126" s="488"/>
      <c r="BY126" s="374" t="s">
        <v>1894</v>
      </c>
      <c r="BZ126" s="624"/>
      <c r="CA126" s="624"/>
      <c r="CB126" s="624"/>
      <c r="CC126" s="624"/>
      <c r="CD126" s="624"/>
      <c r="CE126" s="624"/>
      <c r="CF126" s="624"/>
      <c r="CG126" s="624"/>
      <c r="CH126" s="624"/>
    </row>
    <row r="127" spans="1:86" s="305" customFormat="1" ht="39" customHeight="1">
      <c r="A127" s="276"/>
      <c r="B127" s="348">
        <f t="shared" si="23"/>
        <v>95</v>
      </c>
      <c r="C127" s="348"/>
      <c r="D127" s="726" t="s">
        <v>1512</v>
      </c>
      <c r="E127" s="487">
        <v>37591</v>
      </c>
      <c r="F127" s="358">
        <v>2003</v>
      </c>
      <c r="G127" s="288">
        <v>19</v>
      </c>
      <c r="H127" s="288"/>
      <c r="I127" s="288">
        <v>2002</v>
      </c>
      <c r="J127" s="288">
        <v>33</v>
      </c>
      <c r="K127" s="465" t="s">
        <v>1210</v>
      </c>
      <c r="L127" s="465" t="s">
        <v>1605</v>
      </c>
      <c r="M127" s="465"/>
      <c r="N127" s="488" t="s">
        <v>1639</v>
      </c>
      <c r="O127" s="465" t="s">
        <v>1292</v>
      </c>
      <c r="P127" s="465" t="s">
        <v>1292</v>
      </c>
      <c r="Q127" s="466"/>
      <c r="R127" s="467"/>
      <c r="S127" s="468"/>
      <c r="T127" s="1060"/>
      <c r="U127" s="469"/>
      <c r="V127" s="469"/>
      <c r="W127" s="470"/>
      <c r="X127" s="471"/>
      <c r="Y127" s="472"/>
      <c r="Z127" s="468"/>
      <c r="AA127" s="472"/>
      <c r="AB127" s="473"/>
      <c r="AC127" s="474"/>
      <c r="AD127" s="1047"/>
      <c r="AE127" s="475">
        <v>5000</v>
      </c>
      <c r="AF127" s="681"/>
      <c r="AG127" s="371">
        <f t="shared" si="13"/>
        <v>5000</v>
      </c>
      <c r="AH127" s="476"/>
      <c r="AI127" s="477"/>
      <c r="AJ127" s="477"/>
      <c r="AK127" s="478"/>
      <c r="AL127" s="479"/>
      <c r="AM127" s="480"/>
      <c r="AN127" s="480"/>
      <c r="AO127" s="480"/>
      <c r="AP127" s="480"/>
      <c r="AQ127" s="480"/>
      <c r="AR127" s="480"/>
      <c r="AS127" s="480"/>
      <c r="AT127" s="480"/>
      <c r="AU127" s="480"/>
      <c r="AV127" s="480"/>
      <c r="AW127" s="480"/>
      <c r="AX127" s="481"/>
      <c r="AY127" s="481"/>
      <c r="AZ127" s="482"/>
      <c r="BA127" s="474"/>
      <c r="BB127" s="299">
        <f t="shared" si="14"/>
        <v>5000</v>
      </c>
      <c r="BC127" s="483"/>
      <c r="BD127" s="484"/>
      <c r="BE127" s="485">
        <v>500</v>
      </c>
      <c r="BF127" s="352">
        <f t="shared" si="24"/>
        <v>5000</v>
      </c>
      <c r="BG127" s="451" t="str">
        <f t="shared" si="20"/>
        <v>Y</v>
      </c>
      <c r="BH127" s="451"/>
      <c r="BI127" s="299"/>
      <c r="BJ127" s="698"/>
      <c r="BK127" s="698"/>
      <c r="BL127" s="694">
        <v>2898</v>
      </c>
      <c r="BM127" s="712"/>
      <c r="BN127" s="486"/>
      <c r="BO127" s="712"/>
      <c r="BP127" s="720"/>
      <c r="BQ127" s="712"/>
      <c r="BR127" s="486"/>
      <c r="BS127" s="486"/>
      <c r="BT127" s="486"/>
      <c r="BU127" s="486"/>
      <c r="BV127" s="304"/>
      <c r="BW127" s="288"/>
      <c r="BX127" s="488" t="s">
        <v>1895</v>
      </c>
      <c r="BY127" s="374" t="s">
        <v>1896</v>
      </c>
      <c r="BZ127" s="624"/>
      <c r="CA127" s="624"/>
      <c r="CB127" s="624"/>
      <c r="CC127" s="624"/>
      <c r="CD127" s="624"/>
      <c r="CE127" s="624"/>
      <c r="CF127" s="624"/>
      <c r="CG127" s="624"/>
      <c r="CH127" s="624"/>
    </row>
    <row r="128" spans="1:86" s="305" customFormat="1" ht="39" customHeight="1">
      <c r="A128" s="276"/>
      <c r="B128" s="348">
        <f t="shared" si="23"/>
        <v>96</v>
      </c>
      <c r="C128" s="348"/>
      <c r="D128" s="726" t="s">
        <v>1513</v>
      </c>
      <c r="E128" s="356">
        <v>37622</v>
      </c>
      <c r="F128" s="358">
        <v>2003</v>
      </c>
      <c r="G128" s="288">
        <v>20</v>
      </c>
      <c r="H128" s="288"/>
      <c r="I128" s="288">
        <v>2003</v>
      </c>
      <c r="J128" s="288">
        <v>1</v>
      </c>
      <c r="K128" s="288" t="s">
        <v>570</v>
      </c>
      <c r="L128" s="358" t="s">
        <v>1897</v>
      </c>
      <c r="M128" s="358" t="s">
        <v>1271</v>
      </c>
      <c r="N128" s="359" t="s">
        <v>1965</v>
      </c>
      <c r="O128" s="288" t="s">
        <v>1098</v>
      </c>
      <c r="P128" s="465" t="s">
        <v>1945</v>
      </c>
      <c r="Q128" s="360"/>
      <c r="R128" s="361"/>
      <c r="S128" s="294"/>
      <c r="T128" s="1058"/>
      <c r="U128" s="295"/>
      <c r="V128" s="295"/>
      <c r="W128" s="362"/>
      <c r="X128" s="379"/>
      <c r="Y128" s="293"/>
      <c r="Z128" s="294"/>
      <c r="AA128" s="293"/>
      <c r="AB128" s="365">
        <f>COUNTIF(AC128, "&gt;49999")</f>
        <v>0</v>
      </c>
      <c r="AC128" s="364">
        <f>14369.32*0.504</f>
        <v>7242.1372799999999</v>
      </c>
      <c r="AD128" s="427"/>
      <c r="AE128" s="299"/>
      <c r="AF128" s="670"/>
      <c r="AG128" s="371">
        <f t="shared" si="13"/>
        <v>7242.1372799999999</v>
      </c>
      <c r="AH128" s="489"/>
      <c r="AI128" s="490"/>
      <c r="AJ128" s="490"/>
      <c r="AK128" s="367"/>
      <c r="AL128" s="363"/>
      <c r="AM128" s="368"/>
      <c r="AN128" s="368"/>
      <c r="AO128" s="368"/>
      <c r="AP128" s="368"/>
      <c r="AQ128" s="368"/>
      <c r="AR128" s="368"/>
      <c r="AS128" s="368"/>
      <c r="AT128" s="368"/>
      <c r="AU128" s="368"/>
      <c r="AV128" s="368"/>
      <c r="AW128" s="368"/>
      <c r="AX128" s="369"/>
      <c r="AY128" s="369"/>
      <c r="AZ128" s="448"/>
      <c r="BA128" s="364"/>
      <c r="BB128" s="299">
        <f t="shared" si="14"/>
        <v>7242.1372799999999</v>
      </c>
      <c r="BC128" s="370"/>
      <c r="BD128" s="371"/>
      <c r="BE128" s="454"/>
      <c r="BF128" s="352">
        <f t="shared" si="24"/>
        <v>7242.1372799999999</v>
      </c>
      <c r="BG128" s="451" t="str">
        <f t="shared" si="20"/>
        <v>Y</v>
      </c>
      <c r="BH128" s="451"/>
      <c r="BI128" s="299"/>
      <c r="BJ128" s="698"/>
      <c r="BK128" s="698"/>
      <c r="BL128" s="303">
        <v>2881</v>
      </c>
      <c r="BM128" s="706"/>
      <c r="BN128" s="373"/>
      <c r="BO128" s="706"/>
      <c r="BP128" s="716"/>
      <c r="BQ128" s="706"/>
      <c r="BR128" s="373"/>
      <c r="BS128" s="373"/>
      <c r="BT128" s="373"/>
      <c r="BU128" s="373"/>
      <c r="BV128" s="304"/>
      <c r="BW128" s="288"/>
      <c r="BX128" s="359" t="s">
        <v>1900</v>
      </c>
      <c r="BY128" s="374" t="s">
        <v>994</v>
      </c>
      <c r="BZ128" s="624"/>
      <c r="CA128" s="624"/>
      <c r="CB128" s="624"/>
      <c r="CC128" s="624"/>
      <c r="CD128" s="624"/>
      <c r="CE128" s="624"/>
      <c r="CF128" s="624"/>
      <c r="CG128" s="624"/>
      <c r="CH128" s="624"/>
    </row>
    <row r="129" spans="1:86" s="305" customFormat="1" ht="39" customHeight="1">
      <c r="A129" s="276"/>
      <c r="B129" s="348">
        <v>97</v>
      </c>
      <c r="C129" s="348"/>
      <c r="D129" s="726" t="s">
        <v>1387</v>
      </c>
      <c r="E129" s="356">
        <v>37622</v>
      </c>
      <c r="F129" s="358">
        <v>2003</v>
      </c>
      <c r="G129" s="288">
        <v>21</v>
      </c>
      <c r="H129" s="288"/>
      <c r="I129" s="288">
        <v>2003</v>
      </c>
      <c r="J129" s="288">
        <v>2</v>
      </c>
      <c r="K129" s="358" t="s">
        <v>1211</v>
      </c>
      <c r="L129" s="358" t="s">
        <v>1876</v>
      </c>
      <c r="M129" s="358" t="s">
        <v>1961</v>
      </c>
      <c r="N129" s="359" t="s">
        <v>1884</v>
      </c>
      <c r="O129" s="358" t="s">
        <v>1884</v>
      </c>
      <c r="P129" s="358" t="s">
        <v>1884</v>
      </c>
      <c r="Q129" s="360"/>
      <c r="R129" s="361"/>
      <c r="S129" s="294"/>
      <c r="T129" s="1058"/>
      <c r="U129" s="295"/>
      <c r="V129" s="295"/>
      <c r="W129" s="362"/>
      <c r="X129" s="379"/>
      <c r="Y129" s="293"/>
      <c r="Z129" s="294"/>
      <c r="AA129" s="293"/>
      <c r="AB129" s="365"/>
      <c r="AC129" s="364"/>
      <c r="AD129" s="427"/>
      <c r="AE129" s="299">
        <v>350000</v>
      </c>
      <c r="AF129" s="670"/>
      <c r="AG129" s="371">
        <f t="shared" si="13"/>
        <v>350000</v>
      </c>
      <c r="AH129" s="489">
        <v>3</v>
      </c>
      <c r="AI129" s="490"/>
      <c r="AJ129" s="490"/>
      <c r="AK129" s="367"/>
      <c r="AL129" s="363"/>
      <c r="AM129" s="368"/>
      <c r="AN129" s="368"/>
      <c r="AO129" s="368"/>
      <c r="AP129" s="368"/>
      <c r="AQ129" s="368"/>
      <c r="AR129" s="368"/>
      <c r="AS129" s="368"/>
      <c r="AT129" s="368"/>
      <c r="AU129" s="368"/>
      <c r="AV129" s="368"/>
      <c r="AW129" s="368"/>
      <c r="AX129" s="369"/>
      <c r="AY129" s="369"/>
      <c r="AZ129" s="448"/>
      <c r="BA129" s="364"/>
      <c r="BB129" s="299">
        <f t="shared" si="14"/>
        <v>350000</v>
      </c>
      <c r="BC129" s="370"/>
      <c r="BD129" s="371"/>
      <c r="BE129" s="491">
        <v>2000</v>
      </c>
      <c r="BF129" s="352">
        <f t="shared" si="24"/>
        <v>350000</v>
      </c>
      <c r="BG129" s="451" t="str">
        <f t="shared" si="20"/>
        <v>Y</v>
      </c>
      <c r="BH129" s="451"/>
      <c r="BI129" s="299"/>
      <c r="BJ129" s="698"/>
      <c r="BK129" s="698"/>
      <c r="BL129" s="303">
        <v>2690</v>
      </c>
      <c r="BM129" s="706"/>
      <c r="BN129" s="373"/>
      <c r="BO129" s="706"/>
      <c r="BP129" s="716"/>
      <c r="BQ129" s="706"/>
      <c r="BR129" s="373"/>
      <c r="BS129" s="373"/>
      <c r="BT129" s="373"/>
      <c r="BU129" s="373"/>
      <c r="BV129" s="304"/>
      <c r="BW129" s="288"/>
      <c r="BX129" s="359"/>
      <c r="BY129" s="492" t="s">
        <v>999</v>
      </c>
      <c r="BZ129" s="624"/>
      <c r="CA129" s="624"/>
      <c r="CB129" s="624"/>
      <c r="CC129" s="624"/>
      <c r="CD129" s="624"/>
      <c r="CE129" s="624"/>
      <c r="CF129" s="624"/>
      <c r="CG129" s="624"/>
      <c r="CH129" s="624"/>
    </row>
    <row r="130" spans="1:86" s="305" customFormat="1" ht="39" customHeight="1">
      <c r="A130" s="276"/>
      <c r="B130" s="348">
        <v>97</v>
      </c>
      <c r="C130" s="348"/>
      <c r="D130" s="726" t="s">
        <v>1387</v>
      </c>
      <c r="E130" s="356">
        <v>37622</v>
      </c>
      <c r="F130" s="358">
        <v>2003</v>
      </c>
      <c r="G130" s="288">
        <v>21</v>
      </c>
      <c r="H130" s="288"/>
      <c r="I130" s="288">
        <v>2003</v>
      </c>
      <c r="J130" s="288">
        <v>2</v>
      </c>
      <c r="K130" s="358" t="s">
        <v>1211</v>
      </c>
      <c r="L130" s="358" t="s">
        <v>1876</v>
      </c>
      <c r="M130" s="358" t="s">
        <v>1961</v>
      </c>
      <c r="N130" s="359" t="s">
        <v>1884</v>
      </c>
      <c r="O130" s="358" t="s">
        <v>1884</v>
      </c>
      <c r="P130" s="358" t="s">
        <v>1884</v>
      </c>
      <c r="Q130" s="360"/>
      <c r="R130" s="361"/>
      <c r="S130" s="294"/>
      <c r="T130" s="1058"/>
      <c r="U130" s="295"/>
      <c r="V130" s="295"/>
      <c r="W130" s="362"/>
      <c r="X130" s="379"/>
      <c r="Y130" s="293"/>
      <c r="Z130" s="294"/>
      <c r="AA130" s="293"/>
      <c r="AB130" s="365"/>
      <c r="AC130" s="364"/>
      <c r="AD130" s="427"/>
      <c r="AE130" s="447">
        <v>100000</v>
      </c>
      <c r="AF130" s="680"/>
      <c r="AG130" s="371">
        <f t="shared" si="13"/>
        <v>100000</v>
      </c>
      <c r="AH130" s="489"/>
      <c r="AI130" s="490"/>
      <c r="AJ130" s="490"/>
      <c r="AK130" s="367"/>
      <c r="AL130" s="363"/>
      <c r="AM130" s="368"/>
      <c r="AN130" s="368"/>
      <c r="AO130" s="368"/>
      <c r="AP130" s="368"/>
      <c r="AQ130" s="368"/>
      <c r="AR130" s="368"/>
      <c r="AS130" s="368"/>
      <c r="AT130" s="368"/>
      <c r="AU130" s="368"/>
      <c r="AV130" s="368"/>
      <c r="AW130" s="368"/>
      <c r="AX130" s="369"/>
      <c r="AY130" s="369"/>
      <c r="AZ130" s="385"/>
      <c r="BA130" s="364"/>
      <c r="BB130" s="299">
        <f t="shared" si="14"/>
        <v>100000</v>
      </c>
      <c r="BC130" s="370"/>
      <c r="BD130" s="371"/>
      <c r="BE130" s="491"/>
      <c r="BF130" s="352">
        <f>AE130+AC130+AZ130+BA130</f>
        <v>100000</v>
      </c>
      <c r="BG130" s="451" t="str">
        <f t="shared" si="20"/>
        <v>Y</v>
      </c>
      <c r="BH130" s="451"/>
      <c r="BI130" s="299"/>
      <c r="BJ130" s="698"/>
      <c r="BK130" s="698"/>
      <c r="BL130" s="303">
        <v>2642</v>
      </c>
      <c r="BM130" s="706"/>
      <c r="BN130" s="373"/>
      <c r="BO130" s="706"/>
      <c r="BP130" s="716"/>
      <c r="BQ130" s="706"/>
      <c r="BR130" s="373"/>
      <c r="BS130" s="373"/>
      <c r="BT130" s="373"/>
      <c r="BU130" s="373"/>
      <c r="BV130" s="304"/>
      <c r="BW130" s="288"/>
      <c r="BX130" s="359"/>
      <c r="BY130" s="492" t="s">
        <v>1000</v>
      </c>
      <c r="BZ130" s="624"/>
      <c r="CA130" s="624"/>
      <c r="CB130" s="624"/>
      <c r="CC130" s="624"/>
      <c r="CD130" s="624"/>
      <c r="CE130" s="624"/>
      <c r="CF130" s="624"/>
      <c r="CG130" s="624"/>
      <c r="CH130" s="624"/>
    </row>
    <row r="131" spans="1:86" s="305" customFormat="1" ht="39" customHeight="1">
      <c r="A131" s="276"/>
      <c r="B131" s="348">
        <v>98</v>
      </c>
      <c r="C131" s="348"/>
      <c r="D131" s="726" t="s">
        <v>1514</v>
      </c>
      <c r="E131" s="356">
        <v>37653</v>
      </c>
      <c r="F131" s="358">
        <v>2003</v>
      </c>
      <c r="G131" s="288">
        <v>22</v>
      </c>
      <c r="H131" s="288"/>
      <c r="I131" s="288">
        <v>2003</v>
      </c>
      <c r="J131" s="288">
        <v>3</v>
      </c>
      <c r="K131" s="288" t="s">
        <v>570</v>
      </c>
      <c r="L131" s="358" t="s">
        <v>401</v>
      </c>
      <c r="M131" s="358"/>
      <c r="N131" s="359" t="s">
        <v>1970</v>
      </c>
      <c r="O131" s="465" t="s">
        <v>1297</v>
      </c>
      <c r="P131" s="465" t="s">
        <v>1593</v>
      </c>
      <c r="Q131" s="360"/>
      <c r="R131" s="361"/>
      <c r="S131" s="294"/>
      <c r="T131" s="1058"/>
      <c r="U131" s="295"/>
      <c r="V131" s="295"/>
      <c r="W131" s="362"/>
      <c r="X131" s="379"/>
      <c r="Y131" s="293"/>
      <c r="Z131" s="294"/>
      <c r="AA131" s="293"/>
      <c r="AB131" s="365"/>
      <c r="AC131" s="364"/>
      <c r="AD131" s="427"/>
      <c r="AE131" s="299">
        <v>10000</v>
      </c>
      <c r="AF131" s="670"/>
      <c r="AG131" s="371">
        <f t="shared" si="13"/>
        <v>10000</v>
      </c>
      <c r="AH131" s="489"/>
      <c r="AI131" s="490"/>
      <c r="AJ131" s="490"/>
      <c r="AK131" s="367"/>
      <c r="AL131" s="363"/>
      <c r="AM131" s="368"/>
      <c r="AN131" s="368"/>
      <c r="AO131" s="368"/>
      <c r="AP131" s="368"/>
      <c r="AQ131" s="368"/>
      <c r="AR131" s="368"/>
      <c r="AS131" s="368"/>
      <c r="AT131" s="368"/>
      <c r="AU131" s="368"/>
      <c r="AV131" s="368"/>
      <c r="AW131" s="368"/>
      <c r="AX131" s="369"/>
      <c r="AY131" s="369"/>
      <c r="AZ131" s="448"/>
      <c r="BA131" s="364"/>
      <c r="BB131" s="299">
        <f t="shared" si="14"/>
        <v>10000</v>
      </c>
      <c r="BC131" s="370"/>
      <c r="BD131" s="371"/>
      <c r="BE131" s="491">
        <v>1000</v>
      </c>
      <c r="BF131" s="352">
        <f>AE131+AC131+AZ131+BA131</f>
        <v>10000</v>
      </c>
      <c r="BG131" s="451" t="str">
        <f t="shared" si="20"/>
        <v>Y</v>
      </c>
      <c r="BH131" s="451"/>
      <c r="BI131" s="299"/>
      <c r="BJ131" s="698"/>
      <c r="BK131" s="698"/>
      <c r="BL131" s="303">
        <v>2608</v>
      </c>
      <c r="BM131" s="706"/>
      <c r="BN131" s="373"/>
      <c r="BO131" s="706"/>
      <c r="BP131" s="716"/>
      <c r="BQ131" s="706"/>
      <c r="BR131" s="373"/>
      <c r="BS131" s="373"/>
      <c r="BT131" s="373"/>
      <c r="BU131" s="373"/>
      <c r="BV131" s="304"/>
      <c r="BW131" s="288"/>
      <c r="BX131" s="359" t="s">
        <v>1001</v>
      </c>
      <c r="BY131" s="374" t="s">
        <v>1002</v>
      </c>
      <c r="BZ131" s="624"/>
      <c r="CA131" s="624"/>
      <c r="CB131" s="624"/>
      <c r="CC131" s="624"/>
      <c r="CD131" s="624"/>
      <c r="CE131" s="624"/>
      <c r="CF131" s="624"/>
      <c r="CG131" s="624"/>
      <c r="CH131" s="624"/>
    </row>
    <row r="132" spans="1:86" s="305" customFormat="1" ht="39" customHeight="1">
      <c r="A132" s="276"/>
      <c r="B132" s="348">
        <v>99</v>
      </c>
      <c r="C132" s="348"/>
      <c r="D132" s="726" t="s">
        <v>1070</v>
      </c>
      <c r="E132" s="356">
        <v>37653</v>
      </c>
      <c r="F132" s="358">
        <v>2003</v>
      </c>
      <c r="G132" s="288">
        <v>23</v>
      </c>
      <c r="H132" s="288"/>
      <c r="I132" s="288">
        <v>2003</v>
      </c>
      <c r="J132" s="288">
        <v>4</v>
      </c>
      <c r="K132" s="288" t="s">
        <v>570</v>
      </c>
      <c r="L132" s="358" t="s">
        <v>1879</v>
      </c>
      <c r="M132" s="358" t="s">
        <v>1961</v>
      </c>
      <c r="N132" s="359" t="s">
        <v>1884</v>
      </c>
      <c r="O132" s="358" t="s">
        <v>1884</v>
      </c>
      <c r="P132" s="358" t="s">
        <v>1884</v>
      </c>
      <c r="Q132" s="360"/>
      <c r="R132" s="361"/>
      <c r="S132" s="294"/>
      <c r="T132" s="1058"/>
      <c r="U132" s="295"/>
      <c r="V132" s="295"/>
      <c r="W132" s="362"/>
      <c r="X132" s="379"/>
      <c r="Y132" s="293"/>
      <c r="Z132" s="294"/>
      <c r="AA132" s="293"/>
      <c r="AB132" s="493"/>
      <c r="AC132" s="364"/>
      <c r="AD132" s="427"/>
      <c r="AE132" s="299">
        <v>50000</v>
      </c>
      <c r="AF132" s="670"/>
      <c r="AG132" s="371">
        <f t="shared" si="13"/>
        <v>50000</v>
      </c>
      <c r="AH132" s="489"/>
      <c r="AI132" s="490"/>
      <c r="AJ132" s="490"/>
      <c r="AK132" s="367"/>
      <c r="AL132" s="363"/>
      <c r="AM132" s="368"/>
      <c r="AN132" s="368"/>
      <c r="AO132" s="368"/>
      <c r="AP132" s="368"/>
      <c r="AQ132" s="368"/>
      <c r="AR132" s="368"/>
      <c r="AS132" s="368"/>
      <c r="AT132" s="368"/>
      <c r="AU132" s="368"/>
      <c r="AV132" s="368"/>
      <c r="AW132" s="368"/>
      <c r="AX132" s="369"/>
      <c r="AY132" s="369"/>
      <c r="AZ132" s="448"/>
      <c r="BA132" s="364"/>
      <c r="BB132" s="299">
        <f t="shared" si="14"/>
        <v>50000</v>
      </c>
      <c r="BC132" s="370"/>
      <c r="BD132" s="371"/>
      <c r="BE132" s="491">
        <v>1350</v>
      </c>
      <c r="BF132" s="352">
        <f t="shared" ref="BF132:BF137" si="25">BB132+BD132+BC132</f>
        <v>50000</v>
      </c>
      <c r="BG132" s="451" t="str">
        <f t="shared" si="20"/>
        <v>Y</v>
      </c>
      <c r="BH132" s="451"/>
      <c r="BI132" s="299"/>
      <c r="BJ132" s="698"/>
      <c r="BK132" s="698"/>
      <c r="BL132" s="695" t="s">
        <v>1003</v>
      </c>
      <c r="BM132" s="711"/>
      <c r="BN132" s="494"/>
      <c r="BO132" s="711"/>
      <c r="BP132" s="458"/>
      <c r="BQ132" s="711"/>
      <c r="BR132" s="494"/>
      <c r="BS132" s="494"/>
      <c r="BT132" s="494"/>
      <c r="BU132" s="494"/>
      <c r="BV132" s="304"/>
      <c r="BW132" s="288"/>
      <c r="BX132" s="359"/>
      <c r="BY132" s="374" t="s">
        <v>1004</v>
      </c>
      <c r="BZ132" s="624"/>
      <c r="CA132" s="624"/>
      <c r="CB132" s="624"/>
      <c r="CC132" s="624"/>
      <c r="CD132" s="624"/>
      <c r="CE132" s="624"/>
      <c r="CF132" s="624"/>
      <c r="CG132" s="624"/>
      <c r="CH132" s="624"/>
    </row>
    <row r="133" spans="1:86" s="305" customFormat="1" ht="39" customHeight="1">
      <c r="A133" s="276"/>
      <c r="B133" s="348">
        <v>100</v>
      </c>
      <c r="C133" s="348"/>
      <c r="D133" s="726" t="s">
        <v>96</v>
      </c>
      <c r="E133" s="356">
        <v>37681</v>
      </c>
      <c r="F133" s="358">
        <v>2003</v>
      </c>
      <c r="G133" s="288">
        <v>24</v>
      </c>
      <c r="H133" s="288"/>
      <c r="I133" s="288">
        <v>2003</v>
      </c>
      <c r="J133" s="288">
        <v>5</v>
      </c>
      <c r="K133" s="358" t="s">
        <v>570</v>
      </c>
      <c r="L133" s="358" t="s">
        <v>1005</v>
      </c>
      <c r="M133" s="358"/>
      <c r="N133" s="359" t="s">
        <v>1940</v>
      </c>
      <c r="O133" s="358" t="s">
        <v>1940</v>
      </c>
      <c r="P133" s="358" t="s">
        <v>1940</v>
      </c>
      <c r="Q133" s="360"/>
      <c r="R133" s="361"/>
      <c r="S133" s="294"/>
      <c r="T133" s="1058"/>
      <c r="U133" s="295"/>
      <c r="V133" s="295"/>
      <c r="W133" s="362"/>
      <c r="X133" s="379"/>
      <c r="Y133" s="293"/>
      <c r="Z133" s="294"/>
      <c r="AA133" s="293"/>
      <c r="AB133" s="365">
        <f>COUNTIF(AC133, "&gt;49999")</f>
        <v>1</v>
      </c>
      <c r="AC133" s="364">
        <v>100000</v>
      </c>
      <c r="AD133" s="427">
        <v>100000</v>
      </c>
      <c r="AE133" s="299"/>
      <c r="AF133" s="670"/>
      <c r="AG133" s="371">
        <f t="shared" si="13"/>
        <v>200000</v>
      </c>
      <c r="AH133" s="489"/>
      <c r="AI133" s="490"/>
      <c r="AJ133" s="490"/>
      <c r="AK133" s="367">
        <v>64200</v>
      </c>
      <c r="AL133" s="363"/>
      <c r="AM133" s="368"/>
      <c r="AN133" s="368">
        <v>34200</v>
      </c>
      <c r="AO133" s="368">
        <v>30000</v>
      </c>
      <c r="AP133" s="368"/>
      <c r="AQ133" s="368"/>
      <c r="AR133" s="368"/>
      <c r="AS133" s="368"/>
      <c r="AT133" s="368"/>
      <c r="AU133" s="368"/>
      <c r="AV133" s="368"/>
      <c r="AW133" s="368"/>
      <c r="AX133" s="369"/>
      <c r="AY133" s="369"/>
      <c r="AZ133" s="448">
        <f>((34200*3.1)+(34200*0.47))+((30000*2.92)+(4000*3))</f>
        <v>221694</v>
      </c>
      <c r="BA133" s="364"/>
      <c r="BB133" s="299">
        <f t="shared" si="14"/>
        <v>421694</v>
      </c>
      <c r="BC133" s="370"/>
      <c r="BD133" s="371"/>
      <c r="BE133" s="491">
        <f>34200+(100000*0.1)+(100000*0.1)</f>
        <v>54200</v>
      </c>
      <c r="BF133" s="352">
        <f t="shared" si="25"/>
        <v>421694</v>
      </c>
      <c r="BG133" s="451" t="str">
        <f t="shared" si="20"/>
        <v>Y</v>
      </c>
      <c r="BH133" s="451"/>
      <c r="BI133" s="299"/>
      <c r="BJ133" s="698"/>
      <c r="BK133" s="698"/>
      <c r="BL133" s="303">
        <v>2689</v>
      </c>
      <c r="BM133" s="706"/>
      <c r="BN133" s="373"/>
      <c r="BO133" s="706"/>
      <c r="BP133" s="716"/>
      <c r="BQ133" s="706"/>
      <c r="BR133" s="373"/>
      <c r="BS133" s="373"/>
      <c r="BT133" s="373"/>
      <c r="BU133" s="373"/>
      <c r="BV133" s="304"/>
      <c r="BW133" s="288"/>
      <c r="BX133" s="359" t="s">
        <v>1005</v>
      </c>
      <c r="BY133" s="374"/>
      <c r="BZ133" s="624"/>
      <c r="CA133" s="624"/>
      <c r="CB133" s="624"/>
      <c r="CC133" s="624"/>
      <c r="CD133" s="624"/>
      <c r="CE133" s="624"/>
      <c r="CF133" s="624"/>
      <c r="CG133" s="624"/>
      <c r="CH133" s="624"/>
    </row>
    <row r="134" spans="1:86" s="305" customFormat="1" ht="39" customHeight="1">
      <c r="A134" s="276"/>
      <c r="B134" s="348">
        <v>100</v>
      </c>
      <c r="C134" s="348"/>
      <c r="D134" s="726" t="s">
        <v>1515</v>
      </c>
      <c r="E134" s="356">
        <v>37681</v>
      </c>
      <c r="F134" s="358">
        <v>2003</v>
      </c>
      <c r="G134" s="288">
        <v>24</v>
      </c>
      <c r="H134" s="288"/>
      <c r="I134" s="288">
        <v>2003</v>
      </c>
      <c r="J134" s="288">
        <v>5</v>
      </c>
      <c r="K134" s="358" t="s">
        <v>570</v>
      </c>
      <c r="L134" s="358" t="s">
        <v>1608</v>
      </c>
      <c r="M134" s="358"/>
      <c r="N134" s="359" t="s">
        <v>1940</v>
      </c>
      <c r="O134" s="358" t="s">
        <v>1940</v>
      </c>
      <c r="P134" s="358" t="s">
        <v>1940</v>
      </c>
      <c r="Q134" s="360"/>
      <c r="R134" s="361"/>
      <c r="S134" s="294"/>
      <c r="T134" s="1058"/>
      <c r="U134" s="295"/>
      <c r="V134" s="295"/>
      <c r="W134" s="362"/>
      <c r="X134" s="379"/>
      <c r="Y134" s="293"/>
      <c r="Z134" s="294"/>
      <c r="AA134" s="293"/>
      <c r="AB134" s="365"/>
      <c r="AC134" s="364"/>
      <c r="AD134" s="427"/>
      <c r="AE134" s="299">
        <v>15000</v>
      </c>
      <c r="AF134" s="670"/>
      <c r="AG134" s="371">
        <f t="shared" si="13"/>
        <v>15000</v>
      </c>
      <c r="AH134" s="489"/>
      <c r="AI134" s="490"/>
      <c r="AJ134" s="490"/>
      <c r="AK134" s="367"/>
      <c r="AL134" s="363"/>
      <c r="AM134" s="368"/>
      <c r="AN134" s="368"/>
      <c r="AO134" s="368"/>
      <c r="AP134" s="368"/>
      <c r="AQ134" s="368"/>
      <c r="AR134" s="368"/>
      <c r="AS134" s="368"/>
      <c r="AT134" s="368"/>
      <c r="AU134" s="368"/>
      <c r="AV134" s="368"/>
      <c r="AW134" s="368"/>
      <c r="AX134" s="369"/>
      <c r="AY134" s="369"/>
      <c r="AZ134" s="448"/>
      <c r="BA134" s="364"/>
      <c r="BB134" s="299">
        <f t="shared" si="14"/>
        <v>15000</v>
      </c>
      <c r="BC134" s="370"/>
      <c r="BD134" s="371"/>
      <c r="BE134" s="491">
        <v>1000</v>
      </c>
      <c r="BF134" s="352">
        <f t="shared" si="25"/>
        <v>15000</v>
      </c>
      <c r="BG134" s="451" t="str">
        <f t="shared" si="20"/>
        <v>Y</v>
      </c>
      <c r="BH134" s="451"/>
      <c r="BI134" s="299"/>
      <c r="BJ134" s="698"/>
      <c r="BK134" s="698"/>
      <c r="BL134" s="303">
        <v>2689</v>
      </c>
      <c r="BM134" s="706"/>
      <c r="BN134" s="373"/>
      <c r="BO134" s="706"/>
      <c r="BP134" s="716"/>
      <c r="BQ134" s="706"/>
      <c r="BR134" s="373"/>
      <c r="BS134" s="373"/>
      <c r="BT134" s="373"/>
      <c r="BU134" s="373"/>
      <c r="BV134" s="304"/>
      <c r="BW134" s="288"/>
      <c r="BX134" s="359" t="s">
        <v>1005</v>
      </c>
      <c r="BY134" s="374" t="s">
        <v>1006</v>
      </c>
      <c r="BZ134" s="624"/>
      <c r="CA134" s="624"/>
      <c r="CB134" s="624"/>
      <c r="CC134" s="624"/>
      <c r="CD134" s="624"/>
      <c r="CE134" s="624"/>
      <c r="CF134" s="624"/>
      <c r="CG134" s="624"/>
      <c r="CH134" s="624"/>
    </row>
    <row r="135" spans="1:86" s="305" customFormat="1" ht="39" customHeight="1">
      <c r="A135" s="276"/>
      <c r="B135" s="348">
        <v>100</v>
      </c>
      <c r="C135" s="348"/>
      <c r="D135" s="726" t="s">
        <v>1452</v>
      </c>
      <c r="E135" s="356">
        <v>37681</v>
      </c>
      <c r="F135" s="358">
        <v>2003</v>
      </c>
      <c r="G135" s="288">
        <v>24</v>
      </c>
      <c r="H135" s="288"/>
      <c r="I135" s="288">
        <v>2003</v>
      </c>
      <c r="J135" s="288">
        <v>5</v>
      </c>
      <c r="K135" s="358" t="s">
        <v>570</v>
      </c>
      <c r="L135" s="358" t="s">
        <v>126</v>
      </c>
      <c r="M135" s="358"/>
      <c r="N135" s="359" t="s">
        <v>1940</v>
      </c>
      <c r="O135" s="358" t="s">
        <v>1940</v>
      </c>
      <c r="P135" s="358" t="s">
        <v>1940</v>
      </c>
      <c r="Q135" s="360"/>
      <c r="R135" s="361"/>
      <c r="S135" s="294"/>
      <c r="T135" s="1058"/>
      <c r="U135" s="295"/>
      <c r="V135" s="295"/>
      <c r="W135" s="362"/>
      <c r="X135" s="379"/>
      <c r="Y135" s="293"/>
      <c r="Z135" s="294"/>
      <c r="AA135" s="293"/>
      <c r="AB135" s="365"/>
      <c r="AC135" s="364"/>
      <c r="AD135" s="427"/>
      <c r="AE135" s="299">
        <v>15000</v>
      </c>
      <c r="AF135" s="670"/>
      <c r="AG135" s="371">
        <f t="shared" ref="AG135:AG195" si="26">AC135+AD135+AE135</f>
        <v>15000</v>
      </c>
      <c r="AH135" s="489">
        <v>2</v>
      </c>
      <c r="AI135" s="490"/>
      <c r="AJ135" s="490"/>
      <c r="AK135" s="367"/>
      <c r="AL135" s="363"/>
      <c r="AM135" s="368"/>
      <c r="AN135" s="368"/>
      <c r="AO135" s="368"/>
      <c r="AP135" s="368"/>
      <c r="AQ135" s="368"/>
      <c r="AR135" s="368"/>
      <c r="AS135" s="368"/>
      <c r="AT135" s="368"/>
      <c r="AU135" s="368"/>
      <c r="AV135" s="368"/>
      <c r="AW135" s="368"/>
      <c r="AX135" s="369"/>
      <c r="AY135" s="369"/>
      <c r="AZ135" s="448"/>
      <c r="BA135" s="364">
        <f>35624/2</f>
        <v>17812</v>
      </c>
      <c r="BB135" s="299">
        <f t="shared" ref="BB135:BB197" si="27">AG135+AZ135+BA135</f>
        <v>32812</v>
      </c>
      <c r="BC135" s="370"/>
      <c r="BD135" s="371"/>
      <c r="BE135" s="491">
        <v>1000</v>
      </c>
      <c r="BF135" s="352">
        <f t="shared" si="25"/>
        <v>32812</v>
      </c>
      <c r="BG135" s="451" t="str">
        <f t="shared" si="20"/>
        <v>Y</v>
      </c>
      <c r="BH135" s="451"/>
      <c r="BI135" s="299"/>
      <c r="BJ135" s="698"/>
      <c r="BK135" s="698"/>
      <c r="BL135" s="303">
        <v>2689</v>
      </c>
      <c r="BM135" s="706"/>
      <c r="BN135" s="373"/>
      <c r="BO135" s="706"/>
      <c r="BP135" s="716"/>
      <c r="BQ135" s="706"/>
      <c r="BR135" s="373"/>
      <c r="BS135" s="373"/>
      <c r="BT135" s="373"/>
      <c r="BU135" s="373"/>
      <c r="BV135" s="304"/>
      <c r="BW135" s="288"/>
      <c r="BX135" s="359" t="s">
        <v>1005</v>
      </c>
      <c r="BY135" s="374" t="s">
        <v>1007</v>
      </c>
      <c r="BZ135" s="624"/>
      <c r="CA135" s="624"/>
      <c r="CB135" s="624"/>
      <c r="CC135" s="624"/>
      <c r="CD135" s="624"/>
      <c r="CE135" s="624"/>
      <c r="CF135" s="624"/>
      <c r="CG135" s="624"/>
      <c r="CH135" s="624"/>
    </row>
    <row r="136" spans="1:86" s="305" customFormat="1" ht="39" customHeight="1">
      <c r="A136" s="276"/>
      <c r="B136" s="348">
        <v>100</v>
      </c>
      <c r="C136" s="348"/>
      <c r="D136" s="726" t="s">
        <v>1516</v>
      </c>
      <c r="E136" s="356">
        <v>37681</v>
      </c>
      <c r="F136" s="358">
        <v>2003</v>
      </c>
      <c r="G136" s="288">
        <v>24</v>
      </c>
      <c r="H136" s="288"/>
      <c r="I136" s="288">
        <v>2003</v>
      </c>
      <c r="J136" s="288">
        <v>5</v>
      </c>
      <c r="K136" s="358" t="s">
        <v>570</v>
      </c>
      <c r="L136" s="358" t="s">
        <v>1883</v>
      </c>
      <c r="M136" s="358"/>
      <c r="N136" s="359" t="s">
        <v>1940</v>
      </c>
      <c r="O136" s="358" t="s">
        <v>1940</v>
      </c>
      <c r="P136" s="358" t="s">
        <v>1940</v>
      </c>
      <c r="Q136" s="360"/>
      <c r="R136" s="361"/>
      <c r="S136" s="294"/>
      <c r="T136" s="1058"/>
      <c r="U136" s="295"/>
      <c r="V136" s="295"/>
      <c r="W136" s="362"/>
      <c r="X136" s="379"/>
      <c r="Y136" s="293"/>
      <c r="Z136" s="294"/>
      <c r="AA136" s="293"/>
      <c r="AB136" s="365"/>
      <c r="AC136" s="364"/>
      <c r="AD136" s="427"/>
      <c r="AE136" s="299"/>
      <c r="AF136" s="670"/>
      <c r="AG136" s="371">
        <f t="shared" si="26"/>
        <v>0</v>
      </c>
      <c r="AH136" s="489">
        <v>1</v>
      </c>
      <c r="AI136" s="490"/>
      <c r="AJ136" s="490"/>
      <c r="AK136" s="367"/>
      <c r="AL136" s="363"/>
      <c r="AM136" s="368"/>
      <c r="AN136" s="368"/>
      <c r="AO136" s="368"/>
      <c r="AP136" s="368"/>
      <c r="AQ136" s="368"/>
      <c r="AR136" s="368"/>
      <c r="AS136" s="368"/>
      <c r="AT136" s="368"/>
      <c r="AU136" s="368"/>
      <c r="AV136" s="368"/>
      <c r="AW136" s="368"/>
      <c r="AX136" s="369"/>
      <c r="AY136" s="369"/>
      <c r="AZ136" s="448"/>
      <c r="BA136" s="364">
        <f>35624/2</f>
        <v>17812</v>
      </c>
      <c r="BB136" s="299">
        <f t="shared" si="27"/>
        <v>17812</v>
      </c>
      <c r="BC136" s="370"/>
      <c r="BD136" s="371"/>
      <c r="BE136" s="491"/>
      <c r="BF136" s="352">
        <f t="shared" si="25"/>
        <v>17812</v>
      </c>
      <c r="BG136" s="451" t="str">
        <f t="shared" si="20"/>
        <v>Y</v>
      </c>
      <c r="BH136" s="451"/>
      <c r="BI136" s="299"/>
      <c r="BJ136" s="698"/>
      <c r="BK136" s="698"/>
      <c r="BL136" s="303">
        <v>2689</v>
      </c>
      <c r="BM136" s="706"/>
      <c r="BN136" s="373"/>
      <c r="BO136" s="706"/>
      <c r="BP136" s="716"/>
      <c r="BQ136" s="706"/>
      <c r="BR136" s="373"/>
      <c r="BS136" s="373"/>
      <c r="BT136" s="373"/>
      <c r="BU136" s="373"/>
      <c r="BV136" s="304"/>
      <c r="BW136" s="288"/>
      <c r="BX136" s="359" t="s">
        <v>1005</v>
      </c>
      <c r="BY136" s="374" t="s">
        <v>1008</v>
      </c>
      <c r="BZ136" s="624"/>
      <c r="CA136" s="624"/>
      <c r="CB136" s="624"/>
      <c r="CC136" s="624"/>
      <c r="CD136" s="624"/>
      <c r="CE136" s="624"/>
      <c r="CF136" s="624"/>
      <c r="CG136" s="624"/>
      <c r="CH136" s="624"/>
    </row>
    <row r="137" spans="1:86" s="305" customFormat="1" ht="39" customHeight="1">
      <c r="A137" s="276"/>
      <c r="B137" s="348">
        <v>101</v>
      </c>
      <c r="C137" s="348"/>
      <c r="D137" s="726" t="s">
        <v>1517</v>
      </c>
      <c r="E137" s="356">
        <v>37742</v>
      </c>
      <c r="F137" s="358">
        <v>2003</v>
      </c>
      <c r="G137" s="288">
        <v>25</v>
      </c>
      <c r="H137" s="288"/>
      <c r="I137" s="288">
        <v>2003</v>
      </c>
      <c r="J137" s="288">
        <v>6</v>
      </c>
      <c r="K137" s="358" t="s">
        <v>1211</v>
      </c>
      <c r="L137" s="358" t="s">
        <v>1009</v>
      </c>
      <c r="M137" s="358" t="s">
        <v>1271</v>
      </c>
      <c r="N137" s="488" t="s">
        <v>1877</v>
      </c>
      <c r="O137" s="465" t="s">
        <v>1337</v>
      </c>
      <c r="P137" s="465" t="s">
        <v>1337</v>
      </c>
      <c r="Q137" s="360"/>
      <c r="R137" s="361"/>
      <c r="S137" s="294"/>
      <c r="T137" s="1058"/>
      <c r="U137" s="295"/>
      <c r="V137" s="295"/>
      <c r="W137" s="362"/>
      <c r="X137" s="379"/>
      <c r="Y137" s="293"/>
      <c r="Z137" s="294"/>
      <c r="AA137" s="293"/>
      <c r="AB137" s="365">
        <f>COUNTIF(AC137, "&gt;49999")</f>
        <v>0</v>
      </c>
      <c r="AC137" s="364">
        <v>15000</v>
      </c>
      <c r="AD137" s="427"/>
      <c r="AE137" s="299"/>
      <c r="AF137" s="670"/>
      <c r="AG137" s="371">
        <f t="shared" si="26"/>
        <v>15000</v>
      </c>
      <c r="AH137" s="489">
        <v>1</v>
      </c>
      <c r="AI137" s="490"/>
      <c r="AJ137" s="490"/>
      <c r="AK137" s="367"/>
      <c r="AL137" s="363"/>
      <c r="AM137" s="368"/>
      <c r="AN137" s="368"/>
      <c r="AO137" s="368"/>
      <c r="AP137" s="368"/>
      <c r="AQ137" s="368"/>
      <c r="AR137" s="368"/>
      <c r="AS137" s="368"/>
      <c r="AT137" s="368"/>
      <c r="AU137" s="368"/>
      <c r="AV137" s="368"/>
      <c r="AW137" s="368"/>
      <c r="AX137" s="369"/>
      <c r="AY137" s="369"/>
      <c r="AZ137" s="448"/>
      <c r="BA137" s="364"/>
      <c r="BB137" s="299">
        <f t="shared" si="27"/>
        <v>15000</v>
      </c>
      <c r="BC137" s="370"/>
      <c r="BD137" s="371"/>
      <c r="BE137" s="491">
        <v>1500</v>
      </c>
      <c r="BF137" s="352">
        <f t="shared" si="25"/>
        <v>15000</v>
      </c>
      <c r="BG137" s="451" t="str">
        <f t="shared" ref="BG137:BG200" si="28">IF(OR(BL137=2799,BL137=2099),"N","Y")</f>
        <v>Y</v>
      </c>
      <c r="BH137" s="451"/>
      <c r="BI137" s="299"/>
      <c r="BJ137" s="698"/>
      <c r="BK137" s="698"/>
      <c r="BL137" s="303">
        <v>2898</v>
      </c>
      <c r="BM137" s="706"/>
      <c r="BN137" s="373"/>
      <c r="BO137" s="706"/>
      <c r="BP137" s="716"/>
      <c r="BQ137" s="706"/>
      <c r="BR137" s="373"/>
      <c r="BS137" s="373"/>
      <c r="BT137" s="373"/>
      <c r="BU137" s="373"/>
      <c r="BV137" s="304"/>
      <c r="BW137" s="288"/>
      <c r="BX137" s="359"/>
      <c r="BY137" s="374" t="s">
        <v>1010</v>
      </c>
      <c r="BZ137" s="624"/>
      <c r="CA137" s="624"/>
      <c r="CB137" s="624"/>
      <c r="CC137" s="624"/>
      <c r="CD137" s="624"/>
      <c r="CE137" s="624"/>
      <c r="CF137" s="624"/>
      <c r="CG137" s="624"/>
      <c r="CH137" s="624"/>
    </row>
    <row r="138" spans="1:86" s="305" customFormat="1" ht="39" customHeight="1">
      <c r="A138" s="276"/>
      <c r="B138" s="348">
        <f>B137+1</f>
        <v>102</v>
      </c>
      <c r="C138" s="348"/>
      <c r="D138" s="726" t="s">
        <v>1402</v>
      </c>
      <c r="E138" s="356">
        <v>37742</v>
      </c>
      <c r="F138" s="358">
        <v>2003</v>
      </c>
      <c r="G138" s="288">
        <v>26</v>
      </c>
      <c r="H138" s="288"/>
      <c r="I138" s="288">
        <v>2003</v>
      </c>
      <c r="J138" s="288">
        <v>7</v>
      </c>
      <c r="K138" s="358" t="s">
        <v>570</v>
      </c>
      <c r="L138" s="358" t="s">
        <v>1883</v>
      </c>
      <c r="M138" s="358" t="s">
        <v>1961</v>
      </c>
      <c r="N138" s="359" t="s">
        <v>1884</v>
      </c>
      <c r="O138" s="358" t="s">
        <v>1884</v>
      </c>
      <c r="P138" s="358" t="s">
        <v>1884</v>
      </c>
      <c r="Q138" s="360"/>
      <c r="R138" s="361"/>
      <c r="S138" s="294"/>
      <c r="T138" s="1058"/>
      <c r="U138" s="295"/>
      <c r="V138" s="295"/>
      <c r="W138" s="362"/>
      <c r="X138" s="379"/>
      <c r="Y138" s="293"/>
      <c r="Z138" s="294"/>
      <c r="AA138" s="293"/>
      <c r="AB138" s="365"/>
      <c r="AC138" s="364"/>
      <c r="AD138" s="427"/>
      <c r="AE138" s="299"/>
      <c r="AF138" s="670"/>
      <c r="AG138" s="371">
        <f t="shared" si="26"/>
        <v>0</v>
      </c>
      <c r="AH138" s="489">
        <v>2</v>
      </c>
      <c r="AI138" s="490"/>
      <c r="AJ138" s="490"/>
      <c r="AK138" s="367">
        <v>9000</v>
      </c>
      <c r="AL138" s="363"/>
      <c r="AM138" s="368"/>
      <c r="AN138" s="368"/>
      <c r="AO138" s="368"/>
      <c r="AP138" s="368"/>
      <c r="AQ138" s="368"/>
      <c r="AR138" s="368"/>
      <c r="AS138" s="368"/>
      <c r="AT138" s="368"/>
      <c r="AU138" s="368">
        <v>9000</v>
      </c>
      <c r="AV138" s="368"/>
      <c r="AW138" s="368"/>
      <c r="AX138" s="369"/>
      <c r="AY138" s="369"/>
      <c r="AZ138" s="448">
        <v>331380</v>
      </c>
      <c r="BA138" s="364"/>
      <c r="BB138" s="299">
        <f t="shared" si="27"/>
        <v>331380</v>
      </c>
      <c r="BC138" s="370"/>
      <c r="BD138" s="371"/>
      <c r="BE138" s="491">
        <v>45000</v>
      </c>
      <c r="BF138" s="352">
        <f>AE138+AC138+AZ138+BA138</f>
        <v>331380</v>
      </c>
      <c r="BG138" s="451" t="str">
        <f t="shared" si="28"/>
        <v>Y</v>
      </c>
      <c r="BH138" s="451"/>
      <c r="BI138" s="299"/>
      <c r="BJ138" s="698"/>
      <c r="BK138" s="698"/>
      <c r="BL138" s="303">
        <v>2898</v>
      </c>
      <c r="BM138" s="706"/>
      <c r="BN138" s="373"/>
      <c r="BO138" s="706"/>
      <c r="BP138" s="716"/>
      <c r="BQ138" s="706"/>
      <c r="BR138" s="373"/>
      <c r="BS138" s="373"/>
      <c r="BT138" s="373"/>
      <c r="BU138" s="373"/>
      <c r="BV138" s="495"/>
      <c r="BW138" s="288"/>
      <c r="BX138" s="359" t="s">
        <v>1011</v>
      </c>
      <c r="BY138" s="374" t="s">
        <v>848</v>
      </c>
      <c r="BZ138" s="624"/>
      <c r="CA138" s="624"/>
      <c r="CB138" s="624"/>
      <c r="CC138" s="624"/>
      <c r="CD138" s="624"/>
      <c r="CE138" s="624"/>
      <c r="CF138" s="624"/>
      <c r="CG138" s="624"/>
      <c r="CH138" s="624"/>
    </row>
    <row r="139" spans="1:86" s="305" customFormat="1" ht="39" customHeight="1">
      <c r="A139" s="276"/>
      <c r="B139" s="348">
        <v>103</v>
      </c>
      <c r="C139" s="348"/>
      <c r="D139" s="726" t="s">
        <v>1518</v>
      </c>
      <c r="E139" s="356">
        <v>37742</v>
      </c>
      <c r="F139" s="358">
        <v>2003</v>
      </c>
      <c r="G139" s="288">
        <v>27</v>
      </c>
      <c r="H139" s="288"/>
      <c r="I139" s="288">
        <v>2003</v>
      </c>
      <c r="J139" s="288">
        <v>8</v>
      </c>
      <c r="K139" s="288" t="s">
        <v>570</v>
      </c>
      <c r="L139" s="358" t="s">
        <v>1879</v>
      </c>
      <c r="M139" s="358"/>
      <c r="N139" s="359" t="s">
        <v>1639</v>
      </c>
      <c r="O139" s="358" t="s">
        <v>1275</v>
      </c>
      <c r="P139" s="358" t="s">
        <v>1275</v>
      </c>
      <c r="Q139" s="360"/>
      <c r="R139" s="361"/>
      <c r="S139" s="294"/>
      <c r="T139" s="1058"/>
      <c r="U139" s="295"/>
      <c r="V139" s="295"/>
      <c r="W139" s="362"/>
      <c r="X139" s="379"/>
      <c r="Y139" s="293"/>
      <c r="Z139" s="294"/>
      <c r="AA139" s="293"/>
      <c r="AB139" s="496"/>
      <c r="AC139" s="364"/>
      <c r="AD139" s="427"/>
      <c r="AE139" s="299">
        <f>25000+7500</f>
        <v>32500</v>
      </c>
      <c r="AF139" s="670"/>
      <c r="AG139" s="371">
        <f t="shared" si="26"/>
        <v>32500</v>
      </c>
      <c r="AH139" s="489"/>
      <c r="AI139" s="490"/>
      <c r="AJ139" s="490"/>
      <c r="AK139" s="367"/>
      <c r="AL139" s="363"/>
      <c r="AM139" s="368"/>
      <c r="AN139" s="368"/>
      <c r="AO139" s="368"/>
      <c r="AP139" s="368"/>
      <c r="AQ139" s="368"/>
      <c r="AR139" s="368"/>
      <c r="AS139" s="368"/>
      <c r="AT139" s="368"/>
      <c r="AU139" s="368"/>
      <c r="AV139" s="368"/>
      <c r="AW139" s="368"/>
      <c r="AX139" s="369"/>
      <c r="AY139" s="369"/>
      <c r="AZ139" s="448"/>
      <c r="BA139" s="364"/>
      <c r="BB139" s="299">
        <f t="shared" si="27"/>
        <v>32500</v>
      </c>
      <c r="BC139" s="370"/>
      <c r="BD139" s="371"/>
      <c r="BE139" s="491">
        <v>59000</v>
      </c>
      <c r="BF139" s="352">
        <f>AE139+AC139+AZ139+BA139</f>
        <v>32500</v>
      </c>
      <c r="BG139" s="451" t="str">
        <f t="shared" si="28"/>
        <v>Y</v>
      </c>
      <c r="BH139" s="451"/>
      <c r="BI139" s="299"/>
      <c r="BJ139" s="698"/>
      <c r="BK139" s="698"/>
      <c r="BL139" s="695">
        <v>2691</v>
      </c>
      <c r="BM139" s="711"/>
      <c r="BN139" s="494"/>
      <c r="BO139" s="711"/>
      <c r="BP139" s="458"/>
      <c r="BQ139" s="711"/>
      <c r="BR139" s="494"/>
      <c r="BS139" s="494"/>
      <c r="BT139" s="494"/>
      <c r="BU139" s="494"/>
      <c r="BV139" s="304"/>
      <c r="BW139" s="288"/>
      <c r="BX139" s="359" t="s">
        <v>1033</v>
      </c>
      <c r="BY139" s="307" t="s">
        <v>482</v>
      </c>
      <c r="BZ139" s="624"/>
      <c r="CA139" s="624"/>
      <c r="CB139" s="624"/>
      <c r="CC139" s="624"/>
      <c r="CD139" s="624"/>
      <c r="CE139" s="624"/>
      <c r="CF139" s="624"/>
      <c r="CG139" s="624"/>
      <c r="CH139" s="624"/>
    </row>
    <row r="140" spans="1:86" s="305" customFormat="1" ht="39" customHeight="1">
      <c r="A140" s="276"/>
      <c r="B140" s="348">
        <v>103</v>
      </c>
      <c r="C140" s="348"/>
      <c r="D140" s="726" t="s">
        <v>1518</v>
      </c>
      <c r="E140" s="356">
        <v>37742</v>
      </c>
      <c r="F140" s="358">
        <v>2003</v>
      </c>
      <c r="G140" s="288">
        <v>27</v>
      </c>
      <c r="H140" s="288"/>
      <c r="I140" s="288">
        <v>2003</v>
      </c>
      <c r="J140" s="288">
        <v>8</v>
      </c>
      <c r="K140" s="288" t="s">
        <v>570</v>
      </c>
      <c r="L140" s="358" t="s">
        <v>1879</v>
      </c>
      <c r="M140" s="358"/>
      <c r="N140" s="359" t="s">
        <v>1639</v>
      </c>
      <c r="O140" s="358" t="s">
        <v>1275</v>
      </c>
      <c r="P140" s="358" t="s">
        <v>1275</v>
      </c>
      <c r="Q140" s="360"/>
      <c r="R140" s="361"/>
      <c r="S140" s="294"/>
      <c r="T140" s="1058"/>
      <c r="U140" s="295"/>
      <c r="V140" s="295"/>
      <c r="W140" s="362"/>
      <c r="X140" s="379"/>
      <c r="Y140" s="293"/>
      <c r="Z140" s="294"/>
      <c r="AA140" s="293"/>
      <c r="AB140" s="496"/>
      <c r="AC140" s="364"/>
      <c r="AD140" s="427"/>
      <c r="AE140" s="299">
        <f>42642+128000+200000</f>
        <v>370642</v>
      </c>
      <c r="AF140" s="670"/>
      <c r="AG140" s="371">
        <f t="shared" si="26"/>
        <v>370642</v>
      </c>
      <c r="AH140" s="489"/>
      <c r="AI140" s="490"/>
      <c r="AJ140" s="490"/>
      <c r="AK140" s="367"/>
      <c r="AL140" s="363"/>
      <c r="AM140" s="368"/>
      <c r="AN140" s="368"/>
      <c r="AO140" s="368"/>
      <c r="AP140" s="368"/>
      <c r="AQ140" s="368"/>
      <c r="AR140" s="368"/>
      <c r="AS140" s="368"/>
      <c r="AT140" s="368"/>
      <c r="AU140" s="368"/>
      <c r="AV140" s="368"/>
      <c r="AW140" s="368"/>
      <c r="AX140" s="369"/>
      <c r="AY140" s="369"/>
      <c r="AZ140" s="448"/>
      <c r="BA140" s="364"/>
      <c r="BB140" s="299">
        <f t="shared" si="27"/>
        <v>370642</v>
      </c>
      <c r="BC140" s="370"/>
      <c r="BD140" s="371"/>
      <c r="BE140" s="491">
        <v>15000</v>
      </c>
      <c r="BF140" s="352">
        <f t="shared" ref="BF140:BF145" si="29">BB140+BD140+BC140</f>
        <v>370642</v>
      </c>
      <c r="BG140" s="451" t="str">
        <f t="shared" si="28"/>
        <v>Y</v>
      </c>
      <c r="BH140" s="451"/>
      <c r="BI140" s="299"/>
      <c r="BJ140" s="698"/>
      <c r="BK140" s="698"/>
      <c r="BL140" s="695" t="s">
        <v>1003</v>
      </c>
      <c r="BM140" s="711"/>
      <c r="BN140" s="494"/>
      <c r="BO140" s="711"/>
      <c r="BP140" s="458"/>
      <c r="BQ140" s="711"/>
      <c r="BR140" s="494"/>
      <c r="BS140" s="494"/>
      <c r="BT140" s="494"/>
      <c r="BU140" s="494"/>
      <c r="BV140" s="304"/>
      <c r="BW140" s="288"/>
      <c r="BX140" s="359" t="s">
        <v>1033</v>
      </c>
      <c r="BY140" s="307" t="s">
        <v>483</v>
      </c>
      <c r="BZ140" s="624"/>
      <c r="CA140" s="624"/>
      <c r="CB140" s="624"/>
      <c r="CC140" s="624"/>
      <c r="CD140" s="624"/>
      <c r="CE140" s="624"/>
      <c r="CF140" s="624"/>
      <c r="CG140" s="624"/>
      <c r="CH140" s="624"/>
    </row>
    <row r="141" spans="1:86" s="305" customFormat="1" ht="39" customHeight="1">
      <c r="A141" s="276"/>
      <c r="B141" s="348">
        <v>103</v>
      </c>
      <c r="C141" s="348"/>
      <c r="D141" s="726" t="s">
        <v>1519</v>
      </c>
      <c r="E141" s="356">
        <v>37742</v>
      </c>
      <c r="F141" s="358">
        <v>2003</v>
      </c>
      <c r="G141" s="288">
        <v>27</v>
      </c>
      <c r="H141" s="288"/>
      <c r="I141" s="288">
        <v>2003</v>
      </c>
      <c r="J141" s="288">
        <v>8</v>
      </c>
      <c r="K141" s="288" t="s">
        <v>570</v>
      </c>
      <c r="L141" s="358" t="s">
        <v>1034</v>
      </c>
      <c r="M141" s="358"/>
      <c r="N141" s="359" t="s">
        <v>1639</v>
      </c>
      <c r="O141" s="358" t="s">
        <v>1275</v>
      </c>
      <c r="P141" s="358" t="s">
        <v>1275</v>
      </c>
      <c r="Q141" s="360"/>
      <c r="R141" s="361"/>
      <c r="S141" s="294"/>
      <c r="T141" s="1058"/>
      <c r="U141" s="295"/>
      <c r="V141" s="295"/>
      <c r="W141" s="362"/>
      <c r="X141" s="379"/>
      <c r="Y141" s="293"/>
      <c r="Z141" s="294"/>
      <c r="AA141" s="293"/>
      <c r="AB141" s="365"/>
      <c r="AC141" s="364"/>
      <c r="AD141" s="427"/>
      <c r="AE141" s="299">
        <f>25000+35000</f>
        <v>60000</v>
      </c>
      <c r="AF141" s="670"/>
      <c r="AG141" s="371">
        <f t="shared" si="26"/>
        <v>60000</v>
      </c>
      <c r="AH141" s="489"/>
      <c r="AI141" s="490"/>
      <c r="AJ141" s="490"/>
      <c r="AK141" s="367"/>
      <c r="AL141" s="363"/>
      <c r="AM141" s="368"/>
      <c r="AN141" s="368"/>
      <c r="AO141" s="368"/>
      <c r="AP141" s="368"/>
      <c r="AQ141" s="368"/>
      <c r="AR141" s="368"/>
      <c r="AS141" s="368"/>
      <c r="AT141" s="368"/>
      <c r="AU141" s="368"/>
      <c r="AV141" s="368"/>
      <c r="AW141" s="368"/>
      <c r="AX141" s="369"/>
      <c r="AY141" s="369"/>
      <c r="AZ141" s="448"/>
      <c r="BA141" s="364"/>
      <c r="BB141" s="299">
        <f t="shared" si="27"/>
        <v>60000</v>
      </c>
      <c r="BC141" s="370"/>
      <c r="BD141" s="371"/>
      <c r="BE141" s="491">
        <f>435000/6</f>
        <v>72500</v>
      </c>
      <c r="BF141" s="352">
        <f t="shared" si="29"/>
        <v>60000</v>
      </c>
      <c r="BG141" s="451" t="str">
        <f t="shared" si="28"/>
        <v>Y</v>
      </c>
      <c r="BH141" s="451"/>
      <c r="BI141" s="299"/>
      <c r="BJ141" s="698"/>
      <c r="BK141" s="698"/>
      <c r="BL141" s="303">
        <v>2060</v>
      </c>
      <c r="BM141" s="706"/>
      <c r="BN141" s="373"/>
      <c r="BO141" s="706"/>
      <c r="BP141" s="716"/>
      <c r="BQ141" s="706"/>
      <c r="BR141" s="373"/>
      <c r="BS141" s="373"/>
      <c r="BT141" s="373"/>
      <c r="BU141" s="373"/>
      <c r="BV141" s="304"/>
      <c r="BW141" s="288"/>
      <c r="BX141" s="359" t="s">
        <v>1033</v>
      </c>
      <c r="BY141" s="374" t="s">
        <v>484</v>
      </c>
      <c r="BZ141" s="624"/>
      <c r="CA141" s="624"/>
      <c r="CB141" s="624"/>
      <c r="CC141" s="624"/>
      <c r="CD141" s="624"/>
      <c r="CE141" s="624"/>
      <c r="CF141" s="624"/>
      <c r="CG141" s="624"/>
      <c r="CH141" s="624"/>
    </row>
    <row r="142" spans="1:86" s="305" customFormat="1" ht="39" customHeight="1">
      <c r="A142" s="276"/>
      <c r="B142" s="348">
        <v>104</v>
      </c>
      <c r="C142" s="348"/>
      <c r="D142" s="726" t="s">
        <v>1520</v>
      </c>
      <c r="E142" s="356">
        <v>37742</v>
      </c>
      <c r="F142" s="358">
        <v>2003</v>
      </c>
      <c r="G142" s="288">
        <v>28</v>
      </c>
      <c r="H142" s="288"/>
      <c r="I142" s="288">
        <v>2003</v>
      </c>
      <c r="J142" s="288">
        <v>9</v>
      </c>
      <c r="K142" s="288" t="s">
        <v>570</v>
      </c>
      <c r="L142" s="358" t="s">
        <v>1637</v>
      </c>
      <c r="M142" s="358" t="s">
        <v>1271</v>
      </c>
      <c r="N142" s="488" t="s">
        <v>1877</v>
      </c>
      <c r="O142" s="465" t="s">
        <v>1337</v>
      </c>
      <c r="P142" s="465" t="s">
        <v>1337</v>
      </c>
      <c r="Q142" s="360"/>
      <c r="R142" s="361"/>
      <c r="S142" s="294"/>
      <c r="T142" s="1058"/>
      <c r="U142" s="295"/>
      <c r="V142" s="295"/>
      <c r="W142" s="362"/>
      <c r="X142" s="379"/>
      <c r="Y142" s="293"/>
      <c r="Z142" s="294"/>
      <c r="AA142" s="293"/>
      <c r="AB142" s="365">
        <f>COUNTIF(AC142, "&gt;49999")</f>
        <v>0</v>
      </c>
      <c r="AC142" s="364">
        <v>21400</v>
      </c>
      <c r="AD142" s="427"/>
      <c r="AE142" s="299"/>
      <c r="AF142" s="670"/>
      <c r="AG142" s="371">
        <f t="shared" si="26"/>
        <v>21400</v>
      </c>
      <c r="AH142" s="489"/>
      <c r="AI142" s="490"/>
      <c r="AJ142" s="490"/>
      <c r="AK142" s="367"/>
      <c r="AL142" s="363"/>
      <c r="AM142" s="368"/>
      <c r="AN142" s="368"/>
      <c r="AO142" s="368"/>
      <c r="AP142" s="368"/>
      <c r="AQ142" s="368"/>
      <c r="AR142" s="368"/>
      <c r="AS142" s="368"/>
      <c r="AT142" s="368"/>
      <c r="AU142" s="368"/>
      <c r="AV142" s="368"/>
      <c r="AW142" s="368"/>
      <c r="AX142" s="369"/>
      <c r="AY142" s="369"/>
      <c r="AZ142" s="448"/>
      <c r="BA142" s="364"/>
      <c r="BB142" s="299">
        <f t="shared" si="27"/>
        <v>21400</v>
      </c>
      <c r="BC142" s="370"/>
      <c r="BD142" s="371"/>
      <c r="BE142" s="491">
        <f>(21400/934598)*125000</f>
        <v>2862.1931568439049</v>
      </c>
      <c r="BF142" s="352">
        <f t="shared" si="29"/>
        <v>21400</v>
      </c>
      <c r="BG142" s="451" t="str">
        <f t="shared" si="28"/>
        <v>Y</v>
      </c>
      <c r="BH142" s="451"/>
      <c r="BI142" s="299"/>
      <c r="BJ142" s="698"/>
      <c r="BK142" s="698"/>
      <c r="BL142" s="303">
        <v>2692</v>
      </c>
      <c r="BM142" s="706"/>
      <c r="BN142" s="373"/>
      <c r="BO142" s="706"/>
      <c r="BP142" s="716"/>
      <c r="BQ142" s="706"/>
      <c r="BR142" s="373"/>
      <c r="BS142" s="373"/>
      <c r="BT142" s="373"/>
      <c r="BU142" s="373"/>
      <c r="BV142" s="304"/>
      <c r="BW142" s="288"/>
      <c r="BX142" s="359"/>
      <c r="BY142" s="374" t="s">
        <v>1538</v>
      </c>
      <c r="BZ142" s="624"/>
      <c r="CA142" s="624"/>
      <c r="CB142" s="624"/>
      <c r="CC142" s="624"/>
      <c r="CD142" s="624"/>
      <c r="CE142" s="624"/>
      <c r="CF142" s="624"/>
      <c r="CG142" s="624"/>
      <c r="CH142" s="624"/>
    </row>
    <row r="143" spans="1:86" s="305" customFormat="1" ht="39" customHeight="1">
      <c r="A143" s="276"/>
      <c r="B143" s="348">
        <v>105</v>
      </c>
      <c r="C143" s="348"/>
      <c r="D143" s="726" t="s">
        <v>1808</v>
      </c>
      <c r="E143" s="356">
        <v>37803</v>
      </c>
      <c r="F143" s="358">
        <v>2004</v>
      </c>
      <c r="G143" s="288">
        <v>1</v>
      </c>
      <c r="H143" s="288"/>
      <c r="I143" s="288">
        <v>2003</v>
      </c>
      <c r="J143" s="288">
        <v>10</v>
      </c>
      <c r="K143" s="358" t="s">
        <v>1211</v>
      </c>
      <c r="L143" s="358" t="s">
        <v>1604</v>
      </c>
      <c r="M143" s="358" t="s">
        <v>1271</v>
      </c>
      <c r="N143" s="488" t="s">
        <v>1877</v>
      </c>
      <c r="O143" s="465" t="s">
        <v>1337</v>
      </c>
      <c r="P143" s="465" t="s">
        <v>1337</v>
      </c>
      <c r="Q143" s="360"/>
      <c r="R143" s="361"/>
      <c r="S143" s="294"/>
      <c r="T143" s="1058"/>
      <c r="U143" s="295"/>
      <c r="V143" s="295"/>
      <c r="W143" s="362"/>
      <c r="X143" s="379"/>
      <c r="Y143" s="293"/>
      <c r="Z143" s="294"/>
      <c r="AA143" s="293"/>
      <c r="AB143" s="365"/>
      <c r="AC143" s="364"/>
      <c r="AD143" s="427"/>
      <c r="AE143" s="299"/>
      <c r="AF143" s="670"/>
      <c r="AG143" s="371">
        <f t="shared" si="26"/>
        <v>0</v>
      </c>
      <c r="AH143" s="489">
        <v>1</v>
      </c>
      <c r="AI143" s="490"/>
      <c r="AJ143" s="490"/>
      <c r="AK143" s="367">
        <v>6500</v>
      </c>
      <c r="AL143" s="363"/>
      <c r="AM143" s="368">
        <v>500</v>
      </c>
      <c r="AN143" s="368"/>
      <c r="AO143" s="374"/>
      <c r="AP143" s="368"/>
      <c r="AQ143" s="368"/>
      <c r="AR143" s="368"/>
      <c r="AS143" s="368">
        <v>6000</v>
      </c>
      <c r="AT143" s="368"/>
      <c r="AU143" s="368"/>
      <c r="AV143" s="368"/>
      <c r="AW143" s="368"/>
      <c r="AX143" s="369"/>
      <c r="AY143" s="369"/>
      <c r="AZ143" s="448">
        <v>16700</v>
      </c>
      <c r="BA143" s="364"/>
      <c r="BB143" s="299">
        <f t="shared" si="27"/>
        <v>16700</v>
      </c>
      <c r="BC143" s="370"/>
      <c r="BD143" s="371"/>
      <c r="BE143" s="491">
        <v>3000</v>
      </c>
      <c r="BF143" s="352">
        <f t="shared" si="29"/>
        <v>16700</v>
      </c>
      <c r="BG143" s="451" t="str">
        <f t="shared" si="28"/>
        <v>Y</v>
      </c>
      <c r="BH143" s="451"/>
      <c r="BI143" s="299"/>
      <c r="BJ143" s="698"/>
      <c r="BK143" s="698"/>
      <c r="BL143" s="303">
        <v>2898</v>
      </c>
      <c r="BM143" s="706"/>
      <c r="BN143" s="373"/>
      <c r="BO143" s="706"/>
      <c r="BP143" s="716"/>
      <c r="BQ143" s="706"/>
      <c r="BR143" s="373"/>
      <c r="BS143" s="373"/>
      <c r="BT143" s="373"/>
      <c r="BU143" s="373"/>
      <c r="BV143" s="304"/>
      <c r="BW143" s="288"/>
      <c r="BX143" s="359"/>
      <c r="BY143" s="374" t="s">
        <v>1330</v>
      </c>
      <c r="BZ143" s="624"/>
      <c r="CA143" s="624"/>
      <c r="CB143" s="624"/>
      <c r="CC143" s="624"/>
      <c r="CD143" s="624"/>
      <c r="CE143" s="624"/>
      <c r="CF143" s="624"/>
      <c r="CG143" s="624"/>
      <c r="CH143" s="624"/>
    </row>
    <row r="144" spans="1:86" s="305" customFormat="1" ht="39" customHeight="1">
      <c r="A144" s="276"/>
      <c r="B144" s="348">
        <v>106</v>
      </c>
      <c r="C144" s="348"/>
      <c r="D144" s="726" t="s">
        <v>1521</v>
      </c>
      <c r="E144" s="356">
        <v>37865</v>
      </c>
      <c r="F144" s="358">
        <v>2004</v>
      </c>
      <c r="G144" s="288">
        <v>2</v>
      </c>
      <c r="H144" s="288"/>
      <c r="I144" s="288">
        <v>2003</v>
      </c>
      <c r="J144" s="288">
        <v>11</v>
      </c>
      <c r="K144" s="288" t="s">
        <v>1212</v>
      </c>
      <c r="L144" s="358" t="s">
        <v>1656</v>
      </c>
      <c r="M144" s="358"/>
      <c r="N144" s="359" t="s">
        <v>1968</v>
      </c>
      <c r="O144" s="358" t="s">
        <v>142</v>
      </c>
      <c r="P144" s="358" t="s">
        <v>1593</v>
      </c>
      <c r="Q144" s="360"/>
      <c r="R144" s="361"/>
      <c r="S144" s="294"/>
      <c r="T144" s="1058"/>
      <c r="U144" s="295"/>
      <c r="V144" s="295"/>
      <c r="W144" s="362"/>
      <c r="X144" s="379"/>
      <c r="Y144" s="293"/>
      <c r="Z144" s="294"/>
      <c r="AA144" s="293"/>
      <c r="AB144" s="365"/>
      <c r="AC144" s="364"/>
      <c r="AD144" s="427"/>
      <c r="AE144" s="299">
        <v>10000</v>
      </c>
      <c r="AF144" s="670"/>
      <c r="AG144" s="371">
        <f t="shared" si="26"/>
        <v>10000</v>
      </c>
      <c r="AH144" s="489"/>
      <c r="AI144" s="490"/>
      <c r="AJ144" s="490"/>
      <c r="AK144" s="367"/>
      <c r="AL144" s="363"/>
      <c r="AM144" s="368"/>
      <c r="AN144" s="368"/>
      <c r="AO144" s="368"/>
      <c r="AP144" s="368"/>
      <c r="AQ144" s="368"/>
      <c r="AR144" s="368"/>
      <c r="AS144" s="368"/>
      <c r="AT144" s="368"/>
      <c r="AU144" s="368"/>
      <c r="AV144" s="368"/>
      <c r="AW144" s="368"/>
      <c r="AX144" s="369"/>
      <c r="AY144" s="369"/>
      <c r="AZ144" s="448"/>
      <c r="BA144" s="364"/>
      <c r="BB144" s="299">
        <f t="shared" si="27"/>
        <v>10000</v>
      </c>
      <c r="BC144" s="370"/>
      <c r="BD144" s="371"/>
      <c r="BE144" s="491">
        <v>250</v>
      </c>
      <c r="BF144" s="352">
        <f t="shared" si="29"/>
        <v>10000</v>
      </c>
      <c r="BG144" s="451" t="str">
        <f t="shared" si="28"/>
        <v>N</v>
      </c>
      <c r="BH144" s="451"/>
      <c r="BI144" s="299"/>
      <c r="BJ144" s="698"/>
      <c r="BK144" s="698"/>
      <c r="BL144" s="303">
        <v>2099</v>
      </c>
      <c r="BM144" s="706"/>
      <c r="BN144" s="373"/>
      <c r="BO144" s="706"/>
      <c r="BP144" s="716"/>
      <c r="BQ144" s="706"/>
      <c r="BR144" s="373"/>
      <c r="BS144" s="373"/>
      <c r="BT144" s="373"/>
      <c r="BU144" s="373"/>
      <c r="BV144" s="304"/>
      <c r="BW144" s="288"/>
      <c r="BX144" s="359"/>
      <c r="BY144" s="374" t="s">
        <v>1539</v>
      </c>
      <c r="BZ144" s="624"/>
      <c r="CA144" s="624"/>
      <c r="CB144" s="624"/>
      <c r="CC144" s="624"/>
      <c r="CD144" s="624"/>
      <c r="CE144" s="624"/>
      <c r="CF144" s="624"/>
      <c r="CG144" s="624"/>
      <c r="CH144" s="624"/>
    </row>
    <row r="145" spans="1:86" s="305" customFormat="1" ht="39" customHeight="1">
      <c r="A145" s="276"/>
      <c r="B145" s="348">
        <v>107</v>
      </c>
      <c r="C145" s="348"/>
      <c r="D145" s="726" t="s">
        <v>1522</v>
      </c>
      <c r="E145" s="356">
        <v>37895</v>
      </c>
      <c r="F145" s="358">
        <v>2004</v>
      </c>
      <c r="G145" s="288">
        <v>3</v>
      </c>
      <c r="H145" s="288"/>
      <c r="I145" s="288">
        <v>2003</v>
      </c>
      <c r="J145" s="288">
        <v>12</v>
      </c>
      <c r="K145" s="288" t="s">
        <v>1211</v>
      </c>
      <c r="L145" s="358" t="s">
        <v>1540</v>
      </c>
      <c r="M145" s="358" t="s">
        <v>1961</v>
      </c>
      <c r="N145" s="359" t="s">
        <v>1884</v>
      </c>
      <c r="O145" s="358" t="s">
        <v>1884</v>
      </c>
      <c r="P145" s="358" t="s">
        <v>1884</v>
      </c>
      <c r="Q145" s="360"/>
      <c r="R145" s="361"/>
      <c r="S145" s="294"/>
      <c r="T145" s="1058"/>
      <c r="U145" s="295"/>
      <c r="V145" s="295"/>
      <c r="W145" s="362"/>
      <c r="X145" s="379"/>
      <c r="Y145" s="293"/>
      <c r="Z145" s="294"/>
      <c r="AA145" s="293"/>
      <c r="AB145" s="365"/>
      <c r="AC145" s="364"/>
      <c r="AD145" s="427"/>
      <c r="AE145" s="299"/>
      <c r="AF145" s="670"/>
      <c r="AG145" s="371">
        <f t="shared" si="26"/>
        <v>0</v>
      </c>
      <c r="AH145" s="489"/>
      <c r="AI145" s="490"/>
      <c r="AJ145" s="490"/>
      <c r="AK145" s="367"/>
      <c r="AL145" s="363"/>
      <c r="AM145" s="368"/>
      <c r="AN145" s="368"/>
      <c r="AO145" s="368"/>
      <c r="AP145" s="368"/>
      <c r="AQ145" s="368"/>
      <c r="AR145" s="368"/>
      <c r="AS145" s="368"/>
      <c r="AT145" s="368"/>
      <c r="AU145" s="368"/>
      <c r="AV145" s="368"/>
      <c r="AW145" s="368"/>
      <c r="AX145" s="369"/>
      <c r="AY145" s="369"/>
      <c r="AZ145" s="448">
        <v>25000</v>
      </c>
      <c r="BA145" s="364"/>
      <c r="BB145" s="299">
        <f t="shared" si="27"/>
        <v>25000</v>
      </c>
      <c r="BC145" s="370"/>
      <c r="BD145" s="371"/>
      <c r="BE145" s="491">
        <v>100</v>
      </c>
      <c r="BF145" s="352">
        <f t="shared" si="29"/>
        <v>25000</v>
      </c>
      <c r="BG145" s="451" t="str">
        <f t="shared" si="28"/>
        <v>Y</v>
      </c>
      <c r="BH145" s="451"/>
      <c r="BI145" s="299"/>
      <c r="BJ145" s="698"/>
      <c r="BK145" s="698"/>
      <c r="BL145" s="303">
        <v>2694</v>
      </c>
      <c r="BM145" s="706"/>
      <c r="BN145" s="373"/>
      <c r="BO145" s="706"/>
      <c r="BP145" s="716"/>
      <c r="BQ145" s="706"/>
      <c r="BR145" s="373"/>
      <c r="BS145" s="373"/>
      <c r="BT145" s="373"/>
      <c r="BU145" s="373"/>
      <c r="BV145" s="304"/>
      <c r="BW145" s="288"/>
      <c r="BX145" s="359" t="s">
        <v>1541</v>
      </c>
      <c r="BY145" s="374" t="s">
        <v>1542</v>
      </c>
      <c r="BZ145" s="624"/>
      <c r="CA145" s="624"/>
      <c r="CB145" s="624"/>
      <c r="CC145" s="624"/>
      <c r="CD145" s="624"/>
      <c r="CE145" s="624"/>
      <c r="CF145" s="624"/>
      <c r="CG145" s="624"/>
      <c r="CH145" s="624"/>
    </row>
    <row r="146" spans="1:86" s="305" customFormat="1" ht="39" customHeight="1">
      <c r="A146" s="276"/>
      <c r="B146" s="348">
        <v>108</v>
      </c>
      <c r="C146" s="348"/>
      <c r="D146" s="726" t="s">
        <v>1523</v>
      </c>
      <c r="E146" s="356">
        <v>37742</v>
      </c>
      <c r="F146" s="358">
        <v>2004</v>
      </c>
      <c r="G146" s="288">
        <v>4</v>
      </c>
      <c r="H146" s="288"/>
      <c r="I146" s="288">
        <v>2003</v>
      </c>
      <c r="J146" s="288">
        <v>13</v>
      </c>
      <c r="K146" s="288" t="s">
        <v>1210</v>
      </c>
      <c r="L146" s="358" t="s">
        <v>1543</v>
      </c>
      <c r="M146" s="358" t="s">
        <v>1961</v>
      </c>
      <c r="N146" s="359" t="s">
        <v>1884</v>
      </c>
      <c r="O146" s="358" t="s">
        <v>1884</v>
      </c>
      <c r="P146" s="358" t="s">
        <v>1884</v>
      </c>
      <c r="Q146" s="360"/>
      <c r="R146" s="361"/>
      <c r="S146" s="294"/>
      <c r="T146" s="1058"/>
      <c r="U146" s="295"/>
      <c r="V146" s="295"/>
      <c r="W146" s="362"/>
      <c r="X146" s="379"/>
      <c r="Y146" s="293"/>
      <c r="Z146" s="294"/>
      <c r="AA146" s="293"/>
      <c r="AB146" s="365"/>
      <c r="AC146" s="364"/>
      <c r="AD146" s="427"/>
      <c r="AE146" s="299"/>
      <c r="AF146" s="670"/>
      <c r="AG146" s="371">
        <f t="shared" si="26"/>
        <v>0</v>
      </c>
      <c r="AH146" s="489"/>
      <c r="AI146" s="490"/>
      <c r="AJ146" s="490"/>
      <c r="AK146" s="367">
        <v>10000</v>
      </c>
      <c r="AL146" s="363"/>
      <c r="AM146" s="368">
        <v>10000</v>
      </c>
      <c r="AN146" s="368"/>
      <c r="AO146" s="368"/>
      <c r="AP146" s="368"/>
      <c r="AQ146" s="368"/>
      <c r="AR146" s="368"/>
      <c r="AS146" s="368"/>
      <c r="AT146" s="368"/>
      <c r="AU146" s="368"/>
      <c r="AV146" s="368"/>
      <c r="AW146" s="368"/>
      <c r="AX146" s="369"/>
      <c r="AY146" s="369"/>
      <c r="AZ146" s="448">
        <v>37200</v>
      </c>
      <c r="BA146" s="364">
        <v>28670</v>
      </c>
      <c r="BB146" s="299">
        <f t="shared" si="27"/>
        <v>65870</v>
      </c>
      <c r="BC146" s="370"/>
      <c r="BD146" s="371"/>
      <c r="BE146" s="491">
        <v>50000</v>
      </c>
      <c r="BF146" s="352">
        <f>AE146+AC146+AZ146+BA146</f>
        <v>65870</v>
      </c>
      <c r="BG146" s="451" t="str">
        <f t="shared" si="28"/>
        <v>Y</v>
      </c>
      <c r="BH146" s="451"/>
      <c r="BI146" s="299"/>
      <c r="BJ146" s="698"/>
      <c r="BK146" s="698"/>
      <c r="BL146" s="303">
        <v>2693</v>
      </c>
      <c r="BM146" s="706"/>
      <c r="BN146" s="373"/>
      <c r="BO146" s="706"/>
      <c r="BP146" s="716"/>
      <c r="BQ146" s="706"/>
      <c r="BR146" s="373"/>
      <c r="BS146" s="373"/>
      <c r="BT146" s="373"/>
      <c r="BU146" s="373"/>
      <c r="BV146" s="304"/>
      <c r="BW146" s="288"/>
      <c r="BX146" s="359" t="s">
        <v>1954</v>
      </c>
      <c r="BY146" s="374" t="s">
        <v>1331</v>
      </c>
      <c r="BZ146" s="624"/>
      <c r="CA146" s="624"/>
      <c r="CB146" s="624"/>
      <c r="CC146" s="624"/>
      <c r="CD146" s="624"/>
      <c r="CE146" s="624"/>
      <c r="CF146" s="624"/>
      <c r="CG146" s="624"/>
      <c r="CH146" s="624"/>
    </row>
    <row r="147" spans="1:86" s="305" customFormat="1" ht="39" customHeight="1">
      <c r="A147" s="276"/>
      <c r="B147" s="348">
        <v>109</v>
      </c>
      <c r="C147" s="348"/>
      <c r="D147" s="726" t="s">
        <v>1524</v>
      </c>
      <c r="E147" s="356">
        <v>37834</v>
      </c>
      <c r="F147" s="358">
        <v>2004</v>
      </c>
      <c r="G147" s="288">
        <v>5</v>
      </c>
      <c r="H147" s="288"/>
      <c r="I147" s="288">
        <v>2003</v>
      </c>
      <c r="J147" s="288">
        <v>14</v>
      </c>
      <c r="K147" s="288" t="s">
        <v>1210</v>
      </c>
      <c r="L147" s="358" t="s">
        <v>1544</v>
      </c>
      <c r="M147" s="358"/>
      <c r="N147" s="359" t="s">
        <v>1940</v>
      </c>
      <c r="O147" s="358" t="s">
        <v>1940</v>
      </c>
      <c r="P147" s="358" t="s">
        <v>1940</v>
      </c>
      <c r="Q147" s="360"/>
      <c r="R147" s="361"/>
      <c r="S147" s="294"/>
      <c r="T147" s="1058"/>
      <c r="U147" s="295"/>
      <c r="V147" s="295"/>
      <c r="W147" s="362"/>
      <c r="X147" s="379"/>
      <c r="Y147" s="293"/>
      <c r="Z147" s="294"/>
      <c r="AA147" s="293"/>
      <c r="AB147" s="365">
        <f>COUNTIF(AC147, "&gt;49999")</f>
        <v>0</v>
      </c>
      <c r="AC147" s="364">
        <v>35027</v>
      </c>
      <c r="AD147" s="427"/>
      <c r="AE147" s="299"/>
      <c r="AF147" s="670"/>
      <c r="AG147" s="371">
        <f t="shared" si="26"/>
        <v>35027</v>
      </c>
      <c r="AH147" s="489"/>
      <c r="AI147" s="490"/>
      <c r="AJ147" s="490"/>
      <c r="AK147" s="367"/>
      <c r="AL147" s="363"/>
      <c r="AM147" s="368"/>
      <c r="AN147" s="368"/>
      <c r="AO147" s="368"/>
      <c r="AP147" s="368"/>
      <c r="AQ147" s="368"/>
      <c r="AR147" s="368"/>
      <c r="AS147" s="368"/>
      <c r="AT147" s="368"/>
      <c r="AU147" s="368"/>
      <c r="AV147" s="368"/>
      <c r="AW147" s="368"/>
      <c r="AX147" s="369"/>
      <c r="AY147" s="369"/>
      <c r="AZ147" s="448"/>
      <c r="BA147" s="364"/>
      <c r="BB147" s="299">
        <f t="shared" si="27"/>
        <v>35027</v>
      </c>
      <c r="BC147" s="370"/>
      <c r="BD147" s="371"/>
      <c r="BE147" s="491">
        <v>2500</v>
      </c>
      <c r="BF147" s="352">
        <f>AE147+AC147+AZ147+BA147</f>
        <v>35027</v>
      </c>
      <c r="BG147" s="451" t="str">
        <f t="shared" si="28"/>
        <v>Y</v>
      </c>
      <c r="BH147" s="451"/>
      <c r="BI147" s="299"/>
      <c r="BJ147" s="698"/>
      <c r="BK147" s="698"/>
      <c r="BL147" s="303">
        <v>2631</v>
      </c>
      <c r="BM147" s="706"/>
      <c r="BN147" s="373"/>
      <c r="BO147" s="706"/>
      <c r="BP147" s="716"/>
      <c r="BQ147" s="706"/>
      <c r="BR147" s="373"/>
      <c r="BS147" s="373"/>
      <c r="BT147" s="373"/>
      <c r="BU147" s="373"/>
      <c r="BV147" s="304"/>
      <c r="BW147" s="288"/>
      <c r="BX147" s="359"/>
      <c r="BY147" s="374" t="s">
        <v>1546</v>
      </c>
      <c r="BZ147" s="624"/>
      <c r="CA147" s="624"/>
      <c r="CB147" s="624"/>
      <c r="CC147" s="624"/>
      <c r="CD147" s="624"/>
      <c r="CE147" s="624"/>
      <c r="CF147" s="624"/>
      <c r="CG147" s="624"/>
      <c r="CH147" s="624"/>
    </row>
    <row r="148" spans="1:86" s="305" customFormat="1" ht="39" customHeight="1">
      <c r="A148" s="276"/>
      <c r="B148" s="348">
        <v>110</v>
      </c>
      <c r="C148" s="348"/>
      <c r="D148" s="726" t="s">
        <v>97</v>
      </c>
      <c r="E148" s="356">
        <v>37865</v>
      </c>
      <c r="F148" s="358">
        <v>2004</v>
      </c>
      <c r="G148" s="288">
        <v>6</v>
      </c>
      <c r="H148" s="288"/>
      <c r="I148" s="288">
        <v>2003</v>
      </c>
      <c r="J148" s="288">
        <v>15</v>
      </c>
      <c r="K148" s="288" t="s">
        <v>1211</v>
      </c>
      <c r="L148" s="358" t="s">
        <v>1876</v>
      </c>
      <c r="M148" s="358" t="s">
        <v>1271</v>
      </c>
      <c r="N148" s="488" t="s">
        <v>1877</v>
      </c>
      <c r="O148" s="465" t="s">
        <v>1337</v>
      </c>
      <c r="P148" s="465" t="s">
        <v>1337</v>
      </c>
      <c r="Q148" s="360"/>
      <c r="R148" s="361"/>
      <c r="S148" s="294"/>
      <c r="T148" s="1058"/>
      <c r="U148" s="295"/>
      <c r="V148" s="295"/>
      <c r="W148" s="362"/>
      <c r="X148" s="379"/>
      <c r="Y148" s="293"/>
      <c r="Z148" s="294"/>
      <c r="AA148" s="293"/>
      <c r="AB148" s="365"/>
      <c r="AC148" s="364"/>
      <c r="AD148" s="427"/>
      <c r="AE148" s="299">
        <v>10500</v>
      </c>
      <c r="AF148" s="670"/>
      <c r="AG148" s="371">
        <f t="shared" si="26"/>
        <v>10500</v>
      </c>
      <c r="AH148" s="489">
        <v>2</v>
      </c>
      <c r="AI148" s="490"/>
      <c r="AJ148" s="490"/>
      <c r="AK148" s="367"/>
      <c r="AL148" s="363"/>
      <c r="AM148" s="368"/>
      <c r="AN148" s="368"/>
      <c r="AO148" s="368"/>
      <c r="AP148" s="368"/>
      <c r="AQ148" s="368"/>
      <c r="AR148" s="368"/>
      <c r="AS148" s="368"/>
      <c r="AT148" s="368"/>
      <c r="AU148" s="368"/>
      <c r="AV148" s="368"/>
      <c r="AW148" s="368"/>
      <c r="AX148" s="369"/>
      <c r="AY148" s="369"/>
      <c r="AZ148" s="448"/>
      <c r="BA148" s="364"/>
      <c r="BB148" s="299">
        <f t="shared" si="27"/>
        <v>10500</v>
      </c>
      <c r="BC148" s="370"/>
      <c r="BD148" s="371"/>
      <c r="BE148" s="491">
        <v>3000</v>
      </c>
      <c r="BF148" s="352">
        <f>AE148+AC148+AZ148+BA148</f>
        <v>10500</v>
      </c>
      <c r="BG148" s="451" t="str">
        <f t="shared" si="28"/>
        <v>Y</v>
      </c>
      <c r="BH148" s="451"/>
      <c r="BI148" s="299"/>
      <c r="BJ148" s="698"/>
      <c r="BK148" s="698"/>
      <c r="BL148" s="303">
        <v>2688</v>
      </c>
      <c r="BM148" s="706"/>
      <c r="BN148" s="373"/>
      <c r="BO148" s="706"/>
      <c r="BP148" s="716"/>
      <c r="BQ148" s="706"/>
      <c r="BR148" s="373"/>
      <c r="BS148" s="373"/>
      <c r="BT148" s="373"/>
      <c r="BU148" s="373"/>
      <c r="BV148" s="304"/>
      <c r="BW148" s="288"/>
      <c r="BX148" s="359"/>
      <c r="BY148" s="374" t="s">
        <v>1547</v>
      </c>
      <c r="BZ148" s="624"/>
      <c r="CA148" s="624"/>
      <c r="CB148" s="624"/>
      <c r="CC148" s="624"/>
      <c r="CD148" s="624"/>
      <c r="CE148" s="624"/>
      <c r="CF148" s="624"/>
      <c r="CG148" s="624"/>
      <c r="CH148" s="624"/>
    </row>
    <row r="149" spans="1:86" s="305" customFormat="1" ht="39" customHeight="1">
      <c r="A149" s="276"/>
      <c r="B149" s="348">
        <v>111</v>
      </c>
      <c r="C149" s="348"/>
      <c r="D149" s="726" t="s">
        <v>1507</v>
      </c>
      <c r="E149" s="356">
        <v>37895</v>
      </c>
      <c r="F149" s="358">
        <v>2004</v>
      </c>
      <c r="G149" s="288">
        <v>7</v>
      </c>
      <c r="H149" s="288"/>
      <c r="I149" s="288">
        <v>2003</v>
      </c>
      <c r="J149" s="288">
        <v>16</v>
      </c>
      <c r="K149" s="288" t="s">
        <v>570</v>
      </c>
      <c r="L149" s="358" t="s">
        <v>401</v>
      </c>
      <c r="M149" s="358" t="s">
        <v>1271</v>
      </c>
      <c r="N149" s="359" t="s">
        <v>1965</v>
      </c>
      <c r="O149" s="288" t="s">
        <v>1098</v>
      </c>
      <c r="P149" s="465" t="s">
        <v>1626</v>
      </c>
      <c r="Q149" s="360"/>
      <c r="R149" s="361"/>
      <c r="S149" s="294"/>
      <c r="T149" s="1058"/>
      <c r="U149" s="295"/>
      <c r="V149" s="295"/>
      <c r="W149" s="362"/>
      <c r="X149" s="379"/>
      <c r="Y149" s="293"/>
      <c r="Z149" s="294"/>
      <c r="AA149" s="293"/>
      <c r="AB149" s="365"/>
      <c r="AC149" s="364"/>
      <c r="AD149" s="427"/>
      <c r="AE149" s="299">
        <v>10000</v>
      </c>
      <c r="AF149" s="670"/>
      <c r="AG149" s="371">
        <f t="shared" si="26"/>
        <v>10000</v>
      </c>
      <c r="AH149" s="489"/>
      <c r="AI149" s="490"/>
      <c r="AJ149" s="490"/>
      <c r="AK149" s="367"/>
      <c r="AL149" s="363"/>
      <c r="AM149" s="368"/>
      <c r="AN149" s="368"/>
      <c r="AO149" s="368"/>
      <c r="AP149" s="368"/>
      <c r="AQ149" s="368"/>
      <c r="AR149" s="368"/>
      <c r="AS149" s="368"/>
      <c r="AT149" s="368"/>
      <c r="AU149" s="368"/>
      <c r="AV149" s="368"/>
      <c r="AW149" s="368"/>
      <c r="AX149" s="369"/>
      <c r="AY149" s="369"/>
      <c r="AZ149" s="448"/>
      <c r="BA149" s="364"/>
      <c r="BB149" s="299">
        <f t="shared" si="27"/>
        <v>10000</v>
      </c>
      <c r="BC149" s="370"/>
      <c r="BD149" s="371"/>
      <c r="BE149" s="491"/>
      <c r="BF149" s="352">
        <f t="shared" ref="BF149:BF154" si="30">BB149+BD149+BC149</f>
        <v>10000</v>
      </c>
      <c r="BG149" s="451" t="str">
        <f t="shared" si="28"/>
        <v>Y</v>
      </c>
      <c r="BH149" s="451"/>
      <c r="BI149" s="299"/>
      <c r="BJ149" s="698"/>
      <c r="BK149" s="698"/>
      <c r="BL149" s="303">
        <v>2647</v>
      </c>
      <c r="BM149" s="706"/>
      <c r="BN149" s="373"/>
      <c r="BO149" s="706"/>
      <c r="BP149" s="716"/>
      <c r="BQ149" s="706"/>
      <c r="BR149" s="373"/>
      <c r="BS149" s="373"/>
      <c r="BT149" s="373"/>
      <c r="BU149" s="373"/>
      <c r="BV149" s="304"/>
      <c r="BW149" s="288"/>
      <c r="BX149" s="359" t="s">
        <v>1548</v>
      </c>
      <c r="BY149" s="374" t="s">
        <v>1549</v>
      </c>
      <c r="BZ149" s="624"/>
      <c r="CA149" s="624"/>
      <c r="CB149" s="624"/>
      <c r="CC149" s="624"/>
      <c r="CD149" s="624"/>
      <c r="CE149" s="624"/>
      <c r="CF149" s="624"/>
      <c r="CG149" s="624"/>
      <c r="CH149" s="624"/>
    </row>
    <row r="150" spans="1:86" s="305" customFormat="1" ht="39" customHeight="1">
      <c r="A150" s="276"/>
      <c r="B150" s="348">
        <v>112</v>
      </c>
      <c r="C150" s="348"/>
      <c r="D150" s="726" t="s">
        <v>1525</v>
      </c>
      <c r="E150" s="356">
        <v>37926</v>
      </c>
      <c r="F150" s="358">
        <v>2004</v>
      </c>
      <c r="G150" s="288">
        <v>8</v>
      </c>
      <c r="H150" s="288"/>
      <c r="I150" s="288">
        <v>2003</v>
      </c>
      <c r="J150" s="288">
        <v>17</v>
      </c>
      <c r="K150" s="288" t="s">
        <v>1211</v>
      </c>
      <c r="L150" s="358" t="s">
        <v>1540</v>
      </c>
      <c r="M150" s="358" t="s">
        <v>1271</v>
      </c>
      <c r="N150" s="359" t="s">
        <v>1877</v>
      </c>
      <c r="O150" s="358" t="s">
        <v>1337</v>
      </c>
      <c r="P150" s="358" t="s">
        <v>1337</v>
      </c>
      <c r="Q150" s="360"/>
      <c r="R150" s="361"/>
      <c r="S150" s="294"/>
      <c r="T150" s="1058"/>
      <c r="U150" s="295"/>
      <c r="V150" s="295"/>
      <c r="W150" s="362"/>
      <c r="X150" s="379"/>
      <c r="Y150" s="293"/>
      <c r="Z150" s="294"/>
      <c r="AA150" s="293"/>
      <c r="AB150" s="365"/>
      <c r="AC150" s="364"/>
      <c r="AD150" s="427"/>
      <c r="AE150" s="299"/>
      <c r="AF150" s="670"/>
      <c r="AG150" s="371">
        <f t="shared" si="26"/>
        <v>0</v>
      </c>
      <c r="AH150" s="489">
        <v>3</v>
      </c>
      <c r="AI150" s="490" t="s">
        <v>226</v>
      </c>
      <c r="AJ150" s="490"/>
      <c r="AK150" s="367"/>
      <c r="AL150" s="363"/>
      <c r="AM150" s="368"/>
      <c r="AN150" s="368"/>
      <c r="AO150" s="368"/>
      <c r="AP150" s="368"/>
      <c r="AQ150" s="368"/>
      <c r="AR150" s="368"/>
      <c r="AS150" s="368"/>
      <c r="AT150" s="368"/>
      <c r="AU150" s="368"/>
      <c r="AV150" s="368"/>
      <c r="AW150" s="368"/>
      <c r="AX150" s="369"/>
      <c r="AY150" s="369"/>
      <c r="AZ150" s="448">
        <v>50000</v>
      </c>
      <c r="BA150" s="364"/>
      <c r="BB150" s="299">
        <f t="shared" si="27"/>
        <v>50000</v>
      </c>
      <c r="BC150" s="370"/>
      <c r="BD150" s="371"/>
      <c r="BE150" s="491">
        <v>500</v>
      </c>
      <c r="BF150" s="352">
        <f t="shared" si="30"/>
        <v>50000</v>
      </c>
      <c r="BG150" s="451" t="str">
        <f t="shared" si="28"/>
        <v>Y</v>
      </c>
      <c r="BH150" s="451"/>
      <c r="BI150" s="299"/>
      <c r="BJ150" s="698"/>
      <c r="BK150" s="698"/>
      <c r="BL150" s="303">
        <v>2618</v>
      </c>
      <c r="BM150" s="706"/>
      <c r="BN150" s="373"/>
      <c r="BO150" s="706"/>
      <c r="BP150" s="716"/>
      <c r="BQ150" s="706"/>
      <c r="BR150" s="373"/>
      <c r="BS150" s="373"/>
      <c r="BT150" s="373"/>
      <c r="BU150" s="373"/>
      <c r="BV150" s="304"/>
      <c r="BW150" s="288"/>
      <c r="BX150" s="359" t="s">
        <v>1550</v>
      </c>
      <c r="BY150" s="374" t="s">
        <v>654</v>
      </c>
      <c r="BZ150" s="624"/>
      <c r="CA150" s="624"/>
      <c r="CB150" s="624"/>
      <c r="CC150" s="624"/>
      <c r="CD150" s="624"/>
      <c r="CE150" s="624"/>
      <c r="CF150" s="624"/>
      <c r="CG150" s="624"/>
      <c r="CH150" s="624"/>
    </row>
    <row r="151" spans="1:86" s="305" customFormat="1" ht="39" customHeight="1">
      <c r="A151" s="276"/>
      <c r="B151" s="348">
        <v>112</v>
      </c>
      <c r="C151" s="348"/>
      <c r="D151" s="726" t="s">
        <v>1525</v>
      </c>
      <c r="E151" s="356">
        <v>37926</v>
      </c>
      <c r="F151" s="358">
        <v>2004</v>
      </c>
      <c r="G151" s="288">
        <v>8</v>
      </c>
      <c r="H151" s="288"/>
      <c r="I151" s="288">
        <v>2003</v>
      </c>
      <c r="J151" s="288">
        <v>17</v>
      </c>
      <c r="K151" s="288" t="s">
        <v>1211</v>
      </c>
      <c r="L151" s="358" t="s">
        <v>1540</v>
      </c>
      <c r="M151" s="358" t="s">
        <v>1271</v>
      </c>
      <c r="N151" s="359" t="s">
        <v>1877</v>
      </c>
      <c r="O151" s="358" t="s">
        <v>1337</v>
      </c>
      <c r="P151" s="358" t="s">
        <v>1337</v>
      </c>
      <c r="Q151" s="360"/>
      <c r="R151" s="361"/>
      <c r="S151" s="294"/>
      <c r="T151" s="1058"/>
      <c r="U151" s="295"/>
      <c r="V151" s="295"/>
      <c r="W151" s="362"/>
      <c r="X151" s="379"/>
      <c r="Y151" s="293"/>
      <c r="Z151" s="294"/>
      <c r="AA151" s="293"/>
      <c r="AB151" s="365"/>
      <c r="AC151" s="364"/>
      <c r="AD151" s="427"/>
      <c r="AE151" s="299"/>
      <c r="AF151" s="670"/>
      <c r="AG151" s="371">
        <f t="shared" si="26"/>
        <v>0</v>
      </c>
      <c r="AH151" s="489"/>
      <c r="AI151" s="490"/>
      <c r="AJ151" s="490"/>
      <c r="AK151" s="367"/>
      <c r="AL151" s="363"/>
      <c r="AM151" s="368"/>
      <c r="AN151" s="368"/>
      <c r="AO151" s="368"/>
      <c r="AP151" s="368"/>
      <c r="AQ151" s="368"/>
      <c r="AR151" s="368"/>
      <c r="AS151" s="368"/>
      <c r="AT151" s="368"/>
      <c r="AU151" s="368"/>
      <c r="AV151" s="368"/>
      <c r="AW151" s="368"/>
      <c r="AX151" s="369"/>
      <c r="AY151" s="369"/>
      <c r="AZ151" s="448"/>
      <c r="BA151" s="364"/>
      <c r="BB151" s="299">
        <f t="shared" si="27"/>
        <v>0</v>
      </c>
      <c r="BC151" s="370"/>
      <c r="BD151" s="371"/>
      <c r="BE151" s="491"/>
      <c r="BF151" s="352">
        <f t="shared" si="30"/>
        <v>0</v>
      </c>
      <c r="BG151" s="451" t="str">
        <f t="shared" si="28"/>
        <v>Y</v>
      </c>
      <c r="BH151" s="451"/>
      <c r="BI151" s="299"/>
      <c r="BJ151" s="698"/>
      <c r="BK151" s="698"/>
      <c r="BL151" s="303">
        <v>2694</v>
      </c>
      <c r="BM151" s="706"/>
      <c r="BN151" s="373"/>
      <c r="BO151" s="706"/>
      <c r="BP151" s="716"/>
      <c r="BQ151" s="706"/>
      <c r="BR151" s="373"/>
      <c r="BS151" s="373"/>
      <c r="BT151" s="373"/>
      <c r="BU151" s="373"/>
      <c r="BV151" s="304"/>
      <c r="BW151" s="288"/>
      <c r="BX151" s="359" t="s">
        <v>1550</v>
      </c>
      <c r="BY151" s="374" t="s">
        <v>659</v>
      </c>
      <c r="BZ151" s="624"/>
      <c r="CA151" s="624"/>
      <c r="CB151" s="624"/>
      <c r="CC151" s="624"/>
      <c r="CD151" s="624"/>
      <c r="CE151" s="624"/>
      <c r="CF151" s="624"/>
      <c r="CG151" s="624"/>
      <c r="CH151" s="624"/>
    </row>
    <row r="152" spans="1:86" s="305" customFormat="1" ht="39" customHeight="1">
      <c r="A152" s="276"/>
      <c r="B152" s="348">
        <f>113</f>
        <v>113</v>
      </c>
      <c r="C152" s="348"/>
      <c r="D152" s="726" t="s">
        <v>1526</v>
      </c>
      <c r="E152" s="356">
        <v>37956</v>
      </c>
      <c r="F152" s="358">
        <v>2004</v>
      </c>
      <c r="G152" s="288">
        <v>9</v>
      </c>
      <c r="H152" s="288"/>
      <c r="I152" s="288">
        <v>2003</v>
      </c>
      <c r="J152" s="288">
        <v>18</v>
      </c>
      <c r="K152" s="358" t="s">
        <v>570</v>
      </c>
      <c r="L152" s="358" t="s">
        <v>1670</v>
      </c>
      <c r="M152" s="358" t="s">
        <v>1961</v>
      </c>
      <c r="N152" s="359" t="s">
        <v>1884</v>
      </c>
      <c r="O152" s="358" t="s">
        <v>1884</v>
      </c>
      <c r="P152" s="358" t="s">
        <v>1884</v>
      </c>
      <c r="Q152" s="360"/>
      <c r="R152" s="361"/>
      <c r="S152" s="294"/>
      <c r="T152" s="1058"/>
      <c r="U152" s="295"/>
      <c r="V152" s="295"/>
      <c r="W152" s="362"/>
      <c r="X152" s="379"/>
      <c r="Y152" s="293"/>
      <c r="Z152" s="294"/>
      <c r="AA152" s="293"/>
      <c r="AB152" s="365">
        <f>COUNTIF(AC152, "&gt;49999")</f>
        <v>1</v>
      </c>
      <c r="AC152" s="364">
        <v>200000</v>
      </c>
      <c r="AD152" s="427"/>
      <c r="AE152" s="299"/>
      <c r="AF152" s="670"/>
      <c r="AG152" s="371">
        <f t="shared" si="26"/>
        <v>200000</v>
      </c>
      <c r="AH152" s="489">
        <v>6</v>
      </c>
      <c r="AI152" s="490" t="s">
        <v>226</v>
      </c>
      <c r="AJ152" s="490"/>
      <c r="AK152" s="367">
        <f>27000+13400+150+10+45000+10000+20000</f>
        <v>115560</v>
      </c>
      <c r="AL152" s="363"/>
      <c r="AM152" s="368">
        <v>45000</v>
      </c>
      <c r="AN152" s="368">
        <v>27000</v>
      </c>
      <c r="AO152" s="368"/>
      <c r="AP152" s="368"/>
      <c r="AQ152" s="368">
        <v>490</v>
      </c>
      <c r="AR152" s="368"/>
      <c r="AS152" s="302"/>
      <c r="AT152" s="302"/>
      <c r="AU152" s="368"/>
      <c r="AV152" s="368"/>
      <c r="AW152" s="368"/>
      <c r="AX152" s="369"/>
      <c r="AY152" s="369"/>
      <c r="AZ152" s="448">
        <f>39128+60975+25000+100710+72200+6000+5000+135000+35000+35000+311750</f>
        <v>825763</v>
      </c>
      <c r="BA152" s="364">
        <f>101596.55+4400+600+600+4500+960+27900+5000+4482.43</f>
        <v>150038.97999999998</v>
      </c>
      <c r="BB152" s="299">
        <f t="shared" si="27"/>
        <v>1175801.98</v>
      </c>
      <c r="BC152" s="370"/>
      <c r="BD152" s="371"/>
      <c r="BE152" s="491">
        <f>45000*5</f>
        <v>225000</v>
      </c>
      <c r="BF152" s="352">
        <f t="shared" si="30"/>
        <v>1175801.98</v>
      </c>
      <c r="BG152" s="451" t="str">
        <f t="shared" si="28"/>
        <v>Y</v>
      </c>
      <c r="BH152" s="451"/>
      <c r="BI152" s="299"/>
      <c r="BJ152" s="698"/>
      <c r="BK152" s="698"/>
      <c r="BL152" s="303">
        <v>2019</v>
      </c>
      <c r="BM152" s="706"/>
      <c r="BN152" s="373"/>
      <c r="BO152" s="706"/>
      <c r="BP152" s="716"/>
      <c r="BQ152" s="706"/>
      <c r="BR152" s="373"/>
      <c r="BS152" s="373"/>
      <c r="BT152" s="373"/>
      <c r="BU152" s="373"/>
      <c r="BV152" s="304"/>
      <c r="BW152" s="288"/>
      <c r="BX152" s="359" t="s">
        <v>660</v>
      </c>
      <c r="BY152" s="497" t="s">
        <v>1822</v>
      </c>
      <c r="BZ152" s="624"/>
      <c r="CA152" s="624"/>
      <c r="CB152" s="624"/>
      <c r="CC152" s="624"/>
      <c r="CD152" s="624"/>
      <c r="CE152" s="624"/>
      <c r="CF152" s="624"/>
      <c r="CG152" s="624"/>
      <c r="CH152" s="624"/>
    </row>
    <row r="153" spans="1:86" s="305" customFormat="1" ht="39" customHeight="1">
      <c r="A153" s="276"/>
      <c r="B153" s="348">
        <f>113</f>
        <v>113</v>
      </c>
      <c r="C153" s="348"/>
      <c r="D153" s="726" t="s">
        <v>1526</v>
      </c>
      <c r="E153" s="356">
        <v>37956</v>
      </c>
      <c r="F153" s="358">
        <v>2004</v>
      </c>
      <c r="G153" s="288">
        <v>9</v>
      </c>
      <c r="H153" s="288"/>
      <c r="I153" s="288">
        <v>2003</v>
      </c>
      <c r="J153" s="288">
        <v>18</v>
      </c>
      <c r="K153" s="358" t="s">
        <v>570</v>
      </c>
      <c r="L153" s="358" t="s">
        <v>1670</v>
      </c>
      <c r="M153" s="358" t="s">
        <v>1961</v>
      </c>
      <c r="N153" s="359" t="s">
        <v>1884</v>
      </c>
      <c r="O153" s="358" t="s">
        <v>1884</v>
      </c>
      <c r="P153" s="358" t="s">
        <v>1884</v>
      </c>
      <c r="Q153" s="360"/>
      <c r="R153" s="361"/>
      <c r="S153" s="294"/>
      <c r="T153" s="1058"/>
      <c r="U153" s="295"/>
      <c r="V153" s="295"/>
      <c r="W153" s="362"/>
      <c r="X153" s="379"/>
      <c r="Y153" s="293"/>
      <c r="Z153" s="294"/>
      <c r="AA153" s="293"/>
      <c r="AB153" s="365"/>
      <c r="AC153" s="364"/>
      <c r="AD153" s="427"/>
      <c r="AE153" s="299"/>
      <c r="AF153" s="670"/>
      <c r="AG153" s="371">
        <f t="shared" si="26"/>
        <v>0</v>
      </c>
      <c r="AH153" s="489"/>
      <c r="AI153" s="490"/>
      <c r="AJ153" s="490"/>
      <c r="AK153" s="367">
        <v>11</v>
      </c>
      <c r="AL153" s="363"/>
      <c r="AM153" s="368"/>
      <c r="AN153" s="368"/>
      <c r="AO153" s="368"/>
      <c r="AP153" s="368"/>
      <c r="AQ153" s="368">
        <v>11</v>
      </c>
      <c r="AR153" s="368"/>
      <c r="AS153" s="368"/>
      <c r="AT153" s="368"/>
      <c r="AU153" s="368"/>
      <c r="AV153" s="368"/>
      <c r="AW153" s="368"/>
      <c r="AX153" s="369"/>
      <c r="AY153" s="369"/>
      <c r="AZ153" s="448">
        <v>19975</v>
      </c>
      <c r="BA153" s="364"/>
      <c r="BB153" s="299">
        <f t="shared" si="27"/>
        <v>19975</v>
      </c>
      <c r="BC153" s="370"/>
      <c r="BD153" s="371"/>
      <c r="BE153" s="491">
        <f>11*40</f>
        <v>440</v>
      </c>
      <c r="BF153" s="352">
        <f t="shared" si="30"/>
        <v>19975</v>
      </c>
      <c r="BG153" s="451" t="str">
        <f t="shared" si="28"/>
        <v>Y</v>
      </c>
      <c r="BH153" s="451"/>
      <c r="BI153" s="299"/>
      <c r="BJ153" s="698"/>
      <c r="BK153" s="698"/>
      <c r="BL153" s="303">
        <v>2616</v>
      </c>
      <c r="BM153" s="706"/>
      <c r="BN153" s="373"/>
      <c r="BO153" s="706"/>
      <c r="BP153" s="716"/>
      <c r="BQ153" s="706"/>
      <c r="BR153" s="373"/>
      <c r="BS153" s="373"/>
      <c r="BT153" s="373"/>
      <c r="BU153" s="373"/>
      <c r="BV153" s="304"/>
      <c r="BW153" s="288"/>
      <c r="BX153" s="359" t="s">
        <v>660</v>
      </c>
      <c r="BY153" s="374" t="s">
        <v>1823</v>
      </c>
      <c r="BZ153" s="624"/>
      <c r="CA153" s="624"/>
      <c r="CB153" s="624"/>
      <c r="CC153" s="624"/>
      <c r="CD153" s="624"/>
      <c r="CE153" s="624"/>
      <c r="CF153" s="624"/>
      <c r="CG153" s="624"/>
      <c r="CH153" s="624"/>
    </row>
    <row r="154" spans="1:86" s="305" customFormat="1" ht="39" customHeight="1">
      <c r="A154" s="276"/>
      <c r="B154" s="348">
        <f>113</f>
        <v>113</v>
      </c>
      <c r="C154" s="348"/>
      <c r="D154" s="726" t="s">
        <v>1526</v>
      </c>
      <c r="E154" s="356">
        <v>37956</v>
      </c>
      <c r="F154" s="358">
        <v>2004</v>
      </c>
      <c r="G154" s="288">
        <v>9</v>
      </c>
      <c r="H154" s="288"/>
      <c r="I154" s="288">
        <v>2003</v>
      </c>
      <c r="J154" s="288">
        <v>18</v>
      </c>
      <c r="K154" s="358" t="s">
        <v>570</v>
      </c>
      <c r="L154" s="358" t="s">
        <v>1670</v>
      </c>
      <c r="M154" s="358" t="s">
        <v>1961</v>
      </c>
      <c r="N154" s="359" t="s">
        <v>1884</v>
      </c>
      <c r="O154" s="358" t="s">
        <v>1884</v>
      </c>
      <c r="P154" s="358" t="s">
        <v>1884</v>
      </c>
      <c r="Q154" s="360"/>
      <c r="R154" s="361"/>
      <c r="S154" s="294"/>
      <c r="T154" s="1058"/>
      <c r="U154" s="295"/>
      <c r="V154" s="295"/>
      <c r="W154" s="362"/>
      <c r="X154" s="379"/>
      <c r="Y154" s="293"/>
      <c r="Z154" s="294"/>
      <c r="AA154" s="293"/>
      <c r="AB154" s="365"/>
      <c r="AC154" s="364"/>
      <c r="AD154" s="427"/>
      <c r="AE154" s="299"/>
      <c r="AF154" s="670"/>
      <c r="AG154" s="371">
        <f t="shared" si="26"/>
        <v>0</v>
      </c>
      <c r="AH154" s="489"/>
      <c r="AI154" s="490"/>
      <c r="AJ154" s="490"/>
      <c r="AK154" s="367"/>
      <c r="AL154" s="363"/>
      <c r="AM154" s="368"/>
      <c r="AN154" s="368"/>
      <c r="AO154" s="368"/>
      <c r="AP154" s="368"/>
      <c r="AQ154" s="368"/>
      <c r="AR154" s="368"/>
      <c r="AS154" s="368"/>
      <c r="AT154" s="368"/>
      <c r="AU154" s="368"/>
      <c r="AV154" s="368"/>
      <c r="AW154" s="368"/>
      <c r="AX154" s="369"/>
      <c r="AY154" s="369"/>
      <c r="AZ154" s="448">
        <v>60000</v>
      </c>
      <c r="BA154" s="364"/>
      <c r="BB154" s="299">
        <f t="shared" si="27"/>
        <v>60000</v>
      </c>
      <c r="BC154" s="370"/>
      <c r="BD154" s="371"/>
      <c r="BE154" s="491"/>
      <c r="BF154" s="352">
        <f t="shared" si="30"/>
        <v>60000</v>
      </c>
      <c r="BG154" s="451" t="str">
        <f t="shared" si="28"/>
        <v>Y</v>
      </c>
      <c r="BH154" s="451"/>
      <c r="BI154" s="299"/>
      <c r="BJ154" s="698"/>
      <c r="BK154" s="698"/>
      <c r="BL154" s="303">
        <v>2793</v>
      </c>
      <c r="BM154" s="706"/>
      <c r="BN154" s="373"/>
      <c r="BO154" s="706"/>
      <c r="BP154" s="716"/>
      <c r="BQ154" s="706"/>
      <c r="BR154" s="373"/>
      <c r="BS154" s="373"/>
      <c r="BT154" s="373"/>
      <c r="BU154" s="373"/>
      <c r="BV154" s="304"/>
      <c r="BW154" s="288"/>
      <c r="BX154" s="359" t="s">
        <v>660</v>
      </c>
      <c r="BY154" s="374" t="s">
        <v>661</v>
      </c>
      <c r="BZ154" s="624"/>
      <c r="CA154" s="624"/>
      <c r="CB154" s="624"/>
      <c r="CC154" s="624"/>
      <c r="CD154" s="624"/>
      <c r="CE154" s="624"/>
      <c r="CF154" s="624"/>
      <c r="CG154" s="624"/>
      <c r="CH154" s="624"/>
    </row>
    <row r="155" spans="1:86" s="305" customFormat="1" ht="39" customHeight="1">
      <c r="A155" s="276"/>
      <c r="B155" s="348">
        <v>114</v>
      </c>
      <c r="C155" s="348"/>
      <c r="D155" s="726" t="s">
        <v>1527</v>
      </c>
      <c r="E155" s="356">
        <v>37956</v>
      </c>
      <c r="F155" s="358">
        <v>2004</v>
      </c>
      <c r="G155" s="288">
        <v>10</v>
      </c>
      <c r="H155" s="288"/>
      <c r="I155" s="288">
        <v>2003</v>
      </c>
      <c r="J155" s="288">
        <v>19</v>
      </c>
      <c r="K155" s="288" t="s">
        <v>1211</v>
      </c>
      <c r="L155" s="358" t="s">
        <v>1604</v>
      </c>
      <c r="M155" s="358" t="s">
        <v>1961</v>
      </c>
      <c r="N155" s="359" t="s">
        <v>1884</v>
      </c>
      <c r="O155" s="358" t="s">
        <v>1884</v>
      </c>
      <c r="P155" s="358" t="s">
        <v>1884</v>
      </c>
      <c r="Q155" s="360"/>
      <c r="R155" s="361"/>
      <c r="S155" s="294"/>
      <c r="T155" s="1058"/>
      <c r="U155" s="295"/>
      <c r="V155" s="295"/>
      <c r="W155" s="362"/>
      <c r="X155" s="379"/>
      <c r="Y155" s="293"/>
      <c r="Z155" s="294"/>
      <c r="AA155" s="293"/>
      <c r="AB155" s="365"/>
      <c r="AC155" s="364"/>
      <c r="AD155" s="427"/>
      <c r="AE155" s="299"/>
      <c r="AF155" s="670"/>
      <c r="AG155" s="371">
        <f t="shared" si="26"/>
        <v>0</v>
      </c>
      <c r="AH155" s="489"/>
      <c r="AI155" s="490"/>
      <c r="AJ155" s="490"/>
      <c r="AK155" s="367">
        <v>2300</v>
      </c>
      <c r="AL155" s="363"/>
      <c r="AM155" s="368"/>
      <c r="AN155" s="368">
        <v>1000</v>
      </c>
      <c r="AO155" s="368"/>
      <c r="AP155" s="368"/>
      <c r="AQ155" s="368"/>
      <c r="AR155" s="368"/>
      <c r="AS155" s="368">
        <v>1100</v>
      </c>
      <c r="AT155" s="368"/>
      <c r="AU155" s="368"/>
      <c r="AV155" s="368"/>
      <c r="AW155" s="368"/>
      <c r="AX155" s="369"/>
      <c r="AY155" s="369"/>
      <c r="AZ155" s="448">
        <f>(1000*3.03)+(1.99*200)+(1100*2.5)</f>
        <v>6178</v>
      </c>
      <c r="BA155" s="364"/>
      <c r="BB155" s="299">
        <f t="shared" si="27"/>
        <v>6178</v>
      </c>
      <c r="BC155" s="370"/>
      <c r="BD155" s="371"/>
      <c r="BE155" s="491">
        <f>1100/2</f>
        <v>550</v>
      </c>
      <c r="BF155" s="352">
        <f>AE155+AC155+AZ155+BA155</f>
        <v>6178</v>
      </c>
      <c r="BG155" s="451" t="str">
        <f t="shared" si="28"/>
        <v>Y</v>
      </c>
      <c r="BH155" s="451"/>
      <c r="BI155" s="299"/>
      <c r="BJ155" s="698"/>
      <c r="BK155" s="698"/>
      <c r="BL155" s="303">
        <v>2898</v>
      </c>
      <c r="BM155" s="706"/>
      <c r="BN155" s="373"/>
      <c r="BO155" s="706"/>
      <c r="BP155" s="716"/>
      <c r="BQ155" s="706"/>
      <c r="BR155" s="373"/>
      <c r="BS155" s="373"/>
      <c r="BT155" s="373"/>
      <c r="BU155" s="373"/>
      <c r="BV155" s="304"/>
      <c r="BW155" s="288"/>
      <c r="BX155" s="359"/>
      <c r="BY155" s="374" t="s">
        <v>1824</v>
      </c>
      <c r="BZ155" s="624"/>
      <c r="CA155" s="624"/>
      <c r="CB155" s="624"/>
      <c r="CC155" s="624"/>
      <c r="CD155" s="624"/>
      <c r="CE155" s="624"/>
      <c r="CF155" s="624"/>
      <c r="CG155" s="624"/>
      <c r="CH155" s="624"/>
    </row>
    <row r="156" spans="1:86" s="305" customFormat="1" ht="39" customHeight="1">
      <c r="A156" s="276"/>
      <c r="B156" s="348">
        <v>115</v>
      </c>
      <c r="C156" s="348"/>
      <c r="D156" s="726" t="s">
        <v>1528</v>
      </c>
      <c r="E156" s="356">
        <v>38078</v>
      </c>
      <c r="F156" s="358">
        <v>2004</v>
      </c>
      <c r="G156" s="288">
        <v>11</v>
      </c>
      <c r="H156" s="288"/>
      <c r="I156" s="288">
        <v>2004</v>
      </c>
      <c r="J156" s="288">
        <v>1</v>
      </c>
      <c r="K156" s="288" t="s">
        <v>570</v>
      </c>
      <c r="L156" s="358" t="s">
        <v>691</v>
      </c>
      <c r="M156" s="358"/>
      <c r="N156" s="359" t="s">
        <v>1970</v>
      </c>
      <c r="O156" s="358" t="s">
        <v>1297</v>
      </c>
      <c r="P156" s="358" t="s">
        <v>1294</v>
      </c>
      <c r="Q156" s="360"/>
      <c r="R156" s="361"/>
      <c r="S156" s="294"/>
      <c r="T156" s="1058"/>
      <c r="U156" s="295"/>
      <c r="V156" s="295"/>
      <c r="W156" s="362"/>
      <c r="X156" s="379"/>
      <c r="Y156" s="293"/>
      <c r="Z156" s="294"/>
      <c r="AA156" s="293"/>
      <c r="AB156" s="365">
        <v>1</v>
      </c>
      <c r="AC156" s="364">
        <f>SUM(10000+100000)</f>
        <v>110000</v>
      </c>
      <c r="AD156" s="427"/>
      <c r="AE156" s="299"/>
      <c r="AF156" s="670"/>
      <c r="AG156" s="371">
        <f t="shared" si="26"/>
        <v>110000</v>
      </c>
      <c r="AH156" s="489"/>
      <c r="AI156" s="490"/>
      <c r="AJ156" s="490"/>
      <c r="AK156" s="367"/>
      <c r="AL156" s="363"/>
      <c r="AM156" s="368"/>
      <c r="AN156" s="368"/>
      <c r="AO156" s="368"/>
      <c r="AP156" s="368"/>
      <c r="AQ156" s="368"/>
      <c r="AR156" s="368"/>
      <c r="AS156" s="368"/>
      <c r="AT156" s="368"/>
      <c r="AU156" s="368"/>
      <c r="AV156" s="368"/>
      <c r="AW156" s="368"/>
      <c r="AX156" s="369"/>
      <c r="AY156" s="369"/>
      <c r="AZ156" s="448"/>
      <c r="BA156" s="364"/>
      <c r="BB156" s="299">
        <f t="shared" si="27"/>
        <v>110000</v>
      </c>
      <c r="BC156" s="370"/>
      <c r="BD156" s="371"/>
      <c r="BE156" s="491">
        <v>3300</v>
      </c>
      <c r="BF156" s="352">
        <f>AE156+AC156+AZ156+BA156</f>
        <v>110000</v>
      </c>
      <c r="BG156" s="451" t="str">
        <f t="shared" si="28"/>
        <v>Y</v>
      </c>
      <c r="BH156" s="451"/>
      <c r="BI156" s="299"/>
      <c r="BJ156" s="698"/>
      <c r="BK156" s="698"/>
      <c r="BL156" s="303" t="s">
        <v>695</v>
      </c>
      <c r="BM156" s="706"/>
      <c r="BN156" s="373"/>
      <c r="BO156" s="706"/>
      <c r="BP156" s="716"/>
      <c r="BQ156" s="706"/>
      <c r="BR156" s="373"/>
      <c r="BS156" s="373"/>
      <c r="BT156" s="373"/>
      <c r="BU156" s="373"/>
      <c r="BV156" s="304"/>
      <c r="BW156" s="288"/>
      <c r="BX156" s="359" t="s">
        <v>662</v>
      </c>
      <c r="BY156" s="492" t="s">
        <v>694</v>
      </c>
      <c r="BZ156" s="624"/>
      <c r="CA156" s="624"/>
      <c r="CB156" s="624"/>
      <c r="CC156" s="624"/>
      <c r="CD156" s="624"/>
      <c r="CE156" s="624"/>
      <c r="CF156" s="624"/>
      <c r="CG156" s="624"/>
      <c r="CH156" s="624"/>
    </row>
    <row r="157" spans="1:86" s="305" customFormat="1" ht="39" customHeight="1">
      <c r="A157" s="276"/>
      <c r="B157" s="348">
        <v>116</v>
      </c>
      <c r="C157" s="348"/>
      <c r="D157" s="726" t="s">
        <v>1525</v>
      </c>
      <c r="E157" s="356">
        <v>38108</v>
      </c>
      <c r="F157" s="358">
        <v>2004</v>
      </c>
      <c r="G157" s="288">
        <v>12</v>
      </c>
      <c r="H157" s="288"/>
      <c r="I157" s="288">
        <v>2004</v>
      </c>
      <c r="J157" s="288">
        <v>2</v>
      </c>
      <c r="K157" s="358" t="s">
        <v>1211</v>
      </c>
      <c r="L157" s="358" t="s">
        <v>1540</v>
      </c>
      <c r="M157" s="358" t="s">
        <v>1271</v>
      </c>
      <c r="N157" s="488" t="s">
        <v>1877</v>
      </c>
      <c r="O157" s="465" t="s">
        <v>1337</v>
      </c>
      <c r="P157" s="465" t="s">
        <v>1337</v>
      </c>
      <c r="Q157" s="360"/>
      <c r="R157" s="361"/>
      <c r="S157" s="294"/>
      <c r="T157" s="1058"/>
      <c r="U157" s="295"/>
      <c r="V157" s="295"/>
      <c r="W157" s="362"/>
      <c r="X157" s="379"/>
      <c r="Y157" s="293"/>
      <c r="Z157" s="294"/>
      <c r="AA157" s="293"/>
      <c r="AB157" s="365"/>
      <c r="AC157" s="364"/>
      <c r="AD157" s="427"/>
      <c r="AE157" s="299"/>
      <c r="AF157" s="670"/>
      <c r="AG157" s="371">
        <f t="shared" si="26"/>
        <v>0</v>
      </c>
      <c r="AH157" s="489">
        <v>1</v>
      </c>
      <c r="AI157" s="490"/>
      <c r="AJ157" s="490"/>
      <c r="AK157" s="367">
        <f>150+5000+2350+1000+2430</f>
        <v>10930</v>
      </c>
      <c r="AL157" s="363"/>
      <c r="AM157" s="368"/>
      <c r="AN157" s="368"/>
      <c r="AO157" s="368">
        <v>2350</v>
      </c>
      <c r="AP157" s="368"/>
      <c r="AQ157" s="368">
        <v>150</v>
      </c>
      <c r="AR157" s="368"/>
      <c r="AS157" s="368">
        <v>5000</v>
      </c>
      <c r="AT157" s="368"/>
      <c r="AU157" s="368"/>
      <c r="AV157" s="368">
        <v>1000</v>
      </c>
      <c r="AW157" s="368"/>
      <c r="AX157" s="369"/>
      <c r="AY157" s="369"/>
      <c r="AZ157" s="448">
        <f>(299*150)+(2.5*5000)+(1.99*2350)+(12.5*1000)+(2430*16.885856)+(3000*0.25856079)+89000</f>
        <v>205334.81245</v>
      </c>
      <c r="BA157" s="364">
        <f>(6*1292.5)+(6*188)+(1*900)+(6*400)+(1*500)+(1*812)+(1*500)+(1*400)+(3*135)</f>
        <v>14800</v>
      </c>
      <c r="BB157" s="299">
        <f t="shared" si="27"/>
        <v>220134.81245</v>
      </c>
      <c r="BC157" s="370"/>
      <c r="BD157" s="371"/>
      <c r="BE157" s="491">
        <v>2500</v>
      </c>
      <c r="BF157" s="352">
        <f>BB157+BD157+BC157</f>
        <v>220134.81245</v>
      </c>
      <c r="BG157" s="451" t="str">
        <f t="shared" si="28"/>
        <v>Y</v>
      </c>
      <c r="BH157" s="451"/>
      <c r="BI157" s="299"/>
      <c r="BJ157" s="698"/>
      <c r="BK157" s="698"/>
      <c r="BL157" s="303">
        <v>2694</v>
      </c>
      <c r="BM157" s="706"/>
      <c r="BN157" s="373"/>
      <c r="BO157" s="706"/>
      <c r="BP157" s="716"/>
      <c r="BQ157" s="706"/>
      <c r="BR157" s="373"/>
      <c r="BS157" s="373"/>
      <c r="BT157" s="373"/>
      <c r="BU157" s="373"/>
      <c r="BV157" s="304"/>
      <c r="BW157" s="288"/>
      <c r="BX157" s="359" t="s">
        <v>679</v>
      </c>
      <c r="BY157" s="374" t="s">
        <v>1825</v>
      </c>
      <c r="BZ157" s="624"/>
      <c r="CA157" s="624"/>
      <c r="CB157" s="624"/>
      <c r="CC157" s="624"/>
      <c r="CD157" s="624"/>
      <c r="CE157" s="624"/>
      <c r="CF157" s="624"/>
      <c r="CG157" s="624"/>
      <c r="CH157" s="624"/>
    </row>
    <row r="158" spans="1:86" s="305" customFormat="1" ht="39" customHeight="1">
      <c r="A158" s="276"/>
      <c r="B158" s="348">
        <v>116</v>
      </c>
      <c r="C158" s="348"/>
      <c r="D158" s="726" t="s">
        <v>1810</v>
      </c>
      <c r="E158" s="356">
        <v>38108</v>
      </c>
      <c r="F158" s="358">
        <v>2004</v>
      </c>
      <c r="G158" s="288">
        <v>12</v>
      </c>
      <c r="H158" s="288"/>
      <c r="I158" s="288">
        <v>2004</v>
      </c>
      <c r="J158" s="288">
        <v>2</v>
      </c>
      <c r="K158" s="358" t="s">
        <v>1211</v>
      </c>
      <c r="L158" s="358" t="s">
        <v>682</v>
      </c>
      <c r="M158" s="358" t="s">
        <v>1271</v>
      </c>
      <c r="N158" s="488" t="s">
        <v>1877</v>
      </c>
      <c r="O158" s="465" t="s">
        <v>1337</v>
      </c>
      <c r="P158" s="465" t="s">
        <v>1337</v>
      </c>
      <c r="Q158" s="360"/>
      <c r="R158" s="361"/>
      <c r="S158" s="294"/>
      <c r="T158" s="1058"/>
      <c r="U158" s="295"/>
      <c r="V158" s="295"/>
      <c r="W158" s="362"/>
      <c r="X158" s="379"/>
      <c r="Y158" s="293"/>
      <c r="Z158" s="294"/>
      <c r="AA158" s="293"/>
      <c r="AB158" s="365">
        <f>COUNTIF(AC158, "&gt;49999")</f>
        <v>0</v>
      </c>
      <c r="AC158" s="364">
        <f>(18000*1.1115)</f>
        <v>20007</v>
      </c>
      <c r="AD158" s="427"/>
      <c r="AE158" s="299"/>
      <c r="AF158" s="670"/>
      <c r="AG158" s="371">
        <f t="shared" si="26"/>
        <v>20007</v>
      </c>
      <c r="AH158" s="489"/>
      <c r="AI158" s="490"/>
      <c r="AJ158" s="490"/>
      <c r="AK158" s="367"/>
      <c r="AL158" s="363"/>
      <c r="AM158" s="368"/>
      <c r="AN158" s="368"/>
      <c r="AO158" s="368"/>
      <c r="AP158" s="368"/>
      <c r="AQ158" s="368"/>
      <c r="AR158" s="368"/>
      <c r="AS158" s="368"/>
      <c r="AT158" s="368"/>
      <c r="AU158" s="368"/>
      <c r="AV158" s="368"/>
      <c r="AW158" s="368">
        <v>2</v>
      </c>
      <c r="AX158" s="369"/>
      <c r="AY158" s="369"/>
      <c r="AZ158" s="448">
        <f>1000*16.885856</f>
        <v>16885.856</v>
      </c>
      <c r="BA158" s="364">
        <f>5000+325+2340</f>
        <v>7665</v>
      </c>
      <c r="BB158" s="299">
        <f t="shared" si="27"/>
        <v>44557.856</v>
      </c>
      <c r="BC158" s="370"/>
      <c r="BD158" s="371"/>
      <c r="BE158" s="491">
        <v>3000</v>
      </c>
      <c r="BF158" s="352">
        <f>BB158+BD158+BC158</f>
        <v>44557.856</v>
      </c>
      <c r="BG158" s="451" t="str">
        <f t="shared" si="28"/>
        <v>Y</v>
      </c>
      <c r="BH158" s="451"/>
      <c r="BI158" s="299"/>
      <c r="BJ158" s="698"/>
      <c r="BK158" s="698"/>
      <c r="BL158" s="303">
        <v>2614</v>
      </c>
      <c r="BM158" s="706"/>
      <c r="BN158" s="373"/>
      <c r="BO158" s="706"/>
      <c r="BP158" s="716"/>
      <c r="BQ158" s="706"/>
      <c r="BR158" s="373"/>
      <c r="BS158" s="373"/>
      <c r="BT158" s="373"/>
      <c r="BU158" s="373"/>
      <c r="BV158" s="304"/>
      <c r="BW158" s="288"/>
      <c r="BX158" s="359" t="s">
        <v>683</v>
      </c>
      <c r="BY158" s="374" t="s">
        <v>685</v>
      </c>
      <c r="BZ158" s="624"/>
      <c r="CA158" s="624"/>
      <c r="CB158" s="624"/>
      <c r="CC158" s="624"/>
      <c r="CD158" s="624"/>
      <c r="CE158" s="624"/>
      <c r="CF158" s="624"/>
      <c r="CG158" s="624"/>
      <c r="CH158" s="624"/>
    </row>
    <row r="159" spans="1:86" s="305" customFormat="1" ht="39" customHeight="1">
      <c r="A159" s="276"/>
      <c r="B159" s="348">
        <f>B156+1</f>
        <v>116</v>
      </c>
      <c r="C159" s="348"/>
      <c r="D159" s="726" t="s">
        <v>1529</v>
      </c>
      <c r="E159" s="356">
        <v>38108</v>
      </c>
      <c r="F159" s="358">
        <v>2004</v>
      </c>
      <c r="G159" s="288">
        <v>13</v>
      </c>
      <c r="H159" s="288"/>
      <c r="I159" s="288">
        <v>2004</v>
      </c>
      <c r="J159" s="288">
        <v>3</v>
      </c>
      <c r="K159" s="358" t="s">
        <v>1210</v>
      </c>
      <c r="L159" s="358" t="s">
        <v>1651</v>
      </c>
      <c r="M159" s="358"/>
      <c r="N159" s="359" t="s">
        <v>1639</v>
      </c>
      <c r="O159" s="465" t="s">
        <v>1275</v>
      </c>
      <c r="P159" s="465" t="s">
        <v>1275</v>
      </c>
      <c r="Q159" s="360"/>
      <c r="R159" s="361"/>
      <c r="S159" s="294"/>
      <c r="T159" s="1058"/>
      <c r="U159" s="295"/>
      <c r="V159" s="295"/>
      <c r="W159" s="362"/>
      <c r="X159" s="379"/>
      <c r="Y159" s="293"/>
      <c r="Z159" s="294"/>
      <c r="AA159" s="293"/>
      <c r="AB159" s="365"/>
      <c r="AC159" s="364"/>
      <c r="AD159" s="427"/>
      <c r="AE159" s="299"/>
      <c r="AF159" s="670"/>
      <c r="AG159" s="371">
        <f t="shared" si="26"/>
        <v>0</v>
      </c>
      <c r="AH159" s="489"/>
      <c r="AI159" s="490"/>
      <c r="AJ159" s="490"/>
      <c r="AK159" s="367">
        <v>12380</v>
      </c>
      <c r="AL159" s="363"/>
      <c r="AM159" s="368"/>
      <c r="AN159" s="368"/>
      <c r="AO159" s="368"/>
      <c r="AP159" s="368"/>
      <c r="AQ159" s="368"/>
      <c r="AR159" s="368"/>
      <c r="AS159" s="368">
        <v>12360</v>
      </c>
      <c r="AT159" s="368"/>
      <c r="AU159" s="368"/>
      <c r="AV159" s="368">
        <v>20</v>
      </c>
      <c r="AW159" s="368"/>
      <c r="AX159" s="369"/>
      <c r="AY159" s="369"/>
      <c r="AZ159" s="448">
        <f>(260*206)+(20*383)</f>
        <v>61220</v>
      </c>
      <c r="BA159" s="364"/>
      <c r="BB159" s="299">
        <f t="shared" si="27"/>
        <v>61220</v>
      </c>
      <c r="BC159" s="370"/>
      <c r="BD159" s="371"/>
      <c r="BE159" s="491">
        <v>6180</v>
      </c>
      <c r="BF159" s="352">
        <f>BB159+BD159+BC159</f>
        <v>61220</v>
      </c>
      <c r="BG159" s="451" t="str">
        <f t="shared" si="28"/>
        <v>Y</v>
      </c>
      <c r="BH159" s="451"/>
      <c r="BI159" s="299"/>
      <c r="BJ159" s="698"/>
      <c r="BK159" s="698"/>
      <c r="BL159" s="303">
        <v>2898</v>
      </c>
      <c r="BM159" s="706"/>
      <c r="BN159" s="373"/>
      <c r="BO159" s="706"/>
      <c r="BP159" s="716"/>
      <c r="BQ159" s="706"/>
      <c r="BR159" s="373"/>
      <c r="BS159" s="373"/>
      <c r="BT159" s="373"/>
      <c r="BU159" s="373"/>
      <c r="BV159" s="304"/>
      <c r="BW159" s="288"/>
      <c r="BX159" s="359" t="s">
        <v>1163</v>
      </c>
      <c r="BY159" s="374" t="s">
        <v>1826</v>
      </c>
      <c r="BZ159" s="624"/>
      <c r="CA159" s="624"/>
      <c r="CB159" s="624"/>
      <c r="CC159" s="624"/>
      <c r="CD159" s="624"/>
      <c r="CE159" s="624"/>
      <c r="CF159" s="624"/>
      <c r="CG159" s="624"/>
      <c r="CH159" s="624"/>
    </row>
    <row r="160" spans="1:86" s="305" customFormat="1" ht="39" customHeight="1">
      <c r="A160" s="276"/>
      <c r="B160" s="348">
        <v>116</v>
      </c>
      <c r="C160" s="348"/>
      <c r="D160" s="726" t="s">
        <v>1525</v>
      </c>
      <c r="E160" s="356">
        <v>38169</v>
      </c>
      <c r="F160" s="358">
        <v>2004</v>
      </c>
      <c r="G160" s="288">
        <v>12</v>
      </c>
      <c r="H160" s="288"/>
      <c r="I160" s="288">
        <v>2004</v>
      </c>
      <c r="J160" s="288">
        <v>2</v>
      </c>
      <c r="K160" s="358" t="s">
        <v>1211</v>
      </c>
      <c r="L160" s="358" t="s">
        <v>1540</v>
      </c>
      <c r="M160" s="358" t="s">
        <v>1271</v>
      </c>
      <c r="N160" s="488" t="s">
        <v>1877</v>
      </c>
      <c r="O160" s="465" t="s">
        <v>1337</v>
      </c>
      <c r="P160" s="465" t="s">
        <v>1337</v>
      </c>
      <c r="Q160" s="360"/>
      <c r="R160" s="361"/>
      <c r="S160" s="294"/>
      <c r="T160" s="1058"/>
      <c r="U160" s="295"/>
      <c r="V160" s="295"/>
      <c r="W160" s="362"/>
      <c r="X160" s="379"/>
      <c r="Y160" s="293"/>
      <c r="Z160" s="294"/>
      <c r="AA160" s="293"/>
      <c r="AB160" s="365"/>
      <c r="AC160" s="364"/>
      <c r="AD160" s="427"/>
      <c r="AE160" s="299"/>
      <c r="AF160" s="670"/>
      <c r="AG160" s="371">
        <f t="shared" si="26"/>
        <v>0</v>
      </c>
      <c r="AH160" s="489">
        <v>1</v>
      </c>
      <c r="AI160" s="490"/>
      <c r="AJ160" s="490"/>
      <c r="AK160" s="367"/>
      <c r="AL160" s="363"/>
      <c r="AM160" s="368"/>
      <c r="AN160" s="368"/>
      <c r="AO160" s="368"/>
      <c r="AP160" s="368"/>
      <c r="AQ160" s="368"/>
      <c r="AR160" s="368"/>
      <c r="AS160" s="368"/>
      <c r="AT160" s="368"/>
      <c r="AU160" s="368"/>
      <c r="AV160" s="368"/>
      <c r="AW160" s="368"/>
      <c r="AX160" s="369"/>
      <c r="AY160" s="369"/>
      <c r="AZ160" s="448">
        <v>110266.26</v>
      </c>
      <c r="BA160" s="364"/>
      <c r="BB160" s="299">
        <f t="shared" si="27"/>
        <v>110266.26</v>
      </c>
      <c r="BC160" s="370"/>
      <c r="BD160" s="371"/>
      <c r="BE160" s="491">
        <v>2500</v>
      </c>
      <c r="BF160" s="352">
        <f>BB160+BD160+BC160</f>
        <v>110266.26</v>
      </c>
      <c r="BG160" s="451" t="str">
        <f t="shared" si="28"/>
        <v>Y</v>
      </c>
      <c r="BH160" s="451"/>
      <c r="BI160" s="299"/>
      <c r="BJ160" s="698"/>
      <c r="BK160" s="698"/>
      <c r="BL160" s="303">
        <v>2788</v>
      </c>
      <c r="BM160" s="706"/>
      <c r="BN160" s="373"/>
      <c r="BO160" s="706"/>
      <c r="BP160" s="716"/>
      <c r="BQ160" s="706"/>
      <c r="BR160" s="373"/>
      <c r="BS160" s="373"/>
      <c r="BT160" s="373"/>
      <c r="BU160" s="373"/>
      <c r="BV160" s="304"/>
      <c r="BW160" s="288"/>
      <c r="BX160" s="359" t="s">
        <v>679</v>
      </c>
      <c r="BY160" s="374" t="s">
        <v>681</v>
      </c>
      <c r="BZ160" s="624"/>
      <c r="CA160" s="624"/>
      <c r="CB160" s="624"/>
      <c r="CC160" s="624"/>
      <c r="CD160" s="624"/>
      <c r="CE160" s="624"/>
      <c r="CF160" s="624"/>
      <c r="CG160" s="624"/>
      <c r="CH160" s="624"/>
    </row>
    <row r="161" spans="1:86" s="305" customFormat="1" ht="39" customHeight="1">
      <c r="A161" s="276"/>
      <c r="B161" s="348">
        <v>116</v>
      </c>
      <c r="C161" s="348"/>
      <c r="D161" s="726" t="s">
        <v>1810</v>
      </c>
      <c r="E161" s="356">
        <v>38169</v>
      </c>
      <c r="F161" s="358">
        <v>2004</v>
      </c>
      <c r="G161" s="288">
        <v>12</v>
      </c>
      <c r="H161" s="288"/>
      <c r="I161" s="288">
        <v>2004</v>
      </c>
      <c r="J161" s="288">
        <v>2</v>
      </c>
      <c r="K161" s="358" t="s">
        <v>1211</v>
      </c>
      <c r="L161" s="358" t="s">
        <v>682</v>
      </c>
      <c r="M161" s="358" t="s">
        <v>1271</v>
      </c>
      <c r="N161" s="488" t="s">
        <v>1877</v>
      </c>
      <c r="O161" s="465" t="s">
        <v>1337</v>
      </c>
      <c r="P161" s="465" t="s">
        <v>1337</v>
      </c>
      <c r="Q161" s="360"/>
      <c r="R161" s="361"/>
      <c r="S161" s="294"/>
      <c r="T161" s="1058"/>
      <c r="U161" s="295"/>
      <c r="V161" s="295"/>
      <c r="W161" s="362"/>
      <c r="X161" s="379"/>
      <c r="Y161" s="293"/>
      <c r="Z161" s="294"/>
      <c r="AA161" s="293"/>
      <c r="AB161" s="365"/>
      <c r="AC161" s="364"/>
      <c r="AD161" s="427"/>
      <c r="AE161" s="299"/>
      <c r="AF161" s="670"/>
      <c r="AG161" s="371">
        <f t="shared" si="26"/>
        <v>0</v>
      </c>
      <c r="AH161" s="489"/>
      <c r="AI161" s="490"/>
      <c r="AJ161" s="490"/>
      <c r="AK161" s="367"/>
      <c r="AL161" s="363"/>
      <c r="AM161" s="368"/>
      <c r="AN161" s="368"/>
      <c r="AO161" s="368"/>
      <c r="AP161" s="368"/>
      <c r="AQ161" s="368"/>
      <c r="AR161" s="368"/>
      <c r="AS161" s="368"/>
      <c r="AT161" s="368"/>
      <c r="AU161" s="368"/>
      <c r="AV161" s="368"/>
      <c r="AW161" s="368"/>
      <c r="AX161" s="369"/>
      <c r="AY161" s="369"/>
      <c r="AZ161" s="448">
        <v>97442.48</v>
      </c>
      <c r="BA161" s="364"/>
      <c r="BB161" s="299">
        <f t="shared" si="27"/>
        <v>97442.48</v>
      </c>
      <c r="BC161" s="370"/>
      <c r="BD161" s="371"/>
      <c r="BE161" s="491">
        <v>3000</v>
      </c>
      <c r="BF161" s="352">
        <f>BB161+BD161+BC161</f>
        <v>97442.48</v>
      </c>
      <c r="BG161" s="451" t="str">
        <f t="shared" si="28"/>
        <v>Y</v>
      </c>
      <c r="BH161" s="451"/>
      <c r="BI161" s="299"/>
      <c r="BJ161" s="698"/>
      <c r="BK161" s="698"/>
      <c r="BL161" s="303">
        <v>2788</v>
      </c>
      <c r="BM161" s="706"/>
      <c r="BN161" s="373"/>
      <c r="BO161" s="706"/>
      <c r="BP161" s="716"/>
      <c r="BQ161" s="706"/>
      <c r="BR161" s="373"/>
      <c r="BS161" s="373"/>
      <c r="BT161" s="373"/>
      <c r="BU161" s="373"/>
      <c r="BV161" s="304"/>
      <c r="BW161" s="288"/>
      <c r="BX161" s="359" t="s">
        <v>683</v>
      </c>
      <c r="BY161" s="374" t="s">
        <v>684</v>
      </c>
      <c r="BZ161" s="624"/>
      <c r="CA161" s="624"/>
      <c r="CB161" s="624"/>
      <c r="CC161" s="624"/>
      <c r="CD161" s="624"/>
      <c r="CE161" s="624"/>
      <c r="CF161" s="624"/>
      <c r="CG161" s="624"/>
      <c r="CH161" s="624"/>
    </row>
    <row r="162" spans="1:86" s="305" customFormat="1" ht="39" customHeight="1">
      <c r="A162" s="276"/>
      <c r="B162" s="348">
        <f>B161+1</f>
        <v>117</v>
      </c>
      <c r="C162" s="348"/>
      <c r="D162" s="726" t="s">
        <v>1530</v>
      </c>
      <c r="E162" s="356">
        <v>38108</v>
      </c>
      <c r="F162" s="358">
        <v>2004</v>
      </c>
      <c r="G162" s="288">
        <v>14</v>
      </c>
      <c r="H162" s="288"/>
      <c r="I162" s="288">
        <v>2004</v>
      </c>
      <c r="J162" s="288">
        <v>4</v>
      </c>
      <c r="K162" s="358" t="s">
        <v>1211</v>
      </c>
      <c r="L162" s="358" t="s">
        <v>1590</v>
      </c>
      <c r="M162" s="358" t="s">
        <v>1273</v>
      </c>
      <c r="N162" s="359" t="s">
        <v>1940</v>
      </c>
      <c r="O162" s="358" t="s">
        <v>1940</v>
      </c>
      <c r="P162" s="358" t="s">
        <v>1940</v>
      </c>
      <c r="Q162" s="360"/>
      <c r="R162" s="361"/>
      <c r="S162" s="294"/>
      <c r="T162" s="1058"/>
      <c r="U162" s="295"/>
      <c r="V162" s="295"/>
      <c r="W162" s="362"/>
      <c r="X162" s="379"/>
      <c r="Y162" s="293"/>
      <c r="Z162" s="294"/>
      <c r="AA162" s="293"/>
      <c r="AB162" s="365"/>
      <c r="AC162" s="364"/>
      <c r="AD162" s="427"/>
      <c r="AE162" s="299"/>
      <c r="AF162" s="670"/>
      <c r="AG162" s="371">
        <f t="shared" si="26"/>
        <v>0</v>
      </c>
      <c r="AH162" s="489">
        <v>0</v>
      </c>
      <c r="AI162" s="490"/>
      <c r="AJ162" s="490"/>
      <c r="AK162" s="367">
        <v>1000</v>
      </c>
      <c r="AL162" s="363"/>
      <c r="AM162" s="368">
        <v>500</v>
      </c>
      <c r="AN162" s="368"/>
      <c r="AO162" s="368"/>
      <c r="AP162" s="368"/>
      <c r="AQ162" s="368"/>
      <c r="AR162" s="368"/>
      <c r="AS162" s="368">
        <v>500</v>
      </c>
      <c r="AT162" s="368"/>
      <c r="AU162" s="368"/>
      <c r="AV162" s="368"/>
      <c r="AW162" s="368"/>
      <c r="AX162" s="369"/>
      <c r="AY162" s="369"/>
      <c r="AZ162" s="448">
        <v>3000</v>
      </c>
      <c r="BA162" s="364"/>
      <c r="BB162" s="299">
        <f t="shared" si="27"/>
        <v>3000</v>
      </c>
      <c r="BC162" s="370"/>
      <c r="BD162" s="371"/>
      <c r="BE162" s="491">
        <v>500</v>
      </c>
      <c r="BF162" s="352">
        <f>AE162+AC162+AZ162+BA162</f>
        <v>3000</v>
      </c>
      <c r="BG162" s="451" t="str">
        <f t="shared" si="28"/>
        <v>Y</v>
      </c>
      <c r="BH162" s="451"/>
      <c r="BI162" s="299"/>
      <c r="BJ162" s="698"/>
      <c r="BK162" s="698"/>
      <c r="BL162" s="303">
        <v>2898</v>
      </c>
      <c r="BM162" s="706"/>
      <c r="BN162" s="373"/>
      <c r="BO162" s="706"/>
      <c r="BP162" s="716"/>
      <c r="BQ162" s="706"/>
      <c r="BR162" s="373"/>
      <c r="BS162" s="373"/>
      <c r="BT162" s="373"/>
      <c r="BU162" s="373"/>
      <c r="BV162" s="304"/>
      <c r="BW162" s="288"/>
      <c r="BX162" s="359" t="s">
        <v>1164</v>
      </c>
      <c r="BY162" s="374" t="s">
        <v>1827</v>
      </c>
      <c r="BZ162" s="624"/>
      <c r="CA162" s="624"/>
      <c r="CB162" s="624"/>
      <c r="CC162" s="624"/>
      <c r="CD162" s="624"/>
      <c r="CE162" s="624"/>
      <c r="CF162" s="624"/>
      <c r="CG162" s="624"/>
      <c r="CH162" s="624"/>
    </row>
    <row r="163" spans="1:86" s="305" customFormat="1" ht="39" customHeight="1">
      <c r="A163" s="276"/>
      <c r="B163" s="348">
        <v>119</v>
      </c>
      <c r="C163" s="348"/>
      <c r="D163" s="726" t="s">
        <v>257</v>
      </c>
      <c r="E163" s="356">
        <v>38200</v>
      </c>
      <c r="F163" s="358">
        <v>2005</v>
      </c>
      <c r="G163" s="288">
        <v>1</v>
      </c>
      <c r="H163" s="288"/>
      <c r="I163" s="288">
        <v>2004</v>
      </c>
      <c r="J163" s="288">
        <v>5</v>
      </c>
      <c r="K163" s="358" t="s">
        <v>1211</v>
      </c>
      <c r="L163" s="358" t="s">
        <v>398</v>
      </c>
      <c r="M163" s="358"/>
      <c r="N163" s="359" t="s">
        <v>633</v>
      </c>
      <c r="O163" s="358" t="s">
        <v>1593</v>
      </c>
      <c r="P163" s="358" t="s">
        <v>1274</v>
      </c>
      <c r="Q163" s="360"/>
      <c r="R163" s="361"/>
      <c r="S163" s="294"/>
      <c r="T163" s="1058"/>
      <c r="U163" s="295"/>
      <c r="V163" s="295"/>
      <c r="W163" s="362"/>
      <c r="X163" s="379"/>
      <c r="Y163" s="293"/>
      <c r="Z163" s="294"/>
      <c r="AA163" s="293"/>
      <c r="AB163" s="365"/>
      <c r="AC163" s="364"/>
      <c r="AD163" s="427"/>
      <c r="AE163" s="299">
        <v>18675</v>
      </c>
      <c r="AF163" s="670"/>
      <c r="AG163" s="371">
        <f t="shared" si="26"/>
        <v>18675</v>
      </c>
      <c r="AH163" s="489"/>
      <c r="AI163" s="490"/>
      <c r="AJ163" s="490"/>
      <c r="AK163" s="367"/>
      <c r="AL163" s="363"/>
      <c r="AM163" s="368"/>
      <c r="AN163" s="368"/>
      <c r="AO163" s="368"/>
      <c r="AP163" s="368"/>
      <c r="AQ163" s="368"/>
      <c r="AR163" s="368"/>
      <c r="AS163" s="368"/>
      <c r="AT163" s="368"/>
      <c r="AU163" s="368"/>
      <c r="AV163" s="368"/>
      <c r="AW163" s="368"/>
      <c r="AX163" s="369"/>
      <c r="AY163" s="369"/>
      <c r="AZ163" s="448"/>
      <c r="BA163" s="364"/>
      <c r="BB163" s="299">
        <f t="shared" si="27"/>
        <v>18675</v>
      </c>
      <c r="BC163" s="370"/>
      <c r="BD163" s="371"/>
      <c r="BE163" s="491"/>
      <c r="BF163" s="352">
        <f>AE163+AC163+AZ163+BA163</f>
        <v>18675</v>
      </c>
      <c r="BG163" s="451" t="str">
        <f t="shared" si="28"/>
        <v>Y</v>
      </c>
      <c r="BH163" s="451"/>
      <c r="BI163" s="299"/>
      <c r="BJ163" s="698"/>
      <c r="BK163" s="698"/>
      <c r="BL163" s="303">
        <v>2816</v>
      </c>
      <c r="BM163" s="706"/>
      <c r="BN163" s="373"/>
      <c r="BO163" s="706"/>
      <c r="BP163" s="716"/>
      <c r="BQ163" s="706"/>
      <c r="BR163" s="373"/>
      <c r="BS163" s="373"/>
      <c r="BT163" s="373"/>
      <c r="BU163" s="373"/>
      <c r="BV163" s="304"/>
      <c r="BW163" s="288"/>
      <c r="BX163" s="359" t="s">
        <v>1165</v>
      </c>
      <c r="BY163" s="374" t="s">
        <v>686</v>
      </c>
      <c r="BZ163" s="624"/>
      <c r="CA163" s="624"/>
      <c r="CB163" s="624"/>
      <c r="CC163" s="624"/>
      <c r="CD163" s="624"/>
      <c r="CE163" s="624"/>
      <c r="CF163" s="624"/>
      <c r="CG163" s="624"/>
      <c r="CH163" s="624"/>
    </row>
    <row r="164" spans="1:86" s="305" customFormat="1" ht="39" customHeight="1">
      <c r="A164" s="276"/>
      <c r="B164" s="348">
        <v>120</v>
      </c>
      <c r="C164" s="348"/>
      <c r="D164" s="726" t="s">
        <v>1813</v>
      </c>
      <c r="E164" s="356">
        <v>38200</v>
      </c>
      <c r="F164" s="358">
        <v>2005</v>
      </c>
      <c r="G164" s="288">
        <v>2</v>
      </c>
      <c r="H164" s="288"/>
      <c r="I164" s="288">
        <v>2004</v>
      </c>
      <c r="J164" s="288">
        <v>6</v>
      </c>
      <c r="K164" s="358" t="s">
        <v>1210</v>
      </c>
      <c r="L164" s="358" t="s">
        <v>687</v>
      </c>
      <c r="M164" s="358" t="s">
        <v>1273</v>
      </c>
      <c r="N164" s="359" t="s">
        <v>1940</v>
      </c>
      <c r="O164" s="358" t="s">
        <v>1940</v>
      </c>
      <c r="P164" s="358" t="s">
        <v>1940</v>
      </c>
      <c r="Q164" s="360"/>
      <c r="R164" s="361"/>
      <c r="S164" s="294"/>
      <c r="T164" s="1058"/>
      <c r="U164" s="295"/>
      <c r="V164" s="295"/>
      <c r="W164" s="362"/>
      <c r="X164" s="379"/>
      <c r="Y164" s="293"/>
      <c r="Z164" s="294"/>
      <c r="AA164" s="293"/>
      <c r="AB164" s="365">
        <f>COUNTIF(AC164, "&gt;49999")</f>
        <v>1</v>
      </c>
      <c r="AC164" s="364">
        <v>100000</v>
      </c>
      <c r="AD164" s="427"/>
      <c r="AE164" s="299"/>
      <c r="AF164" s="670"/>
      <c r="AG164" s="371">
        <f t="shared" si="26"/>
        <v>100000</v>
      </c>
      <c r="AH164" s="489"/>
      <c r="AI164" s="490"/>
      <c r="AJ164" s="490"/>
      <c r="AK164" s="367"/>
      <c r="AL164" s="363"/>
      <c r="AM164" s="368"/>
      <c r="AN164" s="368"/>
      <c r="AO164" s="368"/>
      <c r="AP164" s="368"/>
      <c r="AQ164" s="368"/>
      <c r="AR164" s="368"/>
      <c r="AS164" s="368"/>
      <c r="AT164" s="368"/>
      <c r="AU164" s="368"/>
      <c r="AV164" s="368"/>
      <c r="AW164" s="368"/>
      <c r="AX164" s="369"/>
      <c r="AY164" s="369"/>
      <c r="AZ164" s="448"/>
      <c r="BA164" s="364"/>
      <c r="BB164" s="299">
        <f t="shared" si="27"/>
        <v>100000</v>
      </c>
      <c r="BC164" s="370"/>
      <c r="BD164" s="371"/>
      <c r="BE164" s="491"/>
      <c r="BF164" s="352">
        <f t="shared" ref="BF164:BF169" si="31">BB164+BD164+BC164</f>
        <v>100000</v>
      </c>
      <c r="BG164" s="451" t="str">
        <f t="shared" si="28"/>
        <v>Y</v>
      </c>
      <c r="BH164" s="451"/>
      <c r="BI164" s="299"/>
      <c r="BJ164" s="698"/>
      <c r="BK164" s="698"/>
      <c r="BL164" s="303">
        <v>9306</v>
      </c>
      <c r="BM164" s="706"/>
      <c r="BN164" s="373"/>
      <c r="BO164" s="706"/>
      <c r="BP164" s="716"/>
      <c r="BQ164" s="706"/>
      <c r="BR164" s="373"/>
      <c r="BS164" s="373"/>
      <c r="BT164" s="373"/>
      <c r="BU164" s="373"/>
      <c r="BV164" s="304"/>
      <c r="BW164" s="288"/>
      <c r="BX164" s="359" t="s">
        <v>688</v>
      </c>
      <c r="BY164" s="374" t="s">
        <v>1991</v>
      </c>
      <c r="BZ164" s="624"/>
      <c r="CA164" s="624"/>
      <c r="CB164" s="624"/>
      <c r="CC164" s="624"/>
      <c r="CD164" s="624"/>
      <c r="CE164" s="624"/>
      <c r="CF164" s="624"/>
      <c r="CG164" s="624"/>
      <c r="CH164" s="624"/>
    </row>
    <row r="165" spans="1:86" s="305" customFormat="1" ht="39" customHeight="1">
      <c r="A165" s="276"/>
      <c r="B165" s="348">
        <v>120</v>
      </c>
      <c r="C165" s="348"/>
      <c r="D165" s="726" t="s">
        <v>101</v>
      </c>
      <c r="E165" s="356">
        <v>38200</v>
      </c>
      <c r="F165" s="358">
        <v>2005</v>
      </c>
      <c r="G165" s="288">
        <v>2</v>
      </c>
      <c r="H165" s="288"/>
      <c r="I165" s="288">
        <v>2004</v>
      </c>
      <c r="J165" s="288">
        <v>6</v>
      </c>
      <c r="K165" s="358" t="s">
        <v>1210</v>
      </c>
      <c r="L165" s="358" t="s">
        <v>1992</v>
      </c>
      <c r="M165" s="358" t="s">
        <v>1273</v>
      </c>
      <c r="N165" s="359" t="s">
        <v>1940</v>
      </c>
      <c r="O165" s="358" t="s">
        <v>1940</v>
      </c>
      <c r="P165" s="358" t="s">
        <v>1940</v>
      </c>
      <c r="Q165" s="360"/>
      <c r="R165" s="361"/>
      <c r="S165" s="294"/>
      <c r="T165" s="1058"/>
      <c r="U165" s="295"/>
      <c r="V165" s="295"/>
      <c r="W165" s="362"/>
      <c r="X165" s="379"/>
      <c r="Y165" s="293"/>
      <c r="Z165" s="294"/>
      <c r="AA165" s="293"/>
      <c r="AB165" s="365"/>
      <c r="AC165" s="364"/>
      <c r="AD165" s="427">
        <v>242000</v>
      </c>
      <c r="AE165" s="299"/>
      <c r="AF165" s="670"/>
      <c r="AG165" s="371">
        <f t="shared" si="26"/>
        <v>242000</v>
      </c>
      <c r="AH165" s="489">
        <v>1</v>
      </c>
      <c r="AI165" s="490"/>
      <c r="AJ165" s="490"/>
      <c r="AK165" s="367"/>
      <c r="AL165" s="363"/>
      <c r="AM165" s="368"/>
      <c r="AN165" s="368"/>
      <c r="AO165" s="368"/>
      <c r="AP165" s="368"/>
      <c r="AQ165" s="368"/>
      <c r="AR165" s="368"/>
      <c r="AS165" s="368"/>
      <c r="AT165" s="368"/>
      <c r="AU165" s="368"/>
      <c r="AV165" s="368"/>
      <c r="AW165" s="368"/>
      <c r="AX165" s="369"/>
      <c r="AY165" s="369"/>
      <c r="AZ165" s="448"/>
      <c r="BA165" s="364">
        <v>5400</v>
      </c>
      <c r="BB165" s="299">
        <f t="shared" si="27"/>
        <v>247400</v>
      </c>
      <c r="BC165" s="370"/>
      <c r="BD165" s="371"/>
      <c r="BE165" s="491"/>
      <c r="BF165" s="352">
        <f t="shared" si="31"/>
        <v>247400</v>
      </c>
      <c r="BG165" s="451" t="str">
        <f t="shared" si="28"/>
        <v>Y</v>
      </c>
      <c r="BH165" s="451"/>
      <c r="BI165" s="299"/>
      <c r="BJ165" s="698"/>
      <c r="BK165" s="698"/>
      <c r="BL165" s="303">
        <v>2802</v>
      </c>
      <c r="BM165" s="706"/>
      <c r="BN165" s="373"/>
      <c r="BO165" s="706"/>
      <c r="BP165" s="716"/>
      <c r="BQ165" s="706"/>
      <c r="BR165" s="373"/>
      <c r="BS165" s="373"/>
      <c r="BT165" s="373"/>
      <c r="BU165" s="373"/>
      <c r="BV165" s="304"/>
      <c r="BW165" s="288"/>
      <c r="BX165" s="359" t="s">
        <v>688</v>
      </c>
      <c r="BY165" s="374" t="s">
        <v>1993</v>
      </c>
      <c r="BZ165" s="624"/>
      <c r="CA165" s="624"/>
      <c r="CB165" s="624"/>
      <c r="CC165" s="624"/>
      <c r="CD165" s="624"/>
      <c r="CE165" s="624"/>
      <c r="CF165" s="624"/>
      <c r="CG165" s="624"/>
      <c r="CH165" s="624"/>
    </row>
    <row r="166" spans="1:86" s="305" customFormat="1" ht="39" customHeight="1">
      <c r="A166" s="276"/>
      <c r="B166" s="348">
        <f>B164+1</f>
        <v>121</v>
      </c>
      <c r="C166" s="348"/>
      <c r="D166" s="726" t="s">
        <v>88</v>
      </c>
      <c r="E166" s="356">
        <v>38200</v>
      </c>
      <c r="F166" s="358">
        <v>2005</v>
      </c>
      <c r="G166" s="288">
        <v>3</v>
      </c>
      <c r="H166" s="288"/>
      <c r="I166" s="288">
        <v>2004</v>
      </c>
      <c r="J166" s="288">
        <v>7</v>
      </c>
      <c r="K166" s="288" t="s">
        <v>570</v>
      </c>
      <c r="L166" s="358" t="s">
        <v>1943</v>
      </c>
      <c r="M166" s="358" t="s">
        <v>1271</v>
      </c>
      <c r="N166" s="488" t="s">
        <v>1877</v>
      </c>
      <c r="O166" s="465" t="s">
        <v>1337</v>
      </c>
      <c r="P166" s="465" t="s">
        <v>1337</v>
      </c>
      <c r="Q166" s="360"/>
      <c r="R166" s="361"/>
      <c r="S166" s="294"/>
      <c r="T166" s="1058"/>
      <c r="U166" s="295"/>
      <c r="V166" s="295"/>
      <c r="W166" s="362"/>
      <c r="X166" s="379"/>
      <c r="Y166" s="293"/>
      <c r="Z166" s="294"/>
      <c r="AA166" s="293"/>
      <c r="AB166" s="365">
        <f>COUNTIF(AC166, "&gt;49999")</f>
        <v>0</v>
      </c>
      <c r="AC166" s="364">
        <f>15975+20000</f>
        <v>35975</v>
      </c>
      <c r="AD166" s="427"/>
      <c r="AE166" s="299"/>
      <c r="AF166" s="670"/>
      <c r="AG166" s="371">
        <f t="shared" si="26"/>
        <v>35975</v>
      </c>
      <c r="AH166" s="489"/>
      <c r="AI166" s="490"/>
      <c r="AJ166" s="490"/>
      <c r="AK166" s="367"/>
      <c r="AL166" s="363"/>
      <c r="AM166" s="368"/>
      <c r="AN166" s="368"/>
      <c r="AO166" s="368"/>
      <c r="AP166" s="368"/>
      <c r="AQ166" s="368"/>
      <c r="AR166" s="368"/>
      <c r="AS166" s="368"/>
      <c r="AT166" s="368"/>
      <c r="AU166" s="368"/>
      <c r="AV166" s="368"/>
      <c r="AW166" s="368"/>
      <c r="AX166" s="369"/>
      <c r="AY166" s="369"/>
      <c r="AZ166" s="448"/>
      <c r="BA166" s="364"/>
      <c r="BB166" s="299">
        <f t="shared" si="27"/>
        <v>35975</v>
      </c>
      <c r="BC166" s="370"/>
      <c r="BD166" s="371"/>
      <c r="BE166" s="491"/>
      <c r="BF166" s="352">
        <f t="shared" si="31"/>
        <v>35975</v>
      </c>
      <c r="BG166" s="451" t="str">
        <f t="shared" si="28"/>
        <v>Y</v>
      </c>
      <c r="BH166" s="451"/>
      <c r="BI166" s="299"/>
      <c r="BJ166" s="698"/>
      <c r="BK166" s="698"/>
      <c r="BL166" s="303">
        <v>2017</v>
      </c>
      <c r="BM166" s="706"/>
      <c r="BN166" s="373"/>
      <c r="BO166" s="706"/>
      <c r="BP166" s="716"/>
      <c r="BQ166" s="706"/>
      <c r="BR166" s="373"/>
      <c r="BS166" s="373"/>
      <c r="BT166" s="373"/>
      <c r="BU166" s="373"/>
      <c r="BV166" s="304"/>
      <c r="BW166" s="288"/>
      <c r="BX166" s="359" t="s">
        <v>1994</v>
      </c>
      <c r="BY166" s="374" t="s">
        <v>1995</v>
      </c>
      <c r="BZ166" s="624"/>
      <c r="CA166" s="624"/>
      <c r="CB166" s="624"/>
      <c r="CC166" s="624"/>
      <c r="CD166" s="624"/>
      <c r="CE166" s="624"/>
      <c r="CF166" s="624"/>
      <c r="CG166" s="624"/>
      <c r="CH166" s="624"/>
    </row>
    <row r="167" spans="1:86" s="305" customFormat="1" ht="39" customHeight="1">
      <c r="A167" s="276"/>
      <c r="B167" s="348">
        <f>B166+1</f>
        <v>122</v>
      </c>
      <c r="C167" s="348"/>
      <c r="D167" s="726" t="s">
        <v>259</v>
      </c>
      <c r="E167" s="356">
        <v>38200</v>
      </c>
      <c r="F167" s="358">
        <v>2005</v>
      </c>
      <c r="G167" s="288">
        <v>4</v>
      </c>
      <c r="H167" s="288"/>
      <c r="I167" s="288">
        <v>2004</v>
      </c>
      <c r="J167" s="288">
        <v>8</v>
      </c>
      <c r="K167" s="288" t="s">
        <v>570</v>
      </c>
      <c r="L167" s="358" t="s">
        <v>1934</v>
      </c>
      <c r="M167" s="358" t="s">
        <v>1271</v>
      </c>
      <c r="N167" s="359" t="s">
        <v>1965</v>
      </c>
      <c r="O167" s="288" t="s">
        <v>1098</v>
      </c>
      <c r="P167" s="358" t="s">
        <v>1626</v>
      </c>
      <c r="Q167" s="360"/>
      <c r="R167" s="361"/>
      <c r="S167" s="294"/>
      <c r="T167" s="1058"/>
      <c r="U167" s="295"/>
      <c r="V167" s="295"/>
      <c r="W167" s="362"/>
      <c r="X167" s="379"/>
      <c r="Y167" s="293"/>
      <c r="Z167" s="294"/>
      <c r="AA167" s="293"/>
      <c r="AB167" s="365"/>
      <c r="AC167" s="364"/>
      <c r="AD167" s="427"/>
      <c r="AE167" s="299">
        <f>50000+(10000/1.1115)+(1000/1.1115)</f>
        <v>59896.536212325685</v>
      </c>
      <c r="AF167" s="670"/>
      <c r="AG167" s="371">
        <f t="shared" si="26"/>
        <v>59896.536212325685</v>
      </c>
      <c r="AH167" s="489"/>
      <c r="AI167" s="490"/>
      <c r="AJ167" s="490"/>
      <c r="AK167" s="367"/>
      <c r="AL167" s="363"/>
      <c r="AM167" s="368"/>
      <c r="AN167" s="368"/>
      <c r="AO167" s="368"/>
      <c r="AP167" s="368"/>
      <c r="AQ167" s="368"/>
      <c r="AR167" s="368"/>
      <c r="AS167" s="368"/>
      <c r="AT167" s="368"/>
      <c r="AU167" s="368"/>
      <c r="AV167" s="368"/>
      <c r="AW167" s="368"/>
      <c r="AX167" s="369"/>
      <c r="AY167" s="369"/>
      <c r="AZ167" s="448"/>
      <c r="BA167" s="364"/>
      <c r="BB167" s="299">
        <f t="shared" si="27"/>
        <v>59896.536212325685</v>
      </c>
      <c r="BC167" s="370"/>
      <c r="BD167" s="371"/>
      <c r="BE167" s="491"/>
      <c r="BF167" s="352">
        <f t="shared" si="31"/>
        <v>59896.536212325685</v>
      </c>
      <c r="BG167" s="451" t="str">
        <f t="shared" si="28"/>
        <v>Y</v>
      </c>
      <c r="BH167" s="451"/>
      <c r="BI167" s="299"/>
      <c r="BJ167" s="698"/>
      <c r="BK167" s="698"/>
      <c r="BL167" s="303">
        <v>2824</v>
      </c>
      <c r="BM167" s="706"/>
      <c r="BN167" s="373"/>
      <c r="BO167" s="706"/>
      <c r="BP167" s="716"/>
      <c r="BQ167" s="706"/>
      <c r="BR167" s="373"/>
      <c r="BS167" s="373"/>
      <c r="BT167" s="373"/>
      <c r="BU167" s="373"/>
      <c r="BV167" s="304"/>
      <c r="BW167" s="288"/>
      <c r="BX167" s="359" t="s">
        <v>1996</v>
      </c>
      <c r="BY167" s="374" t="s">
        <v>1997</v>
      </c>
      <c r="BZ167" s="624"/>
      <c r="CA167" s="624"/>
      <c r="CB167" s="624"/>
      <c r="CC167" s="624"/>
      <c r="CD167" s="624"/>
      <c r="CE167" s="624"/>
      <c r="CF167" s="624"/>
      <c r="CG167" s="624"/>
      <c r="CH167" s="624"/>
    </row>
    <row r="168" spans="1:86" s="305" customFormat="1" ht="39" customHeight="1">
      <c r="A168" s="276"/>
      <c r="B168" s="348">
        <v>123</v>
      </c>
      <c r="C168" s="348"/>
      <c r="D168" s="726" t="s">
        <v>1802</v>
      </c>
      <c r="E168" s="356">
        <v>38231</v>
      </c>
      <c r="F168" s="358">
        <v>2005</v>
      </c>
      <c r="G168" s="288">
        <v>5</v>
      </c>
      <c r="H168" s="288"/>
      <c r="I168" s="288">
        <v>2004</v>
      </c>
      <c r="J168" s="288">
        <v>9</v>
      </c>
      <c r="K168" s="288" t="s">
        <v>1211</v>
      </c>
      <c r="L168" s="358" t="s">
        <v>1556</v>
      </c>
      <c r="M168" s="358" t="s">
        <v>1271</v>
      </c>
      <c r="N168" s="359" t="s">
        <v>1965</v>
      </c>
      <c r="O168" s="288" t="s">
        <v>1098</v>
      </c>
      <c r="P168" s="358" t="s">
        <v>1892</v>
      </c>
      <c r="Q168" s="360"/>
      <c r="R168" s="361"/>
      <c r="S168" s="294"/>
      <c r="T168" s="1058"/>
      <c r="U168" s="295"/>
      <c r="V168" s="295"/>
      <c r="W168" s="362"/>
      <c r="X168" s="379"/>
      <c r="Y168" s="293"/>
      <c r="Z168" s="294"/>
      <c r="AA168" s="293"/>
      <c r="AB168" s="365">
        <f>COUNTIF(AC168, "&gt;49999")</f>
        <v>1</v>
      </c>
      <c r="AC168" s="364">
        <v>300000</v>
      </c>
      <c r="AD168" s="427"/>
      <c r="AE168" s="299"/>
      <c r="AF168" s="670"/>
      <c r="AG168" s="371">
        <f t="shared" si="26"/>
        <v>300000</v>
      </c>
      <c r="AH168" s="489">
        <v>2</v>
      </c>
      <c r="AI168" s="490"/>
      <c r="AJ168" s="490"/>
      <c r="AK168" s="367">
        <v>486</v>
      </c>
      <c r="AL168" s="363"/>
      <c r="AM168" s="368"/>
      <c r="AN168" s="368"/>
      <c r="AO168" s="368">
        <v>481</v>
      </c>
      <c r="AP168" s="368"/>
      <c r="AQ168" s="368">
        <v>5</v>
      </c>
      <c r="AR168" s="368"/>
      <c r="AS168" s="368"/>
      <c r="AT168" s="368"/>
      <c r="AU168" s="368"/>
      <c r="AV168" s="368"/>
      <c r="AW168" s="368"/>
      <c r="AX168" s="369"/>
      <c r="AY168" s="369"/>
      <c r="AZ168" s="448">
        <f>(5*299)+(481*1.99)</f>
        <v>2452.19</v>
      </c>
      <c r="BA168" s="498"/>
      <c r="BB168" s="299">
        <f t="shared" si="27"/>
        <v>302452.19</v>
      </c>
      <c r="BC168" s="370"/>
      <c r="BD168" s="371"/>
      <c r="BE168" s="491"/>
      <c r="BF168" s="352">
        <f t="shared" si="31"/>
        <v>302452.19</v>
      </c>
      <c r="BG168" s="451" t="str">
        <f t="shared" si="28"/>
        <v>Y</v>
      </c>
      <c r="BH168" s="451"/>
      <c r="BI168" s="299"/>
      <c r="BJ168" s="698"/>
      <c r="BK168" s="698"/>
      <c r="BL168" s="303">
        <v>2024</v>
      </c>
      <c r="BM168" s="706"/>
      <c r="BN168" s="373"/>
      <c r="BO168" s="706"/>
      <c r="BP168" s="716"/>
      <c r="BQ168" s="706"/>
      <c r="BR168" s="373"/>
      <c r="BS168" s="373"/>
      <c r="BT168" s="373"/>
      <c r="BU168" s="373"/>
      <c r="BV168" s="304"/>
      <c r="BW168" s="288"/>
      <c r="BX168" s="359" t="s">
        <v>1998</v>
      </c>
      <c r="BY168" s="374" t="s">
        <v>1828</v>
      </c>
      <c r="BZ168" s="624"/>
      <c r="CA168" s="624"/>
      <c r="CB168" s="624"/>
      <c r="CC168" s="624"/>
      <c r="CD168" s="624"/>
      <c r="CE168" s="624"/>
      <c r="CF168" s="624"/>
      <c r="CG168" s="624"/>
      <c r="CH168" s="624"/>
    </row>
    <row r="169" spans="1:86" s="305" customFormat="1" ht="39" customHeight="1">
      <c r="A169" s="276"/>
      <c r="B169" s="348">
        <v>123</v>
      </c>
      <c r="C169" s="348"/>
      <c r="D169" s="726" t="s">
        <v>1805</v>
      </c>
      <c r="E169" s="356">
        <v>38231</v>
      </c>
      <c r="F169" s="358">
        <v>2005</v>
      </c>
      <c r="G169" s="288">
        <v>5</v>
      </c>
      <c r="H169" s="288"/>
      <c r="I169" s="288">
        <v>2004</v>
      </c>
      <c r="J169" s="288">
        <v>9</v>
      </c>
      <c r="K169" s="288" t="s">
        <v>1211</v>
      </c>
      <c r="L169" s="358" t="s">
        <v>1590</v>
      </c>
      <c r="M169" s="358" t="s">
        <v>1271</v>
      </c>
      <c r="N169" s="359" t="s">
        <v>1965</v>
      </c>
      <c r="O169" s="288" t="s">
        <v>1098</v>
      </c>
      <c r="P169" s="358" t="s">
        <v>1892</v>
      </c>
      <c r="Q169" s="360"/>
      <c r="R169" s="361"/>
      <c r="S169" s="294"/>
      <c r="T169" s="1058"/>
      <c r="U169" s="295"/>
      <c r="V169" s="295"/>
      <c r="W169" s="362"/>
      <c r="X169" s="379"/>
      <c r="Y169" s="293"/>
      <c r="Z169" s="294"/>
      <c r="AA169" s="293"/>
      <c r="AB169" s="365">
        <f>COUNTIF(AC169, "&gt;49999")</f>
        <v>1</v>
      </c>
      <c r="AC169" s="364">
        <v>100000</v>
      </c>
      <c r="AD169" s="427"/>
      <c r="AE169" s="299"/>
      <c r="AF169" s="670"/>
      <c r="AG169" s="371">
        <f t="shared" si="26"/>
        <v>100000</v>
      </c>
      <c r="AH169" s="489">
        <v>1</v>
      </c>
      <c r="AI169" s="490"/>
      <c r="AJ169" s="490"/>
      <c r="AK169" s="367">
        <f>802+5000+407+1105</f>
        <v>7314</v>
      </c>
      <c r="AL169" s="363"/>
      <c r="AM169" s="368"/>
      <c r="AN169" s="368">
        <v>5000</v>
      </c>
      <c r="AO169" s="368">
        <v>802</v>
      </c>
      <c r="AP169" s="368"/>
      <c r="AQ169" s="368"/>
      <c r="AR169" s="368"/>
      <c r="AS169" s="368"/>
      <c r="AT169" s="368"/>
      <c r="AU169" s="368"/>
      <c r="AV169" s="368">
        <v>1105</v>
      </c>
      <c r="AW169" s="368"/>
      <c r="AX169" s="369"/>
      <c r="AY169" s="369"/>
      <c r="AZ169" s="448">
        <f>(5000*3.03)+((167+240)*1.2)+((241+240+321)*1.99)+((405+350+350)*12.5)</f>
        <v>31046.879999999997</v>
      </c>
      <c r="BA169" s="498"/>
      <c r="BB169" s="299">
        <f t="shared" si="27"/>
        <v>131046.88</v>
      </c>
      <c r="BC169" s="370"/>
      <c r="BD169" s="371"/>
      <c r="BE169" s="491"/>
      <c r="BF169" s="352">
        <f t="shared" si="31"/>
        <v>131046.88</v>
      </c>
      <c r="BG169" s="451" t="str">
        <f t="shared" si="28"/>
        <v>Y</v>
      </c>
      <c r="BH169" s="451"/>
      <c r="BI169" s="299"/>
      <c r="BJ169" s="698"/>
      <c r="BK169" s="698"/>
      <c r="BL169" s="303">
        <v>2024</v>
      </c>
      <c r="BM169" s="706"/>
      <c r="BN169" s="373"/>
      <c r="BO169" s="706"/>
      <c r="BP169" s="716"/>
      <c r="BQ169" s="706"/>
      <c r="BR169" s="373"/>
      <c r="BS169" s="373"/>
      <c r="BT169" s="373"/>
      <c r="BU169" s="373"/>
      <c r="BV169" s="304"/>
      <c r="BW169" s="288"/>
      <c r="BX169" s="359" t="s">
        <v>1998</v>
      </c>
      <c r="BY169" s="374" t="s">
        <v>1829</v>
      </c>
      <c r="BZ169" s="624"/>
      <c r="CA169" s="624"/>
      <c r="CB169" s="624"/>
      <c r="CC169" s="624"/>
      <c r="CD169" s="624"/>
      <c r="CE169" s="624"/>
      <c r="CF169" s="624"/>
      <c r="CG169" s="624"/>
      <c r="CH169" s="624"/>
    </row>
    <row r="170" spans="1:86" s="305" customFormat="1" ht="39" customHeight="1">
      <c r="A170" s="276"/>
      <c r="B170" s="348">
        <v>123</v>
      </c>
      <c r="C170" s="348"/>
      <c r="D170" s="726" t="s">
        <v>1812</v>
      </c>
      <c r="E170" s="356">
        <v>38231</v>
      </c>
      <c r="F170" s="358">
        <v>2005</v>
      </c>
      <c r="G170" s="288">
        <v>5</v>
      </c>
      <c r="H170" s="288"/>
      <c r="I170" s="288">
        <v>2004</v>
      </c>
      <c r="J170" s="288">
        <v>9</v>
      </c>
      <c r="K170" s="288" t="s">
        <v>1211</v>
      </c>
      <c r="L170" s="358" t="s">
        <v>1999</v>
      </c>
      <c r="M170" s="358" t="s">
        <v>1271</v>
      </c>
      <c r="N170" s="359" t="s">
        <v>1965</v>
      </c>
      <c r="O170" s="288" t="s">
        <v>1098</v>
      </c>
      <c r="P170" s="358" t="s">
        <v>1892</v>
      </c>
      <c r="Q170" s="360"/>
      <c r="R170" s="361"/>
      <c r="S170" s="294"/>
      <c r="T170" s="1058"/>
      <c r="U170" s="295"/>
      <c r="V170" s="295"/>
      <c r="W170" s="362"/>
      <c r="X170" s="379"/>
      <c r="Y170" s="293"/>
      <c r="Z170" s="294"/>
      <c r="AA170" s="293"/>
      <c r="AB170" s="365">
        <f>COUNTIF(AC170, "&gt;49999")</f>
        <v>1</v>
      </c>
      <c r="AC170" s="364">
        <v>100000</v>
      </c>
      <c r="AD170" s="427"/>
      <c r="AE170" s="299"/>
      <c r="AF170" s="670"/>
      <c r="AG170" s="371">
        <f t="shared" si="26"/>
        <v>100000</v>
      </c>
      <c r="AH170" s="489">
        <v>1</v>
      </c>
      <c r="AI170" s="490"/>
      <c r="AJ170" s="490"/>
      <c r="AK170" s="367">
        <f>25+321+1000+1000</f>
        <v>2346</v>
      </c>
      <c r="AL170" s="363"/>
      <c r="AM170" s="368">
        <v>1000</v>
      </c>
      <c r="AN170" s="368"/>
      <c r="AO170" s="368">
        <v>321</v>
      </c>
      <c r="AP170" s="368"/>
      <c r="AQ170" s="368">
        <v>25</v>
      </c>
      <c r="AR170" s="368"/>
      <c r="AS170" s="368"/>
      <c r="AT170" s="368"/>
      <c r="AU170" s="368"/>
      <c r="AV170" s="368"/>
      <c r="AW170" s="368"/>
      <c r="AX170" s="369"/>
      <c r="AY170" s="369"/>
      <c r="AZ170" s="448">
        <f>(25*299)+(1000*1.2)+(321*1.99)+(1000*3.54)</f>
        <v>12853.79</v>
      </c>
      <c r="BA170" s="498"/>
      <c r="BB170" s="299">
        <f t="shared" si="27"/>
        <v>112853.79000000001</v>
      </c>
      <c r="BC170" s="370"/>
      <c r="BD170" s="371"/>
      <c r="BE170" s="491"/>
      <c r="BF170" s="352">
        <f>AE170+AC170+AZ170+BA170</f>
        <v>112853.79000000001</v>
      </c>
      <c r="BG170" s="451" t="str">
        <f t="shared" si="28"/>
        <v>Y</v>
      </c>
      <c r="BH170" s="451"/>
      <c r="BI170" s="299"/>
      <c r="BJ170" s="698"/>
      <c r="BK170" s="698"/>
      <c r="BL170" s="303">
        <v>2024</v>
      </c>
      <c r="BM170" s="706"/>
      <c r="BN170" s="373"/>
      <c r="BO170" s="706"/>
      <c r="BP170" s="716"/>
      <c r="BQ170" s="706"/>
      <c r="BR170" s="373"/>
      <c r="BS170" s="373"/>
      <c r="BT170" s="373"/>
      <c r="BU170" s="373"/>
      <c r="BV170" s="304"/>
      <c r="BW170" s="288"/>
      <c r="BX170" s="359" t="s">
        <v>1998</v>
      </c>
      <c r="BY170" s="374" t="s">
        <v>1847</v>
      </c>
      <c r="BZ170" s="624"/>
      <c r="CA170" s="624"/>
      <c r="CB170" s="624"/>
      <c r="CC170" s="624"/>
      <c r="CD170" s="624"/>
      <c r="CE170" s="624"/>
      <c r="CF170" s="624"/>
      <c r="CG170" s="624"/>
      <c r="CH170" s="624"/>
    </row>
    <row r="171" spans="1:86" s="305" customFormat="1" ht="39" customHeight="1">
      <c r="A171" s="276"/>
      <c r="B171" s="348">
        <v>123</v>
      </c>
      <c r="C171" s="348"/>
      <c r="D171" s="726" t="s">
        <v>1319</v>
      </c>
      <c r="E171" s="356">
        <v>38231</v>
      </c>
      <c r="F171" s="358">
        <v>2005</v>
      </c>
      <c r="G171" s="288">
        <v>5</v>
      </c>
      <c r="H171" s="288"/>
      <c r="I171" s="288">
        <v>2004</v>
      </c>
      <c r="J171" s="288">
        <v>9</v>
      </c>
      <c r="K171" s="288" t="s">
        <v>1211</v>
      </c>
      <c r="L171" s="358" t="s">
        <v>2000</v>
      </c>
      <c r="M171" s="358" t="s">
        <v>1271</v>
      </c>
      <c r="N171" s="359" t="s">
        <v>1965</v>
      </c>
      <c r="O171" s="288" t="s">
        <v>1098</v>
      </c>
      <c r="P171" s="358" t="s">
        <v>1892</v>
      </c>
      <c r="Q171" s="360"/>
      <c r="R171" s="361"/>
      <c r="S171" s="294"/>
      <c r="T171" s="1058"/>
      <c r="U171" s="295"/>
      <c r="V171" s="295"/>
      <c r="W171" s="362"/>
      <c r="X171" s="379"/>
      <c r="Y171" s="293"/>
      <c r="Z171" s="294"/>
      <c r="AA171" s="293"/>
      <c r="AB171" s="365">
        <f>COUNTIF(AC171, "&gt;49999")</f>
        <v>1</v>
      </c>
      <c r="AC171" s="364">
        <v>100000</v>
      </c>
      <c r="AD171" s="427"/>
      <c r="AE171" s="299"/>
      <c r="AF171" s="670"/>
      <c r="AG171" s="371">
        <f t="shared" si="26"/>
        <v>100000</v>
      </c>
      <c r="AH171" s="489">
        <v>4</v>
      </c>
      <c r="AI171" s="490"/>
      <c r="AJ171" s="490"/>
      <c r="AK171" s="367"/>
      <c r="AL171" s="363"/>
      <c r="AM171" s="368"/>
      <c r="AN171" s="368"/>
      <c r="AO171" s="368"/>
      <c r="AP171" s="368"/>
      <c r="AQ171" s="368"/>
      <c r="AR171" s="368"/>
      <c r="AS171" s="368"/>
      <c r="AT171" s="368"/>
      <c r="AU171" s="368"/>
      <c r="AV171" s="368"/>
      <c r="AW171" s="368"/>
      <c r="AX171" s="369"/>
      <c r="AY171" s="369"/>
      <c r="AZ171" s="448"/>
      <c r="BA171" s="498"/>
      <c r="BB171" s="299">
        <f t="shared" si="27"/>
        <v>100000</v>
      </c>
      <c r="BC171" s="370"/>
      <c r="BD171" s="371"/>
      <c r="BE171" s="491"/>
      <c r="BF171" s="352">
        <f>AE171+AC171+AZ171+BA171</f>
        <v>100000</v>
      </c>
      <c r="BG171" s="451" t="str">
        <f t="shared" si="28"/>
        <v>Y</v>
      </c>
      <c r="BH171" s="451"/>
      <c r="BI171" s="299"/>
      <c r="BJ171" s="698"/>
      <c r="BK171" s="698"/>
      <c r="BL171" s="303">
        <v>2024</v>
      </c>
      <c r="BM171" s="706"/>
      <c r="BN171" s="373"/>
      <c r="BO171" s="706"/>
      <c r="BP171" s="716"/>
      <c r="BQ171" s="706"/>
      <c r="BR171" s="373"/>
      <c r="BS171" s="373"/>
      <c r="BT171" s="373"/>
      <c r="BU171" s="373"/>
      <c r="BV171" s="304"/>
      <c r="BW171" s="288"/>
      <c r="BX171" s="359" t="s">
        <v>1998</v>
      </c>
      <c r="BY171" s="374" t="s">
        <v>2001</v>
      </c>
      <c r="BZ171" s="624"/>
      <c r="CA171" s="624"/>
      <c r="CB171" s="624"/>
      <c r="CC171" s="624"/>
      <c r="CD171" s="624"/>
      <c r="CE171" s="624"/>
      <c r="CF171" s="624"/>
      <c r="CG171" s="624"/>
      <c r="CH171" s="624"/>
    </row>
    <row r="172" spans="1:86" s="305" customFormat="1" ht="39" customHeight="1">
      <c r="A172" s="276"/>
      <c r="B172" s="348">
        <f>B168+1</f>
        <v>124</v>
      </c>
      <c r="C172" s="348"/>
      <c r="D172" s="726" t="s">
        <v>1810</v>
      </c>
      <c r="E172" s="356">
        <v>38231</v>
      </c>
      <c r="F172" s="358">
        <v>2005</v>
      </c>
      <c r="G172" s="288">
        <v>6</v>
      </c>
      <c r="H172" s="288"/>
      <c r="I172" s="288">
        <v>2004</v>
      </c>
      <c r="J172" s="288">
        <v>10</v>
      </c>
      <c r="K172" s="288" t="s">
        <v>1211</v>
      </c>
      <c r="L172" s="358" t="s">
        <v>682</v>
      </c>
      <c r="M172" s="358" t="s">
        <v>1271</v>
      </c>
      <c r="N172" s="359" t="s">
        <v>1877</v>
      </c>
      <c r="O172" s="358" t="s">
        <v>1339</v>
      </c>
      <c r="P172" s="358" t="s">
        <v>1339</v>
      </c>
      <c r="Q172" s="360"/>
      <c r="R172" s="361"/>
      <c r="S172" s="294"/>
      <c r="T172" s="1058"/>
      <c r="U172" s="295"/>
      <c r="V172" s="295"/>
      <c r="W172" s="362"/>
      <c r="X172" s="379"/>
      <c r="Y172" s="293"/>
      <c r="Z172" s="294"/>
      <c r="AA172" s="293"/>
      <c r="AB172" s="365">
        <f>COUNTIF(AC172, "&gt;49999")</f>
        <v>1</v>
      </c>
      <c r="AC172" s="364">
        <v>400000</v>
      </c>
      <c r="AD172" s="427"/>
      <c r="AE172" s="299"/>
      <c r="AF172" s="670"/>
      <c r="AG172" s="371">
        <f t="shared" si="26"/>
        <v>400000</v>
      </c>
      <c r="AH172" s="489">
        <v>1</v>
      </c>
      <c r="AI172" s="490"/>
      <c r="AJ172" s="490"/>
      <c r="AK172" s="367">
        <v>110</v>
      </c>
      <c r="AL172" s="363"/>
      <c r="AM172" s="368"/>
      <c r="AN172" s="368"/>
      <c r="AO172" s="368"/>
      <c r="AP172" s="368"/>
      <c r="AQ172" s="368"/>
      <c r="AR172" s="368"/>
      <c r="AS172" s="368"/>
      <c r="AT172" s="368"/>
      <c r="AU172" s="368"/>
      <c r="AV172" s="368">
        <v>110</v>
      </c>
      <c r="AW172" s="368"/>
      <c r="AX172" s="369"/>
      <c r="AY172" s="369"/>
      <c r="AZ172" s="448">
        <f>110*12.5</f>
        <v>1375</v>
      </c>
      <c r="BA172" s="364"/>
      <c r="BB172" s="299">
        <f t="shared" si="27"/>
        <v>401375</v>
      </c>
      <c r="BC172" s="370"/>
      <c r="BD172" s="371"/>
      <c r="BE172" s="491"/>
      <c r="BF172" s="352">
        <f>BB172+BD172+BC172</f>
        <v>401375</v>
      </c>
      <c r="BG172" s="451" t="str">
        <f t="shared" si="28"/>
        <v>Y</v>
      </c>
      <c r="BH172" s="451"/>
      <c r="BI172" s="299"/>
      <c r="BJ172" s="698"/>
      <c r="BK172" s="698"/>
      <c r="BL172" s="303">
        <v>2614</v>
      </c>
      <c r="BM172" s="706"/>
      <c r="BN172" s="373"/>
      <c r="BO172" s="706"/>
      <c r="BP172" s="716"/>
      <c r="BQ172" s="706"/>
      <c r="BR172" s="373"/>
      <c r="BS172" s="373"/>
      <c r="BT172" s="373"/>
      <c r="BU172" s="373"/>
      <c r="BV172" s="304"/>
      <c r="BW172" s="288"/>
      <c r="BX172" s="359" t="s">
        <v>2002</v>
      </c>
      <c r="BY172" s="374" t="s">
        <v>1848</v>
      </c>
      <c r="BZ172" s="624"/>
      <c r="CA172" s="624"/>
      <c r="CB172" s="624"/>
      <c r="CC172" s="624"/>
      <c r="CD172" s="624"/>
      <c r="CE172" s="624"/>
      <c r="CF172" s="624"/>
      <c r="CG172" s="624"/>
      <c r="CH172" s="624"/>
    </row>
    <row r="173" spans="1:86" s="305" customFormat="1" ht="39" customHeight="1">
      <c r="A173" s="276"/>
      <c r="B173" s="348">
        <f>B172+1</f>
        <v>125</v>
      </c>
      <c r="C173" s="348"/>
      <c r="D173" s="726" t="s">
        <v>532</v>
      </c>
      <c r="E173" s="356">
        <v>38292</v>
      </c>
      <c r="F173" s="358">
        <v>2005</v>
      </c>
      <c r="G173" s="288">
        <v>7</v>
      </c>
      <c r="H173" s="288"/>
      <c r="I173" s="288">
        <v>2004</v>
      </c>
      <c r="J173" s="288">
        <v>11</v>
      </c>
      <c r="K173" s="288" t="s">
        <v>1211</v>
      </c>
      <c r="L173" s="358" t="s">
        <v>1878</v>
      </c>
      <c r="M173" s="358" t="s">
        <v>1271</v>
      </c>
      <c r="N173" s="359" t="s">
        <v>1877</v>
      </c>
      <c r="O173" s="358" t="s">
        <v>1337</v>
      </c>
      <c r="P173" s="358" t="s">
        <v>1337</v>
      </c>
      <c r="Q173" s="360"/>
      <c r="R173" s="361"/>
      <c r="S173" s="294"/>
      <c r="T173" s="1058"/>
      <c r="U173" s="295"/>
      <c r="V173" s="295"/>
      <c r="W173" s="362"/>
      <c r="X173" s="379"/>
      <c r="Y173" s="293"/>
      <c r="Z173" s="294"/>
      <c r="AA173" s="293"/>
      <c r="AB173" s="365"/>
      <c r="AC173" s="364"/>
      <c r="AD173" s="427"/>
      <c r="AE173" s="299"/>
      <c r="AF173" s="670"/>
      <c r="AG173" s="371">
        <f t="shared" si="26"/>
        <v>0</v>
      </c>
      <c r="AH173" s="489"/>
      <c r="AI173" s="490"/>
      <c r="AJ173" s="490"/>
      <c r="AK173" s="367">
        <v>750</v>
      </c>
      <c r="AL173" s="363"/>
      <c r="AM173" s="368">
        <v>750</v>
      </c>
      <c r="AN173" s="368"/>
      <c r="AO173" s="368"/>
      <c r="AP173" s="368"/>
      <c r="AQ173" s="368"/>
      <c r="AR173" s="368"/>
      <c r="AS173" s="368"/>
      <c r="AT173" s="368"/>
      <c r="AU173" s="368"/>
      <c r="AV173" s="368"/>
      <c r="AW173" s="368"/>
      <c r="AX173" s="369"/>
      <c r="AY173" s="369"/>
      <c r="AZ173" s="448">
        <f>750*3.54</f>
        <v>2655</v>
      </c>
      <c r="BA173" s="364"/>
      <c r="BB173" s="299">
        <f t="shared" si="27"/>
        <v>2655</v>
      </c>
      <c r="BC173" s="370"/>
      <c r="BD173" s="371"/>
      <c r="BE173" s="491"/>
      <c r="BF173" s="352">
        <f>BB173+BD173+BC173</f>
        <v>2655</v>
      </c>
      <c r="BG173" s="451" t="str">
        <f t="shared" si="28"/>
        <v>Y</v>
      </c>
      <c r="BH173" s="451"/>
      <c r="BI173" s="299"/>
      <c r="BJ173" s="698"/>
      <c r="BK173" s="698"/>
      <c r="BL173" s="303">
        <v>2898</v>
      </c>
      <c r="BM173" s="706"/>
      <c r="BN173" s="373"/>
      <c r="BO173" s="706"/>
      <c r="BP173" s="716"/>
      <c r="BQ173" s="706"/>
      <c r="BR173" s="373"/>
      <c r="BS173" s="373"/>
      <c r="BT173" s="373"/>
      <c r="BU173" s="373"/>
      <c r="BV173" s="304"/>
      <c r="BW173" s="288"/>
      <c r="BX173" s="359"/>
      <c r="BY173" s="374" t="s">
        <v>1849</v>
      </c>
      <c r="BZ173" s="624"/>
      <c r="CA173" s="624"/>
      <c r="CB173" s="624"/>
      <c r="CC173" s="624"/>
      <c r="CD173" s="624"/>
      <c r="CE173" s="624"/>
      <c r="CF173" s="624"/>
      <c r="CG173" s="624"/>
      <c r="CH173" s="624"/>
    </row>
    <row r="174" spans="1:86" s="305" customFormat="1" ht="39" customHeight="1">
      <c r="A174" s="276"/>
      <c r="B174" s="348">
        <f>B173+1</f>
        <v>126</v>
      </c>
      <c r="C174" s="348"/>
      <c r="D174" s="726" t="s">
        <v>1808</v>
      </c>
      <c r="E174" s="356">
        <v>38322</v>
      </c>
      <c r="F174" s="358">
        <v>2005</v>
      </c>
      <c r="G174" s="288">
        <v>8</v>
      </c>
      <c r="H174" s="288"/>
      <c r="I174" s="288">
        <v>2004</v>
      </c>
      <c r="J174" s="288">
        <v>12</v>
      </c>
      <c r="K174" s="288" t="s">
        <v>1211</v>
      </c>
      <c r="L174" s="358" t="s">
        <v>1604</v>
      </c>
      <c r="M174" s="358" t="s">
        <v>1271</v>
      </c>
      <c r="N174" s="359" t="s">
        <v>1877</v>
      </c>
      <c r="O174" s="358" t="s">
        <v>1337</v>
      </c>
      <c r="P174" s="358" t="s">
        <v>1337</v>
      </c>
      <c r="Q174" s="360"/>
      <c r="R174" s="361"/>
      <c r="S174" s="294"/>
      <c r="T174" s="1058"/>
      <c r="U174" s="295"/>
      <c r="V174" s="295"/>
      <c r="W174" s="362"/>
      <c r="X174" s="379"/>
      <c r="Y174" s="293"/>
      <c r="Z174" s="294"/>
      <c r="AA174" s="293"/>
      <c r="AB174" s="365"/>
      <c r="AC174" s="364"/>
      <c r="AD174" s="427"/>
      <c r="AE174" s="299"/>
      <c r="AF174" s="670"/>
      <c r="AG174" s="371">
        <f t="shared" si="26"/>
        <v>0</v>
      </c>
      <c r="AH174" s="489"/>
      <c r="AI174" s="490"/>
      <c r="AJ174" s="490"/>
      <c r="AK174" s="367"/>
      <c r="AL174" s="363"/>
      <c r="AM174" s="368"/>
      <c r="AN174" s="368"/>
      <c r="AO174" s="368"/>
      <c r="AP174" s="368"/>
      <c r="AQ174" s="368"/>
      <c r="AR174" s="368"/>
      <c r="AS174" s="368"/>
      <c r="AT174" s="368"/>
      <c r="AU174" s="368"/>
      <c r="AV174" s="368"/>
      <c r="AW174" s="368"/>
      <c r="AX174" s="369"/>
      <c r="AY174" s="369"/>
      <c r="AZ174" s="448"/>
      <c r="BA174" s="364"/>
      <c r="BB174" s="299">
        <f t="shared" si="27"/>
        <v>0</v>
      </c>
      <c r="BC174" s="370"/>
      <c r="BD174" s="371"/>
      <c r="BE174" s="491"/>
      <c r="BF174" s="352">
        <f>BB174+BD174+BC174</f>
        <v>0</v>
      </c>
      <c r="BG174" s="451" t="str">
        <f t="shared" si="28"/>
        <v>Y</v>
      </c>
      <c r="BH174" s="451"/>
      <c r="BI174" s="299"/>
      <c r="BJ174" s="698"/>
      <c r="BK174" s="698"/>
      <c r="BL174" s="303">
        <v>2898</v>
      </c>
      <c r="BM174" s="706"/>
      <c r="BN174" s="373"/>
      <c r="BO174" s="706"/>
      <c r="BP174" s="716"/>
      <c r="BQ174" s="706"/>
      <c r="BR174" s="373"/>
      <c r="BS174" s="373"/>
      <c r="BT174" s="373"/>
      <c r="BU174" s="373"/>
      <c r="BV174" s="304"/>
      <c r="BW174" s="288"/>
      <c r="BX174" s="359" t="s">
        <v>2003</v>
      </c>
      <c r="BY174" s="307" t="s">
        <v>485</v>
      </c>
      <c r="BZ174" s="624"/>
      <c r="CA174" s="624"/>
      <c r="CB174" s="624"/>
      <c r="CC174" s="624"/>
      <c r="CD174" s="624"/>
      <c r="CE174" s="624"/>
      <c r="CF174" s="624"/>
      <c r="CG174" s="624"/>
      <c r="CH174" s="624"/>
    </row>
    <row r="175" spans="1:86" s="305" customFormat="1" ht="39" customHeight="1">
      <c r="A175" s="276"/>
      <c r="B175" s="348">
        <f>B174+1</f>
        <v>127</v>
      </c>
      <c r="C175" s="348"/>
      <c r="D175" s="726" t="s">
        <v>258</v>
      </c>
      <c r="E175" s="356">
        <v>38322</v>
      </c>
      <c r="F175" s="358">
        <v>2005</v>
      </c>
      <c r="G175" s="288">
        <v>9</v>
      </c>
      <c r="H175" s="288"/>
      <c r="I175" s="288">
        <v>2004</v>
      </c>
      <c r="J175" s="288">
        <v>13</v>
      </c>
      <c r="K175" s="288" t="s">
        <v>570</v>
      </c>
      <c r="L175" s="358" t="s">
        <v>1637</v>
      </c>
      <c r="M175" s="358" t="s">
        <v>1271</v>
      </c>
      <c r="N175" s="359" t="s">
        <v>2005</v>
      </c>
      <c r="O175" s="288" t="s">
        <v>2005</v>
      </c>
      <c r="P175" s="358" t="s">
        <v>2005</v>
      </c>
      <c r="Q175" s="360"/>
      <c r="R175" s="361"/>
      <c r="S175" s="294"/>
      <c r="T175" s="1058"/>
      <c r="U175" s="295"/>
      <c r="V175" s="295"/>
      <c r="W175" s="362"/>
      <c r="X175" s="379"/>
      <c r="Y175" s="293"/>
      <c r="Z175" s="294"/>
      <c r="AA175" s="293"/>
      <c r="AB175" s="365">
        <f>COUNTIF(AC175, "&gt;49999")</f>
        <v>1</v>
      </c>
      <c r="AC175" s="364">
        <f>170400+(5000000/3)</f>
        <v>1837066.6666666667</v>
      </c>
      <c r="AD175" s="427"/>
      <c r="AE175" s="299"/>
      <c r="AF175" s="670"/>
      <c r="AG175" s="371">
        <f t="shared" si="26"/>
        <v>1837066.6666666667</v>
      </c>
      <c r="AH175" s="489">
        <v>17</v>
      </c>
      <c r="AI175" s="490" t="s">
        <v>226</v>
      </c>
      <c r="AJ175" s="490"/>
      <c r="AK175" s="367"/>
      <c r="AL175" s="363"/>
      <c r="AM175" s="368"/>
      <c r="AN175" s="368"/>
      <c r="AO175" s="368"/>
      <c r="AP175" s="368"/>
      <c r="AQ175" s="368"/>
      <c r="AR175" s="368"/>
      <c r="AS175" s="368"/>
      <c r="AT175" s="368"/>
      <c r="AU175" s="368"/>
      <c r="AV175" s="368"/>
      <c r="AW175" s="368"/>
      <c r="AX175" s="369"/>
      <c r="AY175" s="369"/>
      <c r="AZ175" s="448">
        <f>(576*210)+(3000*175)+(3.4*18000)+(3520*16)+(4900*18)+(15.34*5000)+(13.66*30000)+(6225.32*2)+(5980.11*2)+(2.41*40000)+(1.98*255000)+(1.99*4800)+(0.32*120000)</f>
        <v>2011842.8599999999</v>
      </c>
      <c r="BA175" s="364">
        <v>100000000</v>
      </c>
      <c r="BB175" s="299">
        <f t="shared" si="27"/>
        <v>103848909.52666667</v>
      </c>
      <c r="BC175" s="370"/>
      <c r="BD175" s="371"/>
      <c r="BE175" s="491"/>
      <c r="BF175" s="352">
        <f>BB175+BD175+BC175</f>
        <v>103848909.52666667</v>
      </c>
      <c r="BG175" s="451" t="str">
        <f t="shared" si="28"/>
        <v>Y</v>
      </c>
      <c r="BH175" s="451"/>
      <c r="BI175" s="299"/>
      <c r="BJ175" s="698"/>
      <c r="BK175" s="698"/>
      <c r="BL175" s="303">
        <v>2695</v>
      </c>
      <c r="BM175" s="706"/>
      <c r="BN175" s="373"/>
      <c r="BO175" s="706"/>
      <c r="BP175" s="716"/>
      <c r="BQ175" s="706"/>
      <c r="BR175" s="373"/>
      <c r="BS175" s="373"/>
      <c r="BT175" s="373"/>
      <c r="BU175" s="373"/>
      <c r="BV175" s="304"/>
      <c r="BW175" s="288"/>
      <c r="BX175" s="359" t="s">
        <v>2006</v>
      </c>
      <c r="BY175" s="374" t="s">
        <v>2007</v>
      </c>
      <c r="BZ175" s="624"/>
      <c r="CA175" s="624"/>
      <c r="CB175" s="624"/>
      <c r="CC175" s="624"/>
      <c r="CD175" s="624"/>
      <c r="CE175" s="624"/>
      <c r="CF175" s="624"/>
      <c r="CG175" s="624"/>
      <c r="CH175" s="624"/>
    </row>
    <row r="176" spans="1:86" s="305" customFormat="1" ht="39" customHeight="1">
      <c r="A176" s="276"/>
      <c r="B176" s="348">
        <v>127</v>
      </c>
      <c r="C176" s="348"/>
      <c r="D176" s="726" t="s">
        <v>1815</v>
      </c>
      <c r="E176" s="356">
        <v>38322</v>
      </c>
      <c r="F176" s="358">
        <v>2005</v>
      </c>
      <c r="G176" s="288">
        <v>9</v>
      </c>
      <c r="H176" s="288"/>
      <c r="I176" s="288">
        <v>2004</v>
      </c>
      <c r="J176" s="288">
        <v>13</v>
      </c>
      <c r="K176" s="288" t="s">
        <v>570</v>
      </c>
      <c r="L176" s="358" t="s">
        <v>1565</v>
      </c>
      <c r="M176" s="358" t="s">
        <v>1271</v>
      </c>
      <c r="N176" s="359" t="s">
        <v>2005</v>
      </c>
      <c r="O176" s="288" t="s">
        <v>2005</v>
      </c>
      <c r="P176" s="358" t="s">
        <v>2005</v>
      </c>
      <c r="Q176" s="360"/>
      <c r="R176" s="361"/>
      <c r="S176" s="294"/>
      <c r="T176" s="1058"/>
      <c r="U176" s="295"/>
      <c r="V176" s="295"/>
      <c r="W176" s="362"/>
      <c r="X176" s="379"/>
      <c r="Y176" s="293"/>
      <c r="Z176" s="294"/>
      <c r="AA176" s="293"/>
      <c r="AB176" s="365">
        <f>COUNTIF(AC176, "&gt;49999")</f>
        <v>1</v>
      </c>
      <c r="AC176" s="364">
        <f>5000000/3</f>
        <v>1666666.6666666667</v>
      </c>
      <c r="AD176" s="427"/>
      <c r="AE176" s="299"/>
      <c r="AF176" s="670"/>
      <c r="AG176" s="371">
        <f t="shared" si="26"/>
        <v>1666666.6666666667</v>
      </c>
      <c r="AH176" s="489">
        <v>5</v>
      </c>
      <c r="AI176" s="490" t="s">
        <v>226</v>
      </c>
      <c r="AJ176" s="490"/>
      <c r="AK176" s="367"/>
      <c r="AL176" s="363"/>
      <c r="AM176" s="368"/>
      <c r="AN176" s="368"/>
      <c r="AO176" s="368"/>
      <c r="AP176" s="368"/>
      <c r="AQ176" s="368"/>
      <c r="AR176" s="368"/>
      <c r="AS176" s="368"/>
      <c r="AT176" s="368"/>
      <c r="AU176" s="368"/>
      <c r="AV176" s="368"/>
      <c r="AW176" s="368"/>
      <c r="AX176" s="369"/>
      <c r="AY176" s="369"/>
      <c r="AZ176" s="448">
        <f>(175*2000)+(360.28*380)+(2.65*50000)+(60000*13.66)+(20000*13.93)+(10000*24.91)+(10000*5.2)+(20000*2.85)+(20000*1.25)+(20000*3.94)+(10000*1.52)+(20000*4.76)+(10000*1.06)</f>
        <v>2300506.4</v>
      </c>
      <c r="BA176" s="364"/>
      <c r="BB176" s="299">
        <f t="shared" si="27"/>
        <v>3967173.0666666664</v>
      </c>
      <c r="BC176" s="370"/>
      <c r="BD176" s="371"/>
      <c r="BE176" s="491"/>
      <c r="BF176" s="352">
        <f>583000000-BF175-BF177</f>
        <v>477328823.80666667</v>
      </c>
      <c r="BG176" s="451" t="str">
        <f t="shared" si="28"/>
        <v>Y</v>
      </c>
      <c r="BH176" s="451"/>
      <c r="BI176" s="299"/>
      <c r="BJ176" s="698"/>
      <c r="BK176" s="698"/>
      <c r="BL176" s="303">
        <v>2695</v>
      </c>
      <c r="BM176" s="706"/>
      <c r="BN176" s="373"/>
      <c r="BO176" s="706"/>
      <c r="BP176" s="716"/>
      <c r="BQ176" s="706"/>
      <c r="BR176" s="373"/>
      <c r="BS176" s="373"/>
      <c r="BT176" s="373"/>
      <c r="BU176" s="373"/>
      <c r="BV176" s="304"/>
      <c r="BW176" s="288"/>
      <c r="BX176" s="359" t="s">
        <v>2008</v>
      </c>
      <c r="BY176" s="374" t="s">
        <v>2009</v>
      </c>
      <c r="BZ176" s="624"/>
      <c r="CA176" s="624"/>
      <c r="CB176" s="624"/>
      <c r="CC176" s="624"/>
      <c r="CD176" s="624"/>
      <c r="CE176" s="624"/>
      <c r="CF176" s="624"/>
      <c r="CG176" s="624"/>
      <c r="CH176" s="624"/>
    </row>
    <row r="177" spans="1:86" s="305" customFormat="1" ht="39" customHeight="1">
      <c r="A177" s="276"/>
      <c r="B177" s="348">
        <v>127</v>
      </c>
      <c r="C177" s="348"/>
      <c r="D177" s="726" t="s">
        <v>1816</v>
      </c>
      <c r="E177" s="356">
        <v>38322</v>
      </c>
      <c r="F177" s="358">
        <v>2005</v>
      </c>
      <c r="G177" s="288">
        <v>9</v>
      </c>
      <c r="H177" s="288"/>
      <c r="I177" s="288">
        <v>2004</v>
      </c>
      <c r="J177" s="288">
        <v>13</v>
      </c>
      <c r="K177" s="288" t="s">
        <v>570</v>
      </c>
      <c r="L177" s="358" t="s">
        <v>2010</v>
      </c>
      <c r="M177" s="358" t="s">
        <v>1271</v>
      </c>
      <c r="N177" s="359" t="s">
        <v>2005</v>
      </c>
      <c r="O177" s="288" t="s">
        <v>2005</v>
      </c>
      <c r="P177" s="358" t="s">
        <v>2005</v>
      </c>
      <c r="Q177" s="360"/>
      <c r="R177" s="361"/>
      <c r="S177" s="294"/>
      <c r="T177" s="1058"/>
      <c r="U177" s="295"/>
      <c r="V177" s="295"/>
      <c r="W177" s="362"/>
      <c r="X177" s="379"/>
      <c r="Y177" s="293"/>
      <c r="Z177" s="294"/>
      <c r="AA177" s="293"/>
      <c r="AB177" s="365">
        <f>COUNTIF(AC177, "&gt;49999")</f>
        <v>1</v>
      </c>
      <c r="AC177" s="364">
        <f>5000000/3</f>
        <v>1666666.6666666667</v>
      </c>
      <c r="AD177" s="427"/>
      <c r="AE177" s="299"/>
      <c r="AF177" s="670"/>
      <c r="AG177" s="371">
        <f t="shared" si="26"/>
        <v>1666666.6666666667</v>
      </c>
      <c r="AH177" s="489">
        <v>2</v>
      </c>
      <c r="AI177" s="490"/>
      <c r="AJ177" s="490"/>
      <c r="AK177" s="367"/>
      <c r="AL177" s="363"/>
      <c r="AM177" s="368"/>
      <c r="AN177" s="368"/>
      <c r="AO177" s="368"/>
      <c r="AP177" s="368"/>
      <c r="AQ177" s="368"/>
      <c r="AR177" s="368"/>
      <c r="AS177" s="368"/>
      <c r="AT177" s="368"/>
      <c r="AU177" s="368"/>
      <c r="AV177" s="368"/>
      <c r="AW177" s="368"/>
      <c r="AX177" s="369"/>
      <c r="AY177" s="369"/>
      <c r="AZ177" s="448">
        <f>(50000*0.04)+(200*240)+(100*1056)</f>
        <v>155600</v>
      </c>
      <c r="BA177" s="364"/>
      <c r="BB177" s="299">
        <f t="shared" si="27"/>
        <v>1822266.6666666667</v>
      </c>
      <c r="BC177" s="370"/>
      <c r="BD177" s="371"/>
      <c r="BE177" s="491"/>
      <c r="BF177" s="352">
        <f t="shared" ref="BF177:BF182" si="32">BB177+BD177+BC177</f>
        <v>1822266.6666666667</v>
      </c>
      <c r="BG177" s="451" t="str">
        <f t="shared" si="28"/>
        <v>Y</v>
      </c>
      <c r="BH177" s="451"/>
      <c r="BI177" s="299"/>
      <c r="BJ177" s="698"/>
      <c r="BK177" s="698"/>
      <c r="BL177" s="303">
        <v>2695</v>
      </c>
      <c r="BM177" s="706"/>
      <c r="BN177" s="373"/>
      <c r="BO177" s="706"/>
      <c r="BP177" s="716"/>
      <c r="BQ177" s="706"/>
      <c r="BR177" s="373"/>
      <c r="BS177" s="373"/>
      <c r="BT177" s="373"/>
      <c r="BU177" s="373"/>
      <c r="BV177" s="304"/>
      <c r="BW177" s="288"/>
      <c r="BX177" s="359" t="s">
        <v>1994</v>
      </c>
      <c r="BY177" s="374" t="s">
        <v>2011</v>
      </c>
      <c r="BZ177" s="624"/>
      <c r="CA177" s="624"/>
      <c r="CB177" s="624"/>
      <c r="CC177" s="624"/>
      <c r="CD177" s="624"/>
      <c r="CE177" s="624"/>
      <c r="CF177" s="624"/>
      <c r="CG177" s="624"/>
      <c r="CH177" s="624"/>
    </row>
    <row r="178" spans="1:86" s="305" customFormat="1" ht="39" customHeight="1">
      <c r="A178" s="276"/>
      <c r="B178" s="348">
        <v>128</v>
      </c>
      <c r="C178" s="348"/>
      <c r="D178" s="726" t="s">
        <v>1814</v>
      </c>
      <c r="E178" s="349">
        <v>38353</v>
      </c>
      <c r="F178" s="358">
        <v>2005</v>
      </c>
      <c r="G178" s="288">
        <v>10</v>
      </c>
      <c r="H178" s="288"/>
      <c r="I178" s="288">
        <v>2005</v>
      </c>
      <c r="J178" s="288">
        <v>1</v>
      </c>
      <c r="K178" s="288" t="s">
        <v>1211</v>
      </c>
      <c r="L178" s="288" t="s">
        <v>2012</v>
      </c>
      <c r="M178" s="288" t="s">
        <v>1271</v>
      </c>
      <c r="N178" s="290" t="s">
        <v>1877</v>
      </c>
      <c r="O178" s="288" t="s">
        <v>1337</v>
      </c>
      <c r="P178" s="288" t="s">
        <v>1337</v>
      </c>
      <c r="Q178" s="375"/>
      <c r="R178" s="361"/>
      <c r="S178" s="294"/>
      <c r="T178" s="1058"/>
      <c r="U178" s="295"/>
      <c r="V178" s="295"/>
      <c r="W178" s="392"/>
      <c r="X178" s="393"/>
      <c r="Y178" s="293"/>
      <c r="Z178" s="294"/>
      <c r="AA178" s="293"/>
      <c r="AB178" s="365"/>
      <c r="AC178" s="387"/>
      <c r="AD178" s="587"/>
      <c r="AE178" s="298"/>
      <c r="AF178" s="677"/>
      <c r="AG178" s="371">
        <f t="shared" si="26"/>
        <v>0</v>
      </c>
      <c r="AH178" s="499">
        <v>2</v>
      </c>
      <c r="AI178" s="500"/>
      <c r="AJ178" s="500"/>
      <c r="AK178" s="388"/>
      <c r="AL178" s="389"/>
      <c r="AM178" s="302"/>
      <c r="AN178" s="302"/>
      <c r="AO178" s="302"/>
      <c r="AP178" s="302"/>
      <c r="AQ178" s="302"/>
      <c r="AR178" s="302"/>
      <c r="AS178" s="302"/>
      <c r="AT178" s="302"/>
      <c r="AU178" s="302"/>
      <c r="AV178" s="302"/>
      <c r="AW178" s="302"/>
      <c r="AX178" s="390"/>
      <c r="AY178" s="390"/>
      <c r="AZ178" s="385">
        <v>10000</v>
      </c>
      <c r="BA178" s="387">
        <v>3100</v>
      </c>
      <c r="BB178" s="299">
        <f t="shared" si="27"/>
        <v>13100</v>
      </c>
      <c r="BC178" s="394"/>
      <c r="BD178" s="395"/>
      <c r="BE178" s="501"/>
      <c r="BF178" s="352">
        <f t="shared" si="32"/>
        <v>13100</v>
      </c>
      <c r="BG178" s="451" t="str">
        <f t="shared" si="28"/>
        <v>Y</v>
      </c>
      <c r="BH178" s="451"/>
      <c r="BI178" s="299"/>
      <c r="BJ178" s="698"/>
      <c r="BK178" s="698"/>
      <c r="BL178" s="303">
        <v>2774</v>
      </c>
      <c r="BM178" s="706"/>
      <c r="BN178" s="373"/>
      <c r="BO178" s="706"/>
      <c r="BP178" s="716"/>
      <c r="BQ178" s="706"/>
      <c r="BR178" s="373"/>
      <c r="BS178" s="373"/>
      <c r="BT178" s="373"/>
      <c r="BU178" s="373"/>
      <c r="BV178" s="304"/>
      <c r="BW178" s="288"/>
      <c r="BX178" s="290" t="s">
        <v>2013</v>
      </c>
      <c r="BY178" s="449" t="s">
        <v>2014</v>
      </c>
      <c r="BZ178" s="624"/>
      <c r="CA178" s="624"/>
      <c r="CB178" s="624"/>
      <c r="CC178" s="624"/>
      <c r="CD178" s="624"/>
      <c r="CE178" s="624"/>
      <c r="CF178" s="624"/>
      <c r="CG178" s="624"/>
      <c r="CH178" s="624"/>
    </row>
    <row r="179" spans="1:86" s="305" customFormat="1" ht="39" customHeight="1">
      <c r="A179" s="276"/>
      <c r="B179" s="348">
        <v>129</v>
      </c>
      <c r="C179" s="348"/>
      <c r="D179" s="726" t="s">
        <v>1811</v>
      </c>
      <c r="E179" s="349">
        <v>38504</v>
      </c>
      <c r="F179" s="358">
        <v>2005</v>
      </c>
      <c r="G179" s="288">
        <v>11</v>
      </c>
      <c r="H179" s="288"/>
      <c r="I179" s="288">
        <v>2005</v>
      </c>
      <c r="J179" s="288">
        <v>2</v>
      </c>
      <c r="K179" s="288" t="s">
        <v>1212</v>
      </c>
      <c r="L179" s="288" t="s">
        <v>1656</v>
      </c>
      <c r="M179" s="288" t="s">
        <v>1271</v>
      </c>
      <c r="N179" s="290" t="s">
        <v>1877</v>
      </c>
      <c r="O179" s="288" t="s">
        <v>1337</v>
      </c>
      <c r="P179" s="288" t="s">
        <v>1337</v>
      </c>
      <c r="Q179" s="375"/>
      <c r="R179" s="361"/>
      <c r="S179" s="294"/>
      <c r="T179" s="1058"/>
      <c r="U179" s="295"/>
      <c r="V179" s="295"/>
      <c r="W179" s="392"/>
      <c r="X179" s="393"/>
      <c r="Y179" s="293"/>
      <c r="Z179" s="294"/>
      <c r="AA179" s="293"/>
      <c r="AB179" s="365"/>
      <c r="AC179" s="387"/>
      <c r="AD179" s="587"/>
      <c r="AE179" s="298">
        <v>5000</v>
      </c>
      <c r="AF179" s="677"/>
      <c r="AG179" s="371">
        <f t="shared" si="26"/>
        <v>5000</v>
      </c>
      <c r="AH179" s="499"/>
      <c r="AI179" s="500"/>
      <c r="AJ179" s="500"/>
      <c r="AK179" s="388"/>
      <c r="AL179" s="389"/>
      <c r="AM179" s="302"/>
      <c r="AN179" s="302"/>
      <c r="AO179" s="302"/>
      <c r="AP179" s="302"/>
      <c r="AQ179" s="302"/>
      <c r="AR179" s="302"/>
      <c r="AS179" s="302"/>
      <c r="AT179" s="302"/>
      <c r="AU179" s="302"/>
      <c r="AV179" s="302"/>
      <c r="AW179" s="302"/>
      <c r="AX179" s="390"/>
      <c r="AY179" s="390"/>
      <c r="AZ179" s="385"/>
      <c r="BA179" s="387"/>
      <c r="BB179" s="299">
        <f t="shared" si="27"/>
        <v>5000</v>
      </c>
      <c r="BC179" s="394"/>
      <c r="BD179" s="395"/>
      <c r="BE179" s="501"/>
      <c r="BF179" s="352">
        <f t="shared" si="32"/>
        <v>5000</v>
      </c>
      <c r="BG179" s="451" t="str">
        <f t="shared" si="28"/>
        <v>Y</v>
      </c>
      <c r="BH179" s="451"/>
      <c r="BI179" s="299"/>
      <c r="BJ179" s="698"/>
      <c r="BK179" s="698"/>
      <c r="BL179" s="303" t="s">
        <v>2017</v>
      </c>
      <c r="BM179" s="706"/>
      <c r="BN179" s="373"/>
      <c r="BO179" s="706"/>
      <c r="BP179" s="716"/>
      <c r="BQ179" s="706"/>
      <c r="BR179" s="373"/>
      <c r="BS179" s="373"/>
      <c r="BT179" s="373"/>
      <c r="BU179" s="373"/>
      <c r="BV179" s="304"/>
      <c r="BW179" s="288"/>
      <c r="BX179" s="290" t="s">
        <v>2015</v>
      </c>
      <c r="BY179" s="449" t="s">
        <v>2018</v>
      </c>
      <c r="BZ179" s="624"/>
      <c r="CA179" s="624"/>
      <c r="CB179" s="624"/>
      <c r="CC179" s="624"/>
      <c r="CD179" s="624"/>
      <c r="CE179" s="624"/>
      <c r="CF179" s="624"/>
      <c r="CG179" s="624"/>
      <c r="CH179" s="624"/>
    </row>
    <row r="180" spans="1:86" s="305" customFormat="1" ht="39" customHeight="1">
      <c r="A180" s="276"/>
      <c r="B180" s="348">
        <v>130</v>
      </c>
      <c r="C180" s="348"/>
      <c r="D180" s="726" t="s">
        <v>250</v>
      </c>
      <c r="E180" s="349">
        <v>38534</v>
      </c>
      <c r="F180" s="358">
        <v>2006</v>
      </c>
      <c r="G180" s="288">
        <v>1</v>
      </c>
      <c r="H180" s="288"/>
      <c r="I180" s="288">
        <v>2005</v>
      </c>
      <c r="J180" s="288">
        <v>3</v>
      </c>
      <c r="K180" s="288" t="s">
        <v>1211</v>
      </c>
      <c r="L180" s="288" t="s">
        <v>1590</v>
      </c>
      <c r="M180" s="358" t="s">
        <v>1271</v>
      </c>
      <c r="N180" s="359" t="s">
        <v>1965</v>
      </c>
      <c r="O180" s="288" t="s">
        <v>1098</v>
      </c>
      <c r="P180" s="288" t="s">
        <v>1892</v>
      </c>
      <c r="Q180" s="375"/>
      <c r="R180" s="361" t="s">
        <v>362</v>
      </c>
      <c r="S180" s="294" t="s">
        <v>363</v>
      </c>
      <c r="T180" s="1058">
        <v>587000</v>
      </c>
      <c r="U180" s="295"/>
      <c r="V180" s="295" t="s">
        <v>253</v>
      </c>
      <c r="W180" s="392"/>
      <c r="X180" s="393"/>
      <c r="Y180" s="293">
        <v>35000</v>
      </c>
      <c r="Z180" s="780"/>
      <c r="AA180" s="293"/>
      <c r="AB180" s="365">
        <f>COUNTIF(AC180, "&gt;49999")</f>
        <v>0</v>
      </c>
      <c r="AC180" s="387">
        <v>25000</v>
      </c>
      <c r="AD180" s="587"/>
      <c r="AE180" s="298"/>
      <c r="AF180" s="677"/>
      <c r="AG180" s="371">
        <f t="shared" si="26"/>
        <v>25000</v>
      </c>
      <c r="AH180" s="502"/>
      <c r="AI180" s="503"/>
      <c r="AJ180" s="503"/>
      <c r="AK180" s="388">
        <v>25</v>
      </c>
      <c r="AL180" s="389"/>
      <c r="AM180" s="302"/>
      <c r="AN180" s="302"/>
      <c r="AO180" s="302"/>
      <c r="AP180" s="302"/>
      <c r="AQ180" s="302">
        <v>25</v>
      </c>
      <c r="AR180" s="302"/>
      <c r="AS180" s="302"/>
      <c r="AT180" s="302"/>
      <c r="AU180" s="302"/>
      <c r="AV180" s="302"/>
      <c r="AW180" s="302"/>
      <c r="AX180" s="390"/>
      <c r="AY180" s="390"/>
      <c r="AZ180" s="385">
        <f>299*25</f>
        <v>7475</v>
      </c>
      <c r="BA180" s="387"/>
      <c r="BB180" s="299">
        <f t="shared" si="27"/>
        <v>32475</v>
      </c>
      <c r="BC180" s="394"/>
      <c r="BD180" s="395"/>
      <c r="BE180" s="501">
        <f>25*4</f>
        <v>100</v>
      </c>
      <c r="BF180" s="352">
        <f t="shared" si="32"/>
        <v>32475</v>
      </c>
      <c r="BG180" s="451" t="str">
        <f t="shared" si="28"/>
        <v>Y</v>
      </c>
      <c r="BH180" s="451"/>
      <c r="BI180" s="299"/>
      <c r="BJ180" s="698"/>
      <c r="BK180" s="698"/>
      <c r="BL180" s="303">
        <v>2024</v>
      </c>
      <c r="BM180" s="706"/>
      <c r="BN180" s="373"/>
      <c r="BO180" s="706"/>
      <c r="BP180" s="716"/>
      <c r="BQ180" s="706"/>
      <c r="BR180" s="373"/>
      <c r="BS180" s="373"/>
      <c r="BT180" s="373"/>
      <c r="BU180" s="373"/>
      <c r="BV180" s="304"/>
      <c r="BW180" s="288"/>
      <c r="BX180" s="290" t="s">
        <v>2019</v>
      </c>
      <c r="BY180" s="449" t="s">
        <v>1850</v>
      </c>
      <c r="BZ180" s="624"/>
      <c r="CA180" s="624"/>
      <c r="CB180" s="624"/>
      <c r="CC180" s="624"/>
      <c r="CD180" s="624"/>
      <c r="CE180" s="624"/>
      <c r="CF180" s="624"/>
      <c r="CG180" s="624"/>
      <c r="CH180" s="624"/>
    </row>
    <row r="181" spans="1:86" s="305" customFormat="1" ht="39" customHeight="1">
      <c r="A181" s="276"/>
      <c r="B181" s="348">
        <v>130</v>
      </c>
      <c r="C181" s="348"/>
      <c r="D181" s="726" t="s">
        <v>251</v>
      </c>
      <c r="E181" s="349">
        <v>38534</v>
      </c>
      <c r="F181" s="358">
        <v>2006</v>
      </c>
      <c r="G181" s="288">
        <v>1</v>
      </c>
      <c r="H181" s="288"/>
      <c r="I181" s="288">
        <v>2005</v>
      </c>
      <c r="J181" s="288">
        <v>3</v>
      </c>
      <c r="K181" s="288" t="s">
        <v>1211</v>
      </c>
      <c r="L181" s="288" t="s">
        <v>1556</v>
      </c>
      <c r="M181" s="358" t="s">
        <v>1271</v>
      </c>
      <c r="N181" s="359" t="s">
        <v>1965</v>
      </c>
      <c r="O181" s="288" t="s">
        <v>1098</v>
      </c>
      <c r="P181" s="288" t="s">
        <v>1892</v>
      </c>
      <c r="Q181" s="375"/>
      <c r="R181" s="361"/>
      <c r="S181" s="294"/>
      <c r="T181" s="1058"/>
      <c r="U181" s="295"/>
      <c r="V181" s="295"/>
      <c r="W181" s="392"/>
      <c r="X181" s="393"/>
      <c r="Y181" s="293"/>
      <c r="Z181" s="294"/>
      <c r="AA181" s="293"/>
      <c r="AB181" s="365">
        <f>COUNTIF(AC181, "&gt;49999")</f>
        <v>1</v>
      </c>
      <c r="AC181" s="387">
        <v>75000</v>
      </c>
      <c r="AD181" s="587"/>
      <c r="AE181" s="298"/>
      <c r="AF181" s="677"/>
      <c r="AG181" s="371">
        <f t="shared" si="26"/>
        <v>75000</v>
      </c>
      <c r="AH181" s="502"/>
      <c r="AI181" s="503"/>
      <c r="AJ181" s="503"/>
      <c r="AK181" s="388"/>
      <c r="AL181" s="389"/>
      <c r="AM181" s="302"/>
      <c r="AN181" s="302"/>
      <c r="AO181" s="302"/>
      <c r="AP181" s="302"/>
      <c r="AQ181" s="302"/>
      <c r="AR181" s="302"/>
      <c r="AS181" s="302"/>
      <c r="AT181" s="302"/>
      <c r="AU181" s="302"/>
      <c r="AV181" s="302"/>
      <c r="AW181" s="302"/>
      <c r="AX181" s="390"/>
      <c r="AY181" s="390"/>
      <c r="AZ181" s="385"/>
      <c r="BA181" s="387"/>
      <c r="BB181" s="299">
        <f t="shared" si="27"/>
        <v>75000</v>
      </c>
      <c r="BC181" s="394"/>
      <c r="BD181" s="395"/>
      <c r="BE181" s="501"/>
      <c r="BF181" s="352">
        <f t="shared" si="32"/>
        <v>75000</v>
      </c>
      <c r="BG181" s="451" t="str">
        <f t="shared" si="28"/>
        <v>Y</v>
      </c>
      <c r="BH181" s="451"/>
      <c r="BI181" s="299"/>
      <c r="BJ181" s="698"/>
      <c r="BK181" s="698"/>
      <c r="BL181" s="303">
        <v>2024</v>
      </c>
      <c r="BM181" s="706"/>
      <c r="BN181" s="373"/>
      <c r="BO181" s="706"/>
      <c r="BP181" s="716"/>
      <c r="BQ181" s="706"/>
      <c r="BR181" s="373"/>
      <c r="BS181" s="373"/>
      <c r="BT181" s="373"/>
      <c r="BU181" s="373"/>
      <c r="BV181" s="304"/>
      <c r="BW181" s="288"/>
      <c r="BX181" s="290" t="s">
        <v>2019</v>
      </c>
      <c r="BY181" s="449" t="s">
        <v>2020</v>
      </c>
      <c r="BZ181" s="624"/>
      <c r="CA181" s="624"/>
      <c r="CB181" s="624"/>
      <c r="CC181" s="624"/>
      <c r="CD181" s="624"/>
      <c r="CE181" s="624"/>
      <c r="CF181" s="624"/>
      <c r="CG181" s="624"/>
      <c r="CH181" s="624"/>
    </row>
    <row r="182" spans="1:86" s="305" customFormat="1" ht="39" customHeight="1">
      <c r="A182" s="276"/>
      <c r="B182" s="348">
        <v>130</v>
      </c>
      <c r="C182" s="348"/>
      <c r="D182" s="726" t="s">
        <v>252</v>
      </c>
      <c r="E182" s="349">
        <v>38534</v>
      </c>
      <c r="F182" s="358">
        <v>2006</v>
      </c>
      <c r="G182" s="288">
        <v>1</v>
      </c>
      <c r="H182" s="288"/>
      <c r="I182" s="288">
        <v>2005</v>
      </c>
      <c r="J182" s="288">
        <v>3</v>
      </c>
      <c r="K182" s="288" t="s">
        <v>1211</v>
      </c>
      <c r="L182" s="288" t="s">
        <v>682</v>
      </c>
      <c r="M182" s="358" t="s">
        <v>1271</v>
      </c>
      <c r="N182" s="359" t="s">
        <v>1965</v>
      </c>
      <c r="O182" s="288" t="s">
        <v>1098</v>
      </c>
      <c r="P182" s="288" t="s">
        <v>1892</v>
      </c>
      <c r="Q182" s="375"/>
      <c r="R182" s="361"/>
      <c r="S182" s="294"/>
      <c r="T182" s="1058"/>
      <c r="U182" s="295"/>
      <c r="V182" s="295"/>
      <c r="W182" s="392"/>
      <c r="X182" s="393"/>
      <c r="Y182" s="293"/>
      <c r="Z182" s="294"/>
      <c r="AA182" s="293"/>
      <c r="AB182" s="365">
        <f>COUNTIF(AC182, "&gt;49999")</f>
        <v>1</v>
      </c>
      <c r="AC182" s="387">
        <v>100000</v>
      </c>
      <c r="AD182" s="587"/>
      <c r="AE182" s="298"/>
      <c r="AF182" s="677"/>
      <c r="AG182" s="371">
        <f t="shared" si="26"/>
        <v>100000</v>
      </c>
      <c r="AH182" s="502"/>
      <c r="AI182" s="503"/>
      <c r="AJ182" s="503"/>
      <c r="AK182" s="388">
        <f>4995+5000</f>
        <v>9995</v>
      </c>
      <c r="AL182" s="389"/>
      <c r="AM182" s="302"/>
      <c r="AN182" s="302"/>
      <c r="AO182" s="302"/>
      <c r="AP182" s="302"/>
      <c r="AQ182" s="302"/>
      <c r="AR182" s="302"/>
      <c r="AS182" s="302"/>
      <c r="AT182" s="302"/>
      <c r="AU182" s="302"/>
      <c r="AV182" s="302"/>
      <c r="AW182" s="302"/>
      <c r="AX182" s="390"/>
      <c r="AY182" s="390"/>
      <c r="AZ182" s="385">
        <v>8693</v>
      </c>
      <c r="BA182" s="387"/>
      <c r="BB182" s="299">
        <f t="shared" si="27"/>
        <v>108693</v>
      </c>
      <c r="BC182" s="394"/>
      <c r="BD182" s="395"/>
      <c r="BE182" s="501"/>
      <c r="BF182" s="352">
        <f t="shared" si="32"/>
        <v>108693</v>
      </c>
      <c r="BG182" s="451" t="str">
        <f t="shared" si="28"/>
        <v>Y</v>
      </c>
      <c r="BH182" s="451"/>
      <c r="BI182" s="299"/>
      <c r="BJ182" s="698"/>
      <c r="BK182" s="698"/>
      <c r="BL182" s="303">
        <v>2614</v>
      </c>
      <c r="BM182" s="706"/>
      <c r="BN182" s="373"/>
      <c r="BO182" s="706"/>
      <c r="BP182" s="716"/>
      <c r="BQ182" s="706"/>
      <c r="BR182" s="373"/>
      <c r="BS182" s="373"/>
      <c r="BT182" s="373"/>
      <c r="BU182" s="373"/>
      <c r="BV182" s="304"/>
      <c r="BW182" s="288"/>
      <c r="BX182" s="290" t="s">
        <v>2019</v>
      </c>
      <c r="BY182" s="374" t="s">
        <v>2021</v>
      </c>
      <c r="BZ182" s="624"/>
      <c r="CA182" s="624"/>
      <c r="CB182" s="624"/>
      <c r="CC182" s="624"/>
      <c r="CD182" s="624"/>
      <c r="CE182" s="624"/>
      <c r="CF182" s="624"/>
      <c r="CG182" s="624"/>
      <c r="CH182" s="624"/>
    </row>
    <row r="183" spans="1:86" s="305" customFormat="1" ht="39" customHeight="1">
      <c r="A183" s="276"/>
      <c r="B183" s="348">
        <v>131</v>
      </c>
      <c r="C183" s="348"/>
      <c r="D183" s="726" t="s">
        <v>1391</v>
      </c>
      <c r="E183" s="349">
        <v>38534</v>
      </c>
      <c r="F183" s="358">
        <v>2006</v>
      </c>
      <c r="G183" s="288">
        <v>2</v>
      </c>
      <c r="H183" s="288"/>
      <c r="I183" s="288">
        <v>2005</v>
      </c>
      <c r="J183" s="288">
        <v>4</v>
      </c>
      <c r="K183" s="288" t="s">
        <v>1210</v>
      </c>
      <c r="L183" s="288" t="s">
        <v>2022</v>
      </c>
      <c r="M183" s="288" t="s">
        <v>1273</v>
      </c>
      <c r="N183" s="290" t="s">
        <v>2023</v>
      </c>
      <c r="O183" s="288" t="s">
        <v>2023</v>
      </c>
      <c r="P183" s="288" t="s">
        <v>2023</v>
      </c>
      <c r="Q183" s="375"/>
      <c r="R183" s="361" t="s">
        <v>362</v>
      </c>
      <c r="S183" s="294" t="s">
        <v>363</v>
      </c>
      <c r="T183" s="1058">
        <v>14211607</v>
      </c>
      <c r="U183" s="295"/>
      <c r="V183" s="295" t="s">
        <v>249</v>
      </c>
      <c r="W183" s="392"/>
      <c r="X183" s="393"/>
      <c r="Y183" s="293">
        <v>222000</v>
      </c>
      <c r="Z183" s="294"/>
      <c r="AA183" s="293"/>
      <c r="AB183" s="365"/>
      <c r="AC183" s="387"/>
      <c r="AD183" s="587"/>
      <c r="AE183" s="298"/>
      <c r="AF183" s="677"/>
      <c r="AG183" s="371">
        <f t="shared" si="26"/>
        <v>0</v>
      </c>
      <c r="AH183" s="502">
        <v>3</v>
      </c>
      <c r="AI183" s="503"/>
      <c r="AJ183" s="503"/>
      <c r="AK183" s="388"/>
      <c r="AL183" s="389"/>
      <c r="AM183" s="302"/>
      <c r="AN183" s="302"/>
      <c r="AO183" s="302"/>
      <c r="AP183" s="302"/>
      <c r="AQ183" s="302"/>
      <c r="AR183" s="302"/>
      <c r="AS183" s="302"/>
      <c r="AT183" s="302"/>
      <c r="AU183" s="302"/>
      <c r="AV183" s="302"/>
      <c r="AW183" s="302"/>
      <c r="AX183" s="390"/>
      <c r="AY183" s="390"/>
      <c r="AZ183" s="385"/>
      <c r="BA183" s="387">
        <v>36200</v>
      </c>
      <c r="BB183" s="299">
        <f t="shared" si="27"/>
        <v>36200</v>
      </c>
      <c r="BC183" s="394"/>
      <c r="BD183" s="395"/>
      <c r="BE183" s="501"/>
      <c r="BF183" s="352">
        <f>BB183</f>
        <v>36200</v>
      </c>
      <c r="BG183" s="451" t="str">
        <f t="shared" si="28"/>
        <v>Y</v>
      </c>
      <c r="BH183" s="451"/>
      <c r="BI183" s="299"/>
      <c r="BJ183" s="698"/>
      <c r="BK183" s="698"/>
      <c r="BL183" s="303">
        <v>2949</v>
      </c>
      <c r="BM183" s="706"/>
      <c r="BN183" s="373"/>
      <c r="BO183" s="706"/>
      <c r="BP183" s="716"/>
      <c r="BQ183" s="706"/>
      <c r="BR183" s="373"/>
      <c r="BS183" s="373"/>
      <c r="BT183" s="373"/>
      <c r="BU183" s="373"/>
      <c r="BV183" s="304"/>
      <c r="BW183" s="288"/>
      <c r="BX183" s="290" t="s">
        <v>2024</v>
      </c>
      <c r="BY183" s="449" t="s">
        <v>696</v>
      </c>
      <c r="BZ183" s="624"/>
      <c r="CA183" s="624"/>
      <c r="CB183" s="624"/>
      <c r="CC183" s="624"/>
      <c r="CD183" s="624"/>
      <c r="CE183" s="624"/>
      <c r="CF183" s="624"/>
      <c r="CG183" s="624"/>
      <c r="CH183" s="624"/>
    </row>
    <row r="184" spans="1:86" s="305" customFormat="1" ht="39" customHeight="1">
      <c r="A184" s="276"/>
      <c r="B184" s="348">
        <v>132</v>
      </c>
      <c r="C184" s="348"/>
      <c r="D184" s="726" t="s">
        <v>190</v>
      </c>
      <c r="E184" s="349">
        <v>38565</v>
      </c>
      <c r="F184" s="358">
        <v>2006</v>
      </c>
      <c r="G184" s="288">
        <v>3</v>
      </c>
      <c r="H184" s="288"/>
      <c r="I184" s="288">
        <v>2005</v>
      </c>
      <c r="J184" s="288">
        <v>5</v>
      </c>
      <c r="K184" s="288" t="s">
        <v>1212</v>
      </c>
      <c r="L184" s="288" t="s">
        <v>1672</v>
      </c>
      <c r="M184" s="358" t="s">
        <v>1271</v>
      </c>
      <c r="N184" s="359" t="s">
        <v>1586</v>
      </c>
      <c r="O184" s="288" t="s">
        <v>1098</v>
      </c>
      <c r="P184" s="288" t="s">
        <v>1892</v>
      </c>
      <c r="Q184" s="375"/>
      <c r="R184" s="361"/>
      <c r="S184" s="294"/>
      <c r="T184" s="1058"/>
      <c r="U184" s="295"/>
      <c r="V184" s="295"/>
      <c r="W184" s="392"/>
      <c r="X184" s="393"/>
      <c r="Y184" s="293"/>
      <c r="Z184" s="294"/>
      <c r="AA184" s="293"/>
      <c r="AB184" s="365"/>
      <c r="AC184" s="387"/>
      <c r="AD184" s="587"/>
      <c r="AE184" s="298"/>
      <c r="AF184" s="677"/>
      <c r="AG184" s="371">
        <f t="shared" si="26"/>
        <v>0</v>
      </c>
      <c r="AH184" s="502">
        <v>3</v>
      </c>
      <c r="AI184" s="503"/>
      <c r="AJ184" s="503"/>
      <c r="AK184" s="388"/>
      <c r="AL184" s="389"/>
      <c r="AM184" s="302"/>
      <c r="AN184" s="302"/>
      <c r="AO184" s="302"/>
      <c r="AP184" s="302"/>
      <c r="AQ184" s="302"/>
      <c r="AR184" s="302"/>
      <c r="AS184" s="302"/>
      <c r="AT184" s="302"/>
      <c r="AU184" s="302"/>
      <c r="AV184" s="302"/>
      <c r="AW184" s="302"/>
      <c r="AX184" s="390"/>
      <c r="AY184" s="390"/>
      <c r="AZ184" s="385"/>
      <c r="BA184" s="387"/>
      <c r="BB184" s="299">
        <f t="shared" si="27"/>
        <v>0</v>
      </c>
      <c r="BC184" s="394"/>
      <c r="BD184" s="395"/>
      <c r="BE184" s="501"/>
      <c r="BF184" s="352">
        <f>AE184+AC184+AZ184+BA184</f>
        <v>0</v>
      </c>
      <c r="BG184" s="451" t="str">
        <f t="shared" si="28"/>
        <v>Y</v>
      </c>
      <c r="BH184" s="451"/>
      <c r="BI184" s="299"/>
      <c r="BJ184" s="698"/>
      <c r="BK184" s="698"/>
      <c r="BL184" s="303"/>
      <c r="BM184" s="706"/>
      <c r="BN184" s="373"/>
      <c r="BO184" s="706"/>
      <c r="BP184" s="716"/>
      <c r="BQ184" s="706"/>
      <c r="BR184" s="373"/>
      <c r="BS184" s="373"/>
      <c r="BT184" s="373"/>
      <c r="BU184" s="373"/>
      <c r="BV184" s="304"/>
      <c r="BW184" s="288"/>
      <c r="BX184" s="290" t="s">
        <v>697</v>
      </c>
      <c r="BY184" s="449" t="s">
        <v>698</v>
      </c>
      <c r="BZ184" s="624"/>
      <c r="CA184" s="624"/>
      <c r="CB184" s="624"/>
      <c r="CC184" s="624"/>
      <c r="CD184" s="624"/>
      <c r="CE184" s="624"/>
      <c r="CF184" s="624"/>
      <c r="CG184" s="624"/>
      <c r="CH184" s="624"/>
    </row>
    <row r="185" spans="1:86" s="305" customFormat="1" ht="39" customHeight="1">
      <c r="A185" s="275"/>
      <c r="B185" s="355">
        <v>133</v>
      </c>
      <c r="C185" s="355"/>
      <c r="D185" s="726" t="s">
        <v>267</v>
      </c>
      <c r="E185" s="356">
        <v>38626</v>
      </c>
      <c r="F185" s="358">
        <v>2006</v>
      </c>
      <c r="G185" s="358">
        <v>4</v>
      </c>
      <c r="H185" s="358"/>
      <c r="I185" s="358">
        <v>2005</v>
      </c>
      <c r="J185" s="358">
        <v>6</v>
      </c>
      <c r="K185" s="358" t="s">
        <v>570</v>
      </c>
      <c r="L185" s="358" t="s">
        <v>1668</v>
      </c>
      <c r="M185" s="358" t="s">
        <v>1961</v>
      </c>
      <c r="N185" s="359" t="s">
        <v>1884</v>
      </c>
      <c r="O185" s="358" t="s">
        <v>1884</v>
      </c>
      <c r="P185" s="358" t="s">
        <v>1884</v>
      </c>
      <c r="Q185" s="360">
        <v>3500000</v>
      </c>
      <c r="R185" s="361" t="s">
        <v>362</v>
      </c>
      <c r="S185" s="294" t="s">
        <v>363</v>
      </c>
      <c r="T185" s="1058">
        <v>117000000</v>
      </c>
      <c r="U185" s="295"/>
      <c r="V185" s="295" t="s">
        <v>248</v>
      </c>
      <c r="W185" s="362"/>
      <c r="X185" s="379"/>
      <c r="Y185" s="293">
        <v>575000</v>
      </c>
      <c r="Z185" s="780"/>
      <c r="AA185" s="293"/>
      <c r="AB185" s="365">
        <f>COUNTIF(AC185, "&gt;49999")</f>
        <v>1</v>
      </c>
      <c r="AC185" s="364">
        <f>SUM(3750000+3000000)</f>
        <v>6750000</v>
      </c>
      <c r="AD185" s="427">
        <v>1000000</v>
      </c>
      <c r="AE185" s="299"/>
      <c r="AF185" s="670"/>
      <c r="AG185" s="371">
        <f t="shared" si="26"/>
        <v>7750000</v>
      </c>
      <c r="AH185" s="499">
        <v>4</v>
      </c>
      <c r="AI185" s="500"/>
      <c r="AJ185" s="500"/>
      <c r="AK185" s="367">
        <f>SUM(AM185:AX185)</f>
        <v>325618</v>
      </c>
      <c r="AL185" s="363"/>
      <c r="AM185" s="368">
        <v>18000</v>
      </c>
      <c r="AN185" s="368">
        <f>SUM(84100+138800)</f>
        <v>222900</v>
      </c>
      <c r="AO185" s="368"/>
      <c r="AP185" s="368">
        <f>SUM(5500+22500)</f>
        <v>28000</v>
      </c>
      <c r="AQ185" s="368">
        <f>SUM(2200+1000+2000)</f>
        <v>5200</v>
      </c>
      <c r="AR185" s="368">
        <v>18000</v>
      </c>
      <c r="AS185" s="368">
        <v>30518</v>
      </c>
      <c r="AT185" s="368"/>
      <c r="AU185" s="368"/>
      <c r="AV185" s="368">
        <v>3000</v>
      </c>
      <c r="AW185" s="368"/>
      <c r="AX185" s="369"/>
      <c r="AY185" s="369"/>
      <c r="AZ185" s="352">
        <f>SUM(1898852+1865458+1044000)</f>
        <v>4808310</v>
      </c>
      <c r="BA185" s="364"/>
      <c r="BB185" s="299">
        <f t="shared" si="27"/>
        <v>12558310</v>
      </c>
      <c r="BC185" s="370"/>
      <c r="BD185" s="371"/>
      <c r="BE185" s="491">
        <v>120000</v>
      </c>
      <c r="BF185" s="352">
        <f t="shared" ref="BF185:BF190" si="33">BB185+BD185+BC185</f>
        <v>12558310</v>
      </c>
      <c r="BG185" s="451" t="str">
        <f t="shared" si="28"/>
        <v>Y</v>
      </c>
      <c r="BH185" s="451"/>
      <c r="BI185" s="299"/>
      <c r="BJ185" s="698"/>
      <c r="BK185" s="698"/>
      <c r="BL185" s="303" t="s">
        <v>1531</v>
      </c>
      <c r="BM185" s="706"/>
      <c r="BN185" s="373"/>
      <c r="BO185" s="706"/>
      <c r="BP185" s="716"/>
      <c r="BQ185" s="706"/>
      <c r="BR185" s="373"/>
      <c r="BS185" s="373"/>
      <c r="BT185" s="373"/>
      <c r="BU185" s="373"/>
      <c r="BV185" s="318"/>
      <c r="BW185" s="358" t="s">
        <v>996</v>
      </c>
      <c r="BX185" s="374" t="s">
        <v>699</v>
      </c>
      <c r="BY185" s="504" t="s">
        <v>189</v>
      </c>
      <c r="BZ185" s="624"/>
      <c r="CA185" s="624"/>
      <c r="CB185" s="624"/>
      <c r="CC185" s="624"/>
      <c r="CD185" s="624"/>
      <c r="CE185" s="624"/>
      <c r="CF185" s="624"/>
      <c r="CG185" s="624"/>
      <c r="CH185" s="624"/>
    </row>
    <row r="186" spans="1:86" s="305" customFormat="1" ht="39" customHeight="1">
      <c r="A186" s="276"/>
      <c r="B186" s="348">
        <v>134</v>
      </c>
      <c r="C186" s="348"/>
      <c r="D186" s="726" t="s">
        <v>192</v>
      </c>
      <c r="E186" s="349">
        <v>38626</v>
      </c>
      <c r="F186" s="358">
        <v>2006</v>
      </c>
      <c r="G186" s="288">
        <v>5</v>
      </c>
      <c r="H186" s="288"/>
      <c r="I186" s="288">
        <v>2005</v>
      </c>
      <c r="J186" s="288">
        <v>7</v>
      </c>
      <c r="K186" s="288" t="s">
        <v>1211</v>
      </c>
      <c r="L186" s="358" t="s">
        <v>1661</v>
      </c>
      <c r="M186" s="358" t="s">
        <v>1271</v>
      </c>
      <c r="N186" s="359" t="s">
        <v>1586</v>
      </c>
      <c r="O186" s="288" t="s">
        <v>1098</v>
      </c>
      <c r="P186" s="288" t="s">
        <v>1892</v>
      </c>
      <c r="Q186" s="360"/>
      <c r="R186" s="361"/>
      <c r="S186" s="294"/>
      <c r="T186" s="1058"/>
      <c r="U186" s="295"/>
      <c r="V186" s="295"/>
      <c r="W186" s="362"/>
      <c r="X186" s="379"/>
      <c r="Y186" s="293"/>
      <c r="Z186" s="294"/>
      <c r="AA186" s="293"/>
      <c r="AB186" s="365">
        <f>COUNTIF(AC186, "&gt;49999")</f>
        <v>0</v>
      </c>
      <c r="AC186" s="364">
        <v>47581</v>
      </c>
      <c r="AD186" s="427"/>
      <c r="AE186" s="299"/>
      <c r="AF186" s="670"/>
      <c r="AG186" s="371">
        <f t="shared" si="26"/>
        <v>47581</v>
      </c>
      <c r="AH186" s="459"/>
      <c r="AI186" s="460"/>
      <c r="AJ186" s="460"/>
      <c r="AK186" s="367"/>
      <c r="AL186" s="363"/>
      <c r="AM186" s="368"/>
      <c r="AN186" s="368"/>
      <c r="AO186" s="368"/>
      <c r="AP186" s="368"/>
      <c r="AQ186" s="368"/>
      <c r="AR186" s="368"/>
      <c r="AS186" s="368"/>
      <c r="AT186" s="368"/>
      <c r="AU186" s="368"/>
      <c r="AV186" s="368"/>
      <c r="AW186" s="368"/>
      <c r="AX186" s="369"/>
      <c r="AY186" s="369"/>
      <c r="AZ186" s="448"/>
      <c r="BA186" s="364"/>
      <c r="BB186" s="299">
        <f t="shared" si="27"/>
        <v>47581</v>
      </c>
      <c r="BC186" s="370"/>
      <c r="BD186" s="371"/>
      <c r="BE186" s="501"/>
      <c r="BF186" s="352">
        <f t="shared" si="33"/>
        <v>47581</v>
      </c>
      <c r="BG186" s="451" t="str">
        <f t="shared" si="28"/>
        <v>Y</v>
      </c>
      <c r="BH186" s="451"/>
      <c r="BI186" s="299"/>
      <c r="BJ186" s="698"/>
      <c r="BK186" s="698"/>
      <c r="BL186" s="303">
        <v>2759</v>
      </c>
      <c r="BM186" s="706"/>
      <c r="BN186" s="373"/>
      <c r="BO186" s="706"/>
      <c r="BP186" s="716"/>
      <c r="BQ186" s="706"/>
      <c r="BR186" s="373"/>
      <c r="BS186" s="373"/>
      <c r="BT186" s="373"/>
      <c r="BU186" s="373"/>
      <c r="BV186" s="304"/>
      <c r="BW186" s="288"/>
      <c r="BX186" s="359" t="s">
        <v>700</v>
      </c>
      <c r="BY186" s="449" t="s">
        <v>701</v>
      </c>
      <c r="BZ186" s="624"/>
      <c r="CA186" s="624"/>
      <c r="CB186" s="624"/>
      <c r="CC186" s="624"/>
      <c r="CD186" s="624"/>
      <c r="CE186" s="624"/>
      <c r="CF186" s="624"/>
      <c r="CG186" s="624"/>
      <c r="CH186" s="624"/>
    </row>
    <row r="187" spans="1:86" s="305" customFormat="1" ht="39" customHeight="1">
      <c r="A187" s="275"/>
      <c r="B187" s="355">
        <v>134</v>
      </c>
      <c r="C187" s="355"/>
      <c r="D187" s="726" t="s">
        <v>191</v>
      </c>
      <c r="E187" s="356">
        <v>38626</v>
      </c>
      <c r="F187" s="358">
        <v>2006</v>
      </c>
      <c r="G187" s="358">
        <v>5</v>
      </c>
      <c r="H187" s="358"/>
      <c r="I187" s="358">
        <v>2005</v>
      </c>
      <c r="J187" s="358">
        <v>7</v>
      </c>
      <c r="K187" s="358" t="s">
        <v>1211</v>
      </c>
      <c r="L187" s="465" t="s">
        <v>1876</v>
      </c>
      <c r="M187" s="358" t="s">
        <v>1271</v>
      </c>
      <c r="N187" s="359" t="s">
        <v>1586</v>
      </c>
      <c r="O187" s="358" t="s">
        <v>1098</v>
      </c>
      <c r="P187" s="358" t="s">
        <v>1892</v>
      </c>
      <c r="Q187" s="466"/>
      <c r="R187" s="467"/>
      <c r="S187" s="468"/>
      <c r="T187" s="1060"/>
      <c r="U187" s="469"/>
      <c r="V187" s="469"/>
      <c r="W187" s="470"/>
      <c r="X187" s="505"/>
      <c r="Y187" s="472"/>
      <c r="Z187" s="468"/>
      <c r="AA187" s="472"/>
      <c r="AB187" s="365">
        <f>COUNTIF(AC187, "&gt;49999")</f>
        <v>1</v>
      </c>
      <c r="AC187" s="506">
        <f>SUM(124453+83568+49357)</f>
        <v>257378</v>
      </c>
      <c r="AD187" s="1048"/>
      <c r="AE187" s="469">
        <f>SUM(35000+50000)</f>
        <v>85000</v>
      </c>
      <c r="AF187" s="682"/>
      <c r="AG187" s="371">
        <f t="shared" si="26"/>
        <v>342378</v>
      </c>
      <c r="AH187" s="459"/>
      <c r="AI187" s="460"/>
      <c r="AJ187" s="460"/>
      <c r="AK187" s="478"/>
      <c r="AL187" s="479"/>
      <c r="AM187" s="472"/>
      <c r="AN187" s="472"/>
      <c r="AO187" s="472"/>
      <c r="AP187" s="472"/>
      <c r="AQ187" s="472"/>
      <c r="AR187" s="472"/>
      <c r="AS187" s="472"/>
      <c r="AT187" s="472"/>
      <c r="AU187" s="472"/>
      <c r="AV187" s="472"/>
      <c r="AW187" s="472"/>
      <c r="AX187" s="507"/>
      <c r="AY187" s="507"/>
      <c r="AZ187" s="508"/>
      <c r="BA187" s="509"/>
      <c r="BB187" s="299">
        <f t="shared" si="27"/>
        <v>342378</v>
      </c>
      <c r="BC187" s="510"/>
      <c r="BD187" s="511"/>
      <c r="BE187" s="491"/>
      <c r="BF187" s="352">
        <f t="shared" si="33"/>
        <v>342378</v>
      </c>
      <c r="BG187" s="451" t="str">
        <f t="shared" si="28"/>
        <v>Y</v>
      </c>
      <c r="BH187" s="451"/>
      <c r="BI187" s="299"/>
      <c r="BJ187" s="698"/>
      <c r="BK187" s="698"/>
      <c r="BL187" s="694">
        <v>2020</v>
      </c>
      <c r="BM187" s="712"/>
      <c r="BN187" s="486"/>
      <c r="BO187" s="712"/>
      <c r="BP187" s="720"/>
      <c r="BQ187" s="712"/>
      <c r="BR187" s="486"/>
      <c r="BS187" s="486"/>
      <c r="BT187" s="486"/>
      <c r="BU187" s="486"/>
      <c r="BV187" s="318"/>
      <c r="BW187" s="358"/>
      <c r="BX187" s="488" t="s">
        <v>700</v>
      </c>
      <c r="BY187" s="374" t="s">
        <v>1032</v>
      </c>
      <c r="BZ187" s="624"/>
      <c r="CA187" s="624"/>
      <c r="CB187" s="624"/>
      <c r="CC187" s="624"/>
      <c r="CD187" s="624"/>
      <c r="CE187" s="624"/>
      <c r="CF187" s="624"/>
      <c r="CG187" s="624"/>
      <c r="CH187" s="624"/>
    </row>
    <row r="188" spans="1:86" s="305" customFormat="1" ht="39" customHeight="1">
      <c r="A188" s="594" t="s">
        <v>493</v>
      </c>
      <c r="B188" s="348">
        <v>135</v>
      </c>
      <c r="C188" s="348"/>
      <c r="D188" s="726" t="s">
        <v>492</v>
      </c>
      <c r="E188" s="349">
        <v>38626</v>
      </c>
      <c r="F188" s="358">
        <v>2006</v>
      </c>
      <c r="G188" s="288">
        <v>6</v>
      </c>
      <c r="H188" s="288"/>
      <c r="I188" s="288">
        <v>2005</v>
      </c>
      <c r="J188" s="288">
        <v>8</v>
      </c>
      <c r="K188" s="288" t="s">
        <v>1211</v>
      </c>
      <c r="L188" s="300" t="s">
        <v>1641</v>
      </c>
      <c r="M188" s="300" t="s">
        <v>1961</v>
      </c>
      <c r="N188" s="449" t="s">
        <v>1887</v>
      </c>
      <c r="O188" s="300" t="s">
        <v>641</v>
      </c>
      <c r="P188" s="300" t="s">
        <v>641</v>
      </c>
      <c r="Q188" s="512"/>
      <c r="R188" s="513"/>
      <c r="S188" s="319"/>
      <c r="T188" s="1037">
        <v>1098045</v>
      </c>
      <c r="U188" s="298"/>
      <c r="V188" s="514" t="s">
        <v>491</v>
      </c>
      <c r="W188" s="392"/>
      <c r="X188" s="393"/>
      <c r="Y188" s="515">
        <v>21000</v>
      </c>
      <c r="Z188" s="319"/>
      <c r="AA188" s="515"/>
      <c r="AB188" s="365">
        <f>COUNTIF(AC188, "&gt;49999")</f>
        <v>0</v>
      </c>
      <c r="AC188" s="387">
        <v>7034</v>
      </c>
      <c r="AD188" s="587"/>
      <c r="AE188" s="298"/>
      <c r="AF188" s="677"/>
      <c r="AG188" s="371">
        <f t="shared" si="26"/>
        <v>7034</v>
      </c>
      <c r="AH188" s="502">
        <v>1</v>
      </c>
      <c r="AI188" s="503"/>
      <c r="AJ188" s="503"/>
      <c r="AK188" s="388"/>
      <c r="AL188" s="389"/>
      <c r="AM188" s="302"/>
      <c r="AN188" s="302"/>
      <c r="AO188" s="302"/>
      <c r="AP188" s="302"/>
      <c r="AQ188" s="302"/>
      <c r="AR188" s="302"/>
      <c r="AS188" s="302"/>
      <c r="AT188" s="302"/>
      <c r="AU188" s="302"/>
      <c r="AV188" s="302"/>
      <c r="AW188" s="302"/>
      <c r="AX188" s="390"/>
      <c r="AY188" s="390"/>
      <c r="AZ188" s="385"/>
      <c r="BA188" s="387"/>
      <c r="BB188" s="299">
        <f t="shared" si="27"/>
        <v>7034</v>
      </c>
      <c r="BC188" s="394"/>
      <c r="BD188" s="395"/>
      <c r="BE188" s="501"/>
      <c r="BF188" s="352">
        <f t="shared" si="33"/>
        <v>7034</v>
      </c>
      <c r="BG188" s="451" t="str">
        <f t="shared" si="28"/>
        <v>Y</v>
      </c>
      <c r="BH188" s="451"/>
      <c r="BI188" s="299"/>
      <c r="BJ188" s="698"/>
      <c r="BK188" s="698"/>
      <c r="BL188" s="300">
        <v>2690</v>
      </c>
      <c r="BM188" s="707"/>
      <c r="BN188" s="391"/>
      <c r="BO188" s="707"/>
      <c r="BP188" s="717"/>
      <c r="BQ188" s="707"/>
      <c r="BR188" s="391"/>
      <c r="BS188" s="391"/>
      <c r="BT188" s="391"/>
      <c r="BU188" s="391"/>
      <c r="BV188" s="304"/>
      <c r="BW188" s="288"/>
      <c r="BX188" s="449" t="s">
        <v>1205</v>
      </c>
      <c r="BY188" s="449" t="s">
        <v>713</v>
      </c>
      <c r="BZ188" s="624"/>
      <c r="CA188" s="624"/>
      <c r="CB188" s="624"/>
      <c r="CC188" s="624"/>
      <c r="CD188" s="624"/>
      <c r="CE188" s="624"/>
      <c r="CF188" s="624"/>
      <c r="CG188" s="624"/>
      <c r="CH188" s="624"/>
    </row>
    <row r="189" spans="1:86" s="305" customFormat="1" ht="39" customHeight="1">
      <c r="A189" s="594" t="s">
        <v>489</v>
      </c>
      <c r="B189" s="348">
        <v>136</v>
      </c>
      <c r="C189" s="348"/>
      <c r="D189" s="726" t="s">
        <v>487</v>
      </c>
      <c r="E189" s="349">
        <v>38626</v>
      </c>
      <c r="F189" s="358">
        <v>2006</v>
      </c>
      <c r="G189" s="288">
        <v>7</v>
      </c>
      <c r="H189" s="288"/>
      <c r="I189" s="288">
        <v>2005</v>
      </c>
      <c r="J189" s="288">
        <v>9</v>
      </c>
      <c r="K189" s="288" t="s">
        <v>1211</v>
      </c>
      <c r="L189" s="358" t="s">
        <v>1891</v>
      </c>
      <c r="M189" s="358" t="s">
        <v>1271</v>
      </c>
      <c r="N189" s="359" t="s">
        <v>1965</v>
      </c>
      <c r="O189" s="288" t="s">
        <v>1098</v>
      </c>
      <c r="P189" s="288" t="s">
        <v>1892</v>
      </c>
      <c r="Q189" s="360"/>
      <c r="R189" s="361"/>
      <c r="S189" s="294"/>
      <c r="T189" s="1037">
        <v>1634707</v>
      </c>
      <c r="U189" s="298"/>
      <c r="V189" s="295" t="s">
        <v>490</v>
      </c>
      <c r="W189" s="362"/>
      <c r="X189" s="379"/>
      <c r="Y189" s="293"/>
      <c r="Z189" s="294"/>
      <c r="AA189" s="293"/>
      <c r="AB189" s="365"/>
      <c r="AC189" s="364"/>
      <c r="AD189" s="427"/>
      <c r="AE189" s="299"/>
      <c r="AF189" s="670"/>
      <c r="AG189" s="371">
        <f t="shared" si="26"/>
        <v>0</v>
      </c>
      <c r="AH189" s="459"/>
      <c r="AI189" s="460"/>
      <c r="AJ189" s="460"/>
      <c r="AK189" s="367">
        <f>8396.88/3.54</f>
        <v>2371.9999999999995</v>
      </c>
      <c r="AL189" s="363"/>
      <c r="AM189" s="368">
        <v>2372</v>
      </c>
      <c r="AN189" s="368"/>
      <c r="AO189" s="368"/>
      <c r="AP189" s="368"/>
      <c r="AQ189" s="368"/>
      <c r="AR189" s="368"/>
      <c r="AS189" s="368"/>
      <c r="AT189" s="368"/>
      <c r="AU189" s="368"/>
      <c r="AV189" s="368"/>
      <c r="AW189" s="368"/>
      <c r="AX189" s="369"/>
      <c r="AY189" s="369"/>
      <c r="AZ189" s="448">
        <v>20597</v>
      </c>
      <c r="BA189" s="364"/>
      <c r="BB189" s="299">
        <f t="shared" si="27"/>
        <v>20597</v>
      </c>
      <c r="BC189" s="370"/>
      <c r="BD189" s="371"/>
      <c r="BE189" s="501">
        <v>4000</v>
      </c>
      <c r="BF189" s="352">
        <f t="shared" si="33"/>
        <v>20597</v>
      </c>
      <c r="BG189" s="451" t="str">
        <f t="shared" si="28"/>
        <v>Y</v>
      </c>
      <c r="BH189" s="451"/>
      <c r="BI189" s="299"/>
      <c r="BJ189" s="698"/>
      <c r="BK189" s="698"/>
      <c r="BL189" s="303">
        <v>2024</v>
      </c>
      <c r="BM189" s="706"/>
      <c r="BN189" s="373"/>
      <c r="BO189" s="706"/>
      <c r="BP189" s="716"/>
      <c r="BQ189" s="706"/>
      <c r="BR189" s="373"/>
      <c r="BS189" s="373"/>
      <c r="BT189" s="373"/>
      <c r="BU189" s="373"/>
      <c r="BV189" s="304"/>
      <c r="BW189" s="288"/>
      <c r="BX189" s="359" t="s">
        <v>714</v>
      </c>
      <c r="BY189" s="449" t="s">
        <v>1861</v>
      </c>
      <c r="BZ189" s="624"/>
      <c r="CA189" s="624"/>
      <c r="CB189" s="624"/>
      <c r="CC189" s="624"/>
      <c r="CD189" s="624"/>
      <c r="CE189" s="624"/>
      <c r="CF189" s="624"/>
      <c r="CG189" s="624"/>
      <c r="CH189" s="624"/>
    </row>
    <row r="190" spans="1:86" s="305" customFormat="1" ht="39" customHeight="1">
      <c r="A190" s="595" t="s">
        <v>488</v>
      </c>
      <c r="B190" s="355">
        <v>136</v>
      </c>
      <c r="C190" s="355"/>
      <c r="D190" s="726" t="s">
        <v>486</v>
      </c>
      <c r="E190" s="356">
        <v>38626</v>
      </c>
      <c r="F190" s="358">
        <v>2006</v>
      </c>
      <c r="G190" s="358">
        <v>7</v>
      </c>
      <c r="H190" s="358"/>
      <c r="I190" s="358">
        <v>2005</v>
      </c>
      <c r="J190" s="358">
        <v>9</v>
      </c>
      <c r="K190" s="358" t="s">
        <v>1211</v>
      </c>
      <c r="L190" s="465" t="s">
        <v>1876</v>
      </c>
      <c r="M190" s="358" t="s">
        <v>1271</v>
      </c>
      <c r="N190" s="359" t="s">
        <v>1965</v>
      </c>
      <c r="O190" s="358" t="s">
        <v>1098</v>
      </c>
      <c r="P190" s="358" t="s">
        <v>1892</v>
      </c>
      <c r="Q190" s="466">
        <v>300000</v>
      </c>
      <c r="R190" s="467"/>
      <c r="S190" s="468"/>
      <c r="T190" s="1060">
        <v>1918000</v>
      </c>
      <c r="U190" s="469"/>
      <c r="V190" s="295" t="s">
        <v>490</v>
      </c>
      <c r="W190" s="470"/>
      <c r="X190" s="471"/>
      <c r="Y190" s="472"/>
      <c r="Z190" s="468"/>
      <c r="AA190" s="472"/>
      <c r="AB190" s="473">
        <v>1</v>
      </c>
      <c r="AC190" s="474">
        <f>SUM(100000+28869)</f>
        <v>128869</v>
      </c>
      <c r="AD190" s="1047"/>
      <c r="AE190" s="475">
        <f>SUM(250000+75000)</f>
        <v>325000</v>
      </c>
      <c r="AF190" s="681"/>
      <c r="AG190" s="371">
        <f t="shared" si="26"/>
        <v>453869</v>
      </c>
      <c r="AH190" s="476"/>
      <c r="AI190" s="477"/>
      <c r="AJ190" s="477"/>
      <c r="AK190" s="478">
        <v>4500</v>
      </c>
      <c r="AL190" s="479"/>
      <c r="AM190" s="480">
        <v>4500</v>
      </c>
      <c r="AN190" s="480"/>
      <c r="AO190" s="480"/>
      <c r="AP190" s="480"/>
      <c r="AQ190" s="480"/>
      <c r="AR190" s="480"/>
      <c r="AS190" s="480"/>
      <c r="AT190" s="480"/>
      <c r="AU190" s="480"/>
      <c r="AV190" s="480"/>
      <c r="AW190" s="480"/>
      <c r="AX190" s="481"/>
      <c r="AY190" s="481"/>
      <c r="AZ190" s="482">
        <v>43875</v>
      </c>
      <c r="BA190" s="474"/>
      <c r="BB190" s="299">
        <f t="shared" si="27"/>
        <v>497744</v>
      </c>
      <c r="BC190" s="483"/>
      <c r="BD190" s="484"/>
      <c r="BE190" s="491"/>
      <c r="BF190" s="352">
        <f t="shared" si="33"/>
        <v>497744</v>
      </c>
      <c r="BG190" s="451" t="str">
        <f t="shared" si="28"/>
        <v>Y</v>
      </c>
      <c r="BH190" s="451"/>
      <c r="BI190" s="299"/>
      <c r="BJ190" s="698"/>
      <c r="BK190" s="698"/>
      <c r="BL190" s="694">
        <v>2757</v>
      </c>
      <c r="BM190" s="712"/>
      <c r="BN190" s="486"/>
      <c r="BO190" s="712"/>
      <c r="BP190" s="720"/>
      <c r="BQ190" s="712"/>
      <c r="BR190" s="486"/>
      <c r="BS190" s="486"/>
      <c r="BT190" s="486"/>
      <c r="BU190" s="486"/>
      <c r="BV190" s="318"/>
      <c r="BW190" s="358"/>
      <c r="BX190" s="488" t="s">
        <v>714</v>
      </c>
      <c r="BY190" s="318" t="s">
        <v>254</v>
      </c>
      <c r="BZ190" s="624"/>
      <c r="CA190" s="624"/>
      <c r="CB190" s="624"/>
      <c r="CC190" s="624"/>
      <c r="CD190" s="624"/>
      <c r="CE190" s="624"/>
      <c r="CF190" s="624"/>
      <c r="CG190" s="624"/>
      <c r="CH190" s="624"/>
    </row>
    <row r="191" spans="1:86" s="305" customFormat="1" ht="39" customHeight="1">
      <c r="A191" s="596"/>
      <c r="B191" s="348">
        <v>137</v>
      </c>
      <c r="C191" s="348"/>
      <c r="D191" s="726" t="s">
        <v>1798</v>
      </c>
      <c r="E191" s="349">
        <v>38626</v>
      </c>
      <c r="F191" s="358">
        <v>2006</v>
      </c>
      <c r="G191" s="288">
        <v>8</v>
      </c>
      <c r="H191" s="288"/>
      <c r="I191" s="288">
        <v>2005</v>
      </c>
      <c r="J191" s="288">
        <v>10</v>
      </c>
      <c r="K191" s="288" t="s">
        <v>570</v>
      </c>
      <c r="L191" s="288" t="s">
        <v>1947</v>
      </c>
      <c r="M191" s="358" t="s">
        <v>1271</v>
      </c>
      <c r="N191" s="359" t="s">
        <v>1965</v>
      </c>
      <c r="O191" s="288" t="s">
        <v>1098</v>
      </c>
      <c r="P191" s="288" t="s">
        <v>1626</v>
      </c>
      <c r="Q191" s="375"/>
      <c r="R191" s="361" t="s">
        <v>362</v>
      </c>
      <c r="S191" s="294" t="s">
        <v>363</v>
      </c>
      <c r="T191" s="1058">
        <v>628813</v>
      </c>
      <c r="U191" s="295"/>
      <c r="V191" s="295" t="s">
        <v>1799</v>
      </c>
      <c r="W191" s="392"/>
      <c r="X191" s="393"/>
      <c r="Y191" s="293">
        <v>25000</v>
      </c>
      <c r="Z191" s="780"/>
      <c r="AA191" s="293"/>
      <c r="AB191" s="365">
        <f>COUNTIF(AC191, "&gt;49999")</f>
        <v>0</v>
      </c>
      <c r="AC191" s="387">
        <v>21068</v>
      </c>
      <c r="AD191" s="587"/>
      <c r="AE191" s="298"/>
      <c r="AF191" s="677"/>
      <c r="AG191" s="371">
        <f t="shared" si="26"/>
        <v>21068</v>
      </c>
      <c r="AH191" s="502"/>
      <c r="AI191" s="503"/>
      <c r="AJ191" s="503"/>
      <c r="AK191" s="388"/>
      <c r="AL191" s="389"/>
      <c r="AM191" s="302"/>
      <c r="AN191" s="302"/>
      <c r="AO191" s="302"/>
      <c r="AP191" s="302"/>
      <c r="AQ191" s="302"/>
      <c r="AR191" s="302"/>
      <c r="AS191" s="302"/>
      <c r="AT191" s="302"/>
      <c r="AU191" s="302"/>
      <c r="AV191" s="302"/>
      <c r="AW191" s="302"/>
      <c r="AX191" s="390"/>
      <c r="AY191" s="390"/>
      <c r="AZ191" s="385"/>
      <c r="BA191" s="387"/>
      <c r="BB191" s="299">
        <f t="shared" si="27"/>
        <v>21068</v>
      </c>
      <c r="BC191" s="394"/>
      <c r="BD191" s="395"/>
      <c r="BE191" s="501"/>
      <c r="BF191" s="352">
        <f>BB191+BD191+BC191</f>
        <v>21068</v>
      </c>
      <c r="BG191" s="451" t="str">
        <f t="shared" si="28"/>
        <v>Y</v>
      </c>
      <c r="BH191" s="451"/>
      <c r="BI191" s="299"/>
      <c r="BJ191" s="698"/>
      <c r="BK191" s="698"/>
      <c r="BL191" s="303">
        <v>2870</v>
      </c>
      <c r="BM191" s="706"/>
      <c r="BN191" s="373"/>
      <c r="BO191" s="706"/>
      <c r="BP191" s="716"/>
      <c r="BQ191" s="706"/>
      <c r="BR191" s="373"/>
      <c r="BS191" s="373"/>
      <c r="BT191" s="373"/>
      <c r="BU191" s="373"/>
      <c r="BV191" s="304"/>
      <c r="BW191" s="288"/>
      <c r="BX191" s="290" t="s">
        <v>715</v>
      </c>
      <c r="BY191" s="449" t="s">
        <v>716</v>
      </c>
      <c r="BZ191" s="624"/>
      <c r="CA191" s="624"/>
      <c r="CB191" s="624"/>
      <c r="CC191" s="624"/>
      <c r="CD191" s="624"/>
      <c r="CE191" s="624"/>
      <c r="CF191" s="624"/>
      <c r="CG191" s="624"/>
      <c r="CH191" s="624"/>
    </row>
    <row r="192" spans="1:86" s="305" customFormat="1" ht="39" customHeight="1">
      <c r="A192" s="596"/>
      <c r="B192" s="348">
        <v>138</v>
      </c>
      <c r="C192" s="348"/>
      <c r="D192" s="726" t="s">
        <v>262</v>
      </c>
      <c r="E192" s="349">
        <v>38657</v>
      </c>
      <c r="F192" s="358">
        <v>2006</v>
      </c>
      <c r="G192" s="288">
        <v>9</v>
      </c>
      <c r="H192" s="288"/>
      <c r="I192" s="288">
        <v>2005</v>
      </c>
      <c r="J192" s="288">
        <v>11</v>
      </c>
      <c r="K192" s="288" t="s">
        <v>1211</v>
      </c>
      <c r="L192" s="288" t="s">
        <v>717</v>
      </c>
      <c r="M192" s="300" t="s">
        <v>1961</v>
      </c>
      <c r="N192" s="449" t="s">
        <v>1887</v>
      </c>
      <c r="O192" s="300" t="s">
        <v>641</v>
      </c>
      <c r="P192" s="300" t="s">
        <v>641</v>
      </c>
      <c r="Q192" s="375"/>
      <c r="R192" s="361"/>
      <c r="S192" s="294"/>
      <c r="T192" s="1061"/>
      <c r="U192" s="516"/>
      <c r="V192" s="295"/>
      <c r="W192" s="392"/>
      <c r="X192" s="393"/>
      <c r="Y192" s="293"/>
      <c r="Z192" s="294"/>
      <c r="AA192" s="293"/>
      <c r="AB192" s="365"/>
      <c r="AC192" s="387"/>
      <c r="AD192" s="587"/>
      <c r="AE192" s="298"/>
      <c r="AF192" s="677"/>
      <c r="AG192" s="371">
        <f t="shared" si="26"/>
        <v>0</v>
      </c>
      <c r="AH192" s="502"/>
      <c r="AI192" s="503"/>
      <c r="AJ192" s="503"/>
      <c r="AK192" s="388">
        <v>45</v>
      </c>
      <c r="AL192" s="389"/>
      <c r="AM192" s="302"/>
      <c r="AN192" s="302"/>
      <c r="AO192" s="302"/>
      <c r="AP192" s="302"/>
      <c r="AQ192" s="302">
        <v>45</v>
      </c>
      <c r="AR192" s="302"/>
      <c r="AS192" s="302"/>
      <c r="AT192" s="302"/>
      <c r="AU192" s="302"/>
      <c r="AV192" s="302"/>
      <c r="AW192" s="302"/>
      <c r="AX192" s="390"/>
      <c r="AY192" s="390"/>
      <c r="AZ192" s="385">
        <v>17402</v>
      </c>
      <c r="BA192" s="387"/>
      <c r="BB192" s="299">
        <f t="shared" si="27"/>
        <v>17402</v>
      </c>
      <c r="BC192" s="394"/>
      <c r="BD192" s="395"/>
      <c r="BE192" s="501"/>
      <c r="BF192" s="352">
        <f>BB192+BD192+BC192</f>
        <v>17402</v>
      </c>
      <c r="BG192" s="451" t="str">
        <f t="shared" si="28"/>
        <v>Y</v>
      </c>
      <c r="BH192" s="451"/>
      <c r="BI192" s="299"/>
      <c r="BJ192" s="698"/>
      <c r="BK192" s="698"/>
      <c r="BL192" s="303">
        <v>2898</v>
      </c>
      <c r="BM192" s="706"/>
      <c r="BN192" s="373"/>
      <c r="BO192" s="706"/>
      <c r="BP192" s="716"/>
      <c r="BQ192" s="706"/>
      <c r="BR192" s="373"/>
      <c r="BS192" s="373"/>
      <c r="BT192" s="373"/>
      <c r="BU192" s="373"/>
      <c r="BV192" s="304"/>
      <c r="BW192" s="288"/>
      <c r="BX192" s="290" t="s">
        <v>718</v>
      </c>
      <c r="BY192" s="449" t="s">
        <v>1862</v>
      </c>
      <c r="BZ192" s="624"/>
      <c r="CA192" s="624"/>
      <c r="CB192" s="624"/>
      <c r="CC192" s="624"/>
      <c r="CD192" s="624"/>
      <c r="CE192" s="624"/>
      <c r="CF192" s="624"/>
      <c r="CG192" s="624"/>
      <c r="CH192" s="624"/>
    </row>
    <row r="193" spans="1:86" s="305" customFormat="1" ht="39" customHeight="1">
      <c r="A193" s="596"/>
      <c r="B193" s="348">
        <v>139</v>
      </c>
      <c r="C193" s="348"/>
      <c r="D193" s="726" t="s">
        <v>1243</v>
      </c>
      <c r="E193" s="349">
        <v>38718</v>
      </c>
      <c r="F193" s="358">
        <v>2006</v>
      </c>
      <c r="G193" s="288">
        <v>10</v>
      </c>
      <c r="H193" s="288"/>
      <c r="I193" s="288">
        <v>2006</v>
      </c>
      <c r="J193" s="288">
        <v>1</v>
      </c>
      <c r="K193" s="288" t="s">
        <v>1210</v>
      </c>
      <c r="L193" s="358" t="s">
        <v>594</v>
      </c>
      <c r="M193" s="358" t="s">
        <v>1271</v>
      </c>
      <c r="N193" s="359" t="s">
        <v>1874</v>
      </c>
      <c r="O193" s="288" t="s">
        <v>1874</v>
      </c>
      <c r="P193" s="288" t="s">
        <v>1874</v>
      </c>
      <c r="Q193" s="375"/>
      <c r="R193" s="361" t="s">
        <v>362</v>
      </c>
      <c r="S193" s="294" t="s">
        <v>363</v>
      </c>
      <c r="T193" s="1058"/>
      <c r="U193" s="295"/>
      <c r="V193" s="295" t="s">
        <v>1242</v>
      </c>
      <c r="W193" s="392"/>
      <c r="X193" s="393"/>
      <c r="Y193" s="293">
        <v>1500000</v>
      </c>
      <c r="Z193" s="780"/>
      <c r="AA193" s="293"/>
      <c r="AB193" s="365">
        <f t="shared" ref="AB193:AB200" si="34">COUNTIF(AC193, "&gt;49999")</f>
        <v>1</v>
      </c>
      <c r="AC193" s="364">
        <v>100000</v>
      </c>
      <c r="AD193" s="427"/>
      <c r="AE193" s="299"/>
      <c r="AF193" s="670"/>
      <c r="AG193" s="371">
        <f t="shared" si="26"/>
        <v>100000</v>
      </c>
      <c r="AH193" s="499">
        <v>3</v>
      </c>
      <c r="AI193" s="500"/>
      <c r="AJ193" s="500"/>
      <c r="AK193" s="367"/>
      <c r="AL193" s="363"/>
      <c r="AM193" s="368"/>
      <c r="AN193" s="368"/>
      <c r="AO193" s="368"/>
      <c r="AP193" s="368"/>
      <c r="AQ193" s="368"/>
      <c r="AR193" s="368"/>
      <c r="AS193" s="368"/>
      <c r="AT193" s="368"/>
      <c r="AU193" s="368"/>
      <c r="AV193" s="368"/>
      <c r="AW193" s="368"/>
      <c r="AX193" s="369"/>
      <c r="AY193" s="369"/>
      <c r="AZ193" s="385"/>
      <c r="BA193" s="387"/>
      <c r="BB193" s="299">
        <f t="shared" si="27"/>
        <v>100000</v>
      </c>
      <c r="BC193" s="394"/>
      <c r="BD193" s="395"/>
      <c r="BE193" s="501"/>
      <c r="BF193" s="352">
        <f>BB193+BD193+BC193</f>
        <v>100000</v>
      </c>
      <c r="BG193" s="451" t="str">
        <f t="shared" si="28"/>
        <v>N</v>
      </c>
      <c r="BH193" s="451"/>
      <c r="BI193" s="299"/>
      <c r="BJ193" s="698"/>
      <c r="BK193" s="698"/>
      <c r="BL193" s="303">
        <v>2099</v>
      </c>
      <c r="BM193" s="706"/>
      <c r="BN193" s="373"/>
      <c r="BO193" s="706"/>
      <c r="BP193" s="716"/>
      <c r="BQ193" s="706"/>
      <c r="BR193" s="373"/>
      <c r="BS193" s="373"/>
      <c r="BT193" s="373"/>
      <c r="BU193" s="373"/>
      <c r="BV193" s="304"/>
      <c r="BW193" s="288"/>
      <c r="BX193" s="449" t="s">
        <v>1606</v>
      </c>
      <c r="BY193" s="449" t="s">
        <v>719</v>
      </c>
      <c r="BZ193" s="624"/>
      <c r="CA193" s="624"/>
      <c r="CB193" s="624"/>
      <c r="CC193" s="624"/>
      <c r="CD193" s="624"/>
      <c r="CE193" s="624"/>
      <c r="CF193" s="624"/>
      <c r="CG193" s="624"/>
      <c r="CH193" s="624"/>
    </row>
    <row r="194" spans="1:86" s="305" customFormat="1" ht="39" customHeight="1">
      <c r="A194" s="596"/>
      <c r="B194" s="348">
        <v>139</v>
      </c>
      <c r="C194" s="348"/>
      <c r="D194" s="726" t="s">
        <v>1244</v>
      </c>
      <c r="E194" s="349">
        <v>38718</v>
      </c>
      <c r="F194" s="358">
        <v>2006</v>
      </c>
      <c r="G194" s="288">
        <v>10</v>
      </c>
      <c r="H194" s="288"/>
      <c r="I194" s="288">
        <v>2006</v>
      </c>
      <c r="J194" s="288">
        <v>1</v>
      </c>
      <c r="K194" s="288" t="s">
        <v>1210</v>
      </c>
      <c r="L194" s="358" t="s">
        <v>1651</v>
      </c>
      <c r="M194" s="358" t="s">
        <v>1271</v>
      </c>
      <c r="N194" s="359" t="s">
        <v>1874</v>
      </c>
      <c r="O194" s="288" t="s">
        <v>1874</v>
      </c>
      <c r="P194" s="288" t="s">
        <v>1874</v>
      </c>
      <c r="Q194" s="360"/>
      <c r="R194" s="361"/>
      <c r="S194" s="294"/>
      <c r="T194" s="1058"/>
      <c r="U194" s="295"/>
      <c r="V194" s="295" t="s">
        <v>1242</v>
      </c>
      <c r="W194" s="362"/>
      <c r="X194" s="379"/>
      <c r="Y194" s="293"/>
      <c r="Z194" s="294"/>
      <c r="AA194" s="293"/>
      <c r="AB194" s="365">
        <f t="shared" si="34"/>
        <v>1</v>
      </c>
      <c r="AC194" s="364">
        <v>150000</v>
      </c>
      <c r="AD194" s="427"/>
      <c r="AE194" s="299"/>
      <c r="AF194" s="670"/>
      <c r="AG194" s="371">
        <f t="shared" si="26"/>
        <v>150000</v>
      </c>
      <c r="AH194" s="489"/>
      <c r="AI194" s="490"/>
      <c r="AJ194" s="490"/>
      <c r="AK194" s="367"/>
      <c r="AL194" s="363"/>
      <c r="AM194" s="368"/>
      <c r="AN194" s="368"/>
      <c r="AO194" s="368"/>
      <c r="AP194" s="368"/>
      <c r="AQ194" s="368"/>
      <c r="AR194" s="368"/>
      <c r="AS194" s="368"/>
      <c r="AT194" s="368"/>
      <c r="AU194" s="368"/>
      <c r="AV194" s="368"/>
      <c r="AW194" s="368"/>
      <c r="AX194" s="369"/>
      <c r="AY194" s="369"/>
      <c r="AZ194" s="448"/>
      <c r="BA194" s="364"/>
      <c r="BB194" s="299">
        <f t="shared" si="27"/>
        <v>150000</v>
      </c>
      <c r="BC194" s="370"/>
      <c r="BD194" s="371"/>
      <c r="BE194" s="491"/>
      <c r="BF194" s="352">
        <f>BB194+BD194+BC194</f>
        <v>150000</v>
      </c>
      <c r="BG194" s="451" t="str">
        <f t="shared" si="28"/>
        <v>N</v>
      </c>
      <c r="BH194" s="451"/>
      <c r="BI194" s="299"/>
      <c r="BJ194" s="698"/>
      <c r="BK194" s="698"/>
      <c r="BL194" s="695">
        <v>2099</v>
      </c>
      <c r="BM194" s="711"/>
      <c r="BN194" s="494"/>
      <c r="BO194" s="711"/>
      <c r="BP194" s="458"/>
      <c r="BQ194" s="711"/>
      <c r="BR194" s="494"/>
      <c r="BS194" s="494"/>
      <c r="BT194" s="494"/>
      <c r="BU194" s="494"/>
      <c r="BV194" s="304"/>
      <c r="BW194" s="288"/>
      <c r="BX194" s="359" t="s">
        <v>1606</v>
      </c>
      <c r="BY194" s="449" t="s">
        <v>720</v>
      </c>
      <c r="BZ194" s="624"/>
      <c r="CA194" s="624"/>
      <c r="CB194" s="624"/>
      <c r="CC194" s="624"/>
      <c r="CD194" s="624"/>
      <c r="CE194" s="624"/>
      <c r="CF194" s="624"/>
      <c r="CG194" s="624"/>
      <c r="CH194" s="624"/>
    </row>
    <row r="195" spans="1:86" s="305" customFormat="1" ht="39" customHeight="1">
      <c r="A195" s="596"/>
      <c r="B195" s="348">
        <v>139</v>
      </c>
      <c r="C195" s="348"/>
      <c r="D195" s="726" t="s">
        <v>245</v>
      </c>
      <c r="E195" s="349">
        <v>38718</v>
      </c>
      <c r="F195" s="358">
        <v>2006</v>
      </c>
      <c r="G195" s="288">
        <v>10</v>
      </c>
      <c r="H195" s="288"/>
      <c r="I195" s="288">
        <v>2006</v>
      </c>
      <c r="J195" s="288">
        <v>1</v>
      </c>
      <c r="K195" s="288" t="s">
        <v>1210</v>
      </c>
      <c r="L195" s="358" t="s">
        <v>1562</v>
      </c>
      <c r="M195" s="358" t="s">
        <v>1271</v>
      </c>
      <c r="N195" s="359" t="s">
        <v>1874</v>
      </c>
      <c r="O195" s="288" t="s">
        <v>1874</v>
      </c>
      <c r="P195" s="288" t="s">
        <v>1874</v>
      </c>
      <c r="Q195" s="360"/>
      <c r="R195" s="361"/>
      <c r="S195" s="294"/>
      <c r="T195" s="1058"/>
      <c r="U195" s="295"/>
      <c r="V195" s="295" t="s">
        <v>1242</v>
      </c>
      <c r="W195" s="362"/>
      <c r="X195" s="379"/>
      <c r="Y195" s="293"/>
      <c r="Z195" s="294"/>
      <c r="AA195" s="293"/>
      <c r="AB195" s="365">
        <f t="shared" si="34"/>
        <v>1</v>
      </c>
      <c r="AC195" s="364">
        <v>250000</v>
      </c>
      <c r="AD195" s="427"/>
      <c r="AE195" s="299"/>
      <c r="AF195" s="670"/>
      <c r="AG195" s="371">
        <f t="shared" si="26"/>
        <v>250000</v>
      </c>
      <c r="AH195" s="489"/>
      <c r="AI195" s="490"/>
      <c r="AJ195" s="490"/>
      <c r="AK195" s="367"/>
      <c r="AL195" s="363"/>
      <c r="AM195" s="368"/>
      <c r="AN195" s="368"/>
      <c r="AO195" s="368"/>
      <c r="AP195" s="368"/>
      <c r="AQ195" s="368"/>
      <c r="AR195" s="368"/>
      <c r="AS195" s="368"/>
      <c r="AT195" s="368"/>
      <c r="AU195" s="368"/>
      <c r="AV195" s="368"/>
      <c r="AW195" s="368"/>
      <c r="AX195" s="369"/>
      <c r="AY195" s="369"/>
      <c r="AZ195" s="448"/>
      <c r="BA195" s="364"/>
      <c r="BB195" s="299">
        <f t="shared" si="27"/>
        <v>250000</v>
      </c>
      <c r="BC195" s="370"/>
      <c r="BD195" s="371"/>
      <c r="BE195" s="491"/>
      <c r="BF195" s="352">
        <f>BB195+BD195+BC195</f>
        <v>250000</v>
      </c>
      <c r="BG195" s="451" t="str">
        <f t="shared" si="28"/>
        <v>N</v>
      </c>
      <c r="BH195" s="451"/>
      <c r="BI195" s="299"/>
      <c r="BJ195" s="698"/>
      <c r="BK195" s="698"/>
      <c r="BL195" s="695">
        <v>2099</v>
      </c>
      <c r="BM195" s="711"/>
      <c r="BN195" s="494"/>
      <c r="BO195" s="711"/>
      <c r="BP195" s="458"/>
      <c r="BQ195" s="711"/>
      <c r="BR195" s="494"/>
      <c r="BS195" s="494"/>
      <c r="BT195" s="494"/>
      <c r="BU195" s="494"/>
      <c r="BV195" s="304"/>
      <c r="BW195" s="288"/>
      <c r="BX195" s="359" t="s">
        <v>1606</v>
      </c>
      <c r="BY195" s="449" t="s">
        <v>721</v>
      </c>
      <c r="BZ195" s="624"/>
      <c r="CA195" s="624"/>
      <c r="CB195" s="624"/>
      <c r="CC195" s="624"/>
      <c r="CD195" s="624"/>
      <c r="CE195" s="624"/>
      <c r="CF195" s="624"/>
      <c r="CG195" s="624"/>
      <c r="CH195" s="624"/>
    </row>
    <row r="196" spans="1:86" s="305" customFormat="1" ht="39" customHeight="1">
      <c r="A196" s="596"/>
      <c r="B196" s="348">
        <v>139</v>
      </c>
      <c r="C196" s="348"/>
      <c r="D196" s="726" t="s">
        <v>246</v>
      </c>
      <c r="E196" s="349">
        <v>38718</v>
      </c>
      <c r="F196" s="358">
        <v>2006</v>
      </c>
      <c r="G196" s="288">
        <v>10</v>
      </c>
      <c r="H196" s="288"/>
      <c r="I196" s="288">
        <v>2006</v>
      </c>
      <c r="J196" s="288">
        <v>1</v>
      </c>
      <c r="K196" s="288" t="s">
        <v>1210</v>
      </c>
      <c r="L196" s="358" t="s">
        <v>722</v>
      </c>
      <c r="M196" s="358" t="s">
        <v>1271</v>
      </c>
      <c r="N196" s="359" t="s">
        <v>1874</v>
      </c>
      <c r="O196" s="288" t="s">
        <v>1874</v>
      </c>
      <c r="P196" s="288" t="s">
        <v>1874</v>
      </c>
      <c r="Q196" s="360"/>
      <c r="R196" s="361"/>
      <c r="S196" s="294"/>
      <c r="T196" s="1058" t="s">
        <v>247</v>
      </c>
      <c r="U196" s="295"/>
      <c r="V196" s="295" t="s">
        <v>1242</v>
      </c>
      <c r="W196" s="362"/>
      <c r="X196" s="379"/>
      <c r="Y196" s="293"/>
      <c r="Z196" s="294"/>
      <c r="AA196" s="293"/>
      <c r="AB196" s="365">
        <f t="shared" si="34"/>
        <v>1</v>
      </c>
      <c r="AC196" s="364">
        <v>400000</v>
      </c>
      <c r="AD196" s="427"/>
      <c r="AE196" s="299"/>
      <c r="AF196" s="670"/>
      <c r="AG196" s="371">
        <f t="shared" ref="AG196:AG246" si="35">AC196+AD196+AE196</f>
        <v>400000</v>
      </c>
      <c r="AH196" s="489"/>
      <c r="AI196" s="490"/>
      <c r="AJ196" s="490"/>
      <c r="AK196" s="367"/>
      <c r="AL196" s="363"/>
      <c r="AM196" s="368"/>
      <c r="AN196" s="368"/>
      <c r="AO196" s="368"/>
      <c r="AP196" s="368"/>
      <c r="AQ196" s="368"/>
      <c r="AR196" s="368"/>
      <c r="AS196" s="368"/>
      <c r="AT196" s="368"/>
      <c r="AU196" s="368"/>
      <c r="AV196" s="368"/>
      <c r="AW196" s="368"/>
      <c r="AX196" s="369"/>
      <c r="AY196" s="369"/>
      <c r="AZ196" s="448"/>
      <c r="BA196" s="364"/>
      <c r="BB196" s="299">
        <f t="shared" si="27"/>
        <v>400000</v>
      </c>
      <c r="BC196" s="370"/>
      <c r="BD196" s="371"/>
      <c r="BE196" s="491"/>
      <c r="BF196" s="352">
        <f>AE196+AC196+AZ196+BA196</f>
        <v>400000</v>
      </c>
      <c r="BG196" s="451" t="str">
        <f t="shared" si="28"/>
        <v>N</v>
      </c>
      <c r="BH196" s="451"/>
      <c r="BI196" s="299"/>
      <c r="BJ196" s="698"/>
      <c r="BK196" s="698"/>
      <c r="BL196" s="303">
        <v>2099</v>
      </c>
      <c r="BM196" s="706"/>
      <c r="BN196" s="373"/>
      <c r="BO196" s="706"/>
      <c r="BP196" s="716"/>
      <c r="BQ196" s="706"/>
      <c r="BR196" s="373"/>
      <c r="BS196" s="373"/>
      <c r="BT196" s="373"/>
      <c r="BU196" s="373"/>
      <c r="BV196" s="304"/>
      <c r="BW196" s="288"/>
      <c r="BX196" s="359" t="s">
        <v>1606</v>
      </c>
      <c r="BY196" s="449" t="s">
        <v>1795</v>
      </c>
      <c r="BZ196" s="624"/>
      <c r="CA196" s="624"/>
      <c r="CB196" s="624"/>
      <c r="CC196" s="624"/>
      <c r="CD196" s="624"/>
      <c r="CE196" s="624"/>
      <c r="CF196" s="624"/>
      <c r="CG196" s="624"/>
      <c r="CH196" s="624"/>
    </row>
    <row r="197" spans="1:86" s="305" customFormat="1" ht="39" customHeight="1">
      <c r="A197" s="276"/>
      <c r="B197" s="348">
        <v>140</v>
      </c>
      <c r="C197" s="348"/>
      <c r="D197" s="726" t="s">
        <v>1796</v>
      </c>
      <c r="E197" s="349">
        <v>38777</v>
      </c>
      <c r="F197" s="358">
        <v>2006</v>
      </c>
      <c r="G197" s="288">
        <v>11</v>
      </c>
      <c r="H197" s="288"/>
      <c r="I197" s="358">
        <v>2006</v>
      </c>
      <c r="J197" s="358">
        <v>2</v>
      </c>
      <c r="K197" s="288" t="s">
        <v>1210</v>
      </c>
      <c r="L197" s="288" t="s">
        <v>1605</v>
      </c>
      <c r="M197" s="358" t="s">
        <v>1271</v>
      </c>
      <c r="N197" s="359" t="s">
        <v>1874</v>
      </c>
      <c r="O197" s="288" t="s">
        <v>1874</v>
      </c>
      <c r="P197" s="288" t="s">
        <v>1874</v>
      </c>
      <c r="Q197" s="375"/>
      <c r="R197" s="361" t="s">
        <v>362</v>
      </c>
      <c r="S197" s="294" t="s">
        <v>363</v>
      </c>
      <c r="T197" s="1058">
        <v>10500000</v>
      </c>
      <c r="U197" s="295"/>
      <c r="V197" s="295" t="s">
        <v>1797</v>
      </c>
      <c r="W197" s="392"/>
      <c r="X197" s="393"/>
      <c r="Y197" s="293">
        <v>329000</v>
      </c>
      <c r="Z197" s="780"/>
      <c r="AA197" s="293"/>
      <c r="AB197" s="365">
        <f t="shared" si="34"/>
        <v>1</v>
      </c>
      <c r="AC197" s="387">
        <v>150000</v>
      </c>
      <c r="AD197" s="587"/>
      <c r="AE197" s="298"/>
      <c r="AF197" s="677"/>
      <c r="AG197" s="371">
        <f t="shared" si="35"/>
        <v>150000</v>
      </c>
      <c r="AH197" s="502"/>
      <c r="AI197" s="503"/>
      <c r="AJ197" s="503"/>
      <c r="AK197" s="388"/>
      <c r="AL197" s="389"/>
      <c r="AM197" s="302"/>
      <c r="AN197" s="302"/>
      <c r="AO197" s="302"/>
      <c r="AP197" s="302"/>
      <c r="AQ197" s="302"/>
      <c r="AR197" s="302"/>
      <c r="AS197" s="302"/>
      <c r="AT197" s="302"/>
      <c r="AU197" s="302"/>
      <c r="AV197" s="302"/>
      <c r="AW197" s="302"/>
      <c r="AX197" s="390"/>
      <c r="AY197" s="390"/>
      <c r="AZ197" s="385"/>
      <c r="BA197" s="387"/>
      <c r="BB197" s="299">
        <f t="shared" si="27"/>
        <v>150000</v>
      </c>
      <c r="BC197" s="394"/>
      <c r="BD197" s="395"/>
      <c r="BE197" s="501"/>
      <c r="BF197" s="352">
        <f t="shared" ref="BF197:BF202" si="36">BB197+BD197+BC197</f>
        <v>150000</v>
      </c>
      <c r="BG197" s="451" t="str">
        <f t="shared" si="28"/>
        <v>N</v>
      </c>
      <c r="BH197" s="451"/>
      <c r="BI197" s="299"/>
      <c r="BJ197" s="698"/>
      <c r="BK197" s="698"/>
      <c r="BL197" s="303">
        <v>2099</v>
      </c>
      <c r="BM197" s="706"/>
      <c r="BN197" s="373"/>
      <c r="BO197" s="706"/>
      <c r="BP197" s="716"/>
      <c r="BQ197" s="706"/>
      <c r="BR197" s="373"/>
      <c r="BS197" s="373"/>
      <c r="BT197" s="373"/>
      <c r="BU197" s="373"/>
      <c r="BV197" s="304"/>
      <c r="BW197" s="288"/>
      <c r="BX197" s="290" t="s">
        <v>723</v>
      </c>
      <c r="BY197" s="449" t="s">
        <v>701</v>
      </c>
      <c r="BZ197" s="624"/>
      <c r="CA197" s="624"/>
      <c r="CB197" s="624"/>
      <c r="CC197" s="624"/>
      <c r="CD197" s="624"/>
      <c r="CE197" s="624"/>
      <c r="CF197" s="624"/>
      <c r="CG197" s="624"/>
      <c r="CH197" s="624"/>
    </row>
    <row r="198" spans="1:86" s="305" customFormat="1" ht="39" customHeight="1">
      <c r="A198" s="276"/>
      <c r="B198" s="348">
        <v>141</v>
      </c>
      <c r="C198" s="348"/>
      <c r="D198" s="726" t="s">
        <v>1240</v>
      </c>
      <c r="E198" s="349">
        <v>38777</v>
      </c>
      <c r="F198" s="358">
        <v>2006</v>
      </c>
      <c r="G198" s="288">
        <v>12</v>
      </c>
      <c r="H198" s="288"/>
      <c r="I198" s="358">
        <v>2006</v>
      </c>
      <c r="J198" s="288">
        <v>3</v>
      </c>
      <c r="K198" s="358" t="s">
        <v>570</v>
      </c>
      <c r="L198" s="300" t="s">
        <v>1005</v>
      </c>
      <c r="M198" s="300" t="s">
        <v>1273</v>
      </c>
      <c r="N198" s="449" t="s">
        <v>1940</v>
      </c>
      <c r="O198" s="300" t="s">
        <v>1940</v>
      </c>
      <c r="P198" s="300" t="s">
        <v>1940</v>
      </c>
      <c r="Q198" s="512"/>
      <c r="R198" s="513" t="s">
        <v>362</v>
      </c>
      <c r="S198" s="319" t="s">
        <v>1239</v>
      </c>
      <c r="T198" s="1062"/>
      <c r="U198" s="514"/>
      <c r="V198" s="514" t="s">
        <v>1241</v>
      </c>
      <c r="W198" s="517"/>
      <c r="X198" s="518"/>
      <c r="Y198" s="515">
        <f>SUM(25000+350000+80000)</f>
        <v>455000</v>
      </c>
      <c r="Z198" s="781"/>
      <c r="AA198" s="515"/>
      <c r="AB198" s="365">
        <f t="shared" si="34"/>
        <v>1</v>
      </c>
      <c r="AC198" s="519">
        <v>88443</v>
      </c>
      <c r="AD198" s="587">
        <v>100000</v>
      </c>
      <c r="AE198" s="520"/>
      <c r="AF198" s="683"/>
      <c r="AG198" s="371">
        <f t="shared" si="35"/>
        <v>188443</v>
      </c>
      <c r="AH198" s="521"/>
      <c r="AI198" s="522"/>
      <c r="AJ198" s="522"/>
      <c r="AK198" s="523"/>
      <c r="AL198" s="524"/>
      <c r="AM198" s="525"/>
      <c r="AN198" s="525"/>
      <c r="AO198" s="525"/>
      <c r="AP198" s="525"/>
      <c r="AQ198" s="525"/>
      <c r="AR198" s="525"/>
      <c r="AS198" s="525"/>
      <c r="AT198" s="525"/>
      <c r="AU198" s="525"/>
      <c r="AV198" s="525"/>
      <c r="AW198" s="525"/>
      <c r="AX198" s="526"/>
      <c r="AY198" s="526"/>
      <c r="AZ198" s="527"/>
      <c r="BA198" s="528"/>
      <c r="BB198" s="299">
        <f t="shared" ref="BB198:BB259" si="37">AG198+AZ198+BA198</f>
        <v>188443</v>
      </c>
      <c r="BC198" s="529"/>
      <c r="BD198" s="530"/>
      <c r="BE198" s="531">
        <v>455000</v>
      </c>
      <c r="BF198" s="352">
        <f t="shared" si="36"/>
        <v>188443</v>
      </c>
      <c r="BG198" s="451" t="str">
        <f t="shared" si="28"/>
        <v>Y</v>
      </c>
      <c r="BH198" s="451"/>
      <c r="BI198" s="299"/>
      <c r="BJ198" s="698"/>
      <c r="BK198" s="698"/>
      <c r="BL198" s="300">
        <v>2689</v>
      </c>
      <c r="BM198" s="707"/>
      <c r="BN198" s="391"/>
      <c r="BO198" s="707"/>
      <c r="BP198" s="717"/>
      <c r="BQ198" s="707"/>
      <c r="BR198" s="391"/>
      <c r="BS198" s="391"/>
      <c r="BT198" s="391"/>
      <c r="BU198" s="391"/>
      <c r="BV198" s="304"/>
      <c r="BW198" s="288"/>
      <c r="BX198" s="449" t="s">
        <v>724</v>
      </c>
      <c r="BY198" s="449" t="s">
        <v>726</v>
      </c>
      <c r="BZ198" s="624"/>
      <c r="CA198" s="624"/>
      <c r="CB198" s="624"/>
      <c r="CC198" s="624"/>
      <c r="CD198" s="624"/>
      <c r="CE198" s="624"/>
      <c r="CF198" s="624"/>
      <c r="CG198" s="624"/>
      <c r="CH198" s="624"/>
    </row>
    <row r="199" spans="1:86" s="305" customFormat="1" ht="39" customHeight="1">
      <c r="A199" s="594" t="s">
        <v>1794</v>
      </c>
      <c r="B199" s="348">
        <v>142</v>
      </c>
      <c r="C199" s="348"/>
      <c r="D199" s="726" t="s">
        <v>270</v>
      </c>
      <c r="E199" s="532">
        <v>38749</v>
      </c>
      <c r="F199" s="358">
        <v>2006</v>
      </c>
      <c r="G199" s="288">
        <v>13</v>
      </c>
      <c r="H199" s="288"/>
      <c r="I199" s="358">
        <v>2006</v>
      </c>
      <c r="J199" s="358">
        <v>4</v>
      </c>
      <c r="K199" s="288" t="s">
        <v>570</v>
      </c>
      <c r="L199" s="300" t="s">
        <v>727</v>
      </c>
      <c r="M199" s="300" t="s">
        <v>1271</v>
      </c>
      <c r="N199" s="449" t="s">
        <v>1877</v>
      </c>
      <c r="O199" s="300" t="s">
        <v>1337</v>
      </c>
      <c r="P199" s="300" t="s">
        <v>1337</v>
      </c>
      <c r="Q199" s="512"/>
      <c r="R199" s="361" t="s">
        <v>362</v>
      </c>
      <c r="S199" s="294" t="s">
        <v>363</v>
      </c>
      <c r="T199" s="1062">
        <v>485000</v>
      </c>
      <c r="U199" s="514"/>
      <c r="V199" s="514" t="s">
        <v>1793</v>
      </c>
      <c r="W199" s="517"/>
      <c r="X199" s="518"/>
      <c r="Y199" s="515">
        <v>8400</v>
      </c>
      <c r="Z199" s="781"/>
      <c r="AA199" s="515"/>
      <c r="AB199" s="365">
        <f t="shared" si="34"/>
        <v>1</v>
      </c>
      <c r="AC199" s="519">
        <v>50000</v>
      </c>
      <c r="AD199" s="1049"/>
      <c r="AE199" s="520"/>
      <c r="AF199" s="683"/>
      <c r="AG199" s="371">
        <f t="shared" si="35"/>
        <v>50000</v>
      </c>
      <c r="AH199" s="521"/>
      <c r="AI199" s="522"/>
      <c r="AJ199" s="522"/>
      <c r="AK199" s="523"/>
      <c r="AL199" s="524"/>
      <c r="AM199" s="525"/>
      <c r="AN199" s="525"/>
      <c r="AO199" s="525"/>
      <c r="AP199" s="525"/>
      <c r="AQ199" s="525"/>
      <c r="AR199" s="525"/>
      <c r="AS199" s="525"/>
      <c r="AT199" s="525"/>
      <c r="AU199" s="525"/>
      <c r="AV199" s="525"/>
      <c r="AW199" s="525"/>
      <c r="AX199" s="526"/>
      <c r="AY199" s="526"/>
      <c r="AZ199" s="527"/>
      <c r="BA199" s="528"/>
      <c r="BB199" s="299">
        <f t="shared" si="37"/>
        <v>50000</v>
      </c>
      <c r="BC199" s="529"/>
      <c r="BD199" s="530"/>
      <c r="BE199" s="531">
        <v>8400</v>
      </c>
      <c r="BF199" s="352">
        <f t="shared" si="36"/>
        <v>50000</v>
      </c>
      <c r="BG199" s="451" t="str">
        <f t="shared" si="28"/>
        <v>N</v>
      </c>
      <c r="BH199" s="451"/>
      <c r="BI199" s="299"/>
      <c r="BJ199" s="698"/>
      <c r="BK199" s="698"/>
      <c r="BL199" s="300">
        <v>2799</v>
      </c>
      <c r="BM199" s="707"/>
      <c r="BN199" s="391"/>
      <c r="BO199" s="707"/>
      <c r="BP199" s="717"/>
      <c r="BQ199" s="707"/>
      <c r="BR199" s="391"/>
      <c r="BS199" s="391"/>
      <c r="BT199" s="391"/>
      <c r="BU199" s="391"/>
      <c r="BV199" s="304"/>
      <c r="BW199" s="288"/>
      <c r="BX199" s="449" t="s">
        <v>728</v>
      </c>
      <c r="BY199" s="286" t="s">
        <v>2025</v>
      </c>
      <c r="BZ199" s="624"/>
      <c r="CA199" s="624"/>
      <c r="CB199" s="624"/>
      <c r="CC199" s="624"/>
      <c r="CD199" s="624"/>
      <c r="CE199" s="624"/>
      <c r="CF199" s="624"/>
      <c r="CG199" s="624"/>
      <c r="CH199" s="624"/>
    </row>
    <row r="200" spans="1:86" s="305" customFormat="1" ht="39" customHeight="1">
      <c r="A200" s="594" t="s">
        <v>1792</v>
      </c>
      <c r="B200" s="348">
        <v>143</v>
      </c>
      <c r="C200" s="348"/>
      <c r="D200" s="726" t="s">
        <v>1791</v>
      </c>
      <c r="E200" s="532">
        <v>38749</v>
      </c>
      <c r="F200" s="358">
        <v>2006</v>
      </c>
      <c r="G200" s="288">
        <v>14</v>
      </c>
      <c r="H200" s="288"/>
      <c r="I200" s="358">
        <v>2006</v>
      </c>
      <c r="J200" s="288">
        <v>5</v>
      </c>
      <c r="K200" s="288" t="s">
        <v>570</v>
      </c>
      <c r="L200" s="300" t="s">
        <v>2026</v>
      </c>
      <c r="M200" s="300" t="s">
        <v>1271</v>
      </c>
      <c r="N200" s="449" t="s">
        <v>1967</v>
      </c>
      <c r="O200" s="288" t="s">
        <v>643</v>
      </c>
      <c r="P200" s="300" t="s">
        <v>1206</v>
      </c>
      <c r="Q200" s="512"/>
      <c r="R200" s="361" t="s">
        <v>362</v>
      </c>
      <c r="S200" s="294" t="s">
        <v>363</v>
      </c>
      <c r="T200" s="1062">
        <v>2000000</v>
      </c>
      <c r="U200" s="514"/>
      <c r="V200" s="514" t="s">
        <v>1790</v>
      </c>
      <c r="W200" s="517"/>
      <c r="X200" s="518"/>
      <c r="Y200" s="515">
        <v>8000</v>
      </c>
      <c r="Z200" s="781"/>
      <c r="AA200" s="515"/>
      <c r="AB200" s="365">
        <f t="shared" si="34"/>
        <v>1</v>
      </c>
      <c r="AC200" s="519">
        <v>50000</v>
      </c>
      <c r="AD200" s="1049"/>
      <c r="AE200" s="520">
        <v>5000</v>
      </c>
      <c r="AF200" s="683"/>
      <c r="AG200" s="371">
        <f t="shared" si="35"/>
        <v>55000</v>
      </c>
      <c r="AH200" s="521"/>
      <c r="AI200" s="522"/>
      <c r="AJ200" s="522"/>
      <c r="AK200" s="523"/>
      <c r="AL200" s="524"/>
      <c r="AM200" s="525"/>
      <c r="AN200" s="525"/>
      <c r="AO200" s="525"/>
      <c r="AP200" s="525"/>
      <c r="AQ200" s="525"/>
      <c r="AR200" s="525"/>
      <c r="AS200" s="525"/>
      <c r="AT200" s="525"/>
      <c r="AU200" s="525"/>
      <c r="AV200" s="525"/>
      <c r="AW200" s="525"/>
      <c r="AX200" s="526"/>
      <c r="AY200" s="526"/>
      <c r="AZ200" s="527"/>
      <c r="BA200" s="528"/>
      <c r="BB200" s="299">
        <f t="shared" si="37"/>
        <v>55000</v>
      </c>
      <c r="BC200" s="529"/>
      <c r="BD200" s="530"/>
      <c r="BE200" s="531">
        <v>8000</v>
      </c>
      <c r="BF200" s="352">
        <f t="shared" si="36"/>
        <v>55000</v>
      </c>
      <c r="BG200" s="451" t="str">
        <f t="shared" si="28"/>
        <v>Y</v>
      </c>
      <c r="BH200" s="451"/>
      <c r="BI200" s="299"/>
      <c r="BJ200" s="698"/>
      <c r="BK200" s="698"/>
      <c r="BL200" s="300">
        <v>2032</v>
      </c>
      <c r="BM200" s="707"/>
      <c r="BN200" s="391"/>
      <c r="BO200" s="707"/>
      <c r="BP200" s="717"/>
      <c r="BQ200" s="707"/>
      <c r="BR200" s="391"/>
      <c r="BS200" s="391"/>
      <c r="BT200" s="391"/>
      <c r="BU200" s="391"/>
      <c r="BV200" s="304"/>
      <c r="BW200" s="288"/>
      <c r="BX200" s="449" t="s">
        <v>748</v>
      </c>
      <c r="BY200" s="286" t="s">
        <v>415</v>
      </c>
      <c r="BZ200" s="624"/>
      <c r="CA200" s="624"/>
      <c r="CB200" s="624"/>
      <c r="CC200" s="624"/>
      <c r="CD200" s="624"/>
      <c r="CE200" s="624"/>
      <c r="CF200" s="624"/>
      <c r="CG200" s="624"/>
      <c r="CH200" s="624"/>
    </row>
    <row r="201" spans="1:86" s="305" customFormat="1" ht="39" customHeight="1">
      <c r="A201" s="276"/>
      <c r="B201" s="348">
        <v>144</v>
      </c>
      <c r="C201" s="348"/>
      <c r="D201" s="726" t="s">
        <v>1789</v>
      </c>
      <c r="E201" s="349">
        <v>38838</v>
      </c>
      <c r="F201" s="358">
        <v>2006</v>
      </c>
      <c r="G201" s="288">
        <v>15</v>
      </c>
      <c r="H201" s="288"/>
      <c r="I201" s="358">
        <v>2006</v>
      </c>
      <c r="J201" s="358">
        <v>6</v>
      </c>
      <c r="K201" s="288" t="s">
        <v>1210</v>
      </c>
      <c r="L201" s="288" t="s">
        <v>416</v>
      </c>
      <c r="M201" s="288" t="s">
        <v>1963</v>
      </c>
      <c r="N201" s="290" t="s">
        <v>1639</v>
      </c>
      <c r="O201" s="288" t="s">
        <v>1276</v>
      </c>
      <c r="P201" s="288" t="s">
        <v>1276</v>
      </c>
      <c r="Q201" s="375"/>
      <c r="R201" s="361"/>
      <c r="S201" s="294"/>
      <c r="T201" s="1058"/>
      <c r="U201" s="295"/>
      <c r="V201" s="295"/>
      <c r="W201" s="392"/>
      <c r="X201" s="533"/>
      <c r="Y201" s="293"/>
      <c r="Z201" s="294"/>
      <c r="AA201" s="293"/>
      <c r="AB201" s="365"/>
      <c r="AC201" s="534"/>
      <c r="AD201" s="565"/>
      <c r="AE201" s="535"/>
      <c r="AF201" s="684"/>
      <c r="AG201" s="371">
        <f t="shared" si="35"/>
        <v>0</v>
      </c>
      <c r="AH201" s="502">
        <v>1</v>
      </c>
      <c r="AI201" s="503"/>
      <c r="AJ201" s="503"/>
      <c r="AK201" s="388"/>
      <c r="AL201" s="389"/>
      <c r="AM201" s="301"/>
      <c r="AN201" s="301"/>
      <c r="AO201" s="301"/>
      <c r="AP201" s="301"/>
      <c r="AQ201" s="301"/>
      <c r="AR201" s="301"/>
      <c r="AS201" s="301"/>
      <c r="AT201" s="301"/>
      <c r="AU201" s="301"/>
      <c r="AV201" s="301"/>
      <c r="AW201" s="301"/>
      <c r="AX201" s="536"/>
      <c r="AY201" s="536"/>
      <c r="AZ201" s="537"/>
      <c r="BA201" s="534">
        <v>5000</v>
      </c>
      <c r="BB201" s="299">
        <f t="shared" si="37"/>
        <v>5000</v>
      </c>
      <c r="BC201" s="538"/>
      <c r="BD201" s="539"/>
      <c r="BE201" s="540"/>
      <c r="BF201" s="352">
        <f t="shared" si="36"/>
        <v>5000</v>
      </c>
      <c r="BG201" s="451" t="str">
        <f t="shared" ref="BG201:BG264" si="38">IF(OR(BL201=2799,BL201=2099),"N","Y")</f>
        <v>N</v>
      </c>
      <c r="BH201" s="451"/>
      <c r="BI201" s="299"/>
      <c r="BJ201" s="698"/>
      <c r="BK201" s="698"/>
      <c r="BL201" s="303">
        <v>2799</v>
      </c>
      <c r="BM201" s="706"/>
      <c r="BN201" s="373"/>
      <c r="BO201" s="706"/>
      <c r="BP201" s="716"/>
      <c r="BQ201" s="706"/>
      <c r="BR201" s="373"/>
      <c r="BS201" s="373"/>
      <c r="BT201" s="373"/>
      <c r="BU201" s="373"/>
      <c r="BV201" s="318"/>
      <c r="BW201" s="358"/>
      <c r="BX201" s="290" t="s">
        <v>417</v>
      </c>
      <c r="BY201" s="449" t="s">
        <v>418</v>
      </c>
      <c r="BZ201" s="624"/>
      <c r="CA201" s="624"/>
      <c r="CB201" s="624"/>
      <c r="CC201" s="624"/>
      <c r="CD201" s="624"/>
      <c r="CE201" s="624"/>
      <c r="CF201" s="624"/>
      <c r="CG201" s="624"/>
      <c r="CH201" s="624"/>
    </row>
    <row r="202" spans="1:86" s="305" customFormat="1" ht="39" customHeight="1">
      <c r="A202" s="276"/>
      <c r="B202" s="348">
        <v>145</v>
      </c>
      <c r="C202" s="348"/>
      <c r="D202" s="726" t="s">
        <v>1800</v>
      </c>
      <c r="E202" s="349">
        <v>38808</v>
      </c>
      <c r="F202" s="358">
        <v>2006</v>
      </c>
      <c r="G202" s="288">
        <v>16</v>
      </c>
      <c r="H202" s="288"/>
      <c r="I202" s="358">
        <v>2006</v>
      </c>
      <c r="J202" s="288">
        <v>7</v>
      </c>
      <c r="K202" s="288" t="s">
        <v>1210</v>
      </c>
      <c r="L202" s="288" t="s">
        <v>1873</v>
      </c>
      <c r="M202" s="358" t="s">
        <v>1271</v>
      </c>
      <c r="N202" s="359" t="s">
        <v>1874</v>
      </c>
      <c r="O202" s="288" t="s">
        <v>1874</v>
      </c>
      <c r="P202" s="288" t="s">
        <v>1874</v>
      </c>
      <c r="Q202" s="375"/>
      <c r="R202" s="361" t="s">
        <v>362</v>
      </c>
      <c r="S202" s="294" t="s">
        <v>363</v>
      </c>
      <c r="T202" s="1058">
        <v>1129750</v>
      </c>
      <c r="U202" s="295"/>
      <c r="V202" s="295" t="s">
        <v>1788</v>
      </c>
      <c r="W202" s="392"/>
      <c r="X202" s="533"/>
      <c r="Y202" s="293">
        <v>36341</v>
      </c>
      <c r="Z202" s="780"/>
      <c r="AA202" s="293"/>
      <c r="AB202" s="365">
        <f>COUNTIF(AC202, "&gt;49999")</f>
        <v>1</v>
      </c>
      <c r="AC202" s="534">
        <v>94461</v>
      </c>
      <c r="AD202" s="565"/>
      <c r="AE202" s="535"/>
      <c r="AF202" s="684"/>
      <c r="AG202" s="371">
        <f t="shared" si="35"/>
        <v>94461</v>
      </c>
      <c r="AH202" s="502"/>
      <c r="AI202" s="503"/>
      <c r="AJ202" s="503"/>
      <c r="AK202" s="388"/>
      <c r="AL202" s="389"/>
      <c r="AM202" s="301"/>
      <c r="AN202" s="301"/>
      <c r="AO202" s="301"/>
      <c r="AP202" s="301"/>
      <c r="AQ202" s="301"/>
      <c r="AR202" s="301"/>
      <c r="AS202" s="301"/>
      <c r="AT202" s="301"/>
      <c r="AU202" s="301"/>
      <c r="AV202" s="301"/>
      <c r="AW202" s="301"/>
      <c r="AX202" s="536"/>
      <c r="AY202" s="536"/>
      <c r="AZ202" s="537"/>
      <c r="BA202" s="534"/>
      <c r="BB202" s="299">
        <f t="shared" si="37"/>
        <v>94461</v>
      </c>
      <c r="BC202" s="538"/>
      <c r="BD202" s="539"/>
      <c r="BE202" s="540"/>
      <c r="BF202" s="352">
        <f t="shared" si="36"/>
        <v>94461</v>
      </c>
      <c r="BG202" s="451" t="str">
        <f t="shared" si="38"/>
        <v>N</v>
      </c>
      <c r="BH202" s="451"/>
      <c r="BI202" s="299"/>
      <c r="BJ202" s="698"/>
      <c r="BK202" s="698"/>
      <c r="BL202" s="303">
        <v>2099</v>
      </c>
      <c r="BM202" s="706"/>
      <c r="BN202" s="373"/>
      <c r="BO202" s="706"/>
      <c r="BP202" s="716"/>
      <c r="BQ202" s="706"/>
      <c r="BR202" s="373"/>
      <c r="BS202" s="373"/>
      <c r="BT202" s="373"/>
      <c r="BU202" s="373"/>
      <c r="BV202" s="304"/>
      <c r="BW202" s="288"/>
      <c r="BX202" s="290"/>
      <c r="BY202" s="449" t="s">
        <v>419</v>
      </c>
      <c r="BZ202" s="624"/>
      <c r="CA202" s="624"/>
      <c r="CB202" s="624"/>
      <c r="CC202" s="624"/>
      <c r="CD202" s="624"/>
      <c r="CE202" s="624"/>
      <c r="CF202" s="624"/>
      <c r="CG202" s="624"/>
      <c r="CH202" s="624"/>
    </row>
    <row r="203" spans="1:86" s="305" customFormat="1" ht="39" customHeight="1">
      <c r="A203" s="276"/>
      <c r="B203" s="348">
        <v>146</v>
      </c>
      <c r="C203" s="348"/>
      <c r="D203" s="726" t="s">
        <v>268</v>
      </c>
      <c r="E203" s="349">
        <v>38808</v>
      </c>
      <c r="F203" s="358">
        <v>2006</v>
      </c>
      <c r="G203" s="288">
        <v>17</v>
      </c>
      <c r="H203" s="288"/>
      <c r="I203" s="358">
        <v>2006</v>
      </c>
      <c r="J203" s="288">
        <v>8</v>
      </c>
      <c r="K203" s="288" t="s">
        <v>1210</v>
      </c>
      <c r="L203" s="288" t="s">
        <v>420</v>
      </c>
      <c r="M203" s="358" t="s">
        <v>1271</v>
      </c>
      <c r="N203" s="359" t="s">
        <v>1874</v>
      </c>
      <c r="O203" s="288" t="s">
        <v>1874</v>
      </c>
      <c r="P203" s="288" t="s">
        <v>1874</v>
      </c>
      <c r="Q203" s="375"/>
      <c r="R203" s="361" t="s">
        <v>362</v>
      </c>
      <c r="S203" s="294" t="s">
        <v>365</v>
      </c>
      <c r="T203" s="1058"/>
      <c r="U203" s="295"/>
      <c r="V203" s="295"/>
      <c r="W203" s="392"/>
      <c r="X203" s="533"/>
      <c r="Y203" s="293"/>
      <c r="Z203" s="294"/>
      <c r="AA203" s="293"/>
      <c r="AB203" s="365">
        <v>1</v>
      </c>
      <c r="AC203" s="534"/>
      <c r="AD203" s="565">
        <v>250000</v>
      </c>
      <c r="AE203" s="535"/>
      <c r="AF203" s="684"/>
      <c r="AG203" s="371">
        <f t="shared" si="35"/>
        <v>250000</v>
      </c>
      <c r="AH203" s="502"/>
      <c r="AI203" s="503"/>
      <c r="AJ203" s="503"/>
      <c r="AK203" s="388"/>
      <c r="AL203" s="389"/>
      <c r="AM203" s="301"/>
      <c r="AN203" s="301"/>
      <c r="AO203" s="301"/>
      <c r="AP203" s="301"/>
      <c r="AQ203" s="301"/>
      <c r="AR203" s="301"/>
      <c r="AS203" s="301"/>
      <c r="AT203" s="301"/>
      <c r="AU203" s="301"/>
      <c r="AV203" s="301"/>
      <c r="AW203" s="301"/>
      <c r="AX203" s="536"/>
      <c r="AY203" s="536"/>
      <c r="AZ203" s="537"/>
      <c r="BA203" s="534"/>
      <c r="BB203" s="299">
        <f t="shared" si="37"/>
        <v>250000</v>
      </c>
      <c r="BC203" s="538"/>
      <c r="BD203" s="539"/>
      <c r="BE203" s="540"/>
      <c r="BF203" s="352">
        <f>BB203+BC203+BD203</f>
        <v>250000</v>
      </c>
      <c r="BG203" s="451" t="str">
        <f t="shared" si="38"/>
        <v>N</v>
      </c>
      <c r="BH203" s="451"/>
      <c r="BI203" s="299"/>
      <c r="BJ203" s="698"/>
      <c r="BK203" s="698"/>
      <c r="BL203" s="303">
        <v>2099</v>
      </c>
      <c r="BM203" s="706"/>
      <c r="BN203" s="373"/>
      <c r="BO203" s="706"/>
      <c r="BP203" s="716"/>
      <c r="BQ203" s="706"/>
      <c r="BR203" s="373"/>
      <c r="BS203" s="373"/>
      <c r="BT203" s="373"/>
      <c r="BU203" s="373"/>
      <c r="BV203" s="304"/>
      <c r="BW203" s="288"/>
      <c r="BX203" s="290"/>
      <c r="BY203" s="449" t="s">
        <v>421</v>
      </c>
      <c r="BZ203" s="624"/>
      <c r="CA203" s="624"/>
      <c r="CB203" s="624"/>
      <c r="CC203" s="624"/>
      <c r="CD203" s="624"/>
      <c r="CE203" s="624"/>
      <c r="CF203" s="624"/>
      <c r="CG203" s="624"/>
      <c r="CH203" s="624"/>
    </row>
    <row r="204" spans="1:86" s="305" customFormat="1" ht="39" customHeight="1">
      <c r="A204" s="275"/>
      <c r="B204" s="355">
        <v>147</v>
      </c>
      <c r="C204" s="355"/>
      <c r="D204" s="726" t="s">
        <v>269</v>
      </c>
      <c r="E204" s="356">
        <v>38808</v>
      </c>
      <c r="F204" s="358">
        <v>2006</v>
      </c>
      <c r="G204" s="358">
        <v>18</v>
      </c>
      <c r="H204" s="358"/>
      <c r="I204" s="358">
        <v>2006</v>
      </c>
      <c r="J204" s="358">
        <v>9</v>
      </c>
      <c r="K204" s="358" t="s">
        <v>570</v>
      </c>
      <c r="L204" s="358" t="s">
        <v>422</v>
      </c>
      <c r="M204" s="358" t="s">
        <v>1273</v>
      </c>
      <c r="N204" s="359" t="s">
        <v>1673</v>
      </c>
      <c r="O204" s="358" t="s">
        <v>1673</v>
      </c>
      <c r="P204" s="358" t="s">
        <v>1673</v>
      </c>
      <c r="Q204" s="360"/>
      <c r="R204" s="361"/>
      <c r="S204" s="294"/>
      <c r="T204" s="1058"/>
      <c r="U204" s="295"/>
      <c r="V204" s="295"/>
      <c r="W204" s="362"/>
      <c r="X204" s="542"/>
      <c r="Y204" s="293"/>
      <c r="Z204" s="294"/>
      <c r="AA204" s="293"/>
      <c r="AB204" s="365"/>
      <c r="AC204" s="543"/>
      <c r="AD204" s="1050"/>
      <c r="AE204" s="295">
        <v>20000</v>
      </c>
      <c r="AF204" s="685"/>
      <c r="AG204" s="371">
        <f t="shared" si="35"/>
        <v>20000</v>
      </c>
      <c r="AH204" s="499"/>
      <c r="AI204" s="500"/>
      <c r="AJ204" s="500"/>
      <c r="AK204" s="367"/>
      <c r="AL204" s="363"/>
      <c r="AM204" s="293"/>
      <c r="AN204" s="293"/>
      <c r="AO204" s="293"/>
      <c r="AP204" s="293"/>
      <c r="AQ204" s="293"/>
      <c r="AR204" s="293"/>
      <c r="AS204" s="293"/>
      <c r="AT204" s="293"/>
      <c r="AU204" s="293"/>
      <c r="AV204" s="293"/>
      <c r="AW204" s="293"/>
      <c r="AX204" s="544"/>
      <c r="AY204" s="544"/>
      <c r="AZ204" s="545"/>
      <c r="BA204" s="543"/>
      <c r="BB204" s="299">
        <f t="shared" si="37"/>
        <v>20000</v>
      </c>
      <c r="BC204" s="546"/>
      <c r="BD204" s="547"/>
      <c r="BE204" s="548"/>
      <c r="BF204" s="352">
        <f>AE204+AC204+AZ204+BA204</f>
        <v>20000</v>
      </c>
      <c r="BG204" s="451" t="str">
        <f t="shared" si="38"/>
        <v>Y</v>
      </c>
      <c r="BH204" s="451"/>
      <c r="BI204" s="299"/>
      <c r="BJ204" s="698"/>
      <c r="BK204" s="698"/>
      <c r="BL204" s="303">
        <v>2903</v>
      </c>
      <c r="BM204" s="706"/>
      <c r="BN204" s="373"/>
      <c r="BO204" s="706"/>
      <c r="BP204" s="716"/>
      <c r="BQ204" s="706"/>
      <c r="BR204" s="373"/>
      <c r="BS204" s="373"/>
      <c r="BT204" s="373"/>
      <c r="BU204" s="373"/>
      <c r="BV204" s="304"/>
      <c r="BW204" s="288"/>
      <c r="BX204" s="359" t="s">
        <v>849</v>
      </c>
      <c r="BY204" s="374" t="s">
        <v>423</v>
      </c>
      <c r="BZ204" s="624"/>
      <c r="CA204" s="624"/>
      <c r="CB204" s="624"/>
      <c r="CC204" s="624"/>
      <c r="CD204" s="624"/>
      <c r="CE204" s="624"/>
      <c r="CF204" s="624"/>
      <c r="CG204" s="624"/>
      <c r="CH204" s="624"/>
    </row>
    <row r="205" spans="1:86" s="305" customFormat="1" ht="39" customHeight="1">
      <c r="A205" s="597"/>
      <c r="B205" s="355">
        <v>148</v>
      </c>
      <c r="C205" s="355"/>
      <c r="D205" s="726" t="s">
        <v>441</v>
      </c>
      <c r="E205" s="356">
        <v>38838</v>
      </c>
      <c r="F205" s="358">
        <v>2006</v>
      </c>
      <c r="G205" s="358">
        <v>19</v>
      </c>
      <c r="H205" s="358"/>
      <c r="I205" s="358">
        <v>2006</v>
      </c>
      <c r="J205" s="358">
        <v>10</v>
      </c>
      <c r="K205" s="358" t="s">
        <v>1211</v>
      </c>
      <c r="L205" s="358" t="s">
        <v>717</v>
      </c>
      <c r="M205" s="303" t="s">
        <v>1271</v>
      </c>
      <c r="N205" s="374" t="s">
        <v>1877</v>
      </c>
      <c r="O205" s="303" t="s">
        <v>1337</v>
      </c>
      <c r="P205" s="358"/>
      <c r="Q205" s="360"/>
      <c r="R205" s="361"/>
      <c r="S205" s="294"/>
      <c r="T205" s="1058"/>
      <c r="U205" s="295"/>
      <c r="V205" s="295"/>
      <c r="W205" s="362"/>
      <c r="X205" s="379"/>
      <c r="Y205" s="293"/>
      <c r="Z205" s="294"/>
      <c r="AA205" s="293">
        <v>2500</v>
      </c>
      <c r="AB205" s="365"/>
      <c r="AC205" s="364"/>
      <c r="AD205" s="427"/>
      <c r="AE205" s="299">
        <v>50000</v>
      </c>
      <c r="AF205" s="670"/>
      <c r="AG205" s="371">
        <f t="shared" si="35"/>
        <v>50000</v>
      </c>
      <c r="AH205" s="499"/>
      <c r="AI205" s="500"/>
      <c r="AJ205" s="500"/>
      <c r="AK205" s="367"/>
      <c r="AL205" s="363"/>
      <c r="AM205" s="368"/>
      <c r="AN205" s="368"/>
      <c r="AO205" s="368"/>
      <c r="AP205" s="368"/>
      <c r="AQ205" s="368"/>
      <c r="AR205" s="368"/>
      <c r="AS205" s="368"/>
      <c r="AT205" s="368"/>
      <c r="AU205" s="368"/>
      <c r="AV205" s="368"/>
      <c r="AW205" s="368"/>
      <c r="AX205" s="369"/>
      <c r="AY205" s="369"/>
      <c r="AZ205" s="352"/>
      <c r="BA205" s="364"/>
      <c r="BB205" s="299">
        <f t="shared" si="37"/>
        <v>50000</v>
      </c>
      <c r="BC205" s="370"/>
      <c r="BD205" s="371"/>
      <c r="BE205" s="549"/>
      <c r="BF205" s="352">
        <f>BB205+BD205+BC205</f>
        <v>50000</v>
      </c>
      <c r="BG205" s="451" t="str">
        <f t="shared" si="38"/>
        <v>N</v>
      </c>
      <c r="BH205" s="451"/>
      <c r="BI205" s="299"/>
      <c r="BJ205" s="698"/>
      <c r="BK205" s="698"/>
      <c r="BL205" s="303">
        <v>2799</v>
      </c>
      <c r="BM205" s="706"/>
      <c r="BN205" s="373"/>
      <c r="BO205" s="706"/>
      <c r="BP205" s="716"/>
      <c r="BQ205" s="706"/>
      <c r="BR205" s="373"/>
      <c r="BS205" s="373"/>
      <c r="BT205" s="373"/>
      <c r="BU205" s="373"/>
      <c r="BV205" s="318"/>
      <c r="BW205" s="358"/>
      <c r="BX205" s="359"/>
      <c r="BY205" s="374" t="s">
        <v>494</v>
      </c>
      <c r="BZ205" s="624"/>
      <c r="CA205" s="624"/>
      <c r="CB205" s="624"/>
      <c r="CC205" s="624"/>
      <c r="CD205" s="624"/>
      <c r="CE205" s="624"/>
      <c r="CF205" s="624"/>
      <c r="CG205" s="624"/>
      <c r="CH205" s="624"/>
    </row>
    <row r="206" spans="1:86" s="305" customFormat="1" ht="39" customHeight="1">
      <c r="A206" s="594" t="s">
        <v>1787</v>
      </c>
      <c r="B206" s="348">
        <v>149</v>
      </c>
      <c r="C206" s="348"/>
      <c r="D206" s="726" t="s">
        <v>1786</v>
      </c>
      <c r="E206" s="349">
        <v>38838</v>
      </c>
      <c r="F206" s="358">
        <v>2006</v>
      </c>
      <c r="G206" s="288">
        <v>20</v>
      </c>
      <c r="H206" s="288"/>
      <c r="I206" s="358">
        <v>2006</v>
      </c>
      <c r="J206" s="358">
        <v>11</v>
      </c>
      <c r="K206" s="288" t="s">
        <v>570</v>
      </c>
      <c r="L206" s="288" t="s">
        <v>1565</v>
      </c>
      <c r="M206" s="358" t="s">
        <v>1961</v>
      </c>
      <c r="N206" s="359" t="s">
        <v>1884</v>
      </c>
      <c r="O206" s="358" t="s">
        <v>1884</v>
      </c>
      <c r="P206" s="358" t="s">
        <v>1884</v>
      </c>
      <c r="Q206" s="360"/>
      <c r="R206" s="361" t="s">
        <v>362</v>
      </c>
      <c r="S206" s="294" t="s">
        <v>363</v>
      </c>
      <c r="T206" s="1058">
        <v>31000000</v>
      </c>
      <c r="U206" s="295"/>
      <c r="V206" s="295" t="s">
        <v>1785</v>
      </c>
      <c r="W206" s="392"/>
      <c r="X206" s="393"/>
      <c r="Y206" s="293">
        <v>325000</v>
      </c>
      <c r="Z206" s="780"/>
      <c r="AA206" s="293"/>
      <c r="AB206" s="365">
        <f>COUNTIF(AC206, "&gt;49999")</f>
        <v>1</v>
      </c>
      <c r="AC206" s="364">
        <f>SUM(1298250+100000)</f>
        <v>1398250</v>
      </c>
      <c r="AD206" s="427"/>
      <c r="AE206" s="299"/>
      <c r="AF206" s="670"/>
      <c r="AG206" s="371">
        <f t="shared" si="35"/>
        <v>1398250</v>
      </c>
      <c r="AH206" s="502">
        <v>7</v>
      </c>
      <c r="AI206" s="503" t="s">
        <v>226</v>
      </c>
      <c r="AJ206" s="503"/>
      <c r="AK206" s="367"/>
      <c r="AL206" s="363"/>
      <c r="AM206" s="368"/>
      <c r="AN206" s="368"/>
      <c r="AO206" s="368"/>
      <c r="AP206" s="368"/>
      <c r="AQ206" s="368"/>
      <c r="AR206" s="368"/>
      <c r="AS206" s="368"/>
      <c r="AT206" s="368"/>
      <c r="AU206" s="368"/>
      <c r="AV206" s="368"/>
      <c r="AW206" s="368"/>
      <c r="AX206" s="369"/>
      <c r="AY206" s="369"/>
      <c r="AZ206" s="453"/>
      <c r="BA206" s="387">
        <v>87500</v>
      </c>
      <c r="BB206" s="299">
        <f t="shared" si="37"/>
        <v>1485750</v>
      </c>
      <c r="BC206" s="394"/>
      <c r="BD206" s="395"/>
      <c r="BE206" s="501">
        <v>13000</v>
      </c>
      <c r="BF206" s="352">
        <f>BB206+BD206+BC206</f>
        <v>1485750</v>
      </c>
      <c r="BG206" s="451" t="str">
        <f t="shared" si="38"/>
        <v>Y</v>
      </c>
      <c r="BH206" s="451"/>
      <c r="BI206" s="299"/>
      <c r="BJ206" s="698"/>
      <c r="BK206" s="698"/>
      <c r="BL206" s="303" t="s">
        <v>1031</v>
      </c>
      <c r="BM206" s="706"/>
      <c r="BN206" s="373"/>
      <c r="BO206" s="706"/>
      <c r="BP206" s="716"/>
      <c r="BQ206" s="706"/>
      <c r="BR206" s="373"/>
      <c r="BS206" s="373"/>
      <c r="BT206" s="373"/>
      <c r="BU206" s="373"/>
      <c r="BV206" s="304"/>
      <c r="BW206" s="288"/>
      <c r="BX206" s="290" t="s">
        <v>495</v>
      </c>
      <c r="BY206" s="449" t="s">
        <v>1030</v>
      </c>
      <c r="BZ206" s="624"/>
      <c r="CA206" s="624"/>
      <c r="CB206" s="624"/>
      <c r="CC206" s="624"/>
      <c r="CD206" s="624"/>
      <c r="CE206" s="624"/>
      <c r="CF206" s="624"/>
      <c r="CG206" s="624"/>
      <c r="CH206" s="624"/>
    </row>
    <row r="207" spans="1:86" s="305" customFormat="1" ht="39" customHeight="1">
      <c r="A207" s="276"/>
      <c r="B207" s="348">
        <v>150</v>
      </c>
      <c r="C207" s="348"/>
      <c r="D207" s="726" t="s">
        <v>1809</v>
      </c>
      <c r="E207" s="349">
        <v>38899</v>
      </c>
      <c r="F207" s="288">
        <v>2007</v>
      </c>
      <c r="G207" s="288">
        <v>1</v>
      </c>
      <c r="H207" s="288"/>
      <c r="I207" s="358">
        <v>2006</v>
      </c>
      <c r="J207" s="358">
        <v>12</v>
      </c>
      <c r="K207" s="358" t="s">
        <v>570</v>
      </c>
      <c r="L207" s="288" t="s">
        <v>386</v>
      </c>
      <c r="M207" s="300" t="s">
        <v>1271</v>
      </c>
      <c r="N207" s="449" t="s">
        <v>1877</v>
      </c>
      <c r="O207" s="300" t="s">
        <v>1337</v>
      </c>
      <c r="P207" s="300" t="s">
        <v>1337</v>
      </c>
      <c r="Q207" s="375"/>
      <c r="R207" s="361" t="s">
        <v>362</v>
      </c>
      <c r="S207" s="294" t="s">
        <v>363</v>
      </c>
      <c r="T207" s="1058">
        <v>1900000</v>
      </c>
      <c r="U207" s="295"/>
      <c r="V207" s="295" t="s">
        <v>1784</v>
      </c>
      <c r="W207" s="392"/>
      <c r="X207" s="393"/>
      <c r="Y207" s="293">
        <v>13000</v>
      </c>
      <c r="Z207" s="780"/>
      <c r="AA207" s="293"/>
      <c r="AB207" s="365">
        <f>COUNTIF(AC207, "&gt;49999")</f>
        <v>0</v>
      </c>
      <c r="AC207" s="387">
        <v>5000</v>
      </c>
      <c r="AD207" s="587"/>
      <c r="AE207" s="298"/>
      <c r="AF207" s="677"/>
      <c r="AG207" s="371">
        <f t="shared" si="35"/>
        <v>5000</v>
      </c>
      <c r="AH207" s="502"/>
      <c r="AI207" s="503"/>
      <c r="AJ207" s="503"/>
      <c r="AK207" s="388"/>
      <c r="AL207" s="389"/>
      <c r="AM207" s="302"/>
      <c r="AN207" s="302"/>
      <c r="AO207" s="302"/>
      <c r="AP207" s="302"/>
      <c r="AQ207" s="302"/>
      <c r="AR207" s="302"/>
      <c r="AS207" s="302"/>
      <c r="AT207" s="302"/>
      <c r="AU207" s="302"/>
      <c r="AV207" s="302"/>
      <c r="AW207" s="302"/>
      <c r="AX207" s="390"/>
      <c r="AY207" s="390"/>
      <c r="AZ207" s="385"/>
      <c r="BA207" s="387"/>
      <c r="BB207" s="299">
        <f t="shared" si="37"/>
        <v>5000</v>
      </c>
      <c r="BC207" s="394"/>
      <c r="BD207" s="395"/>
      <c r="BE207" s="501"/>
      <c r="BF207" s="352">
        <f>BB207+BD207+BC207</f>
        <v>5000</v>
      </c>
      <c r="BG207" s="451" t="str">
        <f t="shared" si="38"/>
        <v>Y</v>
      </c>
      <c r="BH207" s="451"/>
      <c r="BI207" s="299"/>
      <c r="BJ207" s="698"/>
      <c r="BK207" s="698"/>
      <c r="BL207" s="303">
        <v>2685</v>
      </c>
      <c r="BM207" s="706"/>
      <c r="BN207" s="373"/>
      <c r="BO207" s="706"/>
      <c r="BP207" s="716"/>
      <c r="BQ207" s="706"/>
      <c r="BR207" s="373"/>
      <c r="BS207" s="373"/>
      <c r="BT207" s="373"/>
      <c r="BU207" s="373"/>
      <c r="BV207" s="304"/>
      <c r="BW207" s="288"/>
      <c r="BX207" s="290" t="s">
        <v>725</v>
      </c>
      <c r="BY207" s="449" t="s">
        <v>504</v>
      </c>
      <c r="BZ207" s="624"/>
      <c r="CA207" s="624"/>
      <c r="CB207" s="624"/>
      <c r="CC207" s="624"/>
      <c r="CD207" s="624"/>
      <c r="CE207" s="624"/>
      <c r="CF207" s="624"/>
      <c r="CG207" s="624"/>
      <c r="CH207" s="624"/>
    </row>
    <row r="208" spans="1:86" s="305" customFormat="1" ht="76.5" customHeight="1">
      <c r="A208" s="275"/>
      <c r="B208" s="355">
        <v>151</v>
      </c>
      <c r="C208" s="355"/>
      <c r="D208" s="726" t="s">
        <v>1238</v>
      </c>
      <c r="E208" s="356">
        <v>38899</v>
      </c>
      <c r="F208" s="358">
        <v>2007</v>
      </c>
      <c r="G208" s="358">
        <v>2</v>
      </c>
      <c r="H208" s="358"/>
      <c r="I208" s="358">
        <v>2006</v>
      </c>
      <c r="J208" s="358">
        <v>13</v>
      </c>
      <c r="K208" s="358" t="s">
        <v>570</v>
      </c>
      <c r="L208" s="358" t="s">
        <v>505</v>
      </c>
      <c r="M208" s="358" t="s">
        <v>1273</v>
      </c>
      <c r="N208" s="359" t="s">
        <v>1940</v>
      </c>
      <c r="O208" s="465" t="s">
        <v>1940</v>
      </c>
      <c r="P208" s="465" t="s">
        <v>1940</v>
      </c>
      <c r="Q208" s="360"/>
      <c r="R208" s="361" t="s">
        <v>362</v>
      </c>
      <c r="S208" s="294" t="s">
        <v>1237</v>
      </c>
      <c r="T208" s="1058">
        <f>SUM(1000000+82131000)</f>
        <v>83131000</v>
      </c>
      <c r="U208" s="295"/>
      <c r="V208" s="295" t="s">
        <v>1236</v>
      </c>
      <c r="W208" s="362"/>
      <c r="X208" s="379"/>
      <c r="Y208" s="293">
        <v>2000000</v>
      </c>
      <c r="Z208" s="780"/>
      <c r="AA208" s="293"/>
      <c r="AB208" s="365">
        <v>1</v>
      </c>
      <c r="AC208" s="364">
        <v>475000</v>
      </c>
      <c r="AD208" s="427">
        <f>500000+150000+211100+197500</f>
        <v>1058600</v>
      </c>
      <c r="AE208" s="299">
        <v>356000</v>
      </c>
      <c r="AF208" s="670"/>
      <c r="AG208" s="371">
        <f>AC208+AD208+AE208</f>
        <v>1889600</v>
      </c>
      <c r="AH208" s="489"/>
      <c r="AI208" s="490"/>
      <c r="AJ208" s="490"/>
      <c r="AK208" s="367"/>
      <c r="AL208" s="363"/>
      <c r="AM208" s="368"/>
      <c r="AN208" s="368"/>
      <c r="AO208" s="368"/>
      <c r="AP208" s="368"/>
      <c r="AQ208" s="368"/>
      <c r="AR208" s="368"/>
      <c r="AS208" s="368"/>
      <c r="AT208" s="368"/>
      <c r="AU208" s="368"/>
      <c r="AV208" s="368"/>
      <c r="AW208" s="368"/>
      <c r="AX208" s="369"/>
      <c r="AY208" s="369"/>
      <c r="AZ208" s="448"/>
      <c r="BA208" s="364"/>
      <c r="BB208" s="299">
        <f t="shared" si="37"/>
        <v>1889600</v>
      </c>
      <c r="BC208" s="370"/>
      <c r="BD208" s="371"/>
      <c r="BE208" s="491"/>
      <c r="BF208" s="352">
        <f>BB208+BD208+BC208</f>
        <v>1889600</v>
      </c>
      <c r="BG208" s="451" t="str">
        <f t="shared" si="38"/>
        <v>Y</v>
      </c>
      <c r="BH208" s="451"/>
      <c r="BI208" s="299"/>
      <c r="BJ208" s="698"/>
      <c r="BK208" s="698"/>
      <c r="BL208" s="303" t="s">
        <v>1245</v>
      </c>
      <c r="BM208" s="706"/>
      <c r="BN208" s="373"/>
      <c r="BO208" s="706"/>
      <c r="BP208" s="716"/>
      <c r="BQ208" s="706"/>
      <c r="BR208" s="373"/>
      <c r="BS208" s="373"/>
      <c r="BT208" s="373"/>
      <c r="BU208" s="373"/>
      <c r="BV208" s="318"/>
      <c r="BW208" s="358"/>
      <c r="BX208" s="359" t="s">
        <v>506</v>
      </c>
      <c r="BY208" s="374" t="s">
        <v>2144</v>
      </c>
      <c r="BZ208" s="624"/>
      <c r="CA208" s="624"/>
      <c r="CB208" s="624"/>
      <c r="CC208" s="624"/>
      <c r="CD208" s="624"/>
      <c r="CE208" s="624"/>
      <c r="CF208" s="624"/>
      <c r="CG208" s="624"/>
      <c r="CH208" s="624"/>
    </row>
    <row r="209" spans="1:86" s="305" customFormat="1" ht="39" customHeight="1">
      <c r="A209" s="596"/>
      <c r="B209" s="348">
        <v>152</v>
      </c>
      <c r="C209" s="348"/>
      <c r="D209" s="726" t="s">
        <v>1801</v>
      </c>
      <c r="E209" s="349">
        <v>38930</v>
      </c>
      <c r="F209" s="288">
        <v>2007</v>
      </c>
      <c r="G209" s="288">
        <v>3</v>
      </c>
      <c r="H209" s="288"/>
      <c r="I209" s="358">
        <v>2006</v>
      </c>
      <c r="J209" s="358">
        <v>14</v>
      </c>
      <c r="K209" s="288" t="s">
        <v>570</v>
      </c>
      <c r="L209" s="288" t="s">
        <v>1879</v>
      </c>
      <c r="M209" s="300" t="s">
        <v>1271</v>
      </c>
      <c r="N209" s="449" t="s">
        <v>1877</v>
      </c>
      <c r="O209" s="300" t="s">
        <v>1337</v>
      </c>
      <c r="P209" s="300" t="s">
        <v>1337</v>
      </c>
      <c r="Q209" s="375"/>
      <c r="R209" s="361" t="s">
        <v>362</v>
      </c>
      <c r="S209" s="294" t="s">
        <v>363</v>
      </c>
      <c r="T209" s="1058">
        <v>4825791</v>
      </c>
      <c r="U209" s="295"/>
      <c r="V209" s="295" t="s">
        <v>1783</v>
      </c>
      <c r="W209" s="392"/>
      <c r="X209" s="393"/>
      <c r="Y209" s="293">
        <v>240000</v>
      </c>
      <c r="Z209" s="780"/>
      <c r="AA209" s="293"/>
      <c r="AB209" s="365">
        <f>COUNTIF(AC209, "&gt;49999")</f>
        <v>1</v>
      </c>
      <c r="AC209" s="387">
        <v>50000</v>
      </c>
      <c r="AD209" s="587"/>
      <c r="AE209" s="298"/>
      <c r="AF209" s="677"/>
      <c r="AG209" s="371">
        <f t="shared" si="35"/>
        <v>50000</v>
      </c>
      <c r="AH209" s="502"/>
      <c r="AI209" s="503"/>
      <c r="AJ209" s="503"/>
      <c r="AK209" s="388"/>
      <c r="AL209" s="389"/>
      <c r="AM209" s="302"/>
      <c r="AN209" s="302"/>
      <c r="AO209" s="302"/>
      <c r="AP209" s="302"/>
      <c r="AQ209" s="302"/>
      <c r="AR209" s="302"/>
      <c r="AS209" s="302"/>
      <c r="AT209" s="302"/>
      <c r="AU209" s="302"/>
      <c r="AV209" s="302"/>
      <c r="AW209" s="302"/>
      <c r="AX209" s="390"/>
      <c r="AY209" s="390"/>
      <c r="AZ209" s="385"/>
      <c r="BA209" s="387"/>
      <c r="BB209" s="299">
        <f t="shared" si="37"/>
        <v>50000</v>
      </c>
      <c r="BC209" s="394"/>
      <c r="BD209" s="395"/>
      <c r="BE209" s="501"/>
      <c r="BF209" s="352">
        <f>AE209+AC209+AZ209+BA209</f>
        <v>50000</v>
      </c>
      <c r="BG209" s="451" t="str">
        <f t="shared" si="38"/>
        <v>N</v>
      </c>
      <c r="BH209" s="451"/>
      <c r="BI209" s="299"/>
      <c r="BJ209" s="698"/>
      <c r="BK209" s="698"/>
      <c r="BL209" s="303">
        <v>2799</v>
      </c>
      <c r="BM209" s="706"/>
      <c r="BN209" s="373"/>
      <c r="BO209" s="706"/>
      <c r="BP209" s="716"/>
      <c r="BQ209" s="706"/>
      <c r="BR209" s="373"/>
      <c r="BS209" s="373"/>
      <c r="BT209" s="373"/>
      <c r="BU209" s="373"/>
      <c r="BV209" s="318"/>
      <c r="BW209" s="358"/>
      <c r="BX209" s="290"/>
      <c r="BY209" s="449" t="s">
        <v>509</v>
      </c>
      <c r="BZ209" s="624"/>
      <c r="CA209" s="624"/>
      <c r="CB209" s="624"/>
      <c r="CC209" s="624"/>
      <c r="CD209" s="624"/>
      <c r="CE209" s="624"/>
      <c r="CF209" s="624"/>
      <c r="CG209" s="624"/>
      <c r="CH209" s="624"/>
    </row>
    <row r="210" spans="1:86" s="305" customFormat="1" ht="39" customHeight="1">
      <c r="A210" s="596" t="s">
        <v>1781</v>
      </c>
      <c r="B210" s="348">
        <v>153</v>
      </c>
      <c r="C210" s="348"/>
      <c r="D210" s="726" t="s">
        <v>1782</v>
      </c>
      <c r="E210" s="349">
        <v>38930</v>
      </c>
      <c r="F210" s="288">
        <v>2007</v>
      </c>
      <c r="G210" s="288">
        <v>4</v>
      </c>
      <c r="H210" s="288"/>
      <c r="I210" s="358">
        <v>2006</v>
      </c>
      <c r="J210" s="358">
        <v>15</v>
      </c>
      <c r="K210" s="288" t="s">
        <v>1211</v>
      </c>
      <c r="L210" s="288" t="s">
        <v>1662</v>
      </c>
      <c r="M210" s="358" t="s">
        <v>1961</v>
      </c>
      <c r="N210" s="290" t="s">
        <v>1887</v>
      </c>
      <c r="O210" s="288" t="s">
        <v>641</v>
      </c>
      <c r="P210" s="288" t="s">
        <v>641</v>
      </c>
      <c r="Q210" s="375"/>
      <c r="R210" s="361" t="s">
        <v>362</v>
      </c>
      <c r="S210" s="294" t="s">
        <v>363</v>
      </c>
      <c r="T210" s="1058">
        <v>514753</v>
      </c>
      <c r="U210" s="295"/>
      <c r="V210" s="295" t="s">
        <v>1780</v>
      </c>
      <c r="W210" s="392"/>
      <c r="X210" s="393"/>
      <c r="Y210" s="293">
        <v>5475</v>
      </c>
      <c r="Z210" s="294"/>
      <c r="AA210" s="293"/>
      <c r="AB210" s="365"/>
      <c r="AC210" s="387"/>
      <c r="AD210" s="587"/>
      <c r="AE210" s="298">
        <v>50000</v>
      </c>
      <c r="AF210" s="677"/>
      <c r="AG210" s="371">
        <f t="shared" si="35"/>
        <v>50000</v>
      </c>
      <c r="AH210" s="502"/>
      <c r="AI210" s="503"/>
      <c r="AJ210" s="503"/>
      <c r="AK210" s="388"/>
      <c r="AL210" s="389"/>
      <c r="AM210" s="302"/>
      <c r="AN210" s="302"/>
      <c r="AO210" s="302"/>
      <c r="AP210" s="302"/>
      <c r="AQ210" s="302"/>
      <c r="AR210" s="302"/>
      <c r="AS210" s="302"/>
      <c r="AT210" s="302"/>
      <c r="AU210" s="302"/>
      <c r="AV210" s="302"/>
      <c r="AW210" s="302"/>
      <c r="AX210" s="390"/>
      <c r="AY210" s="390"/>
      <c r="AZ210" s="385"/>
      <c r="BA210" s="387"/>
      <c r="BB210" s="299">
        <f t="shared" si="37"/>
        <v>50000</v>
      </c>
      <c r="BC210" s="394"/>
      <c r="BD210" s="395"/>
      <c r="BE210" s="501"/>
      <c r="BF210" s="352">
        <f>AE210+AC210+AZ210+BA210</f>
        <v>50000</v>
      </c>
      <c r="BG210" s="451" t="str">
        <f t="shared" si="38"/>
        <v>N</v>
      </c>
      <c r="BH210" s="451"/>
      <c r="BI210" s="299"/>
      <c r="BJ210" s="698"/>
      <c r="BK210" s="698"/>
      <c r="BL210" s="303">
        <v>2799</v>
      </c>
      <c r="BM210" s="706"/>
      <c r="BN210" s="373"/>
      <c r="BO210" s="706"/>
      <c r="BP210" s="716"/>
      <c r="BQ210" s="706"/>
      <c r="BR210" s="373"/>
      <c r="BS210" s="373"/>
      <c r="BT210" s="373"/>
      <c r="BU210" s="373"/>
      <c r="BV210" s="304"/>
      <c r="BW210" s="288"/>
      <c r="BX210" s="290" t="s">
        <v>510</v>
      </c>
      <c r="BY210" s="449" t="s">
        <v>511</v>
      </c>
      <c r="BZ210" s="624"/>
      <c r="CA210" s="624"/>
      <c r="CB210" s="624"/>
      <c r="CC210" s="624"/>
      <c r="CD210" s="624"/>
      <c r="CE210" s="624"/>
      <c r="CF210" s="624"/>
      <c r="CG210" s="624"/>
      <c r="CH210" s="624"/>
    </row>
    <row r="211" spans="1:86" s="305" customFormat="1" ht="39" customHeight="1">
      <c r="A211" s="276" t="s">
        <v>1779</v>
      </c>
      <c r="B211" s="355">
        <v>154</v>
      </c>
      <c r="C211" s="355"/>
      <c r="D211" s="726" t="str">
        <f>L211&amp;" "&amp;N211</f>
        <v>Ethiopia Floods</v>
      </c>
      <c r="E211" s="349">
        <v>38930</v>
      </c>
      <c r="F211" s="288">
        <v>2007</v>
      </c>
      <c r="G211" s="358">
        <v>5</v>
      </c>
      <c r="H211" s="358"/>
      <c r="I211" s="358">
        <v>2006</v>
      </c>
      <c r="J211" s="358">
        <v>16</v>
      </c>
      <c r="K211" s="288" t="s">
        <v>1210</v>
      </c>
      <c r="L211" s="358" t="s">
        <v>1873</v>
      </c>
      <c r="M211" s="300" t="s">
        <v>1271</v>
      </c>
      <c r="N211" s="359" t="s">
        <v>1877</v>
      </c>
      <c r="O211" s="465" t="s">
        <v>1337</v>
      </c>
      <c r="P211" s="465" t="s">
        <v>1337</v>
      </c>
      <c r="Q211" s="360"/>
      <c r="R211" s="361" t="s">
        <v>362</v>
      </c>
      <c r="S211" s="294" t="s">
        <v>363</v>
      </c>
      <c r="T211" s="1058">
        <v>4225070</v>
      </c>
      <c r="U211" s="295"/>
      <c r="V211" s="295" t="s">
        <v>1778</v>
      </c>
      <c r="W211" s="362"/>
      <c r="X211" s="379"/>
      <c r="Y211" s="293">
        <v>25000</v>
      </c>
      <c r="Z211" s="780"/>
      <c r="AA211" s="293"/>
      <c r="AB211" s="365">
        <f>COUNTIF(AC211, "&gt;49999")</f>
        <v>1</v>
      </c>
      <c r="AC211" s="364">
        <v>85000</v>
      </c>
      <c r="AD211" s="427"/>
      <c r="AE211" s="299"/>
      <c r="AF211" s="670"/>
      <c r="AG211" s="371">
        <f t="shared" si="35"/>
        <v>85000</v>
      </c>
      <c r="AH211" s="489">
        <v>2</v>
      </c>
      <c r="AI211" s="490"/>
      <c r="AJ211" s="490"/>
      <c r="AK211" s="367"/>
      <c r="AL211" s="363"/>
      <c r="AM211" s="368"/>
      <c r="AN211" s="368"/>
      <c r="AO211" s="368"/>
      <c r="AP211" s="368"/>
      <c r="AQ211" s="368"/>
      <c r="AR211" s="368"/>
      <c r="AS211" s="368"/>
      <c r="AT211" s="368"/>
      <c r="AU211" s="368"/>
      <c r="AV211" s="368"/>
      <c r="AW211" s="368"/>
      <c r="AX211" s="369"/>
      <c r="AY211" s="369"/>
      <c r="AZ211" s="448"/>
      <c r="BA211" s="364"/>
      <c r="BB211" s="299">
        <f t="shared" si="37"/>
        <v>85000</v>
      </c>
      <c r="BC211" s="370"/>
      <c r="BD211" s="371"/>
      <c r="BE211" s="491"/>
      <c r="BF211" s="352">
        <f>BB211+BD211+BC211</f>
        <v>85000</v>
      </c>
      <c r="BG211" s="451" t="str">
        <f t="shared" si="38"/>
        <v>Y</v>
      </c>
      <c r="BH211" s="451"/>
      <c r="BI211" s="299"/>
      <c r="BJ211" s="698"/>
      <c r="BK211" s="698"/>
      <c r="BL211" s="303" t="s">
        <v>1234</v>
      </c>
      <c r="BM211" s="706"/>
      <c r="BN211" s="373"/>
      <c r="BO211" s="706"/>
      <c r="BP211" s="716"/>
      <c r="BQ211" s="706"/>
      <c r="BR211" s="373"/>
      <c r="BS211" s="373"/>
      <c r="BT211" s="373"/>
      <c r="BU211" s="373"/>
      <c r="BV211" s="304"/>
      <c r="BW211" s="288"/>
      <c r="BX211" s="359" t="s">
        <v>512</v>
      </c>
      <c r="BY211" s="449" t="s">
        <v>1235</v>
      </c>
      <c r="BZ211" s="624"/>
      <c r="CA211" s="624"/>
      <c r="CB211" s="624"/>
      <c r="CC211" s="624"/>
      <c r="CD211" s="624"/>
      <c r="CE211" s="624"/>
      <c r="CF211" s="624"/>
      <c r="CG211" s="624"/>
      <c r="CH211" s="624"/>
    </row>
    <row r="212" spans="1:86" s="305" customFormat="1" ht="39" customHeight="1">
      <c r="A212" s="594" t="s">
        <v>1777</v>
      </c>
      <c r="B212" s="348">
        <v>155</v>
      </c>
      <c r="C212" s="348"/>
      <c r="D212" s="726" t="str">
        <f>L212&amp;" "&amp;N212</f>
        <v>Sudan Floods</v>
      </c>
      <c r="E212" s="349">
        <v>38961</v>
      </c>
      <c r="F212" s="288">
        <v>2007</v>
      </c>
      <c r="G212" s="288">
        <v>6</v>
      </c>
      <c r="H212" s="288"/>
      <c r="I212" s="358">
        <v>2006</v>
      </c>
      <c r="J212" s="358">
        <v>17</v>
      </c>
      <c r="K212" s="288" t="s">
        <v>1210</v>
      </c>
      <c r="L212" s="288" t="s">
        <v>1992</v>
      </c>
      <c r="M212" s="300" t="s">
        <v>1271</v>
      </c>
      <c r="N212" s="359" t="s">
        <v>1877</v>
      </c>
      <c r="O212" s="465" t="s">
        <v>1337</v>
      </c>
      <c r="P212" s="465" t="s">
        <v>1337</v>
      </c>
      <c r="Q212" s="375"/>
      <c r="R212" s="361" t="s">
        <v>362</v>
      </c>
      <c r="S212" s="294" t="s">
        <v>363</v>
      </c>
      <c r="T212" s="1058">
        <v>492625</v>
      </c>
      <c r="U212" s="295"/>
      <c r="V212" s="295" t="s">
        <v>1776</v>
      </c>
      <c r="W212" s="392"/>
      <c r="X212" s="393"/>
      <c r="Y212" s="293">
        <v>15000</v>
      </c>
      <c r="Z212" s="780"/>
      <c r="AA212" s="293"/>
      <c r="AB212" s="365">
        <f>COUNTIF(AC212, "&gt;49999")</f>
        <v>0</v>
      </c>
      <c r="AC212" s="387">
        <v>10000</v>
      </c>
      <c r="AD212" s="587"/>
      <c r="AE212" s="298"/>
      <c r="AF212" s="677"/>
      <c r="AG212" s="371">
        <f t="shared" si="35"/>
        <v>10000</v>
      </c>
      <c r="AH212" s="502"/>
      <c r="AI212" s="503"/>
      <c r="AJ212" s="503"/>
      <c r="AK212" s="388">
        <v>10000</v>
      </c>
      <c r="AL212" s="389"/>
      <c r="AM212" s="302"/>
      <c r="AN212" s="302"/>
      <c r="AO212" s="302"/>
      <c r="AP212" s="302"/>
      <c r="AQ212" s="302"/>
      <c r="AR212" s="302"/>
      <c r="AS212" s="302"/>
      <c r="AT212" s="302">
        <v>10000</v>
      </c>
      <c r="AU212" s="302"/>
      <c r="AV212" s="302"/>
      <c r="AW212" s="302"/>
      <c r="AX212" s="390"/>
      <c r="AY212" s="390"/>
      <c r="AZ212" s="385">
        <v>36900</v>
      </c>
      <c r="BA212" s="387"/>
      <c r="BB212" s="299">
        <f t="shared" si="37"/>
        <v>46900</v>
      </c>
      <c r="BC212" s="394"/>
      <c r="BD212" s="395"/>
      <c r="BE212" s="501"/>
      <c r="BF212" s="352">
        <f>BB212+BD212+BC212</f>
        <v>46900</v>
      </c>
      <c r="BG212" s="451" t="str">
        <f t="shared" si="38"/>
        <v>Y</v>
      </c>
      <c r="BH212" s="451"/>
      <c r="BI212" s="299"/>
      <c r="BJ212" s="698"/>
      <c r="BK212" s="698"/>
      <c r="BL212" s="303">
        <v>2802</v>
      </c>
      <c r="BM212" s="706"/>
      <c r="BN212" s="373"/>
      <c r="BO212" s="706"/>
      <c r="BP212" s="716"/>
      <c r="BQ212" s="706"/>
      <c r="BR212" s="373"/>
      <c r="BS212" s="373"/>
      <c r="BT212" s="451" t="str">
        <f>IF(OR(BL212=2799),"Y","N")</f>
        <v>N</v>
      </c>
      <c r="BU212" s="451" t="str">
        <f>IF(OR(BM212=2799),"Y","N")</f>
        <v>N</v>
      </c>
      <c r="BV212" s="304"/>
      <c r="BW212" s="288"/>
      <c r="BX212" s="290"/>
      <c r="BY212" s="449" t="s">
        <v>1864</v>
      </c>
      <c r="BZ212" s="624"/>
      <c r="CA212" s="624"/>
      <c r="CB212" s="624"/>
      <c r="CC212" s="624"/>
      <c r="CD212" s="624"/>
      <c r="CE212" s="624"/>
      <c r="CF212" s="624"/>
      <c r="CG212" s="624"/>
      <c r="CH212" s="624"/>
    </row>
    <row r="213" spans="1:86" s="305" customFormat="1" ht="39" customHeight="1">
      <c r="A213" s="275" t="s">
        <v>1775</v>
      </c>
      <c r="B213" s="355">
        <v>156</v>
      </c>
      <c r="C213" s="355"/>
      <c r="D213" s="726" t="s">
        <v>1774</v>
      </c>
      <c r="E213" s="356">
        <v>38991</v>
      </c>
      <c r="F213" s="358">
        <v>2007</v>
      </c>
      <c r="G213" s="358">
        <v>7</v>
      </c>
      <c r="H213" s="358"/>
      <c r="I213" s="358">
        <v>2006</v>
      </c>
      <c r="J213" s="358">
        <v>18</v>
      </c>
      <c r="K213" s="358" t="s">
        <v>570</v>
      </c>
      <c r="L213" s="358" t="s">
        <v>2026</v>
      </c>
      <c r="M213" s="358" t="s">
        <v>1271</v>
      </c>
      <c r="N213" s="359" t="s">
        <v>1965</v>
      </c>
      <c r="O213" s="358" t="s">
        <v>1098</v>
      </c>
      <c r="P213" s="465" t="s">
        <v>1626</v>
      </c>
      <c r="Q213" s="360"/>
      <c r="R213" s="361" t="s">
        <v>362</v>
      </c>
      <c r="S213" s="294" t="s">
        <v>363</v>
      </c>
      <c r="T213" s="1058">
        <v>8637057</v>
      </c>
      <c r="U213" s="295"/>
      <c r="V213" s="295" t="s">
        <v>1773</v>
      </c>
      <c r="W213" s="362"/>
      <c r="X213" s="379"/>
      <c r="Y213" s="293">
        <v>1030000</v>
      </c>
      <c r="Z213" s="780"/>
      <c r="AA213" s="293"/>
      <c r="AB213" s="365">
        <f>COUNTIF(AC213, "&gt;49999")</f>
        <v>1</v>
      </c>
      <c r="AC213" s="364">
        <f>587000+200000</f>
        <v>787000</v>
      </c>
      <c r="AD213" s="427"/>
      <c r="AE213" s="299"/>
      <c r="AF213" s="670"/>
      <c r="AG213" s="371">
        <f t="shared" si="35"/>
        <v>787000</v>
      </c>
      <c r="AH213" s="489">
        <v>2</v>
      </c>
      <c r="AI213" s="490"/>
      <c r="AJ213" s="490"/>
      <c r="AK213" s="367"/>
      <c r="AL213" s="363"/>
      <c r="AM213" s="368"/>
      <c r="AN213" s="368"/>
      <c r="AO213" s="368"/>
      <c r="AP213" s="368"/>
      <c r="AQ213" s="368"/>
      <c r="AR213" s="368"/>
      <c r="AS213" s="368"/>
      <c r="AT213" s="368"/>
      <c r="AU213" s="368"/>
      <c r="AV213" s="368"/>
      <c r="AW213" s="368"/>
      <c r="AX213" s="369"/>
      <c r="AY213" s="369"/>
      <c r="AZ213" s="448"/>
      <c r="BA213" s="364">
        <v>6500</v>
      </c>
      <c r="BB213" s="299">
        <f t="shared" si="37"/>
        <v>793500</v>
      </c>
      <c r="BC213" s="370"/>
      <c r="BD213" s="371"/>
      <c r="BE213" s="549"/>
      <c r="BF213" s="352">
        <f>BB213+BD213+BC213</f>
        <v>793500</v>
      </c>
      <c r="BG213" s="451" t="str">
        <f t="shared" si="38"/>
        <v>Y</v>
      </c>
      <c r="BH213" s="451"/>
      <c r="BI213" s="299"/>
      <c r="BJ213" s="698"/>
      <c r="BK213" s="698"/>
      <c r="BL213" s="303">
        <v>2032</v>
      </c>
      <c r="BM213" s="706"/>
      <c r="BN213" s="373"/>
      <c r="BO213" s="706"/>
      <c r="BP213" s="716"/>
      <c r="BQ213" s="706"/>
      <c r="BR213" s="373"/>
      <c r="BS213" s="373"/>
      <c r="BT213" s="451" t="str">
        <f t="shared" ref="BT213:BU276" si="39">IF(OR(BL213=2799),"Y","N")</f>
        <v>N</v>
      </c>
      <c r="BU213" s="451" t="str">
        <f t="shared" si="39"/>
        <v>N</v>
      </c>
      <c r="BV213" s="318"/>
      <c r="BW213" s="358"/>
      <c r="BX213" s="359" t="s">
        <v>513</v>
      </c>
      <c r="BY213" s="374" t="s">
        <v>1306</v>
      </c>
      <c r="BZ213" s="624"/>
      <c r="CA213" s="624"/>
      <c r="CB213" s="624"/>
      <c r="CC213" s="624"/>
      <c r="CD213" s="624"/>
      <c r="CE213" s="624"/>
      <c r="CF213" s="624"/>
      <c r="CG213" s="624"/>
      <c r="CH213" s="624"/>
    </row>
    <row r="214" spans="1:86" s="305" customFormat="1" ht="39" customHeight="1">
      <c r="A214" s="275" t="s">
        <v>1772</v>
      </c>
      <c r="B214" s="355">
        <v>157</v>
      </c>
      <c r="C214" s="355"/>
      <c r="D214" s="726" t="s">
        <v>1771</v>
      </c>
      <c r="E214" s="356">
        <v>38991</v>
      </c>
      <c r="F214" s="358">
        <v>2007</v>
      </c>
      <c r="G214" s="358">
        <v>8</v>
      </c>
      <c r="H214" s="358"/>
      <c r="I214" s="358">
        <v>2006</v>
      </c>
      <c r="J214" s="358">
        <v>19</v>
      </c>
      <c r="K214" s="358" t="s">
        <v>570</v>
      </c>
      <c r="L214" s="358" t="s">
        <v>1947</v>
      </c>
      <c r="M214" s="358" t="s">
        <v>1271</v>
      </c>
      <c r="N214" s="359" t="s">
        <v>1965</v>
      </c>
      <c r="O214" s="358" t="s">
        <v>1098</v>
      </c>
      <c r="P214" s="465" t="s">
        <v>1626</v>
      </c>
      <c r="Q214" s="360"/>
      <c r="R214" s="361" t="s">
        <v>362</v>
      </c>
      <c r="S214" s="294" t="s">
        <v>363</v>
      </c>
      <c r="T214" s="1058">
        <v>1340000</v>
      </c>
      <c r="U214" s="295"/>
      <c r="V214" s="295" t="s">
        <v>1770</v>
      </c>
      <c r="W214" s="362"/>
      <c r="X214" s="379"/>
      <c r="Y214" s="293">
        <v>60400</v>
      </c>
      <c r="Z214" s="780"/>
      <c r="AA214" s="293"/>
      <c r="AB214" s="365">
        <f>COUNTIF(AC214, "&gt;49999")</f>
        <v>1</v>
      </c>
      <c r="AC214" s="364">
        <f>25000+38000</f>
        <v>63000</v>
      </c>
      <c r="AD214" s="427"/>
      <c r="AE214" s="299"/>
      <c r="AF214" s="670"/>
      <c r="AG214" s="371">
        <f t="shared" si="35"/>
        <v>63000</v>
      </c>
      <c r="AH214" s="489"/>
      <c r="AI214" s="490"/>
      <c r="AJ214" s="490"/>
      <c r="AK214" s="367"/>
      <c r="AL214" s="363"/>
      <c r="AM214" s="368"/>
      <c r="AN214" s="368"/>
      <c r="AO214" s="368"/>
      <c r="AP214" s="368"/>
      <c r="AQ214" s="368"/>
      <c r="AR214" s="368"/>
      <c r="AS214" s="368"/>
      <c r="AT214" s="368"/>
      <c r="AU214" s="368"/>
      <c r="AV214" s="368"/>
      <c r="AW214" s="368"/>
      <c r="AX214" s="369"/>
      <c r="AY214" s="369"/>
      <c r="AZ214" s="448"/>
      <c r="BA214" s="364"/>
      <c r="BB214" s="299">
        <f t="shared" si="37"/>
        <v>63000</v>
      </c>
      <c r="BC214" s="370"/>
      <c r="BD214" s="371"/>
      <c r="BE214" s="549"/>
      <c r="BF214" s="352">
        <f>BB214+BD214+BC214</f>
        <v>63000</v>
      </c>
      <c r="BG214" s="451" t="str">
        <f t="shared" si="38"/>
        <v>N</v>
      </c>
      <c r="BH214" s="451"/>
      <c r="BI214" s="299"/>
      <c r="BJ214" s="698"/>
      <c r="BK214" s="698"/>
      <c r="BL214" s="303">
        <v>2799</v>
      </c>
      <c r="BM214" s="706"/>
      <c r="BN214" s="373"/>
      <c r="BO214" s="706"/>
      <c r="BP214" s="716"/>
      <c r="BQ214" s="706"/>
      <c r="BR214" s="373"/>
      <c r="BS214" s="373"/>
      <c r="BT214" s="451" t="str">
        <f t="shared" si="39"/>
        <v>Y</v>
      </c>
      <c r="BU214" s="451" t="str">
        <f t="shared" si="39"/>
        <v>N</v>
      </c>
      <c r="BV214" s="318"/>
      <c r="BW214" s="358"/>
      <c r="BX214" s="359" t="s">
        <v>515</v>
      </c>
      <c r="BY214" s="374" t="s">
        <v>1246</v>
      </c>
      <c r="BZ214" s="624"/>
      <c r="CA214" s="624"/>
      <c r="CB214" s="624"/>
      <c r="CC214" s="624"/>
      <c r="CD214" s="624"/>
      <c r="CE214" s="624"/>
      <c r="CF214" s="624"/>
      <c r="CG214" s="624"/>
      <c r="CH214" s="624"/>
    </row>
    <row r="215" spans="1:86" s="305" customFormat="1" ht="39" customHeight="1">
      <c r="A215" s="276"/>
      <c r="B215" s="348">
        <v>158</v>
      </c>
      <c r="C215" s="348"/>
      <c r="D215" s="726" t="str">
        <f t="shared" ref="D215:D220" si="40">L215&amp;" "&amp;N215</f>
        <v>Somalia Conflict</v>
      </c>
      <c r="E215" s="349">
        <v>39022</v>
      </c>
      <c r="F215" s="288">
        <v>2007</v>
      </c>
      <c r="G215" s="288">
        <v>9</v>
      </c>
      <c r="H215" s="288"/>
      <c r="I215" s="358">
        <v>2006</v>
      </c>
      <c r="J215" s="358">
        <v>20</v>
      </c>
      <c r="K215" s="288" t="s">
        <v>1210</v>
      </c>
      <c r="L215" s="288" t="s">
        <v>420</v>
      </c>
      <c r="M215" s="358" t="s">
        <v>1273</v>
      </c>
      <c r="N215" s="359" t="s">
        <v>1940</v>
      </c>
      <c r="O215" s="465" t="s">
        <v>1940</v>
      </c>
      <c r="P215" s="465" t="s">
        <v>1940</v>
      </c>
      <c r="Q215" s="375"/>
      <c r="R215" s="361"/>
      <c r="S215" s="294"/>
      <c r="T215" s="1058"/>
      <c r="U215" s="295"/>
      <c r="V215" s="295"/>
      <c r="W215" s="392"/>
      <c r="X215" s="393"/>
      <c r="Y215" s="293"/>
      <c r="Z215" s="294"/>
      <c r="AA215" s="293"/>
      <c r="AB215" s="365"/>
      <c r="AC215" s="387"/>
      <c r="AD215" s="587">
        <v>50000</v>
      </c>
      <c r="AE215" s="298"/>
      <c r="AF215" s="677"/>
      <c r="AG215" s="371">
        <f t="shared" si="35"/>
        <v>50000</v>
      </c>
      <c r="AH215" s="502"/>
      <c r="AI215" s="503"/>
      <c r="AJ215" s="503"/>
      <c r="AK215" s="388"/>
      <c r="AL215" s="389"/>
      <c r="AM215" s="302"/>
      <c r="AN215" s="302"/>
      <c r="AO215" s="302"/>
      <c r="AP215" s="302"/>
      <c r="AQ215" s="302"/>
      <c r="AR215" s="302"/>
      <c r="AS215" s="302"/>
      <c r="AT215" s="302"/>
      <c r="AU215" s="302"/>
      <c r="AV215" s="302"/>
      <c r="AW215" s="302"/>
      <c r="AX215" s="390"/>
      <c r="AY215" s="390"/>
      <c r="AZ215" s="385"/>
      <c r="BA215" s="387"/>
      <c r="BB215" s="299">
        <f t="shared" si="37"/>
        <v>50000</v>
      </c>
      <c r="BC215" s="394"/>
      <c r="BD215" s="395"/>
      <c r="BE215" s="501"/>
      <c r="BF215" s="352">
        <f>BB215+BC215+BD215</f>
        <v>50000</v>
      </c>
      <c r="BG215" s="451" t="str">
        <f t="shared" si="38"/>
        <v>N</v>
      </c>
      <c r="BH215" s="451"/>
      <c r="BI215" s="299"/>
      <c r="BJ215" s="698"/>
      <c r="BK215" s="698"/>
      <c r="BL215" s="303">
        <v>2799</v>
      </c>
      <c r="BM215" s="706"/>
      <c r="BN215" s="373"/>
      <c r="BO215" s="706"/>
      <c r="BP215" s="716"/>
      <c r="BQ215" s="706"/>
      <c r="BR215" s="373"/>
      <c r="BS215" s="373"/>
      <c r="BT215" s="451" t="str">
        <f t="shared" si="39"/>
        <v>Y</v>
      </c>
      <c r="BU215" s="451" t="str">
        <f t="shared" si="39"/>
        <v>N</v>
      </c>
      <c r="BV215" s="304"/>
      <c r="BW215" s="288"/>
      <c r="BX215" s="290" t="s">
        <v>516</v>
      </c>
      <c r="BY215" s="449" t="s">
        <v>518</v>
      </c>
      <c r="BZ215" s="624"/>
      <c r="CA215" s="624"/>
      <c r="CB215" s="624"/>
      <c r="CC215" s="624"/>
      <c r="CD215" s="624"/>
      <c r="CE215" s="624"/>
      <c r="CF215" s="624"/>
      <c r="CG215" s="624"/>
      <c r="CH215" s="624"/>
    </row>
    <row r="216" spans="1:86" s="305" customFormat="1" ht="39" customHeight="1">
      <c r="A216" s="597" t="s">
        <v>1766</v>
      </c>
      <c r="B216" s="355">
        <v>159</v>
      </c>
      <c r="C216" s="355"/>
      <c r="D216" s="726" t="str">
        <f t="shared" si="40"/>
        <v>Kenya Floods</v>
      </c>
      <c r="E216" s="356">
        <v>39022</v>
      </c>
      <c r="F216" s="358">
        <v>2007</v>
      </c>
      <c r="G216" s="358">
        <v>10</v>
      </c>
      <c r="H216" s="358"/>
      <c r="I216" s="358">
        <v>2006</v>
      </c>
      <c r="J216" s="358">
        <v>21</v>
      </c>
      <c r="K216" s="358" t="s">
        <v>1210</v>
      </c>
      <c r="L216" s="358" t="s">
        <v>1605</v>
      </c>
      <c r="M216" s="303" t="s">
        <v>1271</v>
      </c>
      <c r="N216" s="359" t="s">
        <v>1877</v>
      </c>
      <c r="O216" s="465" t="s">
        <v>1337</v>
      </c>
      <c r="P216" s="465" t="s">
        <v>1337</v>
      </c>
      <c r="Q216" s="360"/>
      <c r="R216" s="361" t="s">
        <v>362</v>
      </c>
      <c r="S216" s="294" t="s">
        <v>363</v>
      </c>
      <c r="T216" s="1058">
        <v>21832647</v>
      </c>
      <c r="U216" s="295"/>
      <c r="V216" s="295" t="s">
        <v>463</v>
      </c>
      <c r="W216" s="362"/>
      <c r="X216" s="550"/>
      <c r="Y216" s="293">
        <v>563000</v>
      </c>
      <c r="Z216" s="780"/>
      <c r="AA216" s="293"/>
      <c r="AB216" s="365">
        <f>COUNTIF(AC216, "&gt;49999")</f>
        <v>1</v>
      </c>
      <c r="AC216" s="543">
        <v>50000</v>
      </c>
      <c r="AD216" s="1050"/>
      <c r="AE216" s="469">
        <v>30000</v>
      </c>
      <c r="AF216" s="682"/>
      <c r="AG216" s="371">
        <f t="shared" si="35"/>
        <v>80000</v>
      </c>
      <c r="AH216" s="473"/>
      <c r="AI216" s="551"/>
      <c r="AJ216" s="551"/>
      <c r="AK216" s="367">
        <v>20000</v>
      </c>
      <c r="AL216" s="363"/>
      <c r="AM216" s="294"/>
      <c r="AN216" s="294"/>
      <c r="AO216" s="294"/>
      <c r="AP216" s="294"/>
      <c r="AQ216" s="294"/>
      <c r="AR216" s="294"/>
      <c r="AS216" s="294"/>
      <c r="AT216" s="294">
        <v>20000</v>
      </c>
      <c r="AU216" s="294"/>
      <c r="AV216" s="294"/>
      <c r="AW216" s="294"/>
      <c r="AX216" s="452"/>
      <c r="AY216" s="452"/>
      <c r="AZ216" s="508">
        <v>120000</v>
      </c>
      <c r="BA216" s="450"/>
      <c r="BB216" s="299">
        <f t="shared" si="37"/>
        <v>200000</v>
      </c>
      <c r="BC216" s="552"/>
      <c r="BD216" s="553"/>
      <c r="BE216" s="552"/>
      <c r="BF216" s="352">
        <f t="shared" ref="BF216:BF223" si="41">BB216+BD216+BC216</f>
        <v>200000</v>
      </c>
      <c r="BG216" s="451" t="str">
        <f t="shared" si="38"/>
        <v>Y</v>
      </c>
      <c r="BH216" s="451"/>
      <c r="BI216" s="299"/>
      <c r="BJ216" s="698"/>
      <c r="BK216" s="698"/>
      <c r="BL216" s="303" t="s">
        <v>1355</v>
      </c>
      <c r="BM216" s="706"/>
      <c r="BN216" s="373"/>
      <c r="BO216" s="706"/>
      <c r="BP216" s="716"/>
      <c r="BQ216" s="706"/>
      <c r="BR216" s="373"/>
      <c r="BS216" s="373"/>
      <c r="BT216" s="451" t="str">
        <f t="shared" si="39"/>
        <v>N</v>
      </c>
      <c r="BU216" s="451" t="str">
        <f t="shared" si="39"/>
        <v>N</v>
      </c>
      <c r="BV216" s="318"/>
      <c r="BW216" s="358"/>
      <c r="BX216" s="359"/>
      <c r="BY216" s="374" t="s">
        <v>1356</v>
      </c>
      <c r="BZ216" s="624"/>
      <c r="CA216" s="624"/>
      <c r="CB216" s="624"/>
      <c r="CC216" s="624"/>
      <c r="CD216" s="624"/>
      <c r="CE216" s="624"/>
      <c r="CF216" s="624"/>
      <c r="CG216" s="624"/>
      <c r="CH216" s="624"/>
    </row>
    <row r="217" spans="1:86" s="305" customFormat="1" ht="39" customHeight="1">
      <c r="A217" s="276"/>
      <c r="B217" s="348">
        <v>160</v>
      </c>
      <c r="C217" s="348"/>
      <c r="D217" s="726" t="str">
        <f t="shared" si="40"/>
        <v>Somalia Floods</v>
      </c>
      <c r="E217" s="349">
        <v>39022</v>
      </c>
      <c r="F217" s="288">
        <v>2007</v>
      </c>
      <c r="G217" s="288">
        <v>11</v>
      </c>
      <c r="H217" s="288"/>
      <c r="I217" s="288">
        <v>2006</v>
      </c>
      <c r="J217" s="288">
        <v>22</v>
      </c>
      <c r="K217" s="288" t="s">
        <v>1210</v>
      </c>
      <c r="L217" s="288" t="s">
        <v>420</v>
      </c>
      <c r="M217" s="300" t="s">
        <v>1271</v>
      </c>
      <c r="N217" s="359" t="s">
        <v>1877</v>
      </c>
      <c r="O217" s="465" t="s">
        <v>1337</v>
      </c>
      <c r="P217" s="465" t="s">
        <v>1337</v>
      </c>
      <c r="Q217" s="375"/>
      <c r="R217" s="361" t="s">
        <v>362</v>
      </c>
      <c r="S217" s="294" t="s">
        <v>365</v>
      </c>
      <c r="T217" s="1058">
        <v>33508000</v>
      </c>
      <c r="U217" s="554"/>
      <c r="V217" s="554" t="s">
        <v>1233</v>
      </c>
      <c r="W217" s="392"/>
      <c r="X217" s="393"/>
      <c r="Y217" s="293">
        <v>324000</v>
      </c>
      <c r="Z217" s="294"/>
      <c r="AA217" s="293"/>
      <c r="AB217" s="365"/>
      <c r="AC217" s="387"/>
      <c r="AD217" s="587">
        <v>100000</v>
      </c>
      <c r="AE217" s="298"/>
      <c r="AF217" s="677"/>
      <c r="AG217" s="371">
        <f t="shared" si="35"/>
        <v>100000</v>
      </c>
      <c r="AH217" s="502"/>
      <c r="AI217" s="503"/>
      <c r="AJ217" s="503"/>
      <c r="AK217" s="388"/>
      <c r="AL217" s="389"/>
      <c r="AM217" s="302"/>
      <c r="AN217" s="302"/>
      <c r="AO217" s="302"/>
      <c r="AP217" s="302"/>
      <c r="AQ217" s="302"/>
      <c r="AR217" s="302"/>
      <c r="AS217" s="302"/>
      <c r="AT217" s="302"/>
      <c r="AU217" s="302"/>
      <c r="AV217" s="302"/>
      <c r="AW217" s="302"/>
      <c r="AX217" s="390"/>
      <c r="AY217" s="390"/>
      <c r="AZ217" s="385"/>
      <c r="BA217" s="387"/>
      <c r="BB217" s="299">
        <f t="shared" si="37"/>
        <v>100000</v>
      </c>
      <c r="BC217" s="394"/>
      <c r="BD217" s="395"/>
      <c r="BE217" s="501"/>
      <c r="BF217" s="352">
        <f>BB217+BC217+BD217</f>
        <v>100000</v>
      </c>
      <c r="BG217" s="451" t="str">
        <f t="shared" si="38"/>
        <v>N</v>
      </c>
      <c r="BH217" s="451"/>
      <c r="BI217" s="299"/>
      <c r="BJ217" s="698"/>
      <c r="BK217" s="698"/>
      <c r="BL217" s="303">
        <v>2099</v>
      </c>
      <c r="BM217" s="706"/>
      <c r="BN217" s="373"/>
      <c r="BO217" s="706"/>
      <c r="BP217" s="716"/>
      <c r="BQ217" s="706"/>
      <c r="BR217" s="373"/>
      <c r="BS217" s="373"/>
      <c r="BT217" s="451" t="str">
        <f t="shared" si="39"/>
        <v>N</v>
      </c>
      <c r="BU217" s="451" t="str">
        <f t="shared" si="39"/>
        <v>N</v>
      </c>
      <c r="BV217" s="304"/>
      <c r="BW217" s="288"/>
      <c r="BX217" s="290"/>
      <c r="BY217" s="449" t="s">
        <v>526</v>
      </c>
      <c r="BZ217" s="624"/>
      <c r="CA217" s="624"/>
      <c r="CB217" s="624"/>
      <c r="CC217" s="624"/>
      <c r="CD217" s="624"/>
      <c r="CE217" s="624"/>
      <c r="CF217" s="624"/>
      <c r="CG217" s="624"/>
      <c r="CH217" s="624"/>
    </row>
    <row r="218" spans="1:86" s="305" customFormat="1" ht="39" customHeight="1">
      <c r="A218" s="275" t="s">
        <v>462</v>
      </c>
      <c r="B218" s="355">
        <v>161</v>
      </c>
      <c r="C218" s="355"/>
      <c r="D218" s="726" t="str">
        <f t="shared" si="40"/>
        <v>Mozambique Floods</v>
      </c>
      <c r="E218" s="487">
        <v>39114</v>
      </c>
      <c r="F218" s="358">
        <v>2007</v>
      </c>
      <c r="G218" s="358">
        <v>12</v>
      </c>
      <c r="H218" s="358"/>
      <c r="I218" s="358">
        <v>2007</v>
      </c>
      <c r="J218" s="358">
        <v>1</v>
      </c>
      <c r="K218" s="358" t="s">
        <v>1210</v>
      </c>
      <c r="L218" s="358" t="s">
        <v>1563</v>
      </c>
      <c r="M218" s="303" t="s">
        <v>1271</v>
      </c>
      <c r="N218" s="359" t="s">
        <v>1877</v>
      </c>
      <c r="O218" s="465" t="s">
        <v>1337</v>
      </c>
      <c r="P218" s="465" t="s">
        <v>1337</v>
      </c>
      <c r="Q218" s="360"/>
      <c r="R218" s="361" t="s">
        <v>362</v>
      </c>
      <c r="S218" s="294" t="s">
        <v>363</v>
      </c>
      <c r="T218" s="1058">
        <v>5971938</v>
      </c>
      <c r="U218" s="295"/>
      <c r="V218" s="295" t="s">
        <v>461</v>
      </c>
      <c r="W218" s="362"/>
      <c r="X218" s="542"/>
      <c r="Y218" s="293">
        <v>100000</v>
      </c>
      <c r="Z218" s="294"/>
      <c r="AA218" s="293"/>
      <c r="AB218" s="365"/>
      <c r="AC218" s="543"/>
      <c r="AD218" s="1050"/>
      <c r="AE218" s="295"/>
      <c r="AF218" s="685"/>
      <c r="AG218" s="371">
        <f t="shared" si="35"/>
        <v>0</v>
      </c>
      <c r="AH218" s="473">
        <v>2</v>
      </c>
      <c r="AI218" s="551" t="s">
        <v>226</v>
      </c>
      <c r="AJ218" s="551"/>
      <c r="AK218" s="367">
        <f>10950+16000</f>
        <v>26950</v>
      </c>
      <c r="AL218" s="363"/>
      <c r="AM218" s="293"/>
      <c r="AN218" s="293">
        <v>7050</v>
      </c>
      <c r="AO218" s="293"/>
      <c r="AP218" s="293"/>
      <c r="AQ218" s="293"/>
      <c r="AR218" s="293"/>
      <c r="AS218" s="293"/>
      <c r="AT218" s="293"/>
      <c r="AU218" s="293"/>
      <c r="AV218" s="293">
        <v>3900</v>
      </c>
      <c r="AW218" s="293"/>
      <c r="AX218" s="544"/>
      <c r="AY218" s="544"/>
      <c r="AZ218" s="555">
        <v>200000</v>
      </c>
      <c r="BA218" s="543">
        <v>45000</v>
      </c>
      <c r="BB218" s="299">
        <f t="shared" si="37"/>
        <v>245000</v>
      </c>
      <c r="BC218" s="546"/>
      <c r="BD218" s="547"/>
      <c r="BE218" s="549"/>
      <c r="BF218" s="352">
        <f t="shared" si="41"/>
        <v>245000</v>
      </c>
      <c r="BG218" s="451" t="str">
        <f t="shared" si="38"/>
        <v>Y</v>
      </c>
      <c r="BH218" s="451"/>
      <c r="BI218" s="299"/>
      <c r="BJ218" s="698"/>
      <c r="BK218" s="698"/>
      <c r="BL218" s="303" t="s">
        <v>1354</v>
      </c>
      <c r="BM218" s="706"/>
      <c r="BN218" s="373"/>
      <c r="BO218" s="706"/>
      <c r="BP218" s="716"/>
      <c r="BQ218" s="706"/>
      <c r="BR218" s="373"/>
      <c r="BS218" s="373"/>
      <c r="BT218" s="451" t="str">
        <f t="shared" si="39"/>
        <v>N</v>
      </c>
      <c r="BU218" s="451" t="str">
        <f t="shared" si="39"/>
        <v>N</v>
      </c>
      <c r="BV218" s="318"/>
      <c r="BW218" s="358"/>
      <c r="BX218" s="359" t="s">
        <v>527</v>
      </c>
      <c r="BY218" s="374" t="s">
        <v>1353</v>
      </c>
      <c r="BZ218" s="624"/>
      <c r="CA218" s="624"/>
      <c r="CB218" s="624"/>
      <c r="CC218" s="624"/>
      <c r="CD218" s="624"/>
      <c r="CE218" s="624"/>
      <c r="CF218" s="624"/>
      <c r="CG218" s="624"/>
      <c r="CH218" s="624"/>
    </row>
    <row r="219" spans="1:86" s="305" customFormat="1" ht="39" customHeight="1">
      <c r="A219" s="275" t="s">
        <v>459</v>
      </c>
      <c r="B219" s="355">
        <v>162</v>
      </c>
      <c r="C219" s="355"/>
      <c r="D219" s="726" t="str">
        <f t="shared" si="40"/>
        <v>Bolivia Floods</v>
      </c>
      <c r="E219" s="487">
        <v>39114</v>
      </c>
      <c r="F219" s="358">
        <v>2007</v>
      </c>
      <c r="G219" s="358">
        <v>13</v>
      </c>
      <c r="H219" s="358"/>
      <c r="I219" s="358">
        <v>2007</v>
      </c>
      <c r="J219" s="358">
        <v>2</v>
      </c>
      <c r="K219" s="358" t="s">
        <v>1211</v>
      </c>
      <c r="L219" s="358" t="s">
        <v>1653</v>
      </c>
      <c r="M219" s="303" t="s">
        <v>1271</v>
      </c>
      <c r="N219" s="359" t="s">
        <v>1877</v>
      </c>
      <c r="O219" s="465" t="s">
        <v>1337</v>
      </c>
      <c r="P219" s="465" t="s">
        <v>1337</v>
      </c>
      <c r="Q219" s="360"/>
      <c r="R219" s="361" t="s">
        <v>362</v>
      </c>
      <c r="S219" s="294" t="s">
        <v>363</v>
      </c>
      <c r="T219" s="1058">
        <v>484360</v>
      </c>
      <c r="U219" s="295"/>
      <c r="V219" s="295" t="s">
        <v>460</v>
      </c>
      <c r="W219" s="362"/>
      <c r="X219" s="542"/>
      <c r="Y219" s="293">
        <v>35940</v>
      </c>
      <c r="Z219" s="780"/>
      <c r="AA219" s="293"/>
      <c r="AB219" s="365">
        <f>COUNTIF(AC219, "&gt;49999")</f>
        <v>1</v>
      </c>
      <c r="AC219" s="543">
        <v>150000</v>
      </c>
      <c r="AD219" s="1050"/>
      <c r="AE219" s="295"/>
      <c r="AF219" s="685"/>
      <c r="AG219" s="371">
        <f t="shared" si="35"/>
        <v>150000</v>
      </c>
      <c r="AH219" s="473"/>
      <c r="AI219" s="551"/>
      <c r="AJ219" s="551"/>
      <c r="AK219" s="367"/>
      <c r="AL219" s="363"/>
      <c r="AM219" s="293"/>
      <c r="AN219" s="293"/>
      <c r="AO219" s="293"/>
      <c r="AP219" s="293"/>
      <c r="AQ219" s="293"/>
      <c r="AR219" s="293"/>
      <c r="AS219" s="293"/>
      <c r="AT219" s="293"/>
      <c r="AU219" s="293"/>
      <c r="AV219" s="293"/>
      <c r="AW219" s="293"/>
      <c r="AX219" s="544"/>
      <c r="AY219" s="544"/>
      <c r="AZ219" s="508"/>
      <c r="BA219" s="543"/>
      <c r="BB219" s="299">
        <f t="shared" si="37"/>
        <v>150000</v>
      </c>
      <c r="BC219" s="546"/>
      <c r="BD219" s="547"/>
      <c r="BE219" s="549"/>
      <c r="BF219" s="352">
        <f t="shared" si="41"/>
        <v>150000</v>
      </c>
      <c r="BG219" s="451" t="str">
        <f t="shared" si="38"/>
        <v>Y</v>
      </c>
      <c r="BH219" s="451"/>
      <c r="BI219" s="299"/>
      <c r="BJ219" s="698"/>
      <c r="BK219" s="698"/>
      <c r="BL219" s="303" t="s">
        <v>1909</v>
      </c>
      <c r="BM219" s="706"/>
      <c r="BN219" s="373"/>
      <c r="BO219" s="706"/>
      <c r="BP219" s="716"/>
      <c r="BQ219" s="706"/>
      <c r="BR219" s="373"/>
      <c r="BS219" s="373"/>
      <c r="BT219" s="451" t="str">
        <f t="shared" si="39"/>
        <v>N</v>
      </c>
      <c r="BU219" s="451" t="str">
        <f t="shared" si="39"/>
        <v>N</v>
      </c>
      <c r="BV219" s="318"/>
      <c r="BW219" s="358"/>
      <c r="BX219" s="359"/>
      <c r="BY219" s="374" t="s">
        <v>1908</v>
      </c>
      <c r="BZ219" s="624"/>
      <c r="CA219" s="624"/>
      <c r="CB219" s="624"/>
      <c r="CC219" s="624"/>
      <c r="CD219" s="624"/>
      <c r="CE219" s="624"/>
      <c r="CF219" s="624"/>
      <c r="CG219" s="624"/>
      <c r="CH219" s="624"/>
    </row>
    <row r="220" spans="1:86" s="305" customFormat="1" ht="39" customHeight="1">
      <c r="A220" s="275"/>
      <c r="B220" s="355">
        <v>163</v>
      </c>
      <c r="C220" s="355"/>
      <c r="D220" s="726" t="str">
        <f t="shared" si="40"/>
        <v>Sri Lanka Conflict</v>
      </c>
      <c r="E220" s="487">
        <v>39142</v>
      </c>
      <c r="F220" s="358">
        <v>2007</v>
      </c>
      <c r="G220" s="358">
        <v>14</v>
      </c>
      <c r="H220" s="358"/>
      <c r="I220" s="358">
        <v>2007</v>
      </c>
      <c r="J220" s="358">
        <v>3</v>
      </c>
      <c r="K220" s="358" t="s">
        <v>570</v>
      </c>
      <c r="L220" s="358" t="s">
        <v>1637</v>
      </c>
      <c r="M220" s="358" t="s">
        <v>1273</v>
      </c>
      <c r="N220" s="359" t="s">
        <v>1940</v>
      </c>
      <c r="O220" s="465" t="s">
        <v>1940</v>
      </c>
      <c r="P220" s="465" t="s">
        <v>1940</v>
      </c>
      <c r="Q220" s="360"/>
      <c r="R220" s="361" t="s">
        <v>362</v>
      </c>
      <c r="S220" s="294" t="s">
        <v>365</v>
      </c>
      <c r="T220" s="1058">
        <v>32018000</v>
      </c>
      <c r="U220" s="295"/>
      <c r="V220" s="295" t="s">
        <v>1230</v>
      </c>
      <c r="W220" s="362"/>
      <c r="X220" s="542"/>
      <c r="Y220" s="293">
        <v>150000</v>
      </c>
      <c r="Z220" s="294"/>
      <c r="AA220" s="293"/>
      <c r="AB220" s="365"/>
      <c r="AC220" s="543"/>
      <c r="AD220" s="1050">
        <v>2000000</v>
      </c>
      <c r="AE220" s="295"/>
      <c r="AF220" s="685"/>
      <c r="AG220" s="371">
        <f t="shared" si="35"/>
        <v>2000000</v>
      </c>
      <c r="AH220" s="473"/>
      <c r="AI220" s="551"/>
      <c r="AJ220" s="551"/>
      <c r="AK220" s="367"/>
      <c r="AL220" s="363"/>
      <c r="AM220" s="293"/>
      <c r="AN220" s="293"/>
      <c r="AO220" s="293"/>
      <c r="AP220" s="293"/>
      <c r="AQ220" s="293"/>
      <c r="AR220" s="293"/>
      <c r="AS220" s="293"/>
      <c r="AT220" s="293"/>
      <c r="AU220" s="293"/>
      <c r="AV220" s="293"/>
      <c r="AW220" s="293"/>
      <c r="AX220" s="544"/>
      <c r="AY220" s="544"/>
      <c r="AZ220" s="508"/>
      <c r="BA220" s="543"/>
      <c r="BB220" s="299">
        <f t="shared" si="37"/>
        <v>2000000</v>
      </c>
      <c r="BC220" s="546"/>
      <c r="BD220" s="547"/>
      <c r="BE220" s="549"/>
      <c r="BF220" s="352">
        <f t="shared" si="41"/>
        <v>2000000</v>
      </c>
      <c r="BG220" s="451" t="str">
        <f t="shared" si="38"/>
        <v>Y</v>
      </c>
      <c r="BH220" s="451"/>
      <c r="BI220" s="299"/>
      <c r="BJ220" s="698"/>
      <c r="BK220" s="698"/>
      <c r="BL220" s="303" t="s">
        <v>1907</v>
      </c>
      <c r="BM220" s="706"/>
      <c r="BN220" s="373"/>
      <c r="BO220" s="706"/>
      <c r="BP220" s="716"/>
      <c r="BQ220" s="706"/>
      <c r="BR220" s="373"/>
      <c r="BS220" s="373"/>
      <c r="BT220" s="451" t="str">
        <f t="shared" si="39"/>
        <v>N</v>
      </c>
      <c r="BU220" s="451" t="str">
        <f t="shared" si="39"/>
        <v>N</v>
      </c>
      <c r="BV220" s="318"/>
      <c r="BW220" s="358"/>
      <c r="BX220" s="359"/>
      <c r="BY220" s="374" t="s">
        <v>529</v>
      </c>
      <c r="BZ220" s="624"/>
      <c r="CA220" s="624"/>
      <c r="CB220" s="624"/>
      <c r="CC220" s="624"/>
      <c r="CD220" s="624"/>
      <c r="CE220" s="624"/>
      <c r="CF220" s="624"/>
      <c r="CG220" s="624"/>
      <c r="CH220" s="624"/>
    </row>
    <row r="221" spans="1:86" s="305" customFormat="1" ht="39" customHeight="1">
      <c r="A221" s="275"/>
      <c r="B221" s="355">
        <v>164</v>
      </c>
      <c r="C221" s="355"/>
      <c r="D221" s="726" t="s">
        <v>458</v>
      </c>
      <c r="E221" s="487">
        <v>39142</v>
      </c>
      <c r="F221" s="358">
        <v>2007</v>
      </c>
      <c r="G221" s="358">
        <v>15</v>
      </c>
      <c r="H221" s="358"/>
      <c r="I221" s="358">
        <v>2007</v>
      </c>
      <c r="J221" s="358">
        <v>4</v>
      </c>
      <c r="K221" s="358" t="s">
        <v>1210</v>
      </c>
      <c r="L221" s="358" t="s">
        <v>1564</v>
      </c>
      <c r="M221" s="358" t="s">
        <v>1271</v>
      </c>
      <c r="N221" s="359" t="s">
        <v>1965</v>
      </c>
      <c r="O221" s="358" t="s">
        <v>1098</v>
      </c>
      <c r="P221" s="465" t="s">
        <v>1945</v>
      </c>
      <c r="Q221" s="360"/>
      <c r="R221" s="361" t="s">
        <v>362</v>
      </c>
      <c r="S221" s="294" t="s">
        <v>363</v>
      </c>
      <c r="T221" s="1058">
        <v>1649430</v>
      </c>
      <c r="U221" s="295"/>
      <c r="V221" s="295" t="s">
        <v>457</v>
      </c>
      <c r="W221" s="362"/>
      <c r="X221" s="542"/>
      <c r="Y221" s="293">
        <v>60000</v>
      </c>
      <c r="Z221" s="294"/>
      <c r="AA221" s="293"/>
      <c r="AB221" s="365"/>
      <c r="AC221" s="543"/>
      <c r="AD221" s="1050"/>
      <c r="AE221" s="295"/>
      <c r="AF221" s="685"/>
      <c r="AG221" s="371">
        <f t="shared" si="35"/>
        <v>0</v>
      </c>
      <c r="AH221" s="473">
        <v>5</v>
      </c>
      <c r="AI221" s="551" t="s">
        <v>226</v>
      </c>
      <c r="AJ221" s="551"/>
      <c r="AK221" s="367">
        <v>10000</v>
      </c>
      <c r="AL221" s="363"/>
      <c r="AM221" s="294"/>
      <c r="AN221" s="294"/>
      <c r="AO221" s="294"/>
      <c r="AP221" s="294"/>
      <c r="AQ221" s="294"/>
      <c r="AR221" s="294"/>
      <c r="AS221" s="294"/>
      <c r="AT221" s="294">
        <v>1000</v>
      </c>
      <c r="AU221" s="294"/>
      <c r="AV221" s="294"/>
      <c r="AW221" s="294"/>
      <c r="AX221" s="452"/>
      <c r="AY221" s="452"/>
      <c r="AZ221" s="555">
        <v>74000</v>
      </c>
      <c r="BA221" s="543">
        <v>28000</v>
      </c>
      <c r="BB221" s="299">
        <f t="shared" si="37"/>
        <v>102000</v>
      </c>
      <c r="BC221" s="546"/>
      <c r="BD221" s="547"/>
      <c r="BE221" s="549"/>
      <c r="BF221" s="352">
        <f t="shared" si="41"/>
        <v>102000</v>
      </c>
      <c r="BG221" s="451" t="str">
        <f t="shared" si="38"/>
        <v>Y</v>
      </c>
      <c r="BH221" s="451"/>
      <c r="BI221" s="299"/>
      <c r="BJ221" s="698"/>
      <c r="BK221" s="698"/>
      <c r="BL221" s="303" t="s">
        <v>1910</v>
      </c>
      <c r="BM221" s="706"/>
      <c r="BN221" s="373"/>
      <c r="BO221" s="706"/>
      <c r="BP221" s="716"/>
      <c r="BQ221" s="706"/>
      <c r="BR221" s="373"/>
      <c r="BS221" s="373"/>
      <c r="BT221" s="451" t="str">
        <f t="shared" si="39"/>
        <v>N</v>
      </c>
      <c r="BU221" s="451" t="str">
        <f t="shared" si="39"/>
        <v>N</v>
      </c>
      <c r="BV221" s="318"/>
      <c r="BW221" s="358"/>
      <c r="BX221" s="359" t="s">
        <v>530</v>
      </c>
      <c r="BY221" s="374" t="s">
        <v>620</v>
      </c>
      <c r="BZ221" s="624"/>
      <c r="CA221" s="624"/>
      <c r="CB221" s="624"/>
      <c r="CC221" s="624"/>
      <c r="CD221" s="624"/>
      <c r="CE221" s="624"/>
      <c r="CF221" s="624"/>
      <c r="CG221" s="624"/>
      <c r="CH221" s="624"/>
    </row>
    <row r="222" spans="1:86" s="305" customFormat="1" ht="39" customHeight="1">
      <c r="A222" s="594" t="s">
        <v>455</v>
      </c>
      <c r="B222" s="348">
        <v>165</v>
      </c>
      <c r="C222" s="348"/>
      <c r="D222" s="726" t="s">
        <v>456</v>
      </c>
      <c r="E222" s="349">
        <v>39173</v>
      </c>
      <c r="F222" s="288">
        <v>2007</v>
      </c>
      <c r="G222" s="288">
        <v>16</v>
      </c>
      <c r="H222" s="288"/>
      <c r="I222" s="288">
        <v>2007</v>
      </c>
      <c r="J222" s="288">
        <v>5</v>
      </c>
      <c r="K222" s="288" t="s">
        <v>570</v>
      </c>
      <c r="L222" s="288" t="s">
        <v>1897</v>
      </c>
      <c r="M222" s="288" t="s">
        <v>1961</v>
      </c>
      <c r="N222" s="290" t="s">
        <v>1884</v>
      </c>
      <c r="O222" s="288" t="s">
        <v>2005</v>
      </c>
      <c r="P222" s="288" t="s">
        <v>2005</v>
      </c>
      <c r="Q222" s="375"/>
      <c r="R222" s="361" t="s">
        <v>362</v>
      </c>
      <c r="S222" s="294" t="s">
        <v>363</v>
      </c>
      <c r="T222" s="1058">
        <v>1405645</v>
      </c>
      <c r="U222" s="295"/>
      <c r="V222" s="295" t="s">
        <v>454</v>
      </c>
      <c r="W222" s="392"/>
      <c r="X222" s="533"/>
      <c r="Y222" s="293">
        <v>9000</v>
      </c>
      <c r="Z222" s="780"/>
      <c r="AA222" s="293"/>
      <c r="AB222" s="365">
        <f>COUNTIF(AC222, "&gt;49999")</f>
        <v>1</v>
      </c>
      <c r="AC222" s="534">
        <v>50000</v>
      </c>
      <c r="AD222" s="565"/>
      <c r="AE222" s="535"/>
      <c r="AF222" s="684"/>
      <c r="AG222" s="371">
        <f t="shared" si="35"/>
        <v>50000</v>
      </c>
      <c r="AH222" s="502"/>
      <c r="AI222" s="503"/>
      <c r="AJ222" s="503"/>
      <c r="AK222" s="388"/>
      <c r="AL222" s="389"/>
      <c r="AM222" s="301"/>
      <c r="AN222" s="301"/>
      <c r="AO222" s="301"/>
      <c r="AP222" s="301"/>
      <c r="AQ222" s="301"/>
      <c r="AR222" s="301"/>
      <c r="AS222" s="301"/>
      <c r="AT222" s="301"/>
      <c r="AU222" s="301"/>
      <c r="AV222" s="301"/>
      <c r="AW222" s="301"/>
      <c r="AX222" s="536"/>
      <c r="AY222" s="536"/>
      <c r="AZ222" s="537"/>
      <c r="BA222" s="534"/>
      <c r="BB222" s="299">
        <f t="shared" si="37"/>
        <v>50000</v>
      </c>
      <c r="BC222" s="538"/>
      <c r="BD222" s="539"/>
      <c r="BE222" s="501"/>
      <c r="BF222" s="352">
        <f t="shared" si="41"/>
        <v>50000</v>
      </c>
      <c r="BG222" s="451" t="str">
        <f t="shared" si="38"/>
        <v>Y</v>
      </c>
      <c r="BH222" s="451"/>
      <c r="BI222" s="299"/>
      <c r="BJ222" s="698"/>
      <c r="BK222" s="698"/>
      <c r="BL222" s="303">
        <v>2881</v>
      </c>
      <c r="BM222" s="706"/>
      <c r="BN222" s="373"/>
      <c r="BO222" s="706"/>
      <c r="BP222" s="716"/>
      <c r="BQ222" s="706"/>
      <c r="BR222" s="373"/>
      <c r="BS222" s="373"/>
      <c r="BT222" s="451" t="str">
        <f t="shared" si="39"/>
        <v>N</v>
      </c>
      <c r="BU222" s="451" t="str">
        <f t="shared" si="39"/>
        <v>N</v>
      </c>
      <c r="BV222" s="304"/>
      <c r="BW222" s="288"/>
      <c r="BX222" s="290"/>
      <c r="BY222" s="449" t="s">
        <v>528</v>
      </c>
      <c r="BZ222" s="624"/>
      <c r="CA222" s="624"/>
      <c r="CB222" s="624"/>
      <c r="CC222" s="624"/>
      <c r="CD222" s="624"/>
      <c r="CE222" s="624"/>
      <c r="CF222" s="624"/>
      <c r="CG222" s="624"/>
      <c r="CH222" s="624"/>
    </row>
    <row r="223" spans="1:86" s="305" customFormat="1" ht="39" customHeight="1">
      <c r="A223" s="276"/>
      <c r="B223" s="348">
        <v>166</v>
      </c>
      <c r="C223" s="348"/>
      <c r="D223" s="726" t="s">
        <v>452</v>
      </c>
      <c r="E223" s="349">
        <v>39203</v>
      </c>
      <c r="F223" s="288">
        <v>2007</v>
      </c>
      <c r="G223" s="288">
        <v>17</v>
      </c>
      <c r="H223" s="288"/>
      <c r="I223" s="288">
        <v>2007</v>
      </c>
      <c r="J223" s="358">
        <v>6</v>
      </c>
      <c r="K223" s="288" t="s">
        <v>1211</v>
      </c>
      <c r="L223" s="288" t="s">
        <v>717</v>
      </c>
      <c r="M223" s="300" t="s">
        <v>1271</v>
      </c>
      <c r="N223" s="359" t="s">
        <v>1877</v>
      </c>
      <c r="O223" s="465" t="s">
        <v>1337</v>
      </c>
      <c r="P223" s="465" t="s">
        <v>1337</v>
      </c>
      <c r="Q223" s="375"/>
      <c r="R223" s="361"/>
      <c r="S223" s="294"/>
      <c r="T223" s="1058"/>
      <c r="U223" s="295"/>
      <c r="V223" s="295"/>
      <c r="W223" s="392"/>
      <c r="X223" s="533"/>
      <c r="Y223" s="293"/>
      <c r="Z223" s="294"/>
      <c r="AA223" s="293">
        <v>3600</v>
      </c>
      <c r="AB223" s="365"/>
      <c r="AC223" s="534"/>
      <c r="AD223" s="565"/>
      <c r="AE223" s="535">
        <v>5000</v>
      </c>
      <c r="AF223" s="684"/>
      <c r="AG223" s="371">
        <f t="shared" si="35"/>
        <v>5000</v>
      </c>
      <c r="AH223" s="502"/>
      <c r="AI223" s="503"/>
      <c r="AJ223" s="503"/>
      <c r="AK223" s="388"/>
      <c r="AL223" s="389"/>
      <c r="AM223" s="301"/>
      <c r="AN223" s="301"/>
      <c r="AO223" s="301"/>
      <c r="AP223" s="301"/>
      <c r="AQ223" s="301"/>
      <c r="AR223" s="301"/>
      <c r="AS223" s="301"/>
      <c r="AT223" s="301"/>
      <c r="AU223" s="301"/>
      <c r="AV223" s="301"/>
      <c r="AW223" s="301"/>
      <c r="AX223" s="536"/>
      <c r="AY223" s="536"/>
      <c r="AZ223" s="537"/>
      <c r="BA223" s="534"/>
      <c r="BB223" s="299">
        <f t="shared" si="37"/>
        <v>5000</v>
      </c>
      <c r="BC223" s="538"/>
      <c r="BD223" s="539"/>
      <c r="BE223" s="501"/>
      <c r="BF223" s="352">
        <f t="shared" si="41"/>
        <v>5000</v>
      </c>
      <c r="BG223" s="451" t="str">
        <f t="shared" si="38"/>
        <v>N</v>
      </c>
      <c r="BH223" s="451"/>
      <c r="BI223" s="299"/>
      <c r="BJ223" s="698"/>
      <c r="BK223" s="698"/>
      <c r="BL223" s="303">
        <v>2799</v>
      </c>
      <c r="BM223" s="706"/>
      <c r="BN223" s="373"/>
      <c r="BO223" s="706"/>
      <c r="BP223" s="716"/>
      <c r="BQ223" s="706"/>
      <c r="BR223" s="373"/>
      <c r="BS223" s="373"/>
      <c r="BT223" s="451" t="str">
        <f t="shared" si="39"/>
        <v>Y</v>
      </c>
      <c r="BU223" s="451" t="str">
        <f t="shared" si="39"/>
        <v>N</v>
      </c>
      <c r="BV223" s="304"/>
      <c r="BW223" s="288"/>
      <c r="BX223" s="290" t="s">
        <v>284</v>
      </c>
      <c r="BY223" s="449" t="s">
        <v>22</v>
      </c>
      <c r="BZ223" s="624"/>
      <c r="CA223" s="624"/>
      <c r="CB223" s="624"/>
      <c r="CC223" s="624"/>
      <c r="CD223" s="624"/>
      <c r="CE223" s="624"/>
      <c r="CF223" s="624"/>
      <c r="CG223" s="624"/>
      <c r="CH223" s="624"/>
    </row>
    <row r="224" spans="1:86" s="305" customFormat="1" ht="39" customHeight="1">
      <c r="A224" s="276"/>
      <c r="B224" s="348">
        <v>167</v>
      </c>
      <c r="C224" s="348"/>
      <c r="D224" s="726" t="s">
        <v>453</v>
      </c>
      <c r="E224" s="349">
        <v>39203</v>
      </c>
      <c r="F224" s="288">
        <v>2007</v>
      </c>
      <c r="G224" s="288">
        <v>18</v>
      </c>
      <c r="H224" s="288"/>
      <c r="I224" s="288">
        <v>2007</v>
      </c>
      <c r="J224" s="288">
        <v>7</v>
      </c>
      <c r="K224" s="288" t="s">
        <v>1211</v>
      </c>
      <c r="L224" s="288" t="s">
        <v>1876</v>
      </c>
      <c r="M224" s="358" t="s">
        <v>1271</v>
      </c>
      <c r="N224" s="359" t="s">
        <v>1965</v>
      </c>
      <c r="O224" s="288" t="s">
        <v>1100</v>
      </c>
      <c r="P224" s="288" t="s">
        <v>23</v>
      </c>
      <c r="Q224" s="375"/>
      <c r="R224" s="361"/>
      <c r="S224" s="294" t="s">
        <v>1832</v>
      </c>
      <c r="T224" s="1058"/>
      <c r="U224" s="295"/>
      <c r="V224" s="295"/>
      <c r="W224" s="392"/>
      <c r="X224" s="533"/>
      <c r="Y224" s="293"/>
      <c r="Z224" s="294"/>
      <c r="AA224" s="293">
        <v>3000</v>
      </c>
      <c r="AB224" s="365"/>
      <c r="AC224" s="387"/>
      <c r="AD224" s="587"/>
      <c r="AE224" s="535">
        <v>20000</v>
      </c>
      <c r="AF224" s="684"/>
      <c r="AG224" s="371">
        <f t="shared" si="35"/>
        <v>20000</v>
      </c>
      <c r="AH224" s="502"/>
      <c r="AI224" s="503"/>
      <c r="AJ224" s="503"/>
      <c r="AK224" s="388"/>
      <c r="AL224" s="389"/>
      <c r="AM224" s="302"/>
      <c r="AN224" s="302"/>
      <c r="AO224" s="302"/>
      <c r="AP224" s="302"/>
      <c r="AQ224" s="302"/>
      <c r="AR224" s="302"/>
      <c r="AS224" s="302"/>
      <c r="AT224" s="302"/>
      <c r="AU224" s="302"/>
      <c r="AV224" s="302"/>
      <c r="AW224" s="302"/>
      <c r="AX224" s="390"/>
      <c r="AY224" s="390"/>
      <c r="AZ224" s="537"/>
      <c r="BA224" s="534"/>
      <c r="BB224" s="299">
        <f t="shared" si="37"/>
        <v>20000</v>
      </c>
      <c r="BC224" s="538"/>
      <c r="BD224" s="539"/>
      <c r="BE224" s="501"/>
      <c r="BF224" s="352">
        <f>AE224+AC224+AZ224+BA224</f>
        <v>20000</v>
      </c>
      <c r="BG224" s="451" t="str">
        <f t="shared" si="38"/>
        <v>Y</v>
      </c>
      <c r="BH224" s="451"/>
      <c r="BI224" s="299"/>
      <c r="BJ224" s="698"/>
      <c r="BK224" s="698"/>
      <c r="BL224" s="303">
        <v>2690</v>
      </c>
      <c r="BM224" s="706"/>
      <c r="BN224" s="373"/>
      <c r="BO224" s="706"/>
      <c r="BP224" s="716"/>
      <c r="BQ224" s="706"/>
      <c r="BR224" s="373"/>
      <c r="BS224" s="373"/>
      <c r="BT224" s="451" t="str">
        <f t="shared" si="39"/>
        <v>N</v>
      </c>
      <c r="BU224" s="451" t="str">
        <f t="shared" si="39"/>
        <v>N</v>
      </c>
      <c r="BV224" s="304"/>
      <c r="BW224" s="288"/>
      <c r="BX224" s="290" t="s">
        <v>24</v>
      </c>
      <c r="BY224" s="449" t="s">
        <v>25</v>
      </c>
      <c r="BZ224" s="624"/>
      <c r="CA224" s="624"/>
      <c r="CB224" s="624"/>
      <c r="CC224" s="624"/>
      <c r="CD224" s="624"/>
      <c r="CE224" s="624"/>
      <c r="CF224" s="624"/>
      <c r="CG224" s="624"/>
      <c r="CH224" s="624"/>
    </row>
    <row r="225" spans="1:86" s="305" customFormat="1" ht="39" customHeight="1">
      <c r="A225" s="276"/>
      <c r="B225" s="348">
        <v>168</v>
      </c>
      <c r="C225" s="348"/>
      <c r="D225" s="726" t="str">
        <f>L225&amp;" "&amp;N225</f>
        <v>Somalia Conflict</v>
      </c>
      <c r="E225" s="349">
        <v>39234</v>
      </c>
      <c r="F225" s="288">
        <v>2007</v>
      </c>
      <c r="G225" s="288">
        <v>19</v>
      </c>
      <c r="H225" s="288"/>
      <c r="I225" s="288">
        <v>2007</v>
      </c>
      <c r="J225" s="358">
        <v>8</v>
      </c>
      <c r="K225" s="288" t="s">
        <v>1210</v>
      </c>
      <c r="L225" s="288" t="s">
        <v>420</v>
      </c>
      <c r="M225" s="358" t="s">
        <v>1273</v>
      </c>
      <c r="N225" s="359" t="s">
        <v>1940</v>
      </c>
      <c r="O225" s="465" t="s">
        <v>1940</v>
      </c>
      <c r="P225" s="465" t="s">
        <v>1940</v>
      </c>
      <c r="Q225" s="375"/>
      <c r="R225" s="361" t="s">
        <v>362</v>
      </c>
      <c r="S225" s="294" t="s">
        <v>365</v>
      </c>
      <c r="T225" s="1058">
        <v>38292000</v>
      </c>
      <c r="U225" s="295"/>
      <c r="V225" s="295" t="s">
        <v>1229</v>
      </c>
      <c r="W225" s="392"/>
      <c r="X225" s="533"/>
      <c r="Y225" s="293">
        <v>612000</v>
      </c>
      <c r="Z225" s="294"/>
      <c r="AA225" s="293"/>
      <c r="AB225" s="365">
        <v>1</v>
      </c>
      <c r="AC225" s="534"/>
      <c r="AD225" s="565">
        <v>100000</v>
      </c>
      <c r="AE225" s="535"/>
      <c r="AF225" s="684"/>
      <c r="AG225" s="371">
        <f t="shared" si="35"/>
        <v>100000</v>
      </c>
      <c r="AH225" s="502"/>
      <c r="AI225" s="503"/>
      <c r="AJ225" s="503"/>
      <c r="AK225" s="388"/>
      <c r="AL225" s="389"/>
      <c r="AM225" s="301"/>
      <c r="AN225" s="301"/>
      <c r="AO225" s="301"/>
      <c r="AP225" s="301"/>
      <c r="AQ225" s="301"/>
      <c r="AR225" s="301"/>
      <c r="AS225" s="301"/>
      <c r="AT225" s="301"/>
      <c r="AU225" s="301"/>
      <c r="AV225" s="301"/>
      <c r="AW225" s="301"/>
      <c r="AX225" s="536"/>
      <c r="AY225" s="536"/>
      <c r="AZ225" s="537"/>
      <c r="BA225" s="534"/>
      <c r="BB225" s="299">
        <f t="shared" si="37"/>
        <v>100000</v>
      </c>
      <c r="BC225" s="538"/>
      <c r="BD225" s="539"/>
      <c r="BE225" s="501"/>
      <c r="BF225" s="352">
        <f>BB225+BC225+BD225</f>
        <v>100000</v>
      </c>
      <c r="BG225" s="451" t="str">
        <f t="shared" si="38"/>
        <v>Y</v>
      </c>
      <c r="BH225" s="451"/>
      <c r="BI225" s="299"/>
      <c r="BJ225" s="698"/>
      <c r="BK225" s="698"/>
      <c r="BL225" s="303">
        <v>2817</v>
      </c>
      <c r="BM225" s="706"/>
      <c r="BN225" s="373"/>
      <c r="BO225" s="706"/>
      <c r="BP225" s="716"/>
      <c r="BQ225" s="706"/>
      <c r="BR225" s="373"/>
      <c r="BS225" s="373"/>
      <c r="BT225" s="451" t="str">
        <f t="shared" si="39"/>
        <v>N</v>
      </c>
      <c r="BU225" s="451" t="str">
        <f t="shared" si="39"/>
        <v>N</v>
      </c>
      <c r="BV225" s="304"/>
      <c r="BW225" s="288"/>
      <c r="BX225" s="290"/>
      <c r="BY225" s="449" t="s">
        <v>26</v>
      </c>
      <c r="BZ225" s="624"/>
      <c r="CA225" s="624"/>
      <c r="CB225" s="624"/>
      <c r="CC225" s="624"/>
      <c r="CD225" s="624"/>
      <c r="CE225" s="624"/>
      <c r="CF225" s="624"/>
      <c r="CG225" s="624"/>
      <c r="CH225" s="624"/>
    </row>
    <row r="226" spans="1:86" s="305" customFormat="1" ht="39" customHeight="1">
      <c r="A226" s="276"/>
      <c r="B226" s="348">
        <v>169</v>
      </c>
      <c r="C226" s="348"/>
      <c r="D226" s="726" t="str">
        <f>L226&amp;" "&amp;N226</f>
        <v>Sudan Conflict</v>
      </c>
      <c r="E226" s="349">
        <v>39234</v>
      </c>
      <c r="F226" s="288">
        <v>2007</v>
      </c>
      <c r="G226" s="288">
        <v>20</v>
      </c>
      <c r="H226" s="288"/>
      <c r="I226" s="288">
        <v>2007</v>
      </c>
      <c r="J226" s="358">
        <v>9</v>
      </c>
      <c r="K226" s="288" t="s">
        <v>1210</v>
      </c>
      <c r="L226" s="288" t="s">
        <v>1992</v>
      </c>
      <c r="M226" s="358" t="s">
        <v>1273</v>
      </c>
      <c r="N226" s="359" t="s">
        <v>1940</v>
      </c>
      <c r="O226" s="465" t="s">
        <v>1940</v>
      </c>
      <c r="P226" s="465" t="s">
        <v>1940</v>
      </c>
      <c r="Q226" s="375"/>
      <c r="R226" s="361" t="s">
        <v>362</v>
      </c>
      <c r="S226" s="294" t="s">
        <v>365</v>
      </c>
      <c r="T226" s="1058">
        <v>86239000</v>
      </c>
      <c r="U226" s="295"/>
      <c r="V226" s="295" t="s">
        <v>1231</v>
      </c>
      <c r="W226" s="392"/>
      <c r="X226" s="533"/>
      <c r="Y226" s="293">
        <v>125000</v>
      </c>
      <c r="Z226" s="294"/>
      <c r="AA226" s="293"/>
      <c r="AB226" s="365"/>
      <c r="AC226" s="534"/>
      <c r="AD226" s="565">
        <v>200000</v>
      </c>
      <c r="AE226" s="535"/>
      <c r="AF226" s="684"/>
      <c r="AG226" s="371">
        <f t="shared" si="35"/>
        <v>200000</v>
      </c>
      <c r="AH226" s="502"/>
      <c r="AI226" s="503"/>
      <c r="AJ226" s="503"/>
      <c r="AK226" s="388"/>
      <c r="AL226" s="389"/>
      <c r="AM226" s="301"/>
      <c r="AN226" s="301"/>
      <c r="AO226" s="301"/>
      <c r="AP226" s="301"/>
      <c r="AQ226" s="301"/>
      <c r="AR226" s="301"/>
      <c r="AS226" s="301"/>
      <c r="AT226" s="301"/>
      <c r="AU226" s="301"/>
      <c r="AV226" s="301"/>
      <c r="AW226" s="301"/>
      <c r="AX226" s="536"/>
      <c r="AY226" s="536"/>
      <c r="AZ226" s="537"/>
      <c r="BA226" s="534"/>
      <c r="BB226" s="299">
        <f t="shared" si="37"/>
        <v>200000</v>
      </c>
      <c r="BC226" s="538"/>
      <c r="BD226" s="539"/>
      <c r="BE226" s="501"/>
      <c r="BF226" s="352">
        <f t="shared" ref="BF226:BF232" si="42">BB226+BD226+BC226</f>
        <v>200000</v>
      </c>
      <c r="BG226" s="451" t="str">
        <f t="shared" si="38"/>
        <v>Y</v>
      </c>
      <c r="BH226" s="451"/>
      <c r="BI226" s="299"/>
      <c r="BJ226" s="698"/>
      <c r="BK226" s="698"/>
      <c r="BL226" s="303">
        <v>2661</v>
      </c>
      <c r="BM226" s="706"/>
      <c r="BN226" s="373"/>
      <c r="BO226" s="706"/>
      <c r="BP226" s="716"/>
      <c r="BQ226" s="706"/>
      <c r="BR226" s="373"/>
      <c r="BS226" s="373"/>
      <c r="BT226" s="451" t="str">
        <f t="shared" si="39"/>
        <v>N</v>
      </c>
      <c r="BU226" s="451" t="str">
        <f t="shared" si="39"/>
        <v>N</v>
      </c>
      <c r="BV226" s="304"/>
      <c r="BW226" s="288"/>
      <c r="BX226" s="290"/>
      <c r="BY226" s="449" t="s">
        <v>27</v>
      </c>
      <c r="BZ226" s="624"/>
      <c r="CA226" s="624"/>
      <c r="CB226" s="624"/>
      <c r="CC226" s="624"/>
      <c r="CD226" s="624"/>
      <c r="CE226" s="624"/>
      <c r="CF226" s="624"/>
      <c r="CG226" s="624"/>
      <c r="CH226" s="624"/>
    </row>
    <row r="227" spans="1:86" s="305" customFormat="1" ht="39" customHeight="1">
      <c r="A227" s="276" t="s">
        <v>450</v>
      </c>
      <c r="B227" s="348">
        <v>170</v>
      </c>
      <c r="C227" s="348"/>
      <c r="D227" s="726" t="s">
        <v>451</v>
      </c>
      <c r="E227" s="349">
        <v>39264</v>
      </c>
      <c r="F227" s="288">
        <v>2008</v>
      </c>
      <c r="G227" s="288">
        <v>1</v>
      </c>
      <c r="H227" s="288"/>
      <c r="I227" s="288">
        <v>2007</v>
      </c>
      <c r="J227" s="358">
        <v>10</v>
      </c>
      <c r="K227" s="288" t="s">
        <v>570</v>
      </c>
      <c r="L227" s="288" t="s">
        <v>1668</v>
      </c>
      <c r="M227" s="358" t="s">
        <v>1271</v>
      </c>
      <c r="N227" s="359" t="s">
        <v>1965</v>
      </c>
      <c r="O227" s="288" t="s">
        <v>1098</v>
      </c>
      <c r="P227" s="465" t="s">
        <v>1945</v>
      </c>
      <c r="Q227" s="360">
        <v>1500000</v>
      </c>
      <c r="R227" s="513" t="s">
        <v>362</v>
      </c>
      <c r="S227" s="319" t="s">
        <v>363</v>
      </c>
      <c r="T227" s="1058">
        <v>17000000</v>
      </c>
      <c r="U227" s="295"/>
      <c r="V227" s="295" t="s">
        <v>449</v>
      </c>
      <c r="W227" s="392"/>
      <c r="X227" s="533"/>
      <c r="Y227" s="515">
        <v>257500</v>
      </c>
      <c r="Z227" s="781"/>
      <c r="AA227" s="515"/>
      <c r="AB227" s="365">
        <f>COUNTIF(AC227, "&gt;49999")</f>
        <v>1</v>
      </c>
      <c r="AC227" s="534">
        <f>SUM(190000 +95000)</f>
        <v>285000</v>
      </c>
      <c r="AD227" s="565"/>
      <c r="AE227" s="535"/>
      <c r="AF227" s="684"/>
      <c r="AG227" s="371">
        <f t="shared" si="35"/>
        <v>285000</v>
      </c>
      <c r="AH227" s="502">
        <v>1</v>
      </c>
      <c r="AI227" s="503"/>
      <c r="AJ227" s="503"/>
      <c r="AK227" s="388"/>
      <c r="AL227" s="389"/>
      <c r="AM227" s="301"/>
      <c r="AN227" s="301"/>
      <c r="AO227" s="301"/>
      <c r="AP227" s="301"/>
      <c r="AQ227" s="301"/>
      <c r="AR227" s="301"/>
      <c r="AS227" s="301"/>
      <c r="AT227" s="301"/>
      <c r="AU227" s="301"/>
      <c r="AV227" s="301"/>
      <c r="AW227" s="301"/>
      <c r="AX227" s="536"/>
      <c r="AY227" s="536"/>
      <c r="AZ227" s="537"/>
      <c r="BA227" s="534">
        <v>10000</v>
      </c>
      <c r="BB227" s="299">
        <f t="shared" si="37"/>
        <v>295000</v>
      </c>
      <c r="BC227" s="538"/>
      <c r="BD227" s="539"/>
      <c r="BE227" s="501"/>
      <c r="BF227" s="352">
        <f t="shared" si="42"/>
        <v>295000</v>
      </c>
      <c r="BG227" s="451" t="str">
        <f t="shared" si="38"/>
        <v>Y</v>
      </c>
      <c r="BH227" s="451"/>
      <c r="BI227" s="299"/>
      <c r="BJ227" s="698"/>
      <c r="BK227" s="698"/>
      <c r="BL227" s="303" t="s">
        <v>1645</v>
      </c>
      <c r="BM227" s="706"/>
      <c r="BN227" s="373"/>
      <c r="BO227" s="706"/>
      <c r="BP227" s="716"/>
      <c r="BQ227" s="706"/>
      <c r="BR227" s="373"/>
      <c r="BS227" s="373"/>
      <c r="BT227" s="451" t="str">
        <f t="shared" si="39"/>
        <v>N</v>
      </c>
      <c r="BU227" s="451" t="str">
        <f t="shared" si="39"/>
        <v>N</v>
      </c>
      <c r="BV227" s="304"/>
      <c r="BW227" s="288"/>
      <c r="BX227" s="797" t="s">
        <v>2142</v>
      </c>
      <c r="BY227" s="449" t="s">
        <v>2139</v>
      </c>
      <c r="BZ227" s="624"/>
      <c r="CA227" s="624"/>
      <c r="CB227" s="624"/>
      <c r="CC227" s="624"/>
      <c r="CD227" s="624"/>
      <c r="CE227" s="624"/>
      <c r="CF227" s="624"/>
      <c r="CG227" s="624"/>
      <c r="CH227" s="624"/>
    </row>
    <row r="228" spans="1:86" s="305" customFormat="1" ht="39" customHeight="1">
      <c r="A228" s="597" t="s">
        <v>424</v>
      </c>
      <c r="B228" s="355">
        <v>171</v>
      </c>
      <c r="C228" s="355"/>
      <c r="D228" s="726" t="str">
        <f t="shared" ref="D228:D233" si="43">L228&amp;" "&amp;N228</f>
        <v>Bangladesh Floods</v>
      </c>
      <c r="E228" s="356">
        <v>39264</v>
      </c>
      <c r="F228" s="358">
        <v>2008</v>
      </c>
      <c r="G228" s="358">
        <v>2</v>
      </c>
      <c r="H228" s="358"/>
      <c r="I228" s="358">
        <v>2007</v>
      </c>
      <c r="J228" s="358">
        <v>11</v>
      </c>
      <c r="K228" s="358" t="s">
        <v>570</v>
      </c>
      <c r="L228" s="358" t="s">
        <v>1943</v>
      </c>
      <c r="M228" s="303" t="s">
        <v>1271</v>
      </c>
      <c r="N228" s="359" t="s">
        <v>1877</v>
      </c>
      <c r="O228" s="465" t="s">
        <v>1337</v>
      </c>
      <c r="P228" s="465" t="s">
        <v>1337</v>
      </c>
      <c r="Q228" s="360">
        <v>2300000</v>
      </c>
      <c r="R228" s="513" t="s">
        <v>362</v>
      </c>
      <c r="S228" s="319" t="s">
        <v>363</v>
      </c>
      <c r="T228" s="1058">
        <v>4850000</v>
      </c>
      <c r="U228" s="295"/>
      <c r="V228" s="295" t="s">
        <v>425</v>
      </c>
      <c r="W228" s="362"/>
      <c r="X228" s="542"/>
      <c r="Y228" s="515">
        <v>1200000</v>
      </c>
      <c r="Z228" s="781"/>
      <c r="AA228" s="515"/>
      <c r="AB228" s="365">
        <f>COUNTIF(AC228, "&gt;49999")</f>
        <v>1</v>
      </c>
      <c r="AC228" s="543">
        <v>124500</v>
      </c>
      <c r="AD228" s="1050"/>
      <c r="AE228" s="295"/>
      <c r="AF228" s="685"/>
      <c r="AG228" s="371">
        <f t="shared" si="35"/>
        <v>124500</v>
      </c>
      <c r="AH228" s="499"/>
      <c r="AI228" s="500"/>
      <c r="AJ228" s="500"/>
      <c r="AK228" s="367"/>
      <c r="AL228" s="363"/>
      <c r="AM228" s="293"/>
      <c r="AN228" s="293"/>
      <c r="AO228" s="293"/>
      <c r="AP228" s="293"/>
      <c r="AQ228" s="293"/>
      <c r="AR228" s="293"/>
      <c r="AS228" s="293"/>
      <c r="AT228" s="293"/>
      <c r="AU228" s="293"/>
      <c r="AV228" s="293"/>
      <c r="AW228" s="293"/>
      <c r="AX228" s="544"/>
      <c r="AY228" s="544"/>
      <c r="AZ228" s="545"/>
      <c r="BA228" s="543"/>
      <c r="BB228" s="299">
        <f t="shared" si="37"/>
        <v>124500</v>
      </c>
      <c r="BC228" s="546"/>
      <c r="BD228" s="547"/>
      <c r="BE228" s="549"/>
      <c r="BF228" s="352">
        <f t="shared" si="42"/>
        <v>124500</v>
      </c>
      <c r="BG228" s="451" t="str">
        <f t="shared" si="38"/>
        <v>Y</v>
      </c>
      <c r="BH228" s="451"/>
      <c r="BI228" s="299"/>
      <c r="BJ228" s="698"/>
      <c r="BK228" s="698"/>
      <c r="BL228" s="303" t="s">
        <v>622</v>
      </c>
      <c r="BM228" s="706"/>
      <c r="BN228" s="373"/>
      <c r="BO228" s="706"/>
      <c r="BP228" s="716"/>
      <c r="BQ228" s="706"/>
      <c r="BR228" s="373"/>
      <c r="BS228" s="373"/>
      <c r="BT228" s="451" t="str">
        <f t="shared" si="39"/>
        <v>N</v>
      </c>
      <c r="BU228" s="451" t="str">
        <f t="shared" si="39"/>
        <v>N</v>
      </c>
      <c r="BV228" s="318"/>
      <c r="BW228" s="358"/>
      <c r="BX228" s="796" t="s">
        <v>2140</v>
      </c>
      <c r="BY228" s="374" t="s">
        <v>621</v>
      </c>
      <c r="BZ228" s="624"/>
      <c r="CA228" s="624"/>
      <c r="CB228" s="624"/>
      <c r="CC228" s="624"/>
      <c r="CD228" s="624"/>
      <c r="CE228" s="624"/>
      <c r="CF228" s="624"/>
      <c r="CG228" s="624"/>
      <c r="CH228" s="624"/>
    </row>
    <row r="229" spans="1:86" s="305" customFormat="1" ht="39" customHeight="1">
      <c r="A229" s="276"/>
      <c r="B229" s="348">
        <v>172</v>
      </c>
      <c r="C229" s="348"/>
      <c r="D229" s="726" t="str">
        <f t="shared" si="43"/>
        <v>Iraq Conflict</v>
      </c>
      <c r="E229" s="349">
        <v>39264</v>
      </c>
      <c r="F229" s="288">
        <v>2008</v>
      </c>
      <c r="G229" s="288">
        <v>3</v>
      </c>
      <c r="H229" s="288"/>
      <c r="I229" s="288">
        <v>2007</v>
      </c>
      <c r="J229" s="288">
        <v>12</v>
      </c>
      <c r="K229" s="358" t="s">
        <v>570</v>
      </c>
      <c r="L229" s="288" t="s">
        <v>1005</v>
      </c>
      <c r="M229" s="358" t="s">
        <v>1273</v>
      </c>
      <c r="N229" s="359" t="s">
        <v>1940</v>
      </c>
      <c r="O229" s="465" t="s">
        <v>1940</v>
      </c>
      <c r="P229" s="465" t="s">
        <v>1940</v>
      </c>
      <c r="Q229" s="375">
        <v>2000000</v>
      </c>
      <c r="R229" s="513" t="s">
        <v>362</v>
      </c>
      <c r="S229" s="319" t="s">
        <v>363</v>
      </c>
      <c r="T229" s="1058">
        <v>15000000</v>
      </c>
      <c r="U229" s="295"/>
      <c r="V229" s="295" t="s">
        <v>1232</v>
      </c>
      <c r="W229" s="392"/>
      <c r="X229" s="533"/>
      <c r="Y229" s="515">
        <v>250000</v>
      </c>
      <c r="Z229" s="781"/>
      <c r="AA229" s="515"/>
      <c r="AB229" s="365">
        <f>COUNTIF(AC229, "&gt;49999")</f>
        <v>1</v>
      </c>
      <c r="AC229" s="534">
        <v>250000</v>
      </c>
      <c r="AD229" s="565"/>
      <c r="AE229" s="535"/>
      <c r="AF229" s="684"/>
      <c r="AG229" s="371">
        <f t="shared" si="35"/>
        <v>250000</v>
      </c>
      <c r="AH229" s="502"/>
      <c r="AI229" s="503"/>
      <c r="AJ229" s="503"/>
      <c r="AK229" s="388"/>
      <c r="AL229" s="389"/>
      <c r="AM229" s="301"/>
      <c r="AN229" s="301"/>
      <c r="AO229" s="301"/>
      <c r="AP229" s="301"/>
      <c r="AQ229" s="301"/>
      <c r="AR229" s="301"/>
      <c r="AS229" s="301"/>
      <c r="AT229" s="301"/>
      <c r="AU229" s="301"/>
      <c r="AV229" s="301"/>
      <c r="AW229" s="301"/>
      <c r="AX229" s="536"/>
      <c r="AY229" s="536"/>
      <c r="AZ229" s="537"/>
      <c r="BA229" s="534"/>
      <c r="BB229" s="299">
        <f t="shared" si="37"/>
        <v>250000</v>
      </c>
      <c r="BC229" s="538"/>
      <c r="BD229" s="539"/>
      <c r="BE229" s="501"/>
      <c r="BF229" s="352">
        <f t="shared" si="42"/>
        <v>250000</v>
      </c>
      <c r="BG229" s="451" t="str">
        <f t="shared" si="38"/>
        <v>N</v>
      </c>
      <c r="BH229" s="451"/>
      <c r="BI229" s="299"/>
      <c r="BJ229" s="698"/>
      <c r="BK229" s="698"/>
      <c r="BL229" s="303">
        <v>2099</v>
      </c>
      <c r="BM229" s="706"/>
      <c r="BN229" s="373"/>
      <c r="BO229" s="706"/>
      <c r="BP229" s="716"/>
      <c r="BQ229" s="706"/>
      <c r="BR229" s="373"/>
      <c r="BS229" s="373"/>
      <c r="BT229" s="451" t="str">
        <f t="shared" si="39"/>
        <v>N</v>
      </c>
      <c r="BU229" s="451" t="str">
        <f t="shared" si="39"/>
        <v>N</v>
      </c>
      <c r="BV229" s="304"/>
      <c r="BW229" s="288"/>
      <c r="BX229" s="449" t="s">
        <v>1955</v>
      </c>
      <c r="BY229" s="449" t="s">
        <v>528</v>
      </c>
      <c r="BZ229" s="624"/>
      <c r="CA229" s="624"/>
      <c r="CB229" s="624"/>
      <c r="CC229" s="624"/>
      <c r="CD229" s="624"/>
      <c r="CE229" s="624"/>
      <c r="CF229" s="624"/>
      <c r="CG229" s="624"/>
      <c r="CH229" s="624"/>
    </row>
    <row r="230" spans="1:86" s="305" customFormat="1" ht="39" customHeight="1">
      <c r="A230" s="275" t="s">
        <v>1327</v>
      </c>
      <c r="B230" s="355">
        <v>173</v>
      </c>
      <c r="C230" s="355"/>
      <c r="D230" s="726" t="str">
        <f t="shared" si="43"/>
        <v>Sudan Floods</v>
      </c>
      <c r="E230" s="356">
        <v>39264</v>
      </c>
      <c r="F230" s="358">
        <v>2008</v>
      </c>
      <c r="G230" s="358">
        <v>4</v>
      </c>
      <c r="H230" s="358"/>
      <c r="I230" s="358">
        <v>2007</v>
      </c>
      <c r="J230" s="358">
        <v>13</v>
      </c>
      <c r="K230" s="358" t="s">
        <v>1210</v>
      </c>
      <c r="L230" s="358" t="s">
        <v>1992</v>
      </c>
      <c r="M230" s="303" t="s">
        <v>1271</v>
      </c>
      <c r="N230" s="359" t="s">
        <v>1877</v>
      </c>
      <c r="O230" s="465" t="s">
        <v>1337</v>
      </c>
      <c r="P230" s="465" t="s">
        <v>1337</v>
      </c>
      <c r="Q230" s="360">
        <v>365000</v>
      </c>
      <c r="R230" s="361" t="s">
        <v>362</v>
      </c>
      <c r="S230" s="294" t="s">
        <v>363</v>
      </c>
      <c r="T230" s="1058">
        <v>6800000</v>
      </c>
      <c r="U230" s="295"/>
      <c r="V230" s="295" t="s">
        <v>1328</v>
      </c>
      <c r="W230" s="362"/>
      <c r="X230" s="542"/>
      <c r="Y230" s="515">
        <v>200000</v>
      </c>
      <c r="Z230" s="781"/>
      <c r="AA230" s="515"/>
      <c r="AB230" s="365">
        <f>COUNTIF(AC230, "&gt;49999")</f>
        <v>1</v>
      </c>
      <c r="AC230" s="543">
        <v>100000</v>
      </c>
      <c r="AD230" s="1050"/>
      <c r="AE230" s="295"/>
      <c r="AF230" s="685"/>
      <c r="AG230" s="371">
        <f t="shared" si="35"/>
        <v>100000</v>
      </c>
      <c r="AH230" s="499">
        <v>1</v>
      </c>
      <c r="AI230" s="500"/>
      <c r="AJ230" s="500"/>
      <c r="AK230" s="367">
        <v>10000</v>
      </c>
      <c r="AL230" s="363"/>
      <c r="AM230" s="293"/>
      <c r="AN230" s="293"/>
      <c r="AO230" s="293"/>
      <c r="AP230" s="293"/>
      <c r="AQ230" s="293"/>
      <c r="AR230" s="293"/>
      <c r="AS230" s="293"/>
      <c r="AT230" s="293">
        <v>10000</v>
      </c>
      <c r="AU230" s="293"/>
      <c r="AV230" s="293"/>
      <c r="AW230" s="293"/>
      <c r="AX230" s="544"/>
      <c r="AY230" s="544"/>
      <c r="AZ230" s="545">
        <v>44400</v>
      </c>
      <c r="BA230" s="543">
        <v>9000</v>
      </c>
      <c r="BB230" s="299">
        <f t="shared" si="37"/>
        <v>153400</v>
      </c>
      <c r="BC230" s="546"/>
      <c r="BD230" s="547"/>
      <c r="BE230" s="549"/>
      <c r="BF230" s="352">
        <f t="shared" si="42"/>
        <v>153400</v>
      </c>
      <c r="BG230" s="451" t="str">
        <f t="shared" si="38"/>
        <v>Y</v>
      </c>
      <c r="BH230" s="451"/>
      <c r="BI230" s="299"/>
      <c r="BJ230" s="698"/>
      <c r="BK230" s="698"/>
      <c r="BL230" s="303" t="s">
        <v>624</v>
      </c>
      <c r="BM230" s="706"/>
      <c r="BN230" s="373"/>
      <c r="BO230" s="706"/>
      <c r="BP230" s="716"/>
      <c r="BQ230" s="706"/>
      <c r="BR230" s="373"/>
      <c r="BS230" s="373"/>
      <c r="BT230" s="451" t="str">
        <f t="shared" si="39"/>
        <v>N</v>
      </c>
      <c r="BU230" s="451" t="str">
        <f t="shared" si="39"/>
        <v>N</v>
      </c>
      <c r="BV230" s="318"/>
      <c r="BW230" s="358"/>
      <c r="BX230" s="359"/>
      <c r="BY230" s="374" t="s">
        <v>623</v>
      </c>
      <c r="BZ230" s="624"/>
      <c r="CA230" s="624"/>
      <c r="CB230" s="624"/>
      <c r="CC230" s="624"/>
      <c r="CD230" s="624"/>
      <c r="CE230" s="624"/>
      <c r="CF230" s="624"/>
      <c r="CG230" s="624"/>
      <c r="CH230" s="624"/>
    </row>
    <row r="231" spans="1:86" s="305" customFormat="1" ht="39" customHeight="1">
      <c r="A231" s="276" t="s">
        <v>446</v>
      </c>
      <c r="B231" s="348">
        <v>174</v>
      </c>
      <c r="C231" s="348"/>
      <c r="D231" s="726" t="str">
        <f t="shared" si="43"/>
        <v>United Kingdom Floods</v>
      </c>
      <c r="E231" s="349">
        <v>39264</v>
      </c>
      <c r="F231" s="288">
        <v>2008</v>
      </c>
      <c r="G231" s="288">
        <v>5</v>
      </c>
      <c r="H231" s="288"/>
      <c r="I231" s="288">
        <v>2007</v>
      </c>
      <c r="J231" s="288">
        <v>15</v>
      </c>
      <c r="K231" s="358" t="s">
        <v>570</v>
      </c>
      <c r="L231" s="288" t="s">
        <v>28</v>
      </c>
      <c r="M231" s="300" t="s">
        <v>1271</v>
      </c>
      <c r="N231" s="359" t="s">
        <v>1877</v>
      </c>
      <c r="O231" s="465" t="s">
        <v>1337</v>
      </c>
      <c r="P231" s="465" t="s">
        <v>1337</v>
      </c>
      <c r="Q231" s="360">
        <v>1000000</v>
      </c>
      <c r="R231" s="361"/>
      <c r="S231" s="294"/>
      <c r="T231" s="1058"/>
      <c r="U231" s="295"/>
      <c r="V231" s="295"/>
      <c r="W231" s="392"/>
      <c r="X231" s="533"/>
      <c r="Y231" s="293"/>
      <c r="Z231" s="294"/>
      <c r="AA231" s="293"/>
      <c r="AB231" s="365"/>
      <c r="AC231" s="543"/>
      <c r="AD231" s="1050"/>
      <c r="AE231" s="535">
        <v>20188</v>
      </c>
      <c r="AF231" s="684"/>
      <c r="AG231" s="371">
        <f t="shared" si="35"/>
        <v>20188</v>
      </c>
      <c r="AH231" s="502"/>
      <c r="AI231" s="503"/>
      <c r="AJ231" s="503"/>
      <c r="AK231" s="367"/>
      <c r="AL231" s="363"/>
      <c r="AM231" s="293"/>
      <c r="AN231" s="293"/>
      <c r="AO231" s="293"/>
      <c r="AP231" s="293"/>
      <c r="AQ231" s="293"/>
      <c r="AR231" s="293"/>
      <c r="AS231" s="293"/>
      <c r="AT231" s="293"/>
      <c r="AU231" s="293"/>
      <c r="AV231" s="293"/>
      <c r="AW231" s="293"/>
      <c r="AX231" s="544"/>
      <c r="AY231" s="544"/>
      <c r="AZ231" s="537"/>
      <c r="BA231" s="534"/>
      <c r="BB231" s="299">
        <f t="shared" si="37"/>
        <v>20188</v>
      </c>
      <c r="BC231" s="538"/>
      <c r="BD231" s="539"/>
      <c r="BE231" s="501"/>
      <c r="BF231" s="352">
        <f t="shared" si="42"/>
        <v>20188</v>
      </c>
      <c r="BG231" s="451" t="str">
        <f t="shared" si="38"/>
        <v>Y</v>
      </c>
      <c r="BH231" s="451"/>
      <c r="BI231" s="299"/>
      <c r="BJ231" s="698"/>
      <c r="BK231" s="698"/>
      <c r="BL231" s="303">
        <v>2605</v>
      </c>
      <c r="BM231" s="706"/>
      <c r="BN231" s="373"/>
      <c r="BO231" s="706"/>
      <c r="BP231" s="716"/>
      <c r="BQ231" s="706"/>
      <c r="BR231" s="373"/>
      <c r="BS231" s="373"/>
      <c r="BT231" s="451" t="str">
        <f t="shared" si="39"/>
        <v>N</v>
      </c>
      <c r="BU231" s="451" t="str">
        <f t="shared" si="39"/>
        <v>N</v>
      </c>
      <c r="BV231" s="304"/>
      <c r="BW231" s="288"/>
      <c r="BX231" s="290"/>
      <c r="BY231" s="449" t="s">
        <v>34</v>
      </c>
      <c r="BZ231" s="624"/>
      <c r="CA231" s="624"/>
      <c r="CB231" s="624"/>
      <c r="CC231" s="624"/>
      <c r="CD231" s="624"/>
      <c r="CE231" s="624"/>
      <c r="CF231" s="624"/>
      <c r="CG231" s="624"/>
      <c r="CH231" s="624"/>
    </row>
    <row r="232" spans="1:86" s="305" customFormat="1" ht="39" customHeight="1">
      <c r="A232" s="276" t="s">
        <v>427</v>
      </c>
      <c r="B232" s="348">
        <v>175</v>
      </c>
      <c r="C232" s="348"/>
      <c r="D232" s="726" t="str">
        <f t="shared" si="43"/>
        <v>Nepal Floods</v>
      </c>
      <c r="E232" s="349">
        <v>39295</v>
      </c>
      <c r="F232" s="288">
        <v>2008</v>
      </c>
      <c r="G232" s="288">
        <v>6</v>
      </c>
      <c r="H232" s="288"/>
      <c r="I232" s="288">
        <v>2007</v>
      </c>
      <c r="J232" s="288">
        <v>16</v>
      </c>
      <c r="K232" s="288" t="s">
        <v>570</v>
      </c>
      <c r="L232" s="288" t="s">
        <v>35</v>
      </c>
      <c r="M232" s="300" t="s">
        <v>1271</v>
      </c>
      <c r="N232" s="359" t="s">
        <v>1877</v>
      </c>
      <c r="O232" s="465" t="s">
        <v>1337</v>
      </c>
      <c r="P232" s="465" t="s">
        <v>1337</v>
      </c>
      <c r="Q232" s="360">
        <v>645000</v>
      </c>
      <c r="R232" s="513" t="s">
        <v>362</v>
      </c>
      <c r="S232" s="319" t="s">
        <v>363</v>
      </c>
      <c r="T232" s="1058">
        <v>2340000</v>
      </c>
      <c r="U232" s="295"/>
      <c r="V232" s="295"/>
      <c r="W232" s="392" t="s">
        <v>362</v>
      </c>
      <c r="X232" s="533"/>
      <c r="Y232" s="515">
        <v>150000</v>
      </c>
      <c r="Z232" s="781"/>
      <c r="AA232" s="515"/>
      <c r="AB232" s="365">
        <f>COUNTIF(AC232, "&gt;49999")</f>
        <v>1</v>
      </c>
      <c r="AC232" s="543">
        <v>50000</v>
      </c>
      <c r="AD232" s="1050"/>
      <c r="AE232" s="298"/>
      <c r="AF232" s="677"/>
      <c r="AG232" s="371">
        <f t="shared" si="35"/>
        <v>50000</v>
      </c>
      <c r="AH232" s="502"/>
      <c r="AI232" s="503"/>
      <c r="AJ232" s="503"/>
      <c r="AK232" s="367"/>
      <c r="AL232" s="363"/>
      <c r="AM232" s="293"/>
      <c r="AN232" s="293"/>
      <c r="AO232" s="293"/>
      <c r="AP232" s="293"/>
      <c r="AQ232" s="293"/>
      <c r="AR232" s="293"/>
      <c r="AS232" s="293"/>
      <c r="AT232" s="293"/>
      <c r="AU232" s="293"/>
      <c r="AV232" s="293"/>
      <c r="AW232" s="293"/>
      <c r="AX232" s="544"/>
      <c r="AY232" s="544"/>
      <c r="AZ232" s="537"/>
      <c r="BA232" s="534"/>
      <c r="BB232" s="299">
        <f t="shared" si="37"/>
        <v>50000</v>
      </c>
      <c r="BC232" s="538"/>
      <c r="BD232" s="539"/>
      <c r="BE232" s="501"/>
      <c r="BF232" s="352">
        <f t="shared" si="42"/>
        <v>50000</v>
      </c>
      <c r="BG232" s="451" t="str">
        <f t="shared" si="38"/>
        <v>N</v>
      </c>
      <c r="BH232" s="451"/>
      <c r="BI232" s="299"/>
      <c r="BJ232" s="698"/>
      <c r="BK232" s="698"/>
      <c r="BL232" s="303">
        <v>2099</v>
      </c>
      <c r="BM232" s="706"/>
      <c r="BN232" s="373"/>
      <c r="BO232" s="706"/>
      <c r="BP232" s="716"/>
      <c r="BQ232" s="706"/>
      <c r="BR232" s="373"/>
      <c r="BS232" s="373"/>
      <c r="BT232" s="451" t="str">
        <f t="shared" si="39"/>
        <v>N</v>
      </c>
      <c r="BU232" s="451" t="str">
        <f t="shared" si="39"/>
        <v>N</v>
      </c>
      <c r="BV232" s="304"/>
      <c r="BW232" s="288"/>
      <c r="BX232" s="290"/>
      <c r="BY232" s="374" t="s">
        <v>528</v>
      </c>
      <c r="BZ232" s="624"/>
      <c r="CA232" s="624"/>
      <c r="CB232" s="624"/>
      <c r="CC232" s="624"/>
      <c r="CD232" s="624"/>
      <c r="CE232" s="624"/>
      <c r="CF232" s="624"/>
      <c r="CG232" s="624"/>
      <c r="CH232" s="624"/>
    </row>
    <row r="233" spans="1:86" s="305" customFormat="1" ht="39" customHeight="1">
      <c r="A233" s="276" t="s">
        <v>428</v>
      </c>
      <c r="B233" s="348">
        <v>176</v>
      </c>
      <c r="C233" s="348"/>
      <c r="D233" s="726" t="str">
        <f t="shared" si="43"/>
        <v>Peru Earthquake</v>
      </c>
      <c r="E233" s="349">
        <v>39295</v>
      </c>
      <c r="F233" s="288">
        <v>2008</v>
      </c>
      <c r="G233" s="288">
        <v>7</v>
      </c>
      <c r="H233" s="288"/>
      <c r="I233" s="288">
        <v>2007</v>
      </c>
      <c r="J233" s="288">
        <v>17</v>
      </c>
      <c r="K233" s="288" t="s">
        <v>1211</v>
      </c>
      <c r="L233" s="288" t="s">
        <v>1655</v>
      </c>
      <c r="M233" s="358" t="s">
        <v>1961</v>
      </c>
      <c r="N233" s="359" t="s">
        <v>1884</v>
      </c>
      <c r="O233" s="358" t="s">
        <v>1884</v>
      </c>
      <c r="P233" s="358" t="s">
        <v>1884</v>
      </c>
      <c r="Q233" s="375">
        <v>655000</v>
      </c>
      <c r="R233" s="513" t="s">
        <v>362</v>
      </c>
      <c r="S233" s="319" t="s">
        <v>363</v>
      </c>
      <c r="T233" s="1058">
        <v>9600000</v>
      </c>
      <c r="U233" s="295"/>
      <c r="V233" s="556" t="s">
        <v>426</v>
      </c>
      <c r="W233" s="362"/>
      <c r="X233" s="542"/>
      <c r="Y233" s="515">
        <v>37500</v>
      </c>
      <c r="Z233" s="781"/>
      <c r="AA233" s="515"/>
      <c r="AB233" s="365">
        <f>COUNTIF(AC233, "&gt;49999")</f>
        <v>1</v>
      </c>
      <c r="AC233" s="534">
        <f>100000+200000</f>
        <v>300000</v>
      </c>
      <c r="AD233" s="565"/>
      <c r="AE233" s="535"/>
      <c r="AF233" s="684"/>
      <c r="AG233" s="371">
        <f t="shared" si="35"/>
        <v>300000</v>
      </c>
      <c r="AH233" s="502">
        <v>6</v>
      </c>
      <c r="AI233" s="503"/>
      <c r="AJ233" s="503"/>
      <c r="AK233" s="388">
        <f>3500+11000+2000</f>
        <v>16500</v>
      </c>
      <c r="AL233" s="389"/>
      <c r="AM233" s="301">
        <v>3500</v>
      </c>
      <c r="AN233" s="301"/>
      <c r="AO233" s="301"/>
      <c r="AP233" s="301"/>
      <c r="AQ233" s="301"/>
      <c r="AR233" s="301">
        <v>2000</v>
      </c>
      <c r="AS233" s="301"/>
      <c r="AT233" s="301"/>
      <c r="AU233" s="301"/>
      <c r="AV233" s="301">
        <v>11000</v>
      </c>
      <c r="AW233" s="301"/>
      <c r="AX233" s="536"/>
      <c r="AY233" s="536"/>
      <c r="AZ233" s="537">
        <f>33700+84800+96300</f>
        <v>214800</v>
      </c>
      <c r="BA233" s="543">
        <f>5000</f>
        <v>5000</v>
      </c>
      <c r="BB233" s="299">
        <f t="shared" si="37"/>
        <v>519800</v>
      </c>
      <c r="BC233" s="546"/>
      <c r="BD233" s="547"/>
      <c r="BE233" s="501"/>
      <c r="BF233" s="352">
        <v>3400000</v>
      </c>
      <c r="BG233" s="451" t="str">
        <f t="shared" si="38"/>
        <v>Y</v>
      </c>
      <c r="BH233" s="451"/>
      <c r="BI233" s="299"/>
      <c r="BJ233" s="698"/>
      <c r="BK233" s="698"/>
      <c r="BL233" s="303">
        <v>2816</v>
      </c>
      <c r="BM233" s="706"/>
      <c r="BN233" s="373"/>
      <c r="BO233" s="706"/>
      <c r="BP233" s="716"/>
      <c r="BQ233" s="706"/>
      <c r="BR233" s="373"/>
      <c r="BS233" s="373"/>
      <c r="BT233" s="451" t="str">
        <f t="shared" si="39"/>
        <v>N</v>
      </c>
      <c r="BU233" s="451" t="str">
        <f t="shared" si="39"/>
        <v>N</v>
      </c>
      <c r="BV233" s="304"/>
      <c r="BW233" s="288" t="s">
        <v>362</v>
      </c>
      <c r="BX233" s="789"/>
      <c r="BY233" s="449" t="s">
        <v>569</v>
      </c>
      <c r="BZ233" s="624"/>
      <c r="CA233" s="624"/>
      <c r="CB233" s="624"/>
      <c r="CC233" s="624"/>
      <c r="CD233" s="624"/>
      <c r="CE233" s="624"/>
      <c r="CF233" s="624"/>
      <c r="CG233" s="624"/>
      <c r="CH233" s="624"/>
    </row>
    <row r="234" spans="1:86" s="305" customFormat="1" ht="39" customHeight="1">
      <c r="A234" s="276" t="s">
        <v>444</v>
      </c>
      <c r="B234" s="348">
        <v>177</v>
      </c>
      <c r="C234" s="348"/>
      <c r="D234" s="726" t="s">
        <v>445</v>
      </c>
      <c r="E234" s="349">
        <v>39295</v>
      </c>
      <c r="F234" s="288">
        <v>2008</v>
      </c>
      <c r="G234" s="288">
        <v>8</v>
      </c>
      <c r="H234" s="288"/>
      <c r="I234" s="288">
        <v>2007</v>
      </c>
      <c r="J234" s="288">
        <v>18</v>
      </c>
      <c r="K234" s="288" t="s">
        <v>1211</v>
      </c>
      <c r="L234" s="288" t="s">
        <v>1590</v>
      </c>
      <c r="M234" s="358" t="s">
        <v>1271</v>
      </c>
      <c r="N234" s="359" t="s">
        <v>1965</v>
      </c>
      <c r="O234" s="288" t="s">
        <v>1098</v>
      </c>
      <c r="P234" s="288" t="s">
        <v>1892</v>
      </c>
      <c r="Q234" s="360">
        <v>210000</v>
      </c>
      <c r="R234" s="513" t="s">
        <v>362</v>
      </c>
      <c r="S234" s="319" t="s">
        <v>363</v>
      </c>
      <c r="T234" s="1058">
        <v>2927000</v>
      </c>
      <c r="U234" s="295"/>
      <c r="V234" s="295" t="s">
        <v>443</v>
      </c>
      <c r="W234" s="362"/>
      <c r="X234" s="542"/>
      <c r="Y234" s="515">
        <v>108550</v>
      </c>
      <c r="Z234" s="319"/>
      <c r="AA234" s="515">
        <v>5000</v>
      </c>
      <c r="AB234" s="365"/>
      <c r="AC234" s="543"/>
      <c r="AD234" s="1050"/>
      <c r="AE234" s="295"/>
      <c r="AF234" s="685"/>
      <c r="AG234" s="371">
        <f t="shared" si="35"/>
        <v>0</v>
      </c>
      <c r="AH234" s="502"/>
      <c r="AI234" s="503"/>
      <c r="AJ234" s="503"/>
      <c r="AK234" s="367">
        <v>2350</v>
      </c>
      <c r="AL234" s="363"/>
      <c r="AM234" s="293">
        <v>1000</v>
      </c>
      <c r="AN234" s="293"/>
      <c r="AO234" s="293"/>
      <c r="AP234" s="293"/>
      <c r="AQ234" s="293"/>
      <c r="AR234" s="293">
        <v>1000</v>
      </c>
      <c r="AS234" s="293"/>
      <c r="AT234" s="293"/>
      <c r="AU234" s="293"/>
      <c r="AV234" s="293">
        <v>350</v>
      </c>
      <c r="AW234" s="293"/>
      <c r="AX234" s="544"/>
      <c r="AY234" s="544"/>
      <c r="AZ234" s="537">
        <v>34565</v>
      </c>
      <c r="BA234" s="543"/>
      <c r="BB234" s="299">
        <f t="shared" si="37"/>
        <v>34565</v>
      </c>
      <c r="BC234" s="546"/>
      <c r="BD234" s="547"/>
      <c r="BE234" s="501"/>
      <c r="BF234" s="352">
        <f>BB234+BD234+BC234</f>
        <v>34565</v>
      </c>
      <c r="BG234" s="451" t="str">
        <f t="shared" si="38"/>
        <v>Y</v>
      </c>
      <c r="BH234" s="451"/>
      <c r="BI234" s="299"/>
      <c r="BJ234" s="698"/>
      <c r="BK234" s="698"/>
      <c r="BL234" s="303">
        <v>2837</v>
      </c>
      <c r="BM234" s="706"/>
      <c r="BN234" s="373"/>
      <c r="BO234" s="706"/>
      <c r="BP234" s="716"/>
      <c r="BQ234" s="706"/>
      <c r="BR234" s="373"/>
      <c r="BS234" s="373"/>
      <c r="BT234" s="451" t="str">
        <f t="shared" si="39"/>
        <v>N</v>
      </c>
      <c r="BU234" s="451" t="str">
        <f t="shared" si="39"/>
        <v>N</v>
      </c>
      <c r="BV234" s="304"/>
      <c r="BW234" s="288"/>
      <c r="BX234" s="290" t="s">
        <v>36</v>
      </c>
      <c r="BY234" s="449"/>
      <c r="BZ234" s="624"/>
      <c r="CA234" s="624"/>
      <c r="CB234" s="624"/>
      <c r="CC234" s="624"/>
      <c r="CD234" s="624"/>
      <c r="CE234" s="624"/>
      <c r="CF234" s="624"/>
      <c r="CG234" s="624"/>
      <c r="CH234" s="624"/>
    </row>
    <row r="235" spans="1:86" s="305" customFormat="1" ht="39" customHeight="1">
      <c r="A235" s="276" t="s">
        <v>444</v>
      </c>
      <c r="B235" s="348">
        <v>177</v>
      </c>
      <c r="C235" s="348"/>
      <c r="D235" s="726" t="s">
        <v>445</v>
      </c>
      <c r="E235" s="349">
        <v>39295</v>
      </c>
      <c r="F235" s="288">
        <v>2008</v>
      </c>
      <c r="G235" s="288">
        <v>8</v>
      </c>
      <c r="H235" s="288"/>
      <c r="I235" s="288">
        <v>2007</v>
      </c>
      <c r="J235" s="288">
        <v>18</v>
      </c>
      <c r="K235" s="288" t="s">
        <v>1211</v>
      </c>
      <c r="L235" s="288" t="s">
        <v>1876</v>
      </c>
      <c r="M235" s="358" t="s">
        <v>1271</v>
      </c>
      <c r="N235" s="359" t="s">
        <v>1965</v>
      </c>
      <c r="O235" s="288" t="s">
        <v>1098</v>
      </c>
      <c r="P235" s="288" t="s">
        <v>1892</v>
      </c>
      <c r="Q235" s="375"/>
      <c r="R235" s="361"/>
      <c r="S235" s="294"/>
      <c r="T235" s="1058"/>
      <c r="U235" s="295"/>
      <c r="V235" s="295"/>
      <c r="W235" s="362"/>
      <c r="X235" s="542"/>
      <c r="Y235" s="293"/>
      <c r="Z235" s="294"/>
      <c r="AA235" s="293">
        <v>24000</v>
      </c>
      <c r="AB235" s="365"/>
      <c r="AC235" s="543"/>
      <c r="AD235" s="1050"/>
      <c r="AE235" s="535">
        <v>298680</v>
      </c>
      <c r="AF235" s="684"/>
      <c r="AG235" s="371">
        <f t="shared" si="35"/>
        <v>298680</v>
      </c>
      <c r="AH235" s="502">
        <v>1</v>
      </c>
      <c r="AI235" s="503"/>
      <c r="AJ235" s="503"/>
      <c r="AK235" s="367"/>
      <c r="AL235" s="363"/>
      <c r="AM235" s="293"/>
      <c r="AN235" s="293"/>
      <c r="AO235" s="293"/>
      <c r="AP235" s="293"/>
      <c r="AQ235" s="293"/>
      <c r="AR235" s="293"/>
      <c r="AS235" s="293"/>
      <c r="AT235" s="293"/>
      <c r="AU235" s="293"/>
      <c r="AV235" s="293"/>
      <c r="AW235" s="293"/>
      <c r="AX235" s="544"/>
      <c r="AY235" s="544"/>
      <c r="AZ235" s="537"/>
      <c r="BA235" s="543"/>
      <c r="BB235" s="299">
        <f t="shared" si="37"/>
        <v>298680</v>
      </c>
      <c r="BC235" s="546"/>
      <c r="BD235" s="547"/>
      <c r="BE235" s="501"/>
      <c r="BF235" s="352">
        <f>BB235+BD235+BC235</f>
        <v>298680</v>
      </c>
      <c r="BG235" s="451" t="str">
        <f t="shared" si="38"/>
        <v>Y</v>
      </c>
      <c r="BH235" s="451"/>
      <c r="BI235" s="299"/>
      <c r="BJ235" s="698"/>
      <c r="BK235" s="698"/>
      <c r="BL235" s="303" t="s">
        <v>37</v>
      </c>
      <c r="BM235" s="706"/>
      <c r="BN235" s="373"/>
      <c r="BO235" s="706"/>
      <c r="BP235" s="716"/>
      <c r="BQ235" s="706"/>
      <c r="BR235" s="373"/>
      <c r="BS235" s="373"/>
      <c r="BT235" s="451" t="str">
        <f t="shared" si="39"/>
        <v>N</v>
      </c>
      <c r="BU235" s="451" t="str">
        <f t="shared" si="39"/>
        <v>N</v>
      </c>
      <c r="BV235" s="304"/>
      <c r="BW235" s="288"/>
      <c r="BX235" s="290" t="s">
        <v>36</v>
      </c>
      <c r="BY235" s="449" t="s">
        <v>1108</v>
      </c>
      <c r="BZ235" s="624"/>
      <c r="CA235" s="624"/>
      <c r="CB235" s="624"/>
      <c r="CC235" s="624"/>
      <c r="CD235" s="624"/>
      <c r="CE235" s="624"/>
      <c r="CF235" s="624"/>
      <c r="CG235" s="624"/>
      <c r="CH235" s="624"/>
    </row>
    <row r="236" spans="1:86" s="305" customFormat="1" ht="39" customHeight="1">
      <c r="A236" s="276" t="s">
        <v>444</v>
      </c>
      <c r="B236" s="348">
        <v>177</v>
      </c>
      <c r="C236" s="348"/>
      <c r="D236" s="726" t="s">
        <v>445</v>
      </c>
      <c r="E236" s="349">
        <v>39295</v>
      </c>
      <c r="F236" s="288">
        <v>2008</v>
      </c>
      <c r="G236" s="288">
        <v>8</v>
      </c>
      <c r="H236" s="288"/>
      <c r="I236" s="288">
        <v>2007</v>
      </c>
      <c r="J236" s="288">
        <v>18</v>
      </c>
      <c r="K236" s="288" t="s">
        <v>1211</v>
      </c>
      <c r="L236" s="288" t="s">
        <v>682</v>
      </c>
      <c r="M236" s="358" t="s">
        <v>1271</v>
      </c>
      <c r="N236" s="359" t="s">
        <v>1965</v>
      </c>
      <c r="O236" s="288" t="s">
        <v>1098</v>
      </c>
      <c r="P236" s="288" t="s">
        <v>1892</v>
      </c>
      <c r="Q236" s="375"/>
      <c r="R236" s="361"/>
      <c r="S236" s="294"/>
      <c r="T236" s="1058"/>
      <c r="U236" s="295"/>
      <c r="V236" s="295"/>
      <c r="W236" s="392"/>
      <c r="X236" s="533"/>
      <c r="Y236" s="293"/>
      <c r="Z236" s="294"/>
      <c r="AA236" s="293"/>
      <c r="AB236" s="365"/>
      <c r="AC236" s="543"/>
      <c r="AD236" s="1050"/>
      <c r="AE236" s="535">
        <v>2500</v>
      </c>
      <c r="AF236" s="684"/>
      <c r="AG236" s="371">
        <f t="shared" si="35"/>
        <v>2500</v>
      </c>
      <c r="AH236" s="502">
        <v>1</v>
      </c>
      <c r="AI236" s="503"/>
      <c r="AJ236" s="503"/>
      <c r="AK236" s="367"/>
      <c r="AL236" s="363"/>
      <c r="AM236" s="293"/>
      <c r="AN236" s="293"/>
      <c r="AO236" s="293"/>
      <c r="AP236" s="293"/>
      <c r="AQ236" s="293"/>
      <c r="AR236" s="293"/>
      <c r="AS236" s="293"/>
      <c r="AT236" s="293"/>
      <c r="AU236" s="293"/>
      <c r="AV236" s="293"/>
      <c r="AW236" s="293"/>
      <c r="AX236" s="544"/>
      <c r="AY236" s="544"/>
      <c r="AZ236" s="537"/>
      <c r="BA236" s="534"/>
      <c r="BB236" s="299">
        <f t="shared" si="37"/>
        <v>2500</v>
      </c>
      <c r="BC236" s="538"/>
      <c r="BD236" s="539"/>
      <c r="BE236" s="501"/>
      <c r="BF236" s="352">
        <f>BB236+BD236+BC236</f>
        <v>2500</v>
      </c>
      <c r="BG236" s="451" t="str">
        <f t="shared" si="38"/>
        <v>Y</v>
      </c>
      <c r="BH236" s="451"/>
      <c r="BI236" s="299"/>
      <c r="BJ236" s="698"/>
      <c r="BK236" s="698"/>
      <c r="BL236" s="303">
        <v>2837</v>
      </c>
      <c r="BM236" s="706"/>
      <c r="BN236" s="373"/>
      <c r="BO236" s="706"/>
      <c r="BP236" s="716"/>
      <c r="BQ236" s="706"/>
      <c r="BR236" s="373"/>
      <c r="BS236" s="373"/>
      <c r="BT236" s="451" t="str">
        <f t="shared" si="39"/>
        <v>N</v>
      </c>
      <c r="BU236" s="451" t="str">
        <f t="shared" si="39"/>
        <v>N</v>
      </c>
      <c r="BV236" s="304"/>
      <c r="BW236" s="288"/>
      <c r="BX236" s="290" t="s">
        <v>36</v>
      </c>
      <c r="BY236" s="449" t="s">
        <v>1109</v>
      </c>
      <c r="BZ236" s="624"/>
      <c r="CA236" s="624"/>
      <c r="CB236" s="624"/>
      <c r="CC236" s="624"/>
      <c r="CD236" s="624"/>
      <c r="CE236" s="624"/>
      <c r="CF236" s="624"/>
      <c r="CG236" s="624"/>
      <c r="CH236" s="624"/>
    </row>
    <row r="237" spans="1:86" s="305" customFormat="1" ht="39" customHeight="1">
      <c r="A237" s="276" t="s">
        <v>447</v>
      </c>
      <c r="B237" s="348">
        <v>178</v>
      </c>
      <c r="C237" s="348"/>
      <c r="D237" s="726" t="str">
        <f>L237&amp;" "&amp;N237</f>
        <v>Greece Wildfire</v>
      </c>
      <c r="E237" s="349">
        <v>39326</v>
      </c>
      <c r="F237" s="288">
        <v>2008</v>
      </c>
      <c r="G237" s="288">
        <v>9</v>
      </c>
      <c r="H237" s="288"/>
      <c r="I237" s="288">
        <v>2007</v>
      </c>
      <c r="J237" s="288">
        <v>19</v>
      </c>
      <c r="K237" s="358" t="s">
        <v>570</v>
      </c>
      <c r="L237" s="288" t="s">
        <v>1890</v>
      </c>
      <c r="M237" s="288" t="s">
        <v>1271</v>
      </c>
      <c r="N237" s="290" t="s">
        <v>1968</v>
      </c>
      <c r="O237" s="288" t="s">
        <v>142</v>
      </c>
      <c r="P237" s="288" t="s">
        <v>1593</v>
      </c>
      <c r="Q237" s="375"/>
      <c r="R237" s="361"/>
      <c r="S237" s="294"/>
      <c r="T237" s="1058"/>
      <c r="U237" s="295"/>
      <c r="V237" s="295"/>
      <c r="W237" s="392"/>
      <c r="X237" s="533"/>
      <c r="Y237" s="293"/>
      <c r="Z237" s="294"/>
      <c r="AA237" s="293"/>
      <c r="AB237" s="365"/>
      <c r="AC237" s="543"/>
      <c r="AD237" s="1050"/>
      <c r="AE237" s="535">
        <v>40000</v>
      </c>
      <c r="AF237" s="684"/>
      <c r="AG237" s="371">
        <f t="shared" si="35"/>
        <v>40000</v>
      </c>
      <c r="AH237" s="502"/>
      <c r="AI237" s="503"/>
      <c r="AJ237" s="503"/>
      <c r="AK237" s="367"/>
      <c r="AL237" s="363"/>
      <c r="AM237" s="293"/>
      <c r="AN237" s="293"/>
      <c r="AO237" s="293"/>
      <c r="AP237" s="293"/>
      <c r="AQ237" s="293"/>
      <c r="AR237" s="293"/>
      <c r="AS237" s="293"/>
      <c r="AT237" s="293"/>
      <c r="AU237" s="293"/>
      <c r="AV237" s="293"/>
      <c r="AW237" s="293"/>
      <c r="AX237" s="544"/>
      <c r="AY237" s="544"/>
      <c r="AZ237" s="537"/>
      <c r="BA237" s="534"/>
      <c r="BB237" s="299">
        <f t="shared" si="37"/>
        <v>40000</v>
      </c>
      <c r="BC237" s="538"/>
      <c r="BD237" s="539"/>
      <c r="BE237" s="501"/>
      <c r="BF237" s="352">
        <f>AE237+AC237+AZ237+BA237</f>
        <v>40000</v>
      </c>
      <c r="BG237" s="451" t="str">
        <f t="shared" si="38"/>
        <v>N</v>
      </c>
      <c r="BH237" s="451"/>
      <c r="BI237" s="299"/>
      <c r="BJ237" s="698"/>
      <c r="BK237" s="698"/>
      <c r="BL237" s="303">
        <v>2099</v>
      </c>
      <c r="BM237" s="706"/>
      <c r="BN237" s="373"/>
      <c r="BO237" s="706"/>
      <c r="BP237" s="716"/>
      <c r="BQ237" s="706"/>
      <c r="BR237" s="373"/>
      <c r="BS237" s="373"/>
      <c r="BT237" s="451" t="str">
        <f t="shared" si="39"/>
        <v>N</v>
      </c>
      <c r="BU237" s="451" t="str">
        <f t="shared" si="39"/>
        <v>N</v>
      </c>
      <c r="BV237" s="304"/>
      <c r="BW237" s="288"/>
      <c r="BX237" s="290"/>
      <c r="BY237" s="449" t="s">
        <v>1110</v>
      </c>
      <c r="BZ237" s="624"/>
      <c r="CA237" s="624"/>
      <c r="CB237" s="624"/>
      <c r="CC237" s="624"/>
      <c r="CD237" s="624"/>
      <c r="CE237" s="624"/>
      <c r="CF237" s="624"/>
      <c r="CG237" s="624"/>
      <c r="CH237" s="624"/>
    </row>
    <row r="238" spans="1:86" s="305" customFormat="1" ht="39" customHeight="1">
      <c r="A238" s="276" t="s">
        <v>448</v>
      </c>
      <c r="B238" s="348">
        <v>179</v>
      </c>
      <c r="C238" s="348"/>
      <c r="D238" s="726" t="s">
        <v>440</v>
      </c>
      <c r="E238" s="349">
        <v>39326</v>
      </c>
      <c r="F238" s="288">
        <v>2008</v>
      </c>
      <c r="G238" s="288">
        <v>10</v>
      </c>
      <c r="H238" s="288"/>
      <c r="I238" s="288">
        <v>2007</v>
      </c>
      <c r="J238" s="288">
        <v>20</v>
      </c>
      <c r="K238" s="288" t="s">
        <v>1211</v>
      </c>
      <c r="L238" s="288" t="s">
        <v>1886</v>
      </c>
      <c r="M238" s="358" t="s">
        <v>1271</v>
      </c>
      <c r="N238" s="359" t="s">
        <v>1965</v>
      </c>
      <c r="O238" s="288" t="s">
        <v>1098</v>
      </c>
      <c r="P238" s="288" t="s">
        <v>1892</v>
      </c>
      <c r="Q238" s="375">
        <v>175000</v>
      </c>
      <c r="R238" s="361" t="s">
        <v>362</v>
      </c>
      <c r="S238" s="294" t="s">
        <v>363</v>
      </c>
      <c r="T238" s="1058">
        <v>1300000</v>
      </c>
      <c r="U238" s="295"/>
      <c r="V238" s="295" t="s">
        <v>439</v>
      </c>
      <c r="W238" s="392"/>
      <c r="X238" s="533"/>
      <c r="Y238" s="515">
        <v>31658</v>
      </c>
      <c r="Z238" s="781"/>
      <c r="AA238" s="515"/>
      <c r="AB238" s="365">
        <f>COUNTIF(AC238, "&gt;49999")</f>
        <v>1</v>
      </c>
      <c r="AC238" s="543">
        <v>50000</v>
      </c>
      <c r="AD238" s="1050"/>
      <c r="AE238" s="535"/>
      <c r="AF238" s="684"/>
      <c r="AG238" s="371">
        <f t="shared" si="35"/>
        <v>50000</v>
      </c>
      <c r="AH238" s="502"/>
      <c r="AI238" s="503"/>
      <c r="AJ238" s="503"/>
      <c r="AK238" s="367"/>
      <c r="AL238" s="363"/>
      <c r="AM238" s="293"/>
      <c r="AN238" s="293"/>
      <c r="AO238" s="293"/>
      <c r="AP238" s="293"/>
      <c r="AQ238" s="293"/>
      <c r="AR238" s="293"/>
      <c r="AS238" s="293"/>
      <c r="AT238" s="293"/>
      <c r="AU238" s="293"/>
      <c r="AV238" s="293"/>
      <c r="AW238" s="293"/>
      <c r="AX238" s="544"/>
      <c r="AY238" s="544"/>
      <c r="AZ238" s="537"/>
      <c r="BA238" s="534"/>
      <c r="BB238" s="299">
        <f t="shared" si="37"/>
        <v>50000</v>
      </c>
      <c r="BC238" s="538"/>
      <c r="BD238" s="539"/>
      <c r="BE238" s="501"/>
      <c r="BF238" s="352">
        <f>AE238+AC238+AZ238+BA238</f>
        <v>50000</v>
      </c>
      <c r="BG238" s="451" t="str">
        <f t="shared" si="38"/>
        <v>N</v>
      </c>
      <c r="BH238" s="451"/>
      <c r="BI238" s="299"/>
      <c r="BJ238" s="698"/>
      <c r="BK238" s="698"/>
      <c r="BL238" s="303">
        <v>2099</v>
      </c>
      <c r="BM238" s="706"/>
      <c r="BN238" s="373"/>
      <c r="BO238" s="706"/>
      <c r="BP238" s="716"/>
      <c r="BQ238" s="706"/>
      <c r="BR238" s="373"/>
      <c r="BS238" s="373"/>
      <c r="BT238" s="451" t="str">
        <f t="shared" si="39"/>
        <v>N</v>
      </c>
      <c r="BU238" s="451" t="str">
        <f t="shared" si="39"/>
        <v>N</v>
      </c>
      <c r="BV238" s="304"/>
      <c r="BW238" s="288"/>
      <c r="BX238" s="290" t="s">
        <v>1111</v>
      </c>
      <c r="BY238" s="449" t="s">
        <v>1112</v>
      </c>
      <c r="BZ238" s="624"/>
      <c r="CA238" s="624"/>
      <c r="CB238" s="624"/>
      <c r="CC238" s="624"/>
      <c r="CD238" s="624"/>
      <c r="CE238" s="624"/>
      <c r="CF238" s="624"/>
      <c r="CG238" s="624"/>
      <c r="CH238" s="624"/>
    </row>
    <row r="239" spans="1:86" s="305" customFormat="1" ht="39" customHeight="1">
      <c r="A239" s="276" t="s">
        <v>448</v>
      </c>
      <c r="B239" s="348">
        <v>179</v>
      </c>
      <c r="C239" s="348"/>
      <c r="D239" s="726" t="s">
        <v>440</v>
      </c>
      <c r="E239" s="349">
        <v>39326</v>
      </c>
      <c r="F239" s="288">
        <v>2008</v>
      </c>
      <c r="G239" s="288">
        <v>10</v>
      </c>
      <c r="H239" s="288"/>
      <c r="I239" s="288">
        <v>2007</v>
      </c>
      <c r="J239" s="288">
        <v>20</v>
      </c>
      <c r="K239" s="288" t="s">
        <v>1211</v>
      </c>
      <c r="L239" s="288" t="s">
        <v>1660</v>
      </c>
      <c r="M239" s="358" t="s">
        <v>1271</v>
      </c>
      <c r="N239" s="359" t="s">
        <v>1965</v>
      </c>
      <c r="O239" s="288" t="s">
        <v>1098</v>
      </c>
      <c r="P239" s="288" t="s">
        <v>1892</v>
      </c>
      <c r="Q239" s="375"/>
      <c r="R239" s="361"/>
      <c r="S239" s="294"/>
      <c r="T239" s="1058"/>
      <c r="U239" s="295"/>
      <c r="V239" s="295"/>
      <c r="W239" s="392"/>
      <c r="X239" s="533"/>
      <c r="Y239" s="293"/>
      <c r="Z239" s="294"/>
      <c r="AA239" s="293"/>
      <c r="AB239" s="365">
        <f>COUNTIF(AC239, "&gt;49999")</f>
        <v>0</v>
      </c>
      <c r="AC239" s="543">
        <v>22500</v>
      </c>
      <c r="AD239" s="1050"/>
      <c r="AE239" s="535"/>
      <c r="AF239" s="684"/>
      <c r="AG239" s="371">
        <f t="shared" si="35"/>
        <v>22500</v>
      </c>
      <c r="AH239" s="502"/>
      <c r="AI239" s="503"/>
      <c r="AJ239" s="503"/>
      <c r="AK239" s="367"/>
      <c r="AL239" s="363"/>
      <c r="AM239" s="293"/>
      <c r="AN239" s="293"/>
      <c r="AO239" s="293"/>
      <c r="AP239" s="293"/>
      <c r="AQ239" s="293"/>
      <c r="AR239" s="293"/>
      <c r="AS239" s="293"/>
      <c r="AT239" s="293"/>
      <c r="AU239" s="293"/>
      <c r="AV239" s="293"/>
      <c r="AW239" s="293"/>
      <c r="AX239" s="544"/>
      <c r="AY239" s="544"/>
      <c r="AZ239" s="537"/>
      <c r="BA239" s="534"/>
      <c r="BB239" s="299">
        <f t="shared" si="37"/>
        <v>22500</v>
      </c>
      <c r="BC239" s="538"/>
      <c r="BD239" s="539"/>
      <c r="BE239" s="501"/>
      <c r="BF239" s="352">
        <f t="shared" ref="BF239:BF244" si="44">BB239+BD239+BC239</f>
        <v>22500</v>
      </c>
      <c r="BG239" s="451" t="str">
        <f t="shared" si="38"/>
        <v>N</v>
      </c>
      <c r="BH239" s="451"/>
      <c r="BI239" s="299"/>
      <c r="BJ239" s="698"/>
      <c r="BK239" s="698"/>
      <c r="BL239" s="303">
        <v>2099</v>
      </c>
      <c r="BM239" s="706"/>
      <c r="BN239" s="373"/>
      <c r="BO239" s="706"/>
      <c r="BP239" s="716"/>
      <c r="BQ239" s="706"/>
      <c r="BR239" s="373"/>
      <c r="BS239" s="373"/>
      <c r="BT239" s="451" t="str">
        <f t="shared" si="39"/>
        <v>N</v>
      </c>
      <c r="BU239" s="451" t="str">
        <f t="shared" si="39"/>
        <v>N</v>
      </c>
      <c r="BV239" s="304"/>
      <c r="BW239" s="288"/>
      <c r="BX239" s="290" t="s">
        <v>1111</v>
      </c>
      <c r="BY239" s="449"/>
      <c r="BZ239" s="624"/>
      <c r="CA239" s="624"/>
      <c r="CB239" s="624"/>
      <c r="CC239" s="624"/>
      <c r="CD239" s="624"/>
      <c r="CE239" s="624"/>
      <c r="CF239" s="624"/>
      <c r="CG239" s="624"/>
      <c r="CH239" s="624"/>
    </row>
    <row r="240" spans="1:86" s="305" customFormat="1" ht="39" customHeight="1">
      <c r="A240" s="276" t="s">
        <v>448</v>
      </c>
      <c r="B240" s="348">
        <v>179</v>
      </c>
      <c r="C240" s="348"/>
      <c r="D240" s="726" t="s">
        <v>440</v>
      </c>
      <c r="E240" s="349">
        <v>39326</v>
      </c>
      <c r="F240" s="288">
        <v>2008</v>
      </c>
      <c r="G240" s="288">
        <v>10</v>
      </c>
      <c r="H240" s="288"/>
      <c r="I240" s="288">
        <v>2007</v>
      </c>
      <c r="J240" s="288">
        <v>20</v>
      </c>
      <c r="K240" s="288" t="s">
        <v>1211</v>
      </c>
      <c r="L240" s="288" t="s">
        <v>1660</v>
      </c>
      <c r="M240" s="358" t="s">
        <v>1271</v>
      </c>
      <c r="N240" s="359" t="s">
        <v>1965</v>
      </c>
      <c r="O240" s="288" t="s">
        <v>1098</v>
      </c>
      <c r="P240" s="288" t="s">
        <v>1892</v>
      </c>
      <c r="Q240" s="375"/>
      <c r="R240" s="361"/>
      <c r="S240" s="294"/>
      <c r="T240" s="1058"/>
      <c r="U240" s="295"/>
      <c r="V240" s="295"/>
      <c r="W240" s="392"/>
      <c r="X240" s="533"/>
      <c r="Y240" s="293"/>
      <c r="Z240" s="294"/>
      <c r="AA240" s="293"/>
      <c r="AB240" s="365">
        <f>COUNTIF(AC240, "&gt;49999")</f>
        <v>0</v>
      </c>
      <c r="AC240" s="543">
        <v>47500</v>
      </c>
      <c r="AD240" s="1050"/>
      <c r="AE240" s="535"/>
      <c r="AF240" s="684"/>
      <c r="AG240" s="371">
        <f t="shared" si="35"/>
        <v>47500</v>
      </c>
      <c r="AH240" s="502"/>
      <c r="AI240" s="503"/>
      <c r="AJ240" s="503"/>
      <c r="AK240" s="367"/>
      <c r="AL240" s="363"/>
      <c r="AM240" s="293"/>
      <c r="AN240" s="293"/>
      <c r="AO240" s="293"/>
      <c r="AP240" s="293"/>
      <c r="AQ240" s="293"/>
      <c r="AR240" s="293"/>
      <c r="AS240" s="293"/>
      <c r="AT240" s="293"/>
      <c r="AU240" s="293"/>
      <c r="AV240" s="293"/>
      <c r="AW240" s="293"/>
      <c r="AX240" s="544"/>
      <c r="AY240" s="544"/>
      <c r="AZ240" s="537"/>
      <c r="BA240" s="534"/>
      <c r="BB240" s="299">
        <f t="shared" si="37"/>
        <v>47500</v>
      </c>
      <c r="BC240" s="538"/>
      <c r="BD240" s="539"/>
      <c r="BE240" s="501"/>
      <c r="BF240" s="352">
        <f t="shared" si="44"/>
        <v>47500</v>
      </c>
      <c r="BG240" s="451" t="str">
        <f t="shared" si="38"/>
        <v>Y</v>
      </c>
      <c r="BH240" s="451"/>
      <c r="BI240" s="299"/>
      <c r="BJ240" s="698"/>
      <c r="BK240" s="698"/>
      <c r="BL240" s="303">
        <v>2696</v>
      </c>
      <c r="BM240" s="706"/>
      <c r="BN240" s="373"/>
      <c r="BO240" s="706"/>
      <c r="BP240" s="716"/>
      <c r="BQ240" s="706"/>
      <c r="BR240" s="373"/>
      <c r="BS240" s="373"/>
      <c r="BT240" s="451" t="str">
        <f t="shared" si="39"/>
        <v>N</v>
      </c>
      <c r="BU240" s="451" t="str">
        <f t="shared" si="39"/>
        <v>N</v>
      </c>
      <c r="BV240" s="304"/>
      <c r="BW240" s="288"/>
      <c r="BX240" s="290" t="s">
        <v>1111</v>
      </c>
      <c r="BY240" s="286" t="s">
        <v>1113</v>
      </c>
      <c r="BZ240" s="624"/>
      <c r="CA240" s="624"/>
      <c r="CB240" s="624"/>
      <c r="CC240" s="624"/>
      <c r="CD240" s="624"/>
      <c r="CE240" s="624"/>
      <c r="CF240" s="624"/>
      <c r="CG240" s="624"/>
      <c r="CH240" s="624"/>
    </row>
    <row r="241" spans="1:86" s="305" customFormat="1" ht="39" customHeight="1">
      <c r="A241" s="276" t="s">
        <v>438</v>
      </c>
      <c r="B241" s="348">
        <v>180</v>
      </c>
      <c r="C241" s="348"/>
      <c r="D241" s="726" t="s">
        <v>437</v>
      </c>
      <c r="E241" s="349">
        <v>39326</v>
      </c>
      <c r="F241" s="288">
        <v>2008</v>
      </c>
      <c r="G241" s="288">
        <v>11</v>
      </c>
      <c r="H241" s="288"/>
      <c r="I241" s="288">
        <v>2007</v>
      </c>
      <c r="J241" s="288">
        <v>21</v>
      </c>
      <c r="K241" s="288" t="s">
        <v>570</v>
      </c>
      <c r="L241" s="288" t="s">
        <v>1565</v>
      </c>
      <c r="M241" s="358" t="s">
        <v>1961</v>
      </c>
      <c r="N241" s="359" t="s">
        <v>1884</v>
      </c>
      <c r="O241" s="358" t="s">
        <v>1884</v>
      </c>
      <c r="P241" s="358" t="s">
        <v>1884</v>
      </c>
      <c r="Q241" s="375"/>
      <c r="R241" s="361"/>
      <c r="S241" s="294"/>
      <c r="T241" s="1058"/>
      <c r="U241" s="295"/>
      <c r="V241" s="295"/>
      <c r="W241" s="392"/>
      <c r="X241" s="533"/>
      <c r="Y241" s="293"/>
      <c r="Z241" s="294"/>
      <c r="AA241" s="293"/>
      <c r="AB241" s="365"/>
      <c r="AC241" s="534"/>
      <c r="AD241" s="565"/>
      <c r="AE241" s="535">
        <v>3000</v>
      </c>
      <c r="AF241" s="684"/>
      <c r="AG241" s="371">
        <f t="shared" si="35"/>
        <v>3000</v>
      </c>
      <c r="AH241" s="502"/>
      <c r="AI241" s="503"/>
      <c r="AJ241" s="503"/>
      <c r="AK241" s="388"/>
      <c r="AL241" s="389"/>
      <c r="AM241" s="301"/>
      <c r="AN241" s="301"/>
      <c r="AO241" s="301"/>
      <c r="AP241" s="301"/>
      <c r="AQ241" s="301"/>
      <c r="AR241" s="301"/>
      <c r="AS241" s="301"/>
      <c r="AT241" s="301"/>
      <c r="AU241" s="301"/>
      <c r="AV241" s="301"/>
      <c r="AW241" s="301"/>
      <c r="AX241" s="536"/>
      <c r="AY241" s="536"/>
      <c r="AZ241" s="537"/>
      <c r="BA241" s="534"/>
      <c r="BB241" s="299">
        <f t="shared" si="37"/>
        <v>3000</v>
      </c>
      <c r="BC241" s="538"/>
      <c r="BD241" s="539"/>
      <c r="BE241" s="501"/>
      <c r="BF241" s="352">
        <f t="shared" si="44"/>
        <v>3000</v>
      </c>
      <c r="BG241" s="451" t="str">
        <f t="shared" si="38"/>
        <v>N</v>
      </c>
      <c r="BH241" s="451"/>
      <c r="BI241" s="299"/>
      <c r="BJ241" s="698"/>
      <c r="BK241" s="698"/>
      <c r="BL241" s="303">
        <v>2799</v>
      </c>
      <c r="BM241" s="706"/>
      <c r="BN241" s="373"/>
      <c r="BO241" s="706"/>
      <c r="BP241" s="716"/>
      <c r="BQ241" s="706"/>
      <c r="BR241" s="373"/>
      <c r="BS241" s="373"/>
      <c r="BT241" s="451" t="str">
        <f t="shared" si="39"/>
        <v>Y</v>
      </c>
      <c r="BU241" s="451" t="str">
        <f t="shared" si="39"/>
        <v>N</v>
      </c>
      <c r="BV241" s="304"/>
      <c r="BW241" s="288"/>
      <c r="BX241" s="290" t="s">
        <v>1114</v>
      </c>
      <c r="BY241" s="286" t="s">
        <v>1115</v>
      </c>
      <c r="BZ241" s="624"/>
      <c r="CA241" s="624"/>
      <c r="CB241" s="624"/>
      <c r="CC241" s="624"/>
      <c r="CD241" s="624"/>
      <c r="CE241" s="624"/>
      <c r="CF241" s="624"/>
      <c r="CG241" s="624"/>
      <c r="CH241" s="624"/>
    </row>
    <row r="242" spans="1:86" s="305" customFormat="1" ht="39" customHeight="1">
      <c r="A242" s="275" t="s">
        <v>1326</v>
      </c>
      <c r="B242" s="355">
        <v>181</v>
      </c>
      <c r="C242" s="355"/>
      <c r="D242" s="726" t="str">
        <f>L242&amp;" "&amp;N242</f>
        <v>Uganda Floods</v>
      </c>
      <c r="E242" s="356">
        <v>39326</v>
      </c>
      <c r="F242" s="358">
        <v>2008</v>
      </c>
      <c r="G242" s="358">
        <v>12</v>
      </c>
      <c r="H242" s="358"/>
      <c r="I242" s="358">
        <v>2007</v>
      </c>
      <c r="J242" s="358">
        <v>22</v>
      </c>
      <c r="K242" s="358" t="s">
        <v>1210</v>
      </c>
      <c r="L242" s="358" t="s">
        <v>1116</v>
      </c>
      <c r="M242" s="303" t="s">
        <v>1271</v>
      </c>
      <c r="N242" s="359" t="s">
        <v>1877</v>
      </c>
      <c r="O242" s="465" t="s">
        <v>1337</v>
      </c>
      <c r="P242" s="465" t="s">
        <v>1337</v>
      </c>
      <c r="Q242" s="360">
        <v>450000</v>
      </c>
      <c r="R242" s="361" t="s">
        <v>362</v>
      </c>
      <c r="S242" s="294" t="s">
        <v>363</v>
      </c>
      <c r="T242" s="1058">
        <v>9511366</v>
      </c>
      <c r="U242" s="295"/>
      <c r="V242" s="556" t="s">
        <v>1325</v>
      </c>
      <c r="W242" s="558"/>
      <c r="X242" s="542"/>
      <c r="Y242" s="515">
        <v>125000</v>
      </c>
      <c r="Z242" s="319"/>
      <c r="AA242" s="515"/>
      <c r="AB242" s="365"/>
      <c r="AC242" s="543"/>
      <c r="AD242" s="1050"/>
      <c r="AE242" s="295"/>
      <c r="AF242" s="685"/>
      <c r="AG242" s="371">
        <f t="shared" si="35"/>
        <v>0</v>
      </c>
      <c r="AH242" s="499">
        <v>3</v>
      </c>
      <c r="AI242" s="500" t="s">
        <v>227</v>
      </c>
      <c r="AJ242" s="500"/>
      <c r="AK242" s="367"/>
      <c r="AL242" s="363"/>
      <c r="AM242" s="293"/>
      <c r="AN242" s="293"/>
      <c r="AO242" s="293"/>
      <c r="AP242" s="293"/>
      <c r="AQ242" s="293"/>
      <c r="AR242" s="293"/>
      <c r="AS242" s="293"/>
      <c r="AT242" s="293"/>
      <c r="AU242" s="293"/>
      <c r="AV242" s="293"/>
      <c r="AW242" s="293"/>
      <c r="AX242" s="544"/>
      <c r="AY242" s="544"/>
      <c r="AZ242" s="545"/>
      <c r="BA242" s="543">
        <v>17400</v>
      </c>
      <c r="BB242" s="299">
        <f t="shared" si="37"/>
        <v>17400</v>
      </c>
      <c r="BC242" s="546"/>
      <c r="BD242" s="547"/>
      <c r="BE242" s="549"/>
      <c r="BF242" s="352">
        <f t="shared" si="44"/>
        <v>17400</v>
      </c>
      <c r="BG242" s="451" t="str">
        <f t="shared" si="38"/>
        <v>N</v>
      </c>
      <c r="BH242" s="451"/>
      <c r="BI242" s="299"/>
      <c r="BJ242" s="698"/>
      <c r="BK242" s="698"/>
      <c r="BL242" s="303">
        <v>2799</v>
      </c>
      <c r="BM242" s="706"/>
      <c r="BN242" s="373"/>
      <c r="BO242" s="706"/>
      <c r="BP242" s="716"/>
      <c r="BQ242" s="706"/>
      <c r="BR242" s="373"/>
      <c r="BS242" s="373"/>
      <c r="BT242" s="451" t="str">
        <f t="shared" si="39"/>
        <v>Y</v>
      </c>
      <c r="BU242" s="451" t="str">
        <f t="shared" si="39"/>
        <v>N</v>
      </c>
      <c r="BV242" s="318"/>
      <c r="BW242" s="358"/>
      <c r="BX242" s="359"/>
      <c r="BY242" s="306" t="s">
        <v>886</v>
      </c>
      <c r="BZ242" s="624"/>
      <c r="CA242" s="624"/>
      <c r="CB242" s="624"/>
      <c r="CC242" s="624"/>
      <c r="CD242" s="624"/>
      <c r="CE242" s="624"/>
      <c r="CF242" s="624"/>
      <c r="CG242" s="624"/>
      <c r="CH242" s="624"/>
    </row>
    <row r="243" spans="1:86" s="305" customFormat="1" ht="39" customHeight="1">
      <c r="A243" s="275" t="s">
        <v>1324</v>
      </c>
      <c r="B243" s="355">
        <v>182</v>
      </c>
      <c r="C243" s="355"/>
      <c r="D243" s="726" t="str">
        <f>L243&amp;" "&amp;N243</f>
        <v>Togo Floods</v>
      </c>
      <c r="E243" s="356">
        <v>39326</v>
      </c>
      <c r="F243" s="358">
        <v>2008</v>
      </c>
      <c r="G243" s="358">
        <v>13</v>
      </c>
      <c r="H243" s="358"/>
      <c r="I243" s="358">
        <v>2007</v>
      </c>
      <c r="J243" s="358">
        <v>23</v>
      </c>
      <c r="K243" s="358" t="s">
        <v>1210</v>
      </c>
      <c r="L243" s="358" t="s">
        <v>887</v>
      </c>
      <c r="M243" s="303" t="s">
        <v>1271</v>
      </c>
      <c r="N243" s="359" t="s">
        <v>1877</v>
      </c>
      <c r="O243" s="465" t="s">
        <v>1337</v>
      </c>
      <c r="P243" s="465" t="s">
        <v>1337</v>
      </c>
      <c r="Q243" s="360">
        <f>93000+75000+17000</f>
        <v>185000</v>
      </c>
      <c r="R243" s="361" t="s">
        <v>362</v>
      </c>
      <c r="S243" s="294" t="s">
        <v>363</v>
      </c>
      <c r="T243" s="1058">
        <v>3200000</v>
      </c>
      <c r="U243" s="295"/>
      <c r="V243" s="556" t="s">
        <v>1323</v>
      </c>
      <c r="W243" s="558"/>
      <c r="X243" s="542"/>
      <c r="Y243" s="515">
        <v>94825</v>
      </c>
      <c r="Z243" s="781"/>
      <c r="AA243" s="515"/>
      <c r="AB243" s="365">
        <f t="shared" ref="AB243:AB249" si="45">COUNTIF(AC243, "&gt;49999")</f>
        <v>0</v>
      </c>
      <c r="AC243" s="543">
        <f>8720+11250</f>
        <v>19970</v>
      </c>
      <c r="AD243" s="1050"/>
      <c r="AE243" s="295"/>
      <c r="AF243" s="685"/>
      <c r="AG243" s="371">
        <f t="shared" si="35"/>
        <v>19970</v>
      </c>
      <c r="AH243" s="499"/>
      <c r="AI243" s="500"/>
      <c r="AJ243" s="500"/>
      <c r="AK243" s="367"/>
      <c r="AL243" s="363"/>
      <c r="AM243" s="293"/>
      <c r="AN243" s="293"/>
      <c r="AO243" s="293"/>
      <c r="AP243" s="293"/>
      <c r="AQ243" s="293"/>
      <c r="AR243" s="293"/>
      <c r="AS243" s="293"/>
      <c r="AT243" s="293"/>
      <c r="AU243" s="293"/>
      <c r="AV243" s="293"/>
      <c r="AW243" s="293"/>
      <c r="AX243" s="544"/>
      <c r="AY243" s="544"/>
      <c r="AZ243" s="545"/>
      <c r="BA243" s="543"/>
      <c r="BB243" s="299">
        <f t="shared" si="37"/>
        <v>19970</v>
      </c>
      <c r="BC243" s="546"/>
      <c r="BD243" s="547"/>
      <c r="BE243" s="549"/>
      <c r="BF243" s="352">
        <f t="shared" si="44"/>
        <v>19970</v>
      </c>
      <c r="BG243" s="451" t="str">
        <f t="shared" si="38"/>
        <v>N</v>
      </c>
      <c r="BH243" s="451"/>
      <c r="BI243" s="299"/>
      <c r="BJ243" s="698"/>
      <c r="BK243" s="698"/>
      <c r="BL243" s="303">
        <v>2799</v>
      </c>
      <c r="BM243" s="706"/>
      <c r="BN243" s="373"/>
      <c r="BO243" s="706"/>
      <c r="BP243" s="716"/>
      <c r="BQ243" s="706"/>
      <c r="BR243" s="373"/>
      <c r="BS243" s="373"/>
      <c r="BT243" s="451" t="str">
        <f t="shared" si="39"/>
        <v>Y</v>
      </c>
      <c r="BU243" s="451" t="str">
        <f t="shared" si="39"/>
        <v>N</v>
      </c>
      <c r="BV243" s="318"/>
      <c r="BW243" s="358"/>
      <c r="BX243" s="359"/>
      <c r="BY243" s="306" t="s">
        <v>888</v>
      </c>
      <c r="BZ243" s="624"/>
      <c r="CA243" s="624"/>
      <c r="CB243" s="624"/>
      <c r="CC243" s="624"/>
      <c r="CD243" s="624"/>
      <c r="CE243" s="624"/>
      <c r="CF243" s="624"/>
      <c r="CG243" s="624"/>
      <c r="CH243" s="624"/>
    </row>
    <row r="244" spans="1:86" s="305" customFormat="1" ht="39" customHeight="1">
      <c r="A244" s="276" t="s">
        <v>436</v>
      </c>
      <c r="B244" s="348">
        <v>183</v>
      </c>
      <c r="C244" s="348"/>
      <c r="D244" s="726" t="s">
        <v>434</v>
      </c>
      <c r="E244" s="349">
        <v>39356</v>
      </c>
      <c r="F244" s="288">
        <v>2008</v>
      </c>
      <c r="G244" s="288">
        <v>14</v>
      </c>
      <c r="H244" s="288"/>
      <c r="I244" s="288">
        <v>2007</v>
      </c>
      <c r="J244" s="288">
        <v>24</v>
      </c>
      <c r="K244" s="288" t="s">
        <v>1211</v>
      </c>
      <c r="L244" s="288" t="s">
        <v>1540</v>
      </c>
      <c r="M244" s="358" t="s">
        <v>1271</v>
      </c>
      <c r="N244" s="359" t="s">
        <v>1965</v>
      </c>
      <c r="O244" s="288" t="s">
        <v>1098</v>
      </c>
      <c r="P244" s="288" t="s">
        <v>1586</v>
      </c>
      <c r="Q244" s="375">
        <v>200000</v>
      </c>
      <c r="R244" s="361" t="s">
        <v>362</v>
      </c>
      <c r="S244" s="294" t="s">
        <v>363</v>
      </c>
      <c r="T244" s="1058">
        <v>1544000</v>
      </c>
      <c r="U244" s="295"/>
      <c r="V244" s="295" t="s">
        <v>435</v>
      </c>
      <c r="W244" s="392"/>
      <c r="X244" s="533"/>
      <c r="Y244" s="515">
        <v>52995</v>
      </c>
      <c r="Z244" s="781"/>
      <c r="AA244" s="515"/>
      <c r="AB244" s="365">
        <f t="shared" si="45"/>
        <v>0</v>
      </c>
      <c r="AC244" s="534">
        <v>35000</v>
      </c>
      <c r="AD244" s="565"/>
      <c r="AE244" s="535"/>
      <c r="AF244" s="684"/>
      <c r="AG244" s="371">
        <f t="shared" si="35"/>
        <v>35000</v>
      </c>
      <c r="AH244" s="502"/>
      <c r="AI244" s="503"/>
      <c r="AJ244" s="503"/>
      <c r="AK244" s="388">
        <v>4000</v>
      </c>
      <c r="AL244" s="389"/>
      <c r="AM244" s="301">
        <v>1000</v>
      </c>
      <c r="AN244" s="301"/>
      <c r="AO244" s="301"/>
      <c r="AP244" s="301"/>
      <c r="AQ244" s="301"/>
      <c r="AR244" s="301">
        <v>1000</v>
      </c>
      <c r="AS244" s="301"/>
      <c r="AT244" s="301"/>
      <c r="AU244" s="301"/>
      <c r="AV244" s="301">
        <v>2000</v>
      </c>
      <c r="AW244" s="301"/>
      <c r="AX244" s="536"/>
      <c r="AY244" s="536"/>
      <c r="AZ244" s="537">
        <v>69055</v>
      </c>
      <c r="BA244" s="534"/>
      <c r="BB244" s="299">
        <f t="shared" si="37"/>
        <v>104055</v>
      </c>
      <c r="BC244" s="538"/>
      <c r="BD244" s="539"/>
      <c r="BE244" s="501"/>
      <c r="BF244" s="352">
        <f t="shared" si="44"/>
        <v>104055</v>
      </c>
      <c r="BG244" s="451" t="str">
        <f t="shared" si="38"/>
        <v>Y</v>
      </c>
      <c r="BH244" s="451"/>
      <c r="BI244" s="299"/>
      <c r="BJ244" s="698"/>
      <c r="BK244" s="698"/>
      <c r="BL244" s="303">
        <v>2694</v>
      </c>
      <c r="BM244" s="706"/>
      <c r="BN244" s="373"/>
      <c r="BO244" s="706"/>
      <c r="BP244" s="716"/>
      <c r="BQ244" s="706"/>
      <c r="BR244" s="373"/>
      <c r="BS244" s="373"/>
      <c r="BT244" s="451" t="str">
        <f t="shared" si="39"/>
        <v>N</v>
      </c>
      <c r="BU244" s="451" t="str">
        <f t="shared" si="39"/>
        <v>N</v>
      </c>
      <c r="BV244" s="304"/>
      <c r="BW244" s="288"/>
      <c r="BX244" s="290" t="s">
        <v>889</v>
      </c>
      <c r="BY244" s="286" t="s">
        <v>1865</v>
      </c>
      <c r="BZ244" s="624"/>
      <c r="CA244" s="624"/>
      <c r="CB244" s="624"/>
      <c r="CC244" s="624"/>
      <c r="CD244" s="624"/>
      <c r="CE244" s="624"/>
      <c r="CF244" s="624"/>
      <c r="CG244" s="624"/>
      <c r="CH244" s="624"/>
    </row>
    <row r="245" spans="1:86" s="305" customFormat="1" ht="39" customHeight="1">
      <c r="A245" s="276" t="s">
        <v>436</v>
      </c>
      <c r="B245" s="348">
        <v>183</v>
      </c>
      <c r="C245" s="348"/>
      <c r="D245" s="726" t="s">
        <v>434</v>
      </c>
      <c r="E245" s="349">
        <v>39387</v>
      </c>
      <c r="F245" s="288">
        <v>2008</v>
      </c>
      <c r="G245" s="288">
        <v>14</v>
      </c>
      <c r="H245" s="288"/>
      <c r="I245" s="288">
        <v>2007</v>
      </c>
      <c r="J245" s="288">
        <v>24</v>
      </c>
      <c r="K245" s="288" t="s">
        <v>1211</v>
      </c>
      <c r="L245" s="288" t="s">
        <v>682</v>
      </c>
      <c r="M245" s="358" t="s">
        <v>1271</v>
      </c>
      <c r="N245" s="359" t="s">
        <v>1965</v>
      </c>
      <c r="O245" s="288" t="s">
        <v>1098</v>
      </c>
      <c r="P245" s="288" t="s">
        <v>1586</v>
      </c>
      <c r="Q245" s="375"/>
      <c r="R245" s="361"/>
      <c r="S245" s="294"/>
      <c r="T245" s="1058"/>
      <c r="U245" s="295"/>
      <c r="V245" s="295" t="s">
        <v>435</v>
      </c>
      <c r="W245" s="392"/>
      <c r="X245" s="533"/>
      <c r="Y245" s="293"/>
      <c r="Z245" s="294"/>
      <c r="AA245" s="293"/>
      <c r="AB245" s="365">
        <f t="shared" si="45"/>
        <v>1</v>
      </c>
      <c r="AC245" s="543">
        <v>50000</v>
      </c>
      <c r="AD245" s="1050"/>
      <c r="AE245" s="295"/>
      <c r="AF245" s="685"/>
      <c r="AG245" s="371">
        <f t="shared" si="35"/>
        <v>50000</v>
      </c>
      <c r="AH245" s="383"/>
      <c r="AI245" s="384"/>
      <c r="AJ245" s="384"/>
      <c r="AK245" s="367">
        <v>2000</v>
      </c>
      <c r="AL245" s="363"/>
      <c r="AM245" s="293"/>
      <c r="AN245" s="293">
        <v>2000</v>
      </c>
      <c r="AO245" s="293"/>
      <c r="AP245" s="293"/>
      <c r="AQ245" s="293"/>
      <c r="AR245" s="293"/>
      <c r="AS245" s="293"/>
      <c r="AT245" s="293"/>
      <c r="AU245" s="293"/>
      <c r="AV245" s="293"/>
      <c r="AW245" s="293"/>
      <c r="AX245" s="544"/>
      <c r="AY245" s="544"/>
      <c r="AZ245" s="537">
        <v>8073</v>
      </c>
      <c r="BA245" s="534"/>
      <c r="BB245" s="299">
        <f t="shared" si="37"/>
        <v>58073</v>
      </c>
      <c r="BC245" s="538"/>
      <c r="BD245" s="539"/>
      <c r="BE245" s="501"/>
      <c r="BF245" s="352">
        <f>AE245+AC245+AZ245+BA245</f>
        <v>58073</v>
      </c>
      <c r="BG245" s="451" t="str">
        <f t="shared" si="38"/>
        <v>Y</v>
      </c>
      <c r="BH245" s="451"/>
      <c r="BI245" s="299"/>
      <c r="BJ245" s="698"/>
      <c r="BK245" s="698"/>
      <c r="BL245" s="303">
        <v>2024</v>
      </c>
      <c r="BM245" s="706"/>
      <c r="BN245" s="373"/>
      <c r="BO245" s="706"/>
      <c r="BP245" s="716"/>
      <c r="BQ245" s="706"/>
      <c r="BR245" s="373"/>
      <c r="BS245" s="373"/>
      <c r="BT245" s="451" t="str">
        <f t="shared" si="39"/>
        <v>N</v>
      </c>
      <c r="BU245" s="451" t="str">
        <f t="shared" si="39"/>
        <v>N</v>
      </c>
      <c r="BV245" s="304"/>
      <c r="BW245" s="288"/>
      <c r="BX245" s="290" t="s">
        <v>889</v>
      </c>
      <c r="BY245" s="559" t="s">
        <v>1865</v>
      </c>
      <c r="BZ245" s="624"/>
      <c r="CA245" s="624"/>
      <c r="CB245" s="624"/>
      <c r="CC245" s="624"/>
      <c r="CD245" s="624"/>
      <c r="CE245" s="624"/>
      <c r="CF245" s="624"/>
      <c r="CG245" s="624"/>
      <c r="CH245" s="624"/>
    </row>
    <row r="246" spans="1:86" s="305" customFormat="1" ht="39" customHeight="1">
      <c r="A246" s="276" t="s">
        <v>436</v>
      </c>
      <c r="B246" s="348">
        <v>183</v>
      </c>
      <c r="C246" s="348"/>
      <c r="D246" s="726" t="s">
        <v>434</v>
      </c>
      <c r="E246" s="349">
        <v>39387</v>
      </c>
      <c r="F246" s="288">
        <v>2008</v>
      </c>
      <c r="G246" s="288">
        <v>14</v>
      </c>
      <c r="H246" s="288"/>
      <c r="I246" s="288">
        <v>2007</v>
      </c>
      <c r="J246" s="288">
        <v>24</v>
      </c>
      <c r="K246" s="288" t="s">
        <v>1211</v>
      </c>
      <c r="L246" s="288" t="s">
        <v>1891</v>
      </c>
      <c r="M246" s="358" t="s">
        <v>1271</v>
      </c>
      <c r="N246" s="359" t="s">
        <v>1965</v>
      </c>
      <c r="O246" s="288" t="s">
        <v>1098</v>
      </c>
      <c r="P246" s="288" t="s">
        <v>1586</v>
      </c>
      <c r="Q246" s="375"/>
      <c r="R246" s="361"/>
      <c r="S246" s="294"/>
      <c r="T246" s="1058"/>
      <c r="U246" s="295"/>
      <c r="V246" s="295" t="s">
        <v>435</v>
      </c>
      <c r="W246" s="392"/>
      <c r="X246" s="533"/>
      <c r="Y246" s="293"/>
      <c r="Z246" s="294"/>
      <c r="AA246" s="293"/>
      <c r="AB246" s="365">
        <f t="shared" si="45"/>
        <v>0</v>
      </c>
      <c r="AC246" s="543">
        <v>30000</v>
      </c>
      <c r="AD246" s="1050"/>
      <c r="AE246" s="295"/>
      <c r="AF246" s="685"/>
      <c r="AG246" s="371">
        <f t="shared" si="35"/>
        <v>30000</v>
      </c>
      <c r="AH246" s="383">
        <v>2</v>
      </c>
      <c r="AI246" s="384"/>
      <c r="AJ246" s="384"/>
      <c r="AK246" s="367"/>
      <c r="AL246" s="363"/>
      <c r="AM246" s="293"/>
      <c r="AN246" s="293"/>
      <c r="AO246" s="293"/>
      <c r="AP246" s="293"/>
      <c r="AQ246" s="293"/>
      <c r="AR246" s="293"/>
      <c r="AS246" s="293"/>
      <c r="AT246" s="293"/>
      <c r="AU246" s="293"/>
      <c r="AV246" s="293"/>
      <c r="AW246" s="293"/>
      <c r="AX246" s="544"/>
      <c r="AY246" s="544"/>
      <c r="AZ246" s="537"/>
      <c r="BA246" s="534">
        <v>7440</v>
      </c>
      <c r="BB246" s="299">
        <f t="shared" si="37"/>
        <v>37440</v>
      </c>
      <c r="BC246" s="538"/>
      <c r="BD246" s="539"/>
      <c r="BE246" s="394"/>
      <c r="BF246" s="352">
        <f>AE246+AC246+AZ246+BA246</f>
        <v>37440</v>
      </c>
      <c r="BG246" s="451" t="str">
        <f t="shared" si="38"/>
        <v>Y</v>
      </c>
      <c r="BH246" s="451"/>
      <c r="BI246" s="299"/>
      <c r="BJ246" s="698"/>
      <c r="BK246" s="698"/>
      <c r="BL246" s="303">
        <v>2024</v>
      </c>
      <c r="BM246" s="706"/>
      <c r="BN246" s="373"/>
      <c r="BO246" s="706"/>
      <c r="BP246" s="716"/>
      <c r="BQ246" s="706"/>
      <c r="BR246" s="373"/>
      <c r="BS246" s="373"/>
      <c r="BT246" s="451" t="str">
        <f t="shared" si="39"/>
        <v>N</v>
      </c>
      <c r="BU246" s="451" t="str">
        <f t="shared" si="39"/>
        <v>N</v>
      </c>
      <c r="BV246" s="304"/>
      <c r="BW246" s="288"/>
      <c r="BX246" s="290" t="s">
        <v>889</v>
      </c>
      <c r="BY246" s="560" t="s">
        <v>892</v>
      </c>
      <c r="BZ246" s="624"/>
      <c r="CA246" s="624"/>
      <c r="CB246" s="624"/>
      <c r="CC246" s="624"/>
      <c r="CD246" s="624"/>
      <c r="CE246" s="624"/>
      <c r="CF246" s="624"/>
      <c r="CG246" s="624"/>
      <c r="CH246" s="624"/>
    </row>
    <row r="247" spans="1:86" s="305" customFormat="1" ht="39" customHeight="1">
      <c r="A247" s="276" t="s">
        <v>433</v>
      </c>
      <c r="B247" s="348">
        <v>184</v>
      </c>
      <c r="C247" s="348"/>
      <c r="D247" s="726" t="str">
        <f>L247&amp;" "&amp;N247</f>
        <v>Mexico Floods</v>
      </c>
      <c r="E247" s="349">
        <v>39387</v>
      </c>
      <c r="F247" s="288">
        <v>2008</v>
      </c>
      <c r="G247" s="288">
        <v>15</v>
      </c>
      <c r="H247" s="288"/>
      <c r="I247" s="288">
        <v>2007</v>
      </c>
      <c r="J247" s="288">
        <v>25</v>
      </c>
      <c r="K247" s="288" t="s">
        <v>1211</v>
      </c>
      <c r="L247" s="288" t="s">
        <v>1876</v>
      </c>
      <c r="M247" s="300" t="s">
        <v>1271</v>
      </c>
      <c r="N247" s="359" t="s">
        <v>1877</v>
      </c>
      <c r="O247" s="465" t="s">
        <v>1337</v>
      </c>
      <c r="P247" s="288" t="s">
        <v>1337</v>
      </c>
      <c r="Q247" s="375">
        <v>1000000</v>
      </c>
      <c r="R247" s="361" t="s">
        <v>362</v>
      </c>
      <c r="S247" s="294" t="s">
        <v>363</v>
      </c>
      <c r="T247" s="1058">
        <v>1800000</v>
      </c>
      <c r="U247" s="295"/>
      <c r="V247" s="295" t="s">
        <v>432</v>
      </c>
      <c r="W247" s="392"/>
      <c r="X247" s="533"/>
      <c r="Y247" s="515">
        <v>44380</v>
      </c>
      <c r="Z247" s="781"/>
      <c r="AA247" s="515">
        <v>10000</v>
      </c>
      <c r="AB247" s="365">
        <f t="shared" si="45"/>
        <v>1</v>
      </c>
      <c r="AC247" s="543">
        <v>167077</v>
      </c>
      <c r="AD247" s="1050"/>
      <c r="AE247" s="535">
        <v>350000</v>
      </c>
      <c r="AF247" s="684"/>
      <c r="AG247" s="371">
        <f t="shared" ref="AG247:AG261" si="46">AC247+AD247+AE247</f>
        <v>517077</v>
      </c>
      <c r="AH247" s="502">
        <v>1</v>
      </c>
      <c r="AI247" s="503"/>
      <c r="AJ247" s="503"/>
      <c r="AK247" s="367">
        <v>15500</v>
      </c>
      <c r="AL247" s="363"/>
      <c r="AM247" s="293">
        <v>3500</v>
      </c>
      <c r="AN247" s="293"/>
      <c r="AO247" s="293"/>
      <c r="AP247" s="293"/>
      <c r="AQ247" s="293"/>
      <c r="AR247" s="293">
        <v>2000</v>
      </c>
      <c r="AS247" s="293"/>
      <c r="AT247" s="293">
        <v>10000</v>
      </c>
      <c r="AU247" s="293"/>
      <c r="AV247" s="293"/>
      <c r="AW247" s="293"/>
      <c r="AX247" s="544"/>
      <c r="AY247" s="544"/>
      <c r="AZ247" s="537">
        <v>143415</v>
      </c>
      <c r="BA247" s="534">
        <v>357</v>
      </c>
      <c r="BB247" s="299">
        <f t="shared" si="37"/>
        <v>660849</v>
      </c>
      <c r="BC247" s="538"/>
      <c r="BD247" s="539"/>
      <c r="BE247" s="501"/>
      <c r="BF247" s="352">
        <v>1900000</v>
      </c>
      <c r="BG247" s="451" t="str">
        <f t="shared" si="38"/>
        <v>Y</v>
      </c>
      <c r="BH247" s="451"/>
      <c r="BI247" s="299"/>
      <c r="BJ247" s="698"/>
      <c r="BK247" s="698"/>
      <c r="BL247" s="303" t="s">
        <v>562</v>
      </c>
      <c r="BM247" s="706"/>
      <c r="BN247" s="373"/>
      <c r="BO247" s="706"/>
      <c r="BP247" s="716"/>
      <c r="BQ247" s="706"/>
      <c r="BR247" s="373"/>
      <c r="BS247" s="373"/>
      <c r="BT247" s="451" t="str">
        <f t="shared" si="39"/>
        <v>N</v>
      </c>
      <c r="BU247" s="451" t="str">
        <f t="shared" si="39"/>
        <v>N</v>
      </c>
      <c r="BV247" s="304"/>
      <c r="BW247" s="288"/>
      <c r="BX247" s="290" t="s">
        <v>893</v>
      </c>
      <c r="BY247" s="286" t="s">
        <v>556</v>
      </c>
      <c r="BZ247" s="624"/>
      <c r="CA247" s="624"/>
      <c r="CB247" s="624"/>
      <c r="CC247" s="624"/>
      <c r="CD247" s="624"/>
      <c r="CE247" s="624"/>
      <c r="CF247" s="624"/>
      <c r="CG247" s="624"/>
      <c r="CH247" s="624"/>
    </row>
    <row r="248" spans="1:86" s="305" customFormat="1" ht="39" customHeight="1">
      <c r="A248" s="275" t="s">
        <v>200</v>
      </c>
      <c r="B248" s="355">
        <v>185</v>
      </c>
      <c r="C248" s="355"/>
      <c r="D248" s="726" t="s">
        <v>199</v>
      </c>
      <c r="E248" s="356">
        <v>39387</v>
      </c>
      <c r="F248" s="358">
        <v>2008</v>
      </c>
      <c r="G248" s="358">
        <v>16</v>
      </c>
      <c r="H248" s="358"/>
      <c r="I248" s="358">
        <v>2007</v>
      </c>
      <c r="J248" s="358">
        <v>26</v>
      </c>
      <c r="K248" s="358" t="s">
        <v>570</v>
      </c>
      <c r="L248" s="358" t="s">
        <v>1947</v>
      </c>
      <c r="M248" s="620" t="s">
        <v>1271</v>
      </c>
      <c r="N248" s="359" t="s">
        <v>1965</v>
      </c>
      <c r="O248" s="620" t="s">
        <v>1098</v>
      </c>
      <c r="P248" s="620" t="s">
        <v>1626</v>
      </c>
      <c r="Q248" s="360">
        <v>600000</v>
      </c>
      <c r="R248" s="513" t="s">
        <v>362</v>
      </c>
      <c r="S248" s="319" t="s">
        <v>363</v>
      </c>
      <c r="T248" s="1058">
        <v>2700000</v>
      </c>
      <c r="U248" s="295"/>
      <c r="V248" s="556" t="s">
        <v>201</v>
      </c>
      <c r="W248" s="362"/>
      <c r="X248" s="542"/>
      <c r="Y248" s="515">
        <v>180000</v>
      </c>
      <c r="Z248" s="781"/>
      <c r="AA248" s="515"/>
      <c r="AB248" s="365">
        <f t="shared" si="45"/>
        <v>1</v>
      </c>
      <c r="AC248" s="543">
        <v>115000</v>
      </c>
      <c r="AD248" s="1050"/>
      <c r="AE248" s="295"/>
      <c r="AF248" s="685"/>
      <c r="AG248" s="371">
        <f t="shared" si="46"/>
        <v>115000</v>
      </c>
      <c r="AH248" s="499"/>
      <c r="AI248" s="500"/>
      <c r="AJ248" s="500"/>
      <c r="AK248" s="367"/>
      <c r="AL248" s="363"/>
      <c r="AM248" s="293"/>
      <c r="AN248" s="293"/>
      <c r="AO248" s="293"/>
      <c r="AP248" s="293"/>
      <c r="AQ248" s="293"/>
      <c r="AR248" s="293"/>
      <c r="AS248" s="293"/>
      <c r="AT248" s="293"/>
      <c r="AU248" s="293"/>
      <c r="AV248" s="293"/>
      <c r="AW248" s="293"/>
      <c r="AX248" s="544"/>
      <c r="AY248" s="544"/>
      <c r="AZ248" s="545"/>
      <c r="BA248" s="543"/>
      <c r="BB248" s="299">
        <f t="shared" si="37"/>
        <v>115000</v>
      </c>
      <c r="BC248" s="546"/>
      <c r="BD248" s="547"/>
      <c r="BE248" s="549"/>
      <c r="BF248" s="352">
        <f>BB248+BD248+BC248</f>
        <v>115000</v>
      </c>
      <c r="BG248" s="451" t="str">
        <f t="shared" si="38"/>
        <v>Y</v>
      </c>
      <c r="BH248" s="451"/>
      <c r="BI248" s="299"/>
      <c r="BJ248" s="698"/>
      <c r="BK248" s="698"/>
      <c r="BL248" s="303" t="s">
        <v>667</v>
      </c>
      <c r="BM248" s="706"/>
      <c r="BN248" s="373"/>
      <c r="BO248" s="706"/>
      <c r="BP248" s="716"/>
      <c r="BQ248" s="706"/>
      <c r="BR248" s="373"/>
      <c r="BS248" s="373"/>
      <c r="BT248" s="451" t="str">
        <f t="shared" si="39"/>
        <v>N</v>
      </c>
      <c r="BU248" s="451" t="str">
        <f t="shared" si="39"/>
        <v>N</v>
      </c>
      <c r="BV248" s="318" t="s">
        <v>503</v>
      </c>
      <c r="BW248" s="358"/>
      <c r="BX248" s="359" t="s">
        <v>894</v>
      </c>
      <c r="BY248" s="306" t="s">
        <v>1930</v>
      </c>
      <c r="BZ248" s="624"/>
      <c r="CA248" s="624"/>
      <c r="CB248" s="624"/>
      <c r="CC248" s="624"/>
      <c r="CD248" s="624"/>
      <c r="CE248" s="624"/>
      <c r="CF248" s="624"/>
      <c r="CG248" s="624"/>
      <c r="CH248" s="624"/>
    </row>
    <row r="249" spans="1:86" s="305" customFormat="1" ht="39" customHeight="1">
      <c r="A249" s="276" t="s">
        <v>424</v>
      </c>
      <c r="B249" s="348">
        <v>186</v>
      </c>
      <c r="C249" s="348"/>
      <c r="D249" s="726" t="s">
        <v>431</v>
      </c>
      <c r="E249" s="349">
        <v>39387</v>
      </c>
      <c r="F249" s="288">
        <v>2008</v>
      </c>
      <c r="G249" s="288">
        <v>17</v>
      </c>
      <c r="H249" s="288"/>
      <c r="I249" s="288">
        <v>2007</v>
      </c>
      <c r="J249" s="288">
        <v>27</v>
      </c>
      <c r="K249" s="288" t="s">
        <v>570</v>
      </c>
      <c r="L249" s="288" t="s">
        <v>1943</v>
      </c>
      <c r="M249" s="358" t="s">
        <v>1271</v>
      </c>
      <c r="N249" s="359" t="s">
        <v>1965</v>
      </c>
      <c r="O249" s="288" t="s">
        <v>1098</v>
      </c>
      <c r="P249" s="288" t="s">
        <v>1945</v>
      </c>
      <c r="Q249" s="375">
        <v>8500000</v>
      </c>
      <c r="R249" s="513" t="s">
        <v>362</v>
      </c>
      <c r="S249" s="319" t="s">
        <v>363</v>
      </c>
      <c r="T249" s="1058">
        <v>22000000</v>
      </c>
      <c r="U249" s="295"/>
      <c r="V249" s="295" t="s">
        <v>425</v>
      </c>
      <c r="W249" s="392"/>
      <c r="X249" s="533"/>
      <c r="Y249" s="515">
        <v>1215000</v>
      </c>
      <c r="Z249" s="781"/>
      <c r="AA249" s="515"/>
      <c r="AB249" s="365">
        <f t="shared" si="45"/>
        <v>1</v>
      </c>
      <c r="AC249" s="534">
        <v>1083856</v>
      </c>
      <c r="AD249" s="565"/>
      <c r="AE249" s="535"/>
      <c r="AF249" s="684"/>
      <c r="AG249" s="371">
        <f t="shared" si="46"/>
        <v>1083856</v>
      </c>
      <c r="AH249" s="502">
        <v>3</v>
      </c>
      <c r="AI249" s="503"/>
      <c r="AJ249" s="503"/>
      <c r="AK249" s="388">
        <v>39000</v>
      </c>
      <c r="AL249" s="389"/>
      <c r="AM249" s="301">
        <v>4000</v>
      </c>
      <c r="AN249" s="301">
        <v>25000</v>
      </c>
      <c r="AO249" s="301"/>
      <c r="AP249" s="301"/>
      <c r="AQ249" s="301"/>
      <c r="AR249" s="301"/>
      <c r="AS249" s="301"/>
      <c r="AT249" s="301"/>
      <c r="AU249" s="301"/>
      <c r="AV249" s="301">
        <v>10000</v>
      </c>
      <c r="AW249" s="301"/>
      <c r="AX249" s="536"/>
      <c r="AY249" s="536"/>
      <c r="AZ249" s="537">
        <v>260798</v>
      </c>
      <c r="BA249" s="534">
        <v>12000</v>
      </c>
      <c r="BB249" s="299">
        <f t="shared" si="37"/>
        <v>1356654</v>
      </c>
      <c r="BC249" s="538"/>
      <c r="BD249" s="539"/>
      <c r="BE249" s="501"/>
      <c r="BF249" s="352">
        <f>BB249+BD249+BC249</f>
        <v>1356654</v>
      </c>
      <c r="BG249" s="451" t="str">
        <f t="shared" si="38"/>
        <v>Y</v>
      </c>
      <c r="BH249" s="451"/>
      <c r="BI249" s="299"/>
      <c r="BJ249" s="698"/>
      <c r="BK249" s="698"/>
      <c r="BL249" s="303" t="s">
        <v>897</v>
      </c>
      <c r="BM249" s="706"/>
      <c r="BN249" s="373"/>
      <c r="BO249" s="706"/>
      <c r="BP249" s="716"/>
      <c r="BQ249" s="706"/>
      <c r="BR249" s="373"/>
      <c r="BS249" s="373"/>
      <c r="BT249" s="451" t="str">
        <f t="shared" si="39"/>
        <v>N</v>
      </c>
      <c r="BU249" s="451" t="str">
        <f t="shared" si="39"/>
        <v>N</v>
      </c>
      <c r="BV249" s="304"/>
      <c r="BW249" s="288"/>
      <c r="BX249" s="290" t="s">
        <v>896</v>
      </c>
      <c r="BY249" s="561" t="s">
        <v>1866</v>
      </c>
      <c r="BZ249" s="624"/>
      <c r="CA249" s="624"/>
      <c r="CB249" s="624"/>
      <c r="CC249" s="624"/>
      <c r="CD249" s="624"/>
      <c r="CE249" s="624"/>
      <c r="CF249" s="624"/>
      <c r="CG249" s="624"/>
      <c r="CH249" s="624"/>
    </row>
    <row r="250" spans="1:86" s="305" customFormat="1" ht="39" customHeight="1">
      <c r="A250" s="276" t="s">
        <v>430</v>
      </c>
      <c r="B250" s="348">
        <v>187</v>
      </c>
      <c r="C250" s="348"/>
      <c r="D250" s="726" t="str">
        <f>L250&amp;" "&amp;N250</f>
        <v>Papua New Guinea Storm</v>
      </c>
      <c r="E250" s="349">
        <v>39387</v>
      </c>
      <c r="F250" s="288">
        <v>2008</v>
      </c>
      <c r="G250" s="288">
        <v>18</v>
      </c>
      <c r="H250" s="288"/>
      <c r="I250" s="288">
        <v>2007</v>
      </c>
      <c r="J250" s="288">
        <v>28</v>
      </c>
      <c r="K250" s="288" t="s">
        <v>570</v>
      </c>
      <c r="L250" s="288" t="s">
        <v>898</v>
      </c>
      <c r="M250" s="358" t="s">
        <v>1271</v>
      </c>
      <c r="N250" s="359" t="s">
        <v>1965</v>
      </c>
      <c r="O250" s="288" t="s">
        <v>1098</v>
      </c>
      <c r="P250" s="288" t="s">
        <v>1945</v>
      </c>
      <c r="Q250" s="375">
        <v>162000</v>
      </c>
      <c r="R250" s="361" t="s">
        <v>362</v>
      </c>
      <c r="S250" s="294" t="s">
        <v>363</v>
      </c>
      <c r="T250" s="1058">
        <v>672000</v>
      </c>
      <c r="U250" s="295"/>
      <c r="V250" s="295" t="s">
        <v>429</v>
      </c>
      <c r="W250" s="392"/>
      <c r="X250" s="533"/>
      <c r="Y250" s="515">
        <v>13000</v>
      </c>
      <c r="Z250" s="781"/>
      <c r="AA250" s="515"/>
      <c r="AB250" s="365">
        <v>0</v>
      </c>
      <c r="AC250" s="534">
        <v>23750</v>
      </c>
      <c r="AD250" s="565"/>
      <c r="AE250" s="535"/>
      <c r="AF250" s="684"/>
      <c r="AG250" s="371">
        <f t="shared" si="46"/>
        <v>23750</v>
      </c>
      <c r="AH250" s="502"/>
      <c r="AI250" s="503"/>
      <c r="AJ250" s="503"/>
      <c r="AK250" s="388"/>
      <c r="AL250" s="389"/>
      <c r="AM250" s="301"/>
      <c r="AN250" s="301"/>
      <c r="AO250" s="301"/>
      <c r="AP250" s="301"/>
      <c r="AQ250" s="301"/>
      <c r="AR250" s="301"/>
      <c r="AS250" s="301"/>
      <c r="AT250" s="301"/>
      <c r="AU250" s="301"/>
      <c r="AV250" s="301"/>
      <c r="AW250" s="301"/>
      <c r="AX250" s="536"/>
      <c r="AY250" s="536"/>
      <c r="AZ250" s="537"/>
      <c r="BA250" s="534"/>
      <c r="BB250" s="299">
        <f t="shared" si="37"/>
        <v>23750</v>
      </c>
      <c r="BC250" s="538"/>
      <c r="BD250" s="539"/>
      <c r="BE250" s="501"/>
      <c r="BF250" s="352">
        <f>BB250+BD250+BC250</f>
        <v>23750</v>
      </c>
      <c r="BG250" s="451" t="str">
        <f t="shared" si="38"/>
        <v>Y</v>
      </c>
      <c r="BH250" s="451"/>
      <c r="BI250" s="299"/>
      <c r="BJ250" s="698"/>
      <c r="BK250" s="698"/>
      <c r="BL250" s="303">
        <v>2881</v>
      </c>
      <c r="BM250" s="706"/>
      <c r="BN250" s="373"/>
      <c r="BO250" s="706"/>
      <c r="BP250" s="716"/>
      <c r="BQ250" s="706"/>
      <c r="BR250" s="373"/>
      <c r="BS250" s="373"/>
      <c r="BT250" s="451" t="str">
        <f t="shared" si="39"/>
        <v>N</v>
      </c>
      <c r="BU250" s="451" t="str">
        <f t="shared" si="39"/>
        <v>N</v>
      </c>
      <c r="BV250" s="304"/>
      <c r="BW250" s="288"/>
      <c r="BX250" s="290" t="s">
        <v>899</v>
      </c>
      <c r="BY250" s="449" t="s">
        <v>895</v>
      </c>
      <c r="BZ250" s="624"/>
      <c r="CA250" s="624"/>
      <c r="CB250" s="624"/>
      <c r="CC250" s="624"/>
      <c r="CD250" s="624"/>
      <c r="CE250" s="624"/>
      <c r="CF250" s="624"/>
      <c r="CG250" s="624"/>
      <c r="CH250" s="624"/>
    </row>
    <row r="251" spans="1:86" s="305" customFormat="1" ht="39" customHeight="1">
      <c r="A251" s="276"/>
      <c r="B251" s="355">
        <v>188</v>
      </c>
      <c r="C251" s="355"/>
      <c r="D251" s="726" t="s">
        <v>350</v>
      </c>
      <c r="E251" s="487">
        <v>39448</v>
      </c>
      <c r="F251" s="358">
        <v>2008</v>
      </c>
      <c r="G251" s="358">
        <v>19</v>
      </c>
      <c r="H251" s="358"/>
      <c r="I251" s="358">
        <v>2008</v>
      </c>
      <c r="J251" s="358">
        <v>1</v>
      </c>
      <c r="K251" s="288" t="s">
        <v>1210</v>
      </c>
      <c r="L251" s="358" t="s">
        <v>1605</v>
      </c>
      <c r="M251" s="288" t="s">
        <v>1273</v>
      </c>
      <c r="N251" s="290" t="s">
        <v>900</v>
      </c>
      <c r="O251" s="288" t="s">
        <v>900</v>
      </c>
      <c r="P251" s="288" t="s">
        <v>900</v>
      </c>
      <c r="Q251" s="375">
        <v>500000</v>
      </c>
      <c r="R251" s="361" t="s">
        <v>362</v>
      </c>
      <c r="S251" s="294" t="s">
        <v>365</v>
      </c>
      <c r="T251" s="1058">
        <v>14200000</v>
      </c>
      <c r="U251" s="295"/>
      <c r="V251" s="295"/>
      <c r="W251" s="362"/>
      <c r="X251" s="542"/>
      <c r="Y251" s="293">
        <v>500000</v>
      </c>
      <c r="Z251" s="294"/>
      <c r="AA251" s="293"/>
      <c r="AB251" s="365">
        <v>1</v>
      </c>
      <c r="AC251" s="387"/>
      <c r="AD251" s="587">
        <v>250000</v>
      </c>
      <c r="AE251" s="298">
        <v>50000</v>
      </c>
      <c r="AF251" s="677"/>
      <c r="AG251" s="371">
        <f t="shared" si="46"/>
        <v>300000</v>
      </c>
      <c r="AH251" s="473"/>
      <c r="AI251" s="551"/>
      <c r="AJ251" s="551"/>
      <c r="AK251" s="367"/>
      <c r="AL251" s="363"/>
      <c r="AM251" s="293"/>
      <c r="AN251" s="293"/>
      <c r="AO251" s="293"/>
      <c r="AP251" s="293"/>
      <c r="AQ251" s="293"/>
      <c r="AR251" s="293"/>
      <c r="AS251" s="293"/>
      <c r="AT251" s="293"/>
      <c r="AU251" s="293"/>
      <c r="AV251" s="293"/>
      <c r="AW251" s="293"/>
      <c r="AX251" s="544"/>
      <c r="AY251" s="544"/>
      <c r="AZ251" s="555"/>
      <c r="BA251" s="543"/>
      <c r="BB251" s="299">
        <f t="shared" si="37"/>
        <v>300000</v>
      </c>
      <c r="BC251" s="546"/>
      <c r="BD251" s="547"/>
      <c r="BE251" s="501"/>
      <c r="BF251" s="352">
        <f>BB251+BD251+BC251</f>
        <v>300000</v>
      </c>
      <c r="BG251" s="451" t="str">
        <f t="shared" si="38"/>
        <v>Y</v>
      </c>
      <c r="BH251" s="451"/>
      <c r="BI251" s="299"/>
      <c r="BJ251" s="698"/>
      <c r="BK251" s="698"/>
      <c r="BL251" s="303" t="s">
        <v>48</v>
      </c>
      <c r="BM251" s="706"/>
      <c r="BN251" s="373"/>
      <c r="BO251" s="706"/>
      <c r="BP251" s="716"/>
      <c r="BQ251" s="706"/>
      <c r="BR251" s="373"/>
      <c r="BS251" s="373"/>
      <c r="BT251" s="451" t="str">
        <f t="shared" si="39"/>
        <v>N</v>
      </c>
      <c r="BU251" s="451" t="str">
        <f t="shared" si="39"/>
        <v>N</v>
      </c>
      <c r="BV251" s="304"/>
      <c r="BW251" s="288"/>
      <c r="BX251" s="359" t="s">
        <v>901</v>
      </c>
      <c r="BY251" s="449" t="s">
        <v>1631</v>
      </c>
      <c r="BZ251" s="624"/>
      <c r="CA251" s="624"/>
      <c r="CB251" s="624"/>
      <c r="CC251" s="624"/>
      <c r="CD251" s="624"/>
      <c r="CE251" s="624"/>
      <c r="CF251" s="624"/>
      <c r="CG251" s="624"/>
      <c r="CH251" s="624"/>
    </row>
    <row r="252" spans="1:86" s="305" customFormat="1" ht="39" customHeight="1">
      <c r="A252" s="276" t="s">
        <v>369</v>
      </c>
      <c r="B252" s="355">
        <v>189</v>
      </c>
      <c r="C252" s="355"/>
      <c r="D252" s="726" t="s">
        <v>349</v>
      </c>
      <c r="E252" s="349">
        <v>39479</v>
      </c>
      <c r="F252" s="288">
        <v>2008</v>
      </c>
      <c r="G252" s="288">
        <v>20</v>
      </c>
      <c r="H252" s="288"/>
      <c r="I252" s="288">
        <v>2008</v>
      </c>
      <c r="J252" s="288">
        <v>2</v>
      </c>
      <c r="K252" s="288" t="s">
        <v>570</v>
      </c>
      <c r="L252" s="358" t="s">
        <v>1879</v>
      </c>
      <c r="M252" s="358" t="s">
        <v>1271</v>
      </c>
      <c r="N252" s="359" t="s">
        <v>1965</v>
      </c>
      <c r="O252" s="288" t="s">
        <v>1099</v>
      </c>
      <c r="P252" s="288" t="s">
        <v>1343</v>
      </c>
      <c r="Q252" s="375">
        <v>7800000</v>
      </c>
      <c r="R252" s="361"/>
      <c r="S252" s="294"/>
      <c r="T252" s="1058" t="s">
        <v>213</v>
      </c>
      <c r="U252" s="295"/>
      <c r="V252" s="295"/>
      <c r="W252" s="392"/>
      <c r="X252" s="533"/>
      <c r="Y252" s="293" t="s">
        <v>213</v>
      </c>
      <c r="Z252" s="294"/>
      <c r="AA252" s="293" t="s">
        <v>213</v>
      </c>
      <c r="AB252" s="365"/>
      <c r="AC252" s="387"/>
      <c r="AD252" s="587"/>
      <c r="AE252" s="298">
        <v>867000</v>
      </c>
      <c r="AF252" s="677"/>
      <c r="AG252" s="371">
        <f t="shared" si="46"/>
        <v>867000</v>
      </c>
      <c r="AH252" s="502"/>
      <c r="AI252" s="503"/>
      <c r="AJ252" s="503"/>
      <c r="AK252" s="388"/>
      <c r="AL252" s="389"/>
      <c r="AM252" s="301"/>
      <c r="AN252" s="301"/>
      <c r="AO252" s="301"/>
      <c r="AP252" s="301"/>
      <c r="AQ252" s="301"/>
      <c r="AR252" s="301"/>
      <c r="AS252" s="301"/>
      <c r="AT252" s="301"/>
      <c r="AU252" s="301"/>
      <c r="AV252" s="301"/>
      <c r="AW252" s="301"/>
      <c r="AX252" s="536"/>
      <c r="AY252" s="536"/>
      <c r="AZ252" s="537"/>
      <c r="BA252" s="534"/>
      <c r="BB252" s="299">
        <f t="shared" si="37"/>
        <v>867000</v>
      </c>
      <c r="BC252" s="538"/>
      <c r="BD252" s="539"/>
      <c r="BE252" s="501"/>
      <c r="BF252" s="352">
        <f>AE252+AC252+AZ252+BA252</f>
        <v>867000</v>
      </c>
      <c r="BG252" s="451" t="str">
        <f t="shared" si="38"/>
        <v>Y</v>
      </c>
      <c r="BH252" s="451"/>
      <c r="BI252" s="299"/>
      <c r="BJ252" s="698"/>
      <c r="BK252" s="698"/>
      <c r="BL252" s="303">
        <v>2060</v>
      </c>
      <c r="BM252" s="706"/>
      <c r="BN252" s="373"/>
      <c r="BO252" s="706"/>
      <c r="BP252" s="716"/>
      <c r="BQ252" s="706"/>
      <c r="BR252" s="373"/>
      <c r="BS252" s="373"/>
      <c r="BT252" s="451" t="str">
        <f t="shared" si="39"/>
        <v>N</v>
      </c>
      <c r="BU252" s="451" t="str">
        <f t="shared" si="39"/>
        <v>N</v>
      </c>
      <c r="BV252" s="304"/>
      <c r="BW252" s="288" t="s">
        <v>996</v>
      </c>
      <c r="BX252" s="290"/>
      <c r="BY252" s="449" t="s">
        <v>902</v>
      </c>
      <c r="BZ252" s="624"/>
      <c r="CA252" s="624"/>
      <c r="CB252" s="624"/>
      <c r="CC252" s="624"/>
      <c r="CD252" s="624"/>
      <c r="CE252" s="624"/>
      <c r="CF252" s="624"/>
      <c r="CG252" s="624"/>
      <c r="CH252" s="624"/>
    </row>
    <row r="253" spans="1:86" s="305" customFormat="1" ht="39" customHeight="1">
      <c r="A253" s="276"/>
      <c r="B253" s="355">
        <v>190</v>
      </c>
      <c r="C253" s="355"/>
      <c r="D253" s="726" t="str">
        <f>L253&amp;" "&amp;N253</f>
        <v>Guyana Civil Unrest</v>
      </c>
      <c r="E253" s="349">
        <v>39479</v>
      </c>
      <c r="F253" s="288">
        <v>2008</v>
      </c>
      <c r="G253" s="288">
        <v>21</v>
      </c>
      <c r="H253" s="288"/>
      <c r="I253" s="288">
        <v>2008</v>
      </c>
      <c r="J253" s="288">
        <v>3</v>
      </c>
      <c r="K253" s="288" t="s">
        <v>1210</v>
      </c>
      <c r="L253" s="288" t="s">
        <v>2012</v>
      </c>
      <c r="M253" s="288" t="s">
        <v>1273</v>
      </c>
      <c r="N253" s="290" t="s">
        <v>900</v>
      </c>
      <c r="O253" s="288" t="s">
        <v>900</v>
      </c>
      <c r="P253" s="288" t="s">
        <v>900</v>
      </c>
      <c r="Q253" s="375"/>
      <c r="R253" s="552"/>
      <c r="S253" s="358"/>
      <c r="T253" s="1058" t="s">
        <v>213</v>
      </c>
      <c r="U253" s="295"/>
      <c r="V253" s="295"/>
      <c r="W253" s="392"/>
      <c r="X253" s="533"/>
      <c r="Y253" s="562">
        <v>0</v>
      </c>
      <c r="Z253" s="358"/>
      <c r="AA253" s="293">
        <v>0</v>
      </c>
      <c r="AB253" s="365"/>
      <c r="AC253" s="387"/>
      <c r="AD253" s="587"/>
      <c r="AE253" s="298">
        <v>2400</v>
      </c>
      <c r="AF253" s="677"/>
      <c r="AG253" s="371">
        <f t="shared" si="46"/>
        <v>2400</v>
      </c>
      <c r="AH253" s="502">
        <v>2</v>
      </c>
      <c r="AI253" s="503"/>
      <c r="AJ253" s="503"/>
      <c r="AK253" s="388"/>
      <c r="AL253" s="389"/>
      <c r="AM253" s="301"/>
      <c r="AN253" s="301"/>
      <c r="AO253" s="301"/>
      <c r="AP253" s="301"/>
      <c r="AQ253" s="301"/>
      <c r="AR253" s="301"/>
      <c r="AS253" s="301"/>
      <c r="AT253" s="301"/>
      <c r="AU253" s="301"/>
      <c r="AV253" s="301"/>
      <c r="AW253" s="301"/>
      <c r="AX253" s="536"/>
      <c r="AY253" s="536"/>
      <c r="AZ253" s="537"/>
      <c r="BA253" s="534">
        <v>10000</v>
      </c>
      <c r="BB253" s="299">
        <f t="shared" si="37"/>
        <v>12400</v>
      </c>
      <c r="BC253" s="538"/>
      <c r="BD253" s="539"/>
      <c r="BE253" s="501"/>
      <c r="BF253" s="352">
        <f>BB253+BD253+BC253</f>
        <v>12400</v>
      </c>
      <c r="BG253" s="451" t="str">
        <f t="shared" si="38"/>
        <v>N</v>
      </c>
      <c r="BH253" s="451"/>
      <c r="BI253" s="299"/>
      <c r="BJ253" s="698"/>
      <c r="BK253" s="698"/>
      <c r="BL253" s="303">
        <v>2799</v>
      </c>
      <c r="BM253" s="706"/>
      <c r="BN253" s="373"/>
      <c r="BO253" s="706"/>
      <c r="BP253" s="716"/>
      <c r="BQ253" s="706"/>
      <c r="BR253" s="373"/>
      <c r="BS253" s="373"/>
      <c r="BT253" s="451" t="str">
        <f t="shared" si="39"/>
        <v>Y</v>
      </c>
      <c r="BU253" s="451" t="str">
        <f t="shared" si="39"/>
        <v>N</v>
      </c>
      <c r="BV253" s="304"/>
      <c r="BW253" s="288"/>
      <c r="BX253" s="290" t="s">
        <v>903</v>
      </c>
      <c r="BY253" s="449" t="s">
        <v>531</v>
      </c>
      <c r="BZ253" s="624"/>
      <c r="CA253" s="624"/>
      <c r="CB253" s="624"/>
      <c r="CC253" s="624"/>
      <c r="CD253" s="624"/>
      <c r="CE253" s="624"/>
      <c r="CF253" s="624"/>
      <c r="CG253" s="624"/>
      <c r="CH253" s="624"/>
    </row>
    <row r="254" spans="1:86" s="305" customFormat="1" ht="39" customHeight="1">
      <c r="A254" s="276"/>
      <c r="B254" s="355">
        <v>191</v>
      </c>
      <c r="C254" s="355"/>
      <c r="D254" s="726" t="str">
        <f>L254&amp;" "&amp;N254</f>
        <v>Sudan Conflict</v>
      </c>
      <c r="E254" s="349">
        <v>39479</v>
      </c>
      <c r="F254" s="288">
        <v>2008</v>
      </c>
      <c r="G254" s="288">
        <v>22</v>
      </c>
      <c r="H254" s="288"/>
      <c r="I254" s="288">
        <v>2008</v>
      </c>
      <c r="J254" s="288">
        <v>4</v>
      </c>
      <c r="K254" s="288" t="s">
        <v>1210</v>
      </c>
      <c r="L254" s="288" t="s">
        <v>1992</v>
      </c>
      <c r="M254" s="288" t="s">
        <v>1273</v>
      </c>
      <c r="N254" s="290" t="s">
        <v>1940</v>
      </c>
      <c r="O254" s="288" t="s">
        <v>1940</v>
      </c>
      <c r="P254" s="288" t="s">
        <v>1940</v>
      </c>
      <c r="Q254" s="375">
        <v>2000000</v>
      </c>
      <c r="R254" s="361" t="s">
        <v>362</v>
      </c>
      <c r="S254" s="294" t="s">
        <v>365</v>
      </c>
      <c r="T254" s="1058">
        <v>94000000</v>
      </c>
      <c r="U254" s="295"/>
      <c r="V254" s="295"/>
      <c r="W254" s="392"/>
      <c r="X254" s="533"/>
      <c r="Y254" s="293">
        <v>600000</v>
      </c>
      <c r="Z254" s="294"/>
      <c r="AA254" s="293"/>
      <c r="AB254" s="365">
        <v>1</v>
      </c>
      <c r="AC254" s="387"/>
      <c r="AD254" s="587">
        <v>714000</v>
      </c>
      <c r="AE254" s="298"/>
      <c r="AF254" s="677"/>
      <c r="AG254" s="371">
        <f t="shared" si="46"/>
        <v>714000</v>
      </c>
      <c r="AH254" s="502"/>
      <c r="AI254" s="503"/>
      <c r="AJ254" s="503"/>
      <c r="AK254" s="388"/>
      <c r="AL254" s="389"/>
      <c r="AM254" s="301"/>
      <c r="AN254" s="301"/>
      <c r="AO254" s="301"/>
      <c r="AP254" s="301"/>
      <c r="AQ254" s="301"/>
      <c r="AR254" s="301"/>
      <c r="AS254" s="301"/>
      <c r="AT254" s="301"/>
      <c r="AU254" s="301"/>
      <c r="AV254" s="301"/>
      <c r="AW254" s="301"/>
      <c r="AX254" s="536"/>
      <c r="AY254" s="536"/>
      <c r="AZ254" s="537"/>
      <c r="BA254" s="534"/>
      <c r="BB254" s="299">
        <f t="shared" si="37"/>
        <v>714000</v>
      </c>
      <c r="BC254" s="538"/>
      <c r="BD254" s="539"/>
      <c r="BE254" s="501"/>
      <c r="BF254" s="352">
        <f>BB254+BD254+BC254</f>
        <v>714000</v>
      </c>
      <c r="BG254" s="451" t="str">
        <f t="shared" si="38"/>
        <v>Y</v>
      </c>
      <c r="BH254" s="451"/>
      <c r="BI254" s="299"/>
      <c r="BJ254" s="698"/>
      <c r="BK254" s="698"/>
      <c r="BL254" s="303">
        <v>2661</v>
      </c>
      <c r="BM254" s="706"/>
      <c r="BN254" s="373"/>
      <c r="BO254" s="706"/>
      <c r="BP254" s="716"/>
      <c r="BQ254" s="706"/>
      <c r="BR254" s="373"/>
      <c r="BS254" s="373"/>
      <c r="BT254" s="451" t="str">
        <f t="shared" si="39"/>
        <v>N</v>
      </c>
      <c r="BU254" s="451" t="str">
        <f t="shared" si="39"/>
        <v>N</v>
      </c>
      <c r="BV254" s="304"/>
      <c r="BW254" s="288"/>
      <c r="BX254" s="290"/>
      <c r="BY254" s="449" t="s">
        <v>1376</v>
      </c>
      <c r="BZ254" s="624"/>
      <c r="CA254" s="624"/>
      <c r="CB254" s="624"/>
      <c r="CC254" s="624"/>
      <c r="CD254" s="624"/>
      <c r="CE254" s="624"/>
      <c r="CF254" s="624"/>
      <c r="CG254" s="624"/>
      <c r="CH254" s="624"/>
    </row>
    <row r="255" spans="1:86" s="305" customFormat="1" ht="39" customHeight="1">
      <c r="A255" s="276" t="s">
        <v>44</v>
      </c>
      <c r="B255" s="355">
        <v>192</v>
      </c>
      <c r="C255" s="355"/>
      <c r="D255" s="726" t="str">
        <f>L255&amp;" "&amp;N255</f>
        <v>Ecuador Floods</v>
      </c>
      <c r="E255" s="349">
        <v>39479</v>
      </c>
      <c r="F255" s="358">
        <v>2008</v>
      </c>
      <c r="G255" s="358">
        <v>23</v>
      </c>
      <c r="H255" s="358"/>
      <c r="I255" s="358">
        <v>2008</v>
      </c>
      <c r="J255" s="358">
        <v>5</v>
      </c>
      <c r="K255" s="465" t="s">
        <v>1211</v>
      </c>
      <c r="L255" s="358" t="s">
        <v>1662</v>
      </c>
      <c r="M255" s="300" t="s">
        <v>1271</v>
      </c>
      <c r="N255" s="359" t="s">
        <v>1877</v>
      </c>
      <c r="O255" s="465" t="s">
        <v>1337</v>
      </c>
      <c r="P255" s="288" t="s">
        <v>1337</v>
      </c>
      <c r="Q255" s="375">
        <v>315000</v>
      </c>
      <c r="R255" s="361"/>
      <c r="S255" s="294" t="s">
        <v>1322</v>
      </c>
      <c r="T255" s="1058">
        <v>700000</v>
      </c>
      <c r="U255" s="295"/>
      <c r="V255" s="295"/>
      <c r="W255" s="362"/>
      <c r="X255" s="542"/>
      <c r="Y255" s="293">
        <v>15220</v>
      </c>
      <c r="Z255" s="294"/>
      <c r="AA255" s="293">
        <v>6445</v>
      </c>
      <c r="AB255" s="365"/>
      <c r="AC255" s="387"/>
      <c r="AD255" s="587"/>
      <c r="AE255" s="298">
        <v>245000</v>
      </c>
      <c r="AF255" s="677"/>
      <c r="AG255" s="371">
        <f t="shared" si="46"/>
        <v>245000</v>
      </c>
      <c r="AH255" s="473"/>
      <c r="AI255" s="551"/>
      <c r="AJ255" s="551"/>
      <c r="AK255" s="367"/>
      <c r="AL255" s="363"/>
      <c r="AM255" s="293"/>
      <c r="AN255" s="293"/>
      <c r="AO255" s="293"/>
      <c r="AP255" s="293"/>
      <c r="AQ255" s="293"/>
      <c r="AR255" s="293"/>
      <c r="AS255" s="293"/>
      <c r="AT255" s="293"/>
      <c r="AU255" s="293"/>
      <c r="AV255" s="293"/>
      <c r="AW255" s="293"/>
      <c r="AX255" s="544"/>
      <c r="AY255" s="544"/>
      <c r="AZ255" s="555"/>
      <c r="BA255" s="543"/>
      <c r="BB255" s="299">
        <f t="shared" si="37"/>
        <v>245000</v>
      </c>
      <c r="BC255" s="546"/>
      <c r="BD255" s="547"/>
      <c r="BE255" s="501"/>
      <c r="BF255" s="352">
        <f>BB255+BD255+BC255</f>
        <v>245000</v>
      </c>
      <c r="BG255" s="451" t="str">
        <f t="shared" si="38"/>
        <v>Y</v>
      </c>
      <c r="BH255" s="451"/>
      <c r="BI255" s="299"/>
      <c r="BJ255" s="698"/>
      <c r="BK255" s="698"/>
      <c r="BL255" s="303" t="s">
        <v>43</v>
      </c>
      <c r="BM255" s="706"/>
      <c r="BN255" s="373"/>
      <c r="BO255" s="706"/>
      <c r="BP255" s="716"/>
      <c r="BQ255" s="706"/>
      <c r="BR255" s="373"/>
      <c r="BS255" s="373"/>
      <c r="BT255" s="451" t="str">
        <f t="shared" si="39"/>
        <v>N</v>
      </c>
      <c r="BU255" s="451" t="str">
        <f t="shared" si="39"/>
        <v>N</v>
      </c>
      <c r="BV255" s="304"/>
      <c r="BW255" s="288"/>
      <c r="BX255" s="359" t="s">
        <v>1377</v>
      </c>
      <c r="BY255" s="449" t="s">
        <v>42</v>
      </c>
      <c r="BZ255" s="624"/>
      <c r="CA255" s="624"/>
      <c r="CB255" s="624"/>
      <c r="CC255" s="624"/>
      <c r="CD255" s="624"/>
      <c r="CE255" s="624"/>
      <c r="CF255" s="624"/>
      <c r="CG255" s="624"/>
      <c r="CH255" s="624"/>
    </row>
    <row r="256" spans="1:86" s="305" customFormat="1" ht="39" customHeight="1">
      <c r="A256" s="276"/>
      <c r="B256" s="355">
        <v>193</v>
      </c>
      <c r="C256" s="355"/>
      <c r="D256" s="726" t="str">
        <f>L256&amp;" "&amp;N256</f>
        <v>Iraq Conflict</v>
      </c>
      <c r="E256" s="487">
        <v>39515</v>
      </c>
      <c r="F256" s="358">
        <v>2008</v>
      </c>
      <c r="G256" s="358">
        <v>24</v>
      </c>
      <c r="H256" s="358"/>
      <c r="I256" s="358">
        <v>2008</v>
      </c>
      <c r="J256" s="358">
        <v>6</v>
      </c>
      <c r="K256" s="358" t="s">
        <v>570</v>
      </c>
      <c r="L256" s="358" t="s">
        <v>1005</v>
      </c>
      <c r="M256" s="288" t="s">
        <v>1273</v>
      </c>
      <c r="N256" s="290" t="s">
        <v>1940</v>
      </c>
      <c r="O256" s="288" t="s">
        <v>1940</v>
      </c>
      <c r="P256" s="288" t="s">
        <v>1940</v>
      </c>
      <c r="Q256" s="375">
        <v>4000000</v>
      </c>
      <c r="R256" s="361" t="s">
        <v>362</v>
      </c>
      <c r="S256" s="294" t="s">
        <v>363</v>
      </c>
      <c r="T256" s="1058">
        <v>18900000</v>
      </c>
      <c r="U256" s="554"/>
      <c r="V256" s="554"/>
      <c r="W256" s="362"/>
      <c r="X256" s="542"/>
      <c r="Y256" s="293">
        <v>900000</v>
      </c>
      <c r="Z256" s="780"/>
      <c r="AA256" s="293"/>
      <c r="AB256" s="365">
        <f>COUNTIF(AC256, "&gt;49999")</f>
        <v>1</v>
      </c>
      <c r="AC256" s="543">
        <v>269000</v>
      </c>
      <c r="AD256" s="587"/>
      <c r="AE256" s="298"/>
      <c r="AF256" s="677"/>
      <c r="AG256" s="371">
        <f t="shared" si="46"/>
        <v>269000</v>
      </c>
      <c r="AH256" s="473"/>
      <c r="AI256" s="551"/>
      <c r="AJ256" s="551"/>
      <c r="AK256" s="367"/>
      <c r="AL256" s="363"/>
      <c r="AM256" s="293"/>
      <c r="AN256" s="293"/>
      <c r="AO256" s="293"/>
      <c r="AP256" s="293"/>
      <c r="AQ256" s="293"/>
      <c r="AR256" s="293"/>
      <c r="AS256" s="293"/>
      <c r="AT256" s="293"/>
      <c r="AU256" s="293"/>
      <c r="AV256" s="293"/>
      <c r="AW256" s="293"/>
      <c r="AX256" s="544"/>
      <c r="AY256" s="544"/>
      <c r="AZ256" s="555"/>
      <c r="BA256" s="543"/>
      <c r="BB256" s="299">
        <f t="shared" si="37"/>
        <v>269000</v>
      </c>
      <c r="BC256" s="546"/>
      <c r="BD256" s="547"/>
      <c r="BE256" s="501"/>
      <c r="BF256" s="352">
        <f>BB256+BD256+BC256</f>
        <v>269000</v>
      </c>
      <c r="BG256" s="451" t="str">
        <f t="shared" si="38"/>
        <v>Y</v>
      </c>
      <c r="BH256" s="451"/>
      <c r="BI256" s="299"/>
      <c r="BJ256" s="698"/>
      <c r="BK256" s="698"/>
      <c r="BL256" s="303" t="s">
        <v>979</v>
      </c>
      <c r="BM256" s="706"/>
      <c r="BN256" s="373"/>
      <c r="BO256" s="706"/>
      <c r="BP256" s="716"/>
      <c r="BQ256" s="706"/>
      <c r="BR256" s="373"/>
      <c r="BS256" s="373"/>
      <c r="BT256" s="451" t="str">
        <f t="shared" si="39"/>
        <v>N</v>
      </c>
      <c r="BU256" s="451" t="str">
        <f t="shared" si="39"/>
        <v>N</v>
      </c>
      <c r="BV256" s="304"/>
      <c r="BW256" s="288"/>
      <c r="BX256" s="359" t="s">
        <v>1994</v>
      </c>
      <c r="BY256" s="449" t="s">
        <v>980</v>
      </c>
      <c r="BZ256" s="624"/>
      <c r="CA256" s="624"/>
      <c r="CB256" s="624"/>
      <c r="CC256" s="624"/>
      <c r="CD256" s="624"/>
      <c r="CE256" s="624"/>
      <c r="CF256" s="624"/>
      <c r="CG256" s="624"/>
      <c r="CH256" s="624"/>
    </row>
    <row r="257" spans="1:86" s="305" customFormat="1" ht="39" customHeight="1">
      <c r="A257" s="276" t="s">
        <v>66</v>
      </c>
      <c r="B257" s="348">
        <v>194</v>
      </c>
      <c r="C257" s="348"/>
      <c r="D257" s="726" t="s">
        <v>348</v>
      </c>
      <c r="E257" s="487">
        <v>39515</v>
      </c>
      <c r="F257" s="288">
        <v>2008</v>
      </c>
      <c r="G257" s="288">
        <v>25</v>
      </c>
      <c r="H257" s="288"/>
      <c r="I257" s="288">
        <v>2008</v>
      </c>
      <c r="J257" s="288">
        <v>7</v>
      </c>
      <c r="K257" s="288" t="s">
        <v>1210</v>
      </c>
      <c r="L257" s="288" t="s">
        <v>1564</v>
      </c>
      <c r="M257" s="358" t="s">
        <v>1271</v>
      </c>
      <c r="N257" s="359" t="s">
        <v>1965</v>
      </c>
      <c r="O257" s="288" t="s">
        <v>1098</v>
      </c>
      <c r="P257" s="288" t="s">
        <v>1945</v>
      </c>
      <c r="Q257" s="375">
        <v>322000</v>
      </c>
      <c r="R257" s="361" t="s">
        <v>362</v>
      </c>
      <c r="S257" s="294" t="s">
        <v>363</v>
      </c>
      <c r="T257" s="1058">
        <v>1000000</v>
      </c>
      <c r="U257" s="295"/>
      <c r="V257" s="295" t="s">
        <v>65</v>
      </c>
      <c r="W257" s="392"/>
      <c r="X257" s="533"/>
      <c r="Y257" s="293">
        <v>50000</v>
      </c>
      <c r="Z257" s="294"/>
      <c r="AA257" s="293"/>
      <c r="AB257" s="365"/>
      <c r="AC257" s="387"/>
      <c r="AD257" s="587"/>
      <c r="AE257" s="298"/>
      <c r="AF257" s="677"/>
      <c r="AG257" s="371">
        <f t="shared" si="46"/>
        <v>0</v>
      </c>
      <c r="AH257" s="502"/>
      <c r="AI257" s="503"/>
      <c r="AJ257" s="503"/>
      <c r="AK257" s="388">
        <v>10000</v>
      </c>
      <c r="AL257" s="389"/>
      <c r="AM257" s="301"/>
      <c r="AN257" s="301"/>
      <c r="AO257" s="301"/>
      <c r="AP257" s="301"/>
      <c r="AQ257" s="301"/>
      <c r="AR257" s="301"/>
      <c r="AS257" s="301"/>
      <c r="AT257" s="301">
        <v>10000</v>
      </c>
      <c r="AU257" s="301"/>
      <c r="AV257" s="301"/>
      <c r="AW257" s="301"/>
      <c r="AX257" s="536"/>
      <c r="AY257" s="536"/>
      <c r="AZ257" s="537">
        <v>50000</v>
      </c>
      <c r="BA257" s="534"/>
      <c r="BB257" s="299">
        <f t="shared" si="37"/>
        <v>50000</v>
      </c>
      <c r="BC257" s="538"/>
      <c r="BD257" s="539"/>
      <c r="BE257" s="501"/>
      <c r="BF257" s="352">
        <f>AE257+AC257+AZ257+BA257</f>
        <v>50000</v>
      </c>
      <c r="BG257" s="451" t="str">
        <f t="shared" si="38"/>
        <v>N</v>
      </c>
      <c r="BH257" s="451"/>
      <c r="BI257" s="299"/>
      <c r="BJ257" s="698"/>
      <c r="BK257" s="698"/>
      <c r="BL257" s="303">
        <v>2799</v>
      </c>
      <c r="BM257" s="706"/>
      <c r="BN257" s="373"/>
      <c r="BO257" s="706"/>
      <c r="BP257" s="716"/>
      <c r="BQ257" s="706"/>
      <c r="BR257" s="373"/>
      <c r="BS257" s="373"/>
      <c r="BT257" s="451" t="str">
        <f t="shared" si="39"/>
        <v>Y</v>
      </c>
      <c r="BU257" s="451" t="str">
        <f t="shared" si="39"/>
        <v>N</v>
      </c>
      <c r="BV257" s="304"/>
      <c r="BW257" s="288"/>
      <c r="BX257" s="290" t="s">
        <v>1998</v>
      </c>
      <c r="BY257" s="449"/>
      <c r="BZ257" s="624"/>
      <c r="CA257" s="624"/>
      <c r="CB257" s="624"/>
      <c r="CC257" s="624"/>
      <c r="CD257" s="624"/>
      <c r="CE257" s="624"/>
      <c r="CF257" s="624"/>
      <c r="CG257" s="624"/>
      <c r="CH257" s="624"/>
    </row>
    <row r="258" spans="1:86" s="305" customFormat="1" ht="39" customHeight="1">
      <c r="A258" s="275" t="s">
        <v>891</v>
      </c>
      <c r="B258" s="355">
        <v>195</v>
      </c>
      <c r="C258" s="355"/>
      <c r="D258" s="726" t="s">
        <v>890</v>
      </c>
      <c r="E258" s="487">
        <v>39515</v>
      </c>
      <c r="F258" s="358">
        <v>2008</v>
      </c>
      <c r="G258" s="358">
        <v>26</v>
      </c>
      <c r="H258" s="358"/>
      <c r="I258" s="358">
        <v>2008</v>
      </c>
      <c r="J258" s="358">
        <v>8</v>
      </c>
      <c r="K258" s="358" t="s">
        <v>1210</v>
      </c>
      <c r="L258" s="358" t="s">
        <v>1563</v>
      </c>
      <c r="M258" s="621" t="s">
        <v>1271</v>
      </c>
      <c r="N258" s="359" t="s">
        <v>1877</v>
      </c>
      <c r="O258" s="622" t="s">
        <v>1337</v>
      </c>
      <c r="P258" s="620" t="s">
        <v>1337</v>
      </c>
      <c r="Q258" s="360">
        <v>400000</v>
      </c>
      <c r="R258" s="361" t="s">
        <v>362</v>
      </c>
      <c r="S258" s="294"/>
      <c r="T258" s="1058">
        <v>8400000</v>
      </c>
      <c r="U258" s="295"/>
      <c r="V258" s="295"/>
      <c r="W258" s="362"/>
      <c r="X258" s="542"/>
      <c r="Y258" s="293">
        <v>97550</v>
      </c>
      <c r="Z258" s="780"/>
      <c r="AA258" s="293">
        <v>15000</v>
      </c>
      <c r="AB258" s="365">
        <f>COUNTIF(AC258, "&gt;49999")</f>
        <v>1</v>
      </c>
      <c r="AC258" s="543">
        <v>300000</v>
      </c>
      <c r="AD258" s="427"/>
      <c r="AE258" s="299"/>
      <c r="AF258" s="670"/>
      <c r="AG258" s="371">
        <f t="shared" si="46"/>
        <v>300000</v>
      </c>
      <c r="AH258" s="473"/>
      <c r="AI258" s="551"/>
      <c r="AJ258" s="551"/>
      <c r="AK258" s="367"/>
      <c r="AL258" s="363"/>
      <c r="AM258" s="293"/>
      <c r="AN258" s="293"/>
      <c r="AO258" s="293"/>
      <c r="AP258" s="293"/>
      <c r="AQ258" s="293"/>
      <c r="AR258" s="293"/>
      <c r="AS258" s="293"/>
      <c r="AT258" s="293"/>
      <c r="AU258" s="293"/>
      <c r="AV258" s="293"/>
      <c r="AW258" s="293"/>
      <c r="AX258" s="544"/>
      <c r="AY258" s="544"/>
      <c r="AZ258" s="555"/>
      <c r="BA258" s="543"/>
      <c r="BB258" s="299">
        <f t="shared" si="37"/>
        <v>300000</v>
      </c>
      <c r="BC258" s="546"/>
      <c r="BD258" s="547"/>
      <c r="BE258" s="549"/>
      <c r="BF258" s="352">
        <f>AE258+AC258+AZ258+BA258</f>
        <v>300000</v>
      </c>
      <c r="BG258" s="451" t="str">
        <f t="shared" si="38"/>
        <v>Y</v>
      </c>
      <c r="BH258" s="451"/>
      <c r="BI258" s="299"/>
      <c r="BJ258" s="698"/>
      <c r="BK258" s="698"/>
      <c r="BL258" s="303" t="s">
        <v>978</v>
      </c>
      <c r="BM258" s="706"/>
      <c r="BN258" s="373"/>
      <c r="BO258" s="706"/>
      <c r="BP258" s="716"/>
      <c r="BQ258" s="706"/>
      <c r="BR258" s="373"/>
      <c r="BS258" s="373"/>
      <c r="BT258" s="451" t="str">
        <f t="shared" si="39"/>
        <v>N</v>
      </c>
      <c r="BU258" s="451" t="str">
        <f t="shared" si="39"/>
        <v>N</v>
      </c>
      <c r="BV258" s="318" t="s">
        <v>503</v>
      </c>
      <c r="BW258" s="358"/>
      <c r="BX258" s="359" t="s">
        <v>1378</v>
      </c>
      <c r="BY258" s="374" t="s">
        <v>862</v>
      </c>
      <c r="BZ258" s="624"/>
      <c r="CA258" s="624"/>
      <c r="CB258" s="624"/>
      <c r="CC258" s="624"/>
      <c r="CD258" s="624"/>
      <c r="CE258" s="624"/>
      <c r="CF258" s="624"/>
      <c r="CG258" s="624"/>
      <c r="CH258" s="624"/>
    </row>
    <row r="259" spans="1:86" s="305" customFormat="1" ht="39" customHeight="1">
      <c r="A259" s="276" t="s">
        <v>891</v>
      </c>
      <c r="B259" s="348">
        <v>196</v>
      </c>
      <c r="C259" s="348"/>
      <c r="D259" s="726" t="s">
        <v>890</v>
      </c>
      <c r="E259" s="487">
        <v>39515</v>
      </c>
      <c r="F259" s="288">
        <v>2008</v>
      </c>
      <c r="G259" s="288">
        <v>27</v>
      </c>
      <c r="H259" s="288"/>
      <c r="I259" s="288">
        <v>2008</v>
      </c>
      <c r="J259" s="288">
        <v>9</v>
      </c>
      <c r="K259" s="288" t="s">
        <v>1210</v>
      </c>
      <c r="L259" s="288" t="s">
        <v>1379</v>
      </c>
      <c r="M259" s="358" t="s">
        <v>1271</v>
      </c>
      <c r="N259" s="359" t="s">
        <v>1877</v>
      </c>
      <c r="O259" s="465" t="s">
        <v>1337</v>
      </c>
      <c r="P259" s="288" t="s">
        <v>1337</v>
      </c>
      <c r="Q259" s="375">
        <v>2700</v>
      </c>
      <c r="R259" s="361"/>
      <c r="S259" s="294"/>
      <c r="T259" s="1058" t="s">
        <v>213</v>
      </c>
      <c r="U259" s="295"/>
      <c r="V259" s="295"/>
      <c r="W259" s="392"/>
      <c r="X259" s="533"/>
      <c r="Y259" s="293">
        <v>2700</v>
      </c>
      <c r="Z259" s="294"/>
      <c r="AA259" s="293"/>
      <c r="AB259" s="365"/>
      <c r="AC259" s="387"/>
      <c r="AD259" s="587"/>
      <c r="AE259" s="298">
        <v>48500</v>
      </c>
      <c r="AF259" s="677"/>
      <c r="AG259" s="371">
        <f t="shared" si="46"/>
        <v>48500</v>
      </c>
      <c r="AH259" s="502"/>
      <c r="AI259" s="503"/>
      <c r="AJ259" s="503"/>
      <c r="AK259" s="388"/>
      <c r="AL259" s="389"/>
      <c r="AM259" s="301"/>
      <c r="AN259" s="301"/>
      <c r="AO259" s="301"/>
      <c r="AP259" s="301"/>
      <c r="AQ259" s="301"/>
      <c r="AR259" s="301"/>
      <c r="AS259" s="301"/>
      <c r="AT259" s="301"/>
      <c r="AU259" s="301"/>
      <c r="AV259" s="301"/>
      <c r="AW259" s="301"/>
      <c r="AX259" s="536"/>
      <c r="AY259" s="536"/>
      <c r="AZ259" s="537"/>
      <c r="BA259" s="534"/>
      <c r="BB259" s="299">
        <f t="shared" si="37"/>
        <v>48500</v>
      </c>
      <c r="BC259" s="538"/>
      <c r="BD259" s="539"/>
      <c r="BE259" s="501"/>
      <c r="BF259" s="352">
        <f>BB259+BC259+BD259</f>
        <v>48500</v>
      </c>
      <c r="BG259" s="451" t="str">
        <f t="shared" si="38"/>
        <v>Y</v>
      </c>
      <c r="BH259" s="451"/>
      <c r="BI259" s="299"/>
      <c r="BJ259" s="698"/>
      <c r="BK259" s="698"/>
      <c r="BL259" s="303">
        <v>2002</v>
      </c>
      <c r="BM259" s="706"/>
      <c r="BN259" s="373"/>
      <c r="BO259" s="706"/>
      <c r="BP259" s="716"/>
      <c r="BQ259" s="706"/>
      <c r="BR259" s="373"/>
      <c r="BS259" s="373"/>
      <c r="BT259" s="451" t="str">
        <f t="shared" si="39"/>
        <v>N</v>
      </c>
      <c r="BU259" s="451" t="str">
        <f t="shared" si="39"/>
        <v>N</v>
      </c>
      <c r="BV259" s="304"/>
      <c r="BW259" s="288"/>
      <c r="BX259" s="290" t="s">
        <v>1380</v>
      </c>
      <c r="BY259" s="449" t="s">
        <v>1393</v>
      </c>
      <c r="BZ259" s="624"/>
      <c r="CA259" s="624"/>
      <c r="CB259" s="624"/>
      <c r="CC259" s="624"/>
      <c r="CD259" s="624"/>
      <c r="CE259" s="624"/>
      <c r="CF259" s="624"/>
      <c r="CG259" s="624"/>
      <c r="CH259" s="624"/>
    </row>
    <row r="260" spans="1:86" s="305" customFormat="1" ht="39" customHeight="1">
      <c r="A260" s="276" t="s">
        <v>61</v>
      </c>
      <c r="B260" s="348">
        <v>197</v>
      </c>
      <c r="C260" s="348"/>
      <c r="D260" s="726" t="s">
        <v>62</v>
      </c>
      <c r="E260" s="349">
        <v>39576</v>
      </c>
      <c r="F260" s="288">
        <v>2008</v>
      </c>
      <c r="G260" s="288">
        <v>28</v>
      </c>
      <c r="H260" s="288"/>
      <c r="I260" s="288">
        <v>2008</v>
      </c>
      <c r="J260" s="358">
        <v>10</v>
      </c>
      <c r="K260" s="288" t="s">
        <v>570</v>
      </c>
      <c r="L260" s="358" t="s">
        <v>1394</v>
      </c>
      <c r="M260" s="358" t="s">
        <v>1271</v>
      </c>
      <c r="N260" s="359" t="s">
        <v>1965</v>
      </c>
      <c r="O260" s="288" t="s">
        <v>1098</v>
      </c>
      <c r="P260" s="288" t="s">
        <v>1945</v>
      </c>
      <c r="Q260" s="375">
        <v>2400000</v>
      </c>
      <c r="R260" s="361" t="s">
        <v>362</v>
      </c>
      <c r="S260" s="563" t="s">
        <v>363</v>
      </c>
      <c r="T260" s="1058">
        <v>72537164</v>
      </c>
      <c r="U260" s="295"/>
      <c r="V260" s="295" t="s">
        <v>63</v>
      </c>
      <c r="W260" s="564"/>
      <c r="X260" s="533"/>
      <c r="Y260" s="293">
        <v>500000</v>
      </c>
      <c r="Z260" s="780"/>
      <c r="AA260" s="293"/>
      <c r="AB260" s="365">
        <f>COUNTIF(AC260, "&gt;49999")</f>
        <v>1</v>
      </c>
      <c r="AC260" s="387">
        <v>250000</v>
      </c>
      <c r="AD260" s="587"/>
      <c r="AE260" s="298"/>
      <c r="AF260" s="677"/>
      <c r="AG260" s="371">
        <f t="shared" si="46"/>
        <v>250000</v>
      </c>
      <c r="AH260" s="383">
        <v>1</v>
      </c>
      <c r="AI260" s="384"/>
      <c r="AJ260" s="384">
        <f>SUM('Deployments History'!A4)</f>
        <v>1</v>
      </c>
      <c r="AK260" s="367">
        <v>205000</v>
      </c>
      <c r="AL260" s="363"/>
      <c r="AM260" s="293"/>
      <c r="AN260" s="293">
        <v>25000</v>
      </c>
      <c r="AO260" s="293"/>
      <c r="AP260" s="293"/>
      <c r="AQ260" s="293"/>
      <c r="AR260" s="293">
        <v>5000</v>
      </c>
      <c r="AS260" s="293"/>
      <c r="AT260" s="293">
        <v>20000</v>
      </c>
      <c r="AU260" s="293"/>
      <c r="AV260" s="293">
        <v>9995</v>
      </c>
      <c r="AW260" s="293"/>
      <c r="AX260" s="544"/>
      <c r="AY260" s="544"/>
      <c r="AZ260" s="537">
        <v>900000</v>
      </c>
      <c r="BA260" s="534"/>
      <c r="BB260" s="299">
        <f t="shared" ref="BB260:BB266" si="47">AG260+AZ260+BA260</f>
        <v>1150000</v>
      </c>
      <c r="BC260" s="538"/>
      <c r="BD260" s="539"/>
      <c r="BE260" s="501"/>
      <c r="BF260" s="352">
        <v>3400000</v>
      </c>
      <c r="BG260" s="451" t="str">
        <f t="shared" si="38"/>
        <v>Y</v>
      </c>
      <c r="BH260" s="451"/>
      <c r="BI260" s="299"/>
      <c r="BJ260" s="698"/>
      <c r="BK260" s="698"/>
      <c r="BL260" s="303" t="s">
        <v>50</v>
      </c>
      <c r="BM260" s="706"/>
      <c r="BN260" s="373"/>
      <c r="BO260" s="706"/>
      <c r="BP260" s="716"/>
      <c r="BQ260" s="706"/>
      <c r="BR260" s="373"/>
      <c r="BS260" s="373"/>
      <c r="BT260" s="451" t="str">
        <f t="shared" si="39"/>
        <v>N</v>
      </c>
      <c r="BU260" s="451" t="str">
        <f t="shared" si="39"/>
        <v>N</v>
      </c>
      <c r="BV260" s="304"/>
      <c r="BW260" s="288" t="s">
        <v>996</v>
      </c>
      <c r="BX260" s="290" t="s">
        <v>1395</v>
      </c>
      <c r="BY260" s="449" t="s">
        <v>49</v>
      </c>
      <c r="BZ260" s="624"/>
      <c r="CA260" s="624"/>
      <c r="CB260" s="624"/>
      <c r="CC260" s="624"/>
      <c r="CD260" s="624"/>
      <c r="CE260" s="624"/>
      <c r="CF260" s="624"/>
      <c r="CG260" s="624"/>
      <c r="CH260" s="624"/>
    </row>
    <row r="261" spans="1:86" s="305" customFormat="1" ht="39" customHeight="1">
      <c r="A261" s="276" t="s">
        <v>60</v>
      </c>
      <c r="B261" s="348">
        <v>198</v>
      </c>
      <c r="C261" s="348"/>
      <c r="D261" s="726" t="s">
        <v>347</v>
      </c>
      <c r="E261" s="349">
        <v>39576</v>
      </c>
      <c r="F261" s="288">
        <v>2008</v>
      </c>
      <c r="G261" s="288">
        <v>29</v>
      </c>
      <c r="H261" s="288"/>
      <c r="I261" s="288">
        <v>2008</v>
      </c>
      <c r="J261" s="288">
        <v>11</v>
      </c>
      <c r="K261" s="288" t="s">
        <v>570</v>
      </c>
      <c r="L261" s="358" t="s">
        <v>1879</v>
      </c>
      <c r="M261" s="358" t="s">
        <v>1961</v>
      </c>
      <c r="N261" s="359" t="s">
        <v>1884</v>
      </c>
      <c r="O261" s="358" t="s">
        <v>1884</v>
      </c>
      <c r="P261" s="358" t="s">
        <v>1884</v>
      </c>
      <c r="Q261" s="375">
        <v>10000000</v>
      </c>
      <c r="R261" s="361" t="s">
        <v>362</v>
      </c>
      <c r="S261" s="294" t="s">
        <v>363</v>
      </c>
      <c r="T261" s="1058">
        <v>92700000</v>
      </c>
      <c r="U261" s="295"/>
      <c r="V261" s="295" t="s">
        <v>59</v>
      </c>
      <c r="W261" s="392"/>
      <c r="X261" s="533"/>
      <c r="Y261" s="293">
        <v>500000</v>
      </c>
      <c r="Z261" s="780"/>
      <c r="AA261" s="293"/>
      <c r="AB261" s="365">
        <f>COUNTIF(AC261, "&gt;49999")</f>
        <v>1</v>
      </c>
      <c r="AC261" s="387">
        <f>42078533*1.09327</f>
        <v>46003197.772909999</v>
      </c>
      <c r="AD261" s="565"/>
      <c r="AE261" s="535"/>
      <c r="AF261" s="684"/>
      <c r="AG261" s="371">
        <f t="shared" si="46"/>
        <v>46003197.772909999</v>
      </c>
      <c r="AH261" s="502">
        <v>3</v>
      </c>
      <c r="AI261" s="503"/>
      <c r="AJ261" s="503"/>
      <c r="AK261" s="388"/>
      <c r="AL261" s="389"/>
      <c r="AM261" s="301"/>
      <c r="AN261" s="301"/>
      <c r="AO261" s="301"/>
      <c r="AP261" s="301"/>
      <c r="AQ261" s="301"/>
      <c r="AR261" s="301"/>
      <c r="AS261" s="301"/>
      <c r="AT261" s="301"/>
      <c r="AU261" s="301"/>
      <c r="AV261" s="301"/>
      <c r="AW261" s="301"/>
      <c r="AX261" s="536"/>
      <c r="AY261" s="536"/>
      <c r="AZ261" s="537"/>
      <c r="BA261" s="534"/>
      <c r="BB261" s="299">
        <f t="shared" si="47"/>
        <v>46003197.772909999</v>
      </c>
      <c r="BC261" s="538"/>
      <c r="BD261" s="539"/>
      <c r="BE261" s="501"/>
      <c r="BF261" s="352">
        <v>55000000</v>
      </c>
      <c r="BG261" s="451" t="str">
        <f t="shared" si="38"/>
        <v>Y</v>
      </c>
      <c r="BH261" s="451"/>
      <c r="BI261" s="299"/>
      <c r="BJ261" s="698"/>
      <c r="BK261" s="698"/>
      <c r="BL261" s="303">
        <v>2060</v>
      </c>
      <c r="BM261" s="706"/>
      <c r="BN261" s="373"/>
      <c r="BO261" s="706"/>
      <c r="BP261" s="716"/>
      <c r="BQ261" s="706"/>
      <c r="BR261" s="373"/>
      <c r="BS261" s="373"/>
      <c r="BT261" s="451" t="str">
        <f t="shared" si="39"/>
        <v>N</v>
      </c>
      <c r="BU261" s="451" t="str">
        <f t="shared" si="39"/>
        <v>N</v>
      </c>
      <c r="BV261" s="304"/>
      <c r="BW261" s="288" t="s">
        <v>996</v>
      </c>
      <c r="BX261" s="290" t="s">
        <v>1396</v>
      </c>
      <c r="BY261" s="449" t="s">
        <v>1397</v>
      </c>
      <c r="BZ261" s="624"/>
      <c r="CA261" s="624"/>
      <c r="CB261" s="624"/>
      <c r="CC261" s="624"/>
      <c r="CD261" s="624"/>
      <c r="CE261" s="624"/>
      <c r="CF261" s="624"/>
      <c r="CG261" s="624"/>
      <c r="CH261" s="624"/>
    </row>
    <row r="262" spans="1:86" s="305" customFormat="1" ht="39" customHeight="1">
      <c r="A262" s="276" t="s">
        <v>368</v>
      </c>
      <c r="B262" s="348">
        <v>199</v>
      </c>
      <c r="C262" s="348"/>
      <c r="D262" s="726" t="str">
        <f>L262&amp;" "&amp;N262</f>
        <v>Ethiopia Food Insecurity</v>
      </c>
      <c r="E262" s="349">
        <v>39607</v>
      </c>
      <c r="F262" s="288">
        <v>2008</v>
      </c>
      <c r="G262" s="288">
        <v>32</v>
      </c>
      <c r="H262" s="288"/>
      <c r="I262" s="288">
        <v>2008</v>
      </c>
      <c r="J262" s="288">
        <v>14</v>
      </c>
      <c r="K262" s="288" t="s">
        <v>1210</v>
      </c>
      <c r="L262" s="288" t="s">
        <v>1873</v>
      </c>
      <c r="M262" s="288" t="s">
        <v>1273</v>
      </c>
      <c r="N262" s="290" t="s">
        <v>2023</v>
      </c>
      <c r="O262" s="288" t="s">
        <v>2023</v>
      </c>
      <c r="P262" s="288" t="s">
        <v>2023</v>
      </c>
      <c r="Q262" s="375">
        <v>4500000</v>
      </c>
      <c r="R262" s="361" t="s">
        <v>362</v>
      </c>
      <c r="S262" s="563" t="s">
        <v>363</v>
      </c>
      <c r="T262" s="1058">
        <v>7920006</v>
      </c>
      <c r="U262" s="295"/>
      <c r="V262" s="295" t="s">
        <v>64</v>
      </c>
      <c r="W262" s="392"/>
      <c r="X262" s="533"/>
      <c r="Y262" s="293">
        <v>76075</v>
      </c>
      <c r="Z262" s="780"/>
      <c r="AA262" s="293"/>
      <c r="AB262" s="365">
        <f>COUNTIF(AC262, "&gt;49999")</f>
        <v>1</v>
      </c>
      <c r="AC262" s="387">
        <v>100000</v>
      </c>
      <c r="AD262" s="565"/>
      <c r="AE262" s="535"/>
      <c r="AF262" s="684"/>
      <c r="AG262" s="395">
        <f>SUM(AC262:AE262)</f>
        <v>100000</v>
      </c>
      <c r="AH262" s="502"/>
      <c r="AI262" s="503"/>
      <c r="AJ262" s="503"/>
      <c r="AK262" s="388"/>
      <c r="AL262" s="389"/>
      <c r="AM262" s="301"/>
      <c r="AN262" s="301"/>
      <c r="AO262" s="301"/>
      <c r="AP262" s="301"/>
      <c r="AQ262" s="301"/>
      <c r="AR262" s="301"/>
      <c r="AS262" s="301"/>
      <c r="AT262" s="301"/>
      <c r="AU262" s="301"/>
      <c r="AV262" s="301"/>
      <c r="AW262" s="301"/>
      <c r="AX262" s="536"/>
      <c r="AY262" s="536"/>
      <c r="AZ262" s="537"/>
      <c r="BA262" s="534"/>
      <c r="BB262" s="299">
        <f t="shared" si="47"/>
        <v>100000</v>
      </c>
      <c r="BC262" s="538"/>
      <c r="BD262" s="539"/>
      <c r="BE262" s="501"/>
      <c r="BF262" s="352">
        <f t="shared" ref="BF262:BF270" si="48">BB262+BC262+BD262</f>
        <v>100000</v>
      </c>
      <c r="BG262" s="451" t="str">
        <f t="shared" si="38"/>
        <v>Y</v>
      </c>
      <c r="BH262" s="451"/>
      <c r="BI262" s="299"/>
      <c r="BJ262" s="698"/>
      <c r="BK262" s="698"/>
      <c r="BL262" s="303">
        <v>2949</v>
      </c>
      <c r="BM262" s="706"/>
      <c r="BN262" s="373"/>
      <c r="BO262" s="706"/>
      <c r="BP262" s="716"/>
      <c r="BQ262" s="706"/>
      <c r="BR262" s="373"/>
      <c r="BS262" s="373"/>
      <c r="BT262" s="451" t="str">
        <f t="shared" si="39"/>
        <v>N</v>
      </c>
      <c r="BU262" s="451" t="str">
        <f t="shared" si="39"/>
        <v>N</v>
      </c>
      <c r="BV262" s="304"/>
      <c r="BW262" s="288"/>
      <c r="BX262" s="290"/>
      <c r="BY262" s="449" t="s">
        <v>193</v>
      </c>
      <c r="BZ262" s="624"/>
      <c r="CA262" s="624"/>
      <c r="CB262" s="624"/>
      <c r="CC262" s="624"/>
      <c r="CD262" s="624"/>
      <c r="CE262" s="624"/>
      <c r="CF262" s="624"/>
      <c r="CG262" s="624"/>
      <c r="CH262" s="624"/>
    </row>
    <row r="263" spans="1:86" s="305" customFormat="1" ht="39" customHeight="1">
      <c r="A263" s="276"/>
      <c r="B263" s="348">
        <v>200</v>
      </c>
      <c r="C263" s="348"/>
      <c r="D263" s="726" t="str">
        <f>L263&amp;" "&amp;N263</f>
        <v>South Africa Civil Unrest</v>
      </c>
      <c r="E263" s="349">
        <v>39607</v>
      </c>
      <c r="F263" s="288">
        <v>2008</v>
      </c>
      <c r="G263" s="288">
        <v>30</v>
      </c>
      <c r="H263" s="288"/>
      <c r="I263" s="288">
        <v>2008</v>
      </c>
      <c r="J263" s="288">
        <v>12</v>
      </c>
      <c r="K263" s="288" t="s">
        <v>1210</v>
      </c>
      <c r="L263" s="288" t="s">
        <v>1559</v>
      </c>
      <c r="M263" s="288" t="s">
        <v>1273</v>
      </c>
      <c r="N263" s="290" t="s">
        <v>900</v>
      </c>
      <c r="O263" s="288" t="s">
        <v>900</v>
      </c>
      <c r="P263" s="288" t="s">
        <v>900</v>
      </c>
      <c r="Q263" s="375">
        <v>50000</v>
      </c>
      <c r="R263" s="361"/>
      <c r="S263" s="294"/>
      <c r="T263" s="1058" t="s">
        <v>213</v>
      </c>
      <c r="U263" s="295"/>
      <c r="V263" s="295"/>
      <c r="W263" s="392"/>
      <c r="X263" s="533"/>
      <c r="Y263" s="293">
        <v>30000</v>
      </c>
      <c r="Z263" s="294"/>
      <c r="AA263" s="562">
        <v>0</v>
      </c>
      <c r="AB263" s="365"/>
      <c r="AC263" s="387"/>
      <c r="AD263" s="565"/>
      <c r="AE263" s="535"/>
      <c r="AF263" s="684"/>
      <c r="AG263" s="371">
        <f>AC263+AD263+AE263</f>
        <v>0</v>
      </c>
      <c r="AH263" s="502">
        <v>1</v>
      </c>
      <c r="AI263" s="503"/>
      <c r="AJ263" s="503"/>
      <c r="AK263" s="388"/>
      <c r="AL263" s="389"/>
      <c r="AM263" s="301"/>
      <c r="AN263" s="301"/>
      <c r="AO263" s="301"/>
      <c r="AP263" s="301"/>
      <c r="AQ263" s="301"/>
      <c r="AR263" s="301"/>
      <c r="AS263" s="301"/>
      <c r="AT263" s="301"/>
      <c r="AU263" s="301"/>
      <c r="AV263" s="301"/>
      <c r="AW263" s="301"/>
      <c r="AX263" s="536"/>
      <c r="AY263" s="536"/>
      <c r="AZ263" s="537"/>
      <c r="BA263" s="534">
        <v>10000</v>
      </c>
      <c r="BB263" s="299">
        <f t="shared" si="47"/>
        <v>10000</v>
      </c>
      <c r="BC263" s="538"/>
      <c r="BD263" s="539"/>
      <c r="BE263" s="501"/>
      <c r="BF263" s="352">
        <f t="shared" si="48"/>
        <v>10000</v>
      </c>
      <c r="BG263" s="451" t="str">
        <f t="shared" si="38"/>
        <v>N</v>
      </c>
      <c r="BH263" s="451"/>
      <c r="BI263" s="299"/>
      <c r="BJ263" s="698"/>
      <c r="BK263" s="698"/>
      <c r="BL263" s="303">
        <v>2799</v>
      </c>
      <c r="BM263" s="706"/>
      <c r="BN263" s="373"/>
      <c r="BO263" s="706"/>
      <c r="BP263" s="716"/>
      <c r="BQ263" s="706"/>
      <c r="BR263" s="373"/>
      <c r="BS263" s="373"/>
      <c r="BT263" s="451" t="str">
        <f t="shared" si="39"/>
        <v>Y</v>
      </c>
      <c r="BU263" s="451" t="str">
        <f t="shared" si="39"/>
        <v>N</v>
      </c>
      <c r="BV263" s="304"/>
      <c r="BW263" s="288"/>
      <c r="BX263" s="290" t="s">
        <v>1398</v>
      </c>
      <c r="BY263" s="449" t="s">
        <v>1399</v>
      </c>
      <c r="BZ263" s="624"/>
      <c r="CA263" s="624"/>
      <c r="CB263" s="624"/>
      <c r="CC263" s="624"/>
      <c r="CD263" s="624"/>
      <c r="CE263" s="624"/>
      <c r="CF263" s="624"/>
      <c r="CG263" s="624"/>
      <c r="CH263" s="624"/>
    </row>
    <row r="264" spans="1:86" s="305" customFormat="1" ht="39" customHeight="1">
      <c r="A264" s="276" t="s">
        <v>367</v>
      </c>
      <c r="B264" s="348">
        <v>201</v>
      </c>
      <c r="C264" s="348"/>
      <c r="D264" s="726" t="s">
        <v>91</v>
      </c>
      <c r="E264" s="349">
        <v>39607</v>
      </c>
      <c r="F264" s="288">
        <v>2008</v>
      </c>
      <c r="G264" s="288">
        <v>31</v>
      </c>
      <c r="H264" s="288"/>
      <c r="I264" s="288">
        <v>2008</v>
      </c>
      <c r="J264" s="288">
        <v>13</v>
      </c>
      <c r="K264" s="288" t="s">
        <v>1211</v>
      </c>
      <c r="L264" s="288" t="s">
        <v>1400</v>
      </c>
      <c r="M264" s="300" t="s">
        <v>1271</v>
      </c>
      <c r="N264" s="359" t="s">
        <v>1877</v>
      </c>
      <c r="O264" s="465" t="s">
        <v>1337</v>
      </c>
      <c r="P264" s="288" t="s">
        <v>1337</v>
      </c>
      <c r="Q264" s="375">
        <v>50000</v>
      </c>
      <c r="R264" s="361"/>
      <c r="S264" s="294"/>
      <c r="T264" s="1058" t="s">
        <v>213</v>
      </c>
      <c r="U264" s="295"/>
      <c r="V264" s="295"/>
      <c r="W264" s="392"/>
      <c r="X264" s="533"/>
      <c r="Y264" s="293">
        <v>4000</v>
      </c>
      <c r="Z264" s="294"/>
      <c r="AA264" s="293">
        <v>1250</v>
      </c>
      <c r="AB264" s="365">
        <v>0</v>
      </c>
      <c r="AC264" s="534">
        <v>2000</v>
      </c>
      <c r="AD264" s="565"/>
      <c r="AE264" s="535"/>
      <c r="AF264" s="684"/>
      <c r="AG264" s="395">
        <f>SUM(AC264:AE264)</f>
        <v>2000</v>
      </c>
      <c r="AH264" s="502">
        <v>1</v>
      </c>
      <c r="AI264" s="503"/>
      <c r="AJ264" s="503"/>
      <c r="AK264" s="388"/>
      <c r="AL264" s="389"/>
      <c r="AM264" s="301"/>
      <c r="AN264" s="301"/>
      <c r="AO264" s="301"/>
      <c r="AP264" s="301"/>
      <c r="AQ264" s="301"/>
      <c r="AR264" s="301"/>
      <c r="AS264" s="301"/>
      <c r="AT264" s="301"/>
      <c r="AU264" s="301"/>
      <c r="AV264" s="301"/>
      <c r="AW264" s="301"/>
      <c r="AX264" s="536"/>
      <c r="AY264" s="536"/>
      <c r="AZ264" s="537"/>
      <c r="BA264" s="534"/>
      <c r="BB264" s="299">
        <f t="shared" si="47"/>
        <v>2000</v>
      </c>
      <c r="BC264" s="538"/>
      <c r="BD264" s="539"/>
      <c r="BE264" s="501"/>
      <c r="BF264" s="352">
        <f t="shared" si="48"/>
        <v>2000</v>
      </c>
      <c r="BG264" s="451" t="str">
        <f t="shared" si="38"/>
        <v>N</v>
      </c>
      <c r="BH264" s="451"/>
      <c r="BI264" s="299"/>
      <c r="BJ264" s="698"/>
      <c r="BK264" s="698"/>
      <c r="BL264" s="303">
        <v>2799</v>
      </c>
      <c r="BM264" s="706"/>
      <c r="BN264" s="373"/>
      <c r="BO264" s="706"/>
      <c r="BP264" s="716"/>
      <c r="BQ264" s="706"/>
      <c r="BR264" s="373"/>
      <c r="BS264" s="373"/>
      <c r="BT264" s="451" t="str">
        <f t="shared" si="39"/>
        <v>Y</v>
      </c>
      <c r="BU264" s="451" t="str">
        <f t="shared" si="39"/>
        <v>N</v>
      </c>
      <c r="BV264" s="304"/>
      <c r="BW264" s="288"/>
      <c r="BX264" s="290"/>
      <c r="BY264" s="449" t="s">
        <v>1401</v>
      </c>
      <c r="BZ264" s="624"/>
      <c r="CA264" s="624"/>
      <c r="CB264" s="624"/>
      <c r="CC264" s="624"/>
      <c r="CD264" s="624"/>
      <c r="CE264" s="624"/>
      <c r="CF264" s="624"/>
      <c r="CG264" s="624"/>
      <c r="CH264" s="624"/>
    </row>
    <row r="265" spans="1:86" s="305" customFormat="1" ht="39" customHeight="1">
      <c r="A265" s="275" t="s">
        <v>45</v>
      </c>
      <c r="B265" s="355">
        <v>202</v>
      </c>
      <c r="C265" s="355"/>
      <c r="D265" s="728" t="s">
        <v>346</v>
      </c>
      <c r="E265" s="356">
        <v>39607</v>
      </c>
      <c r="F265" s="358">
        <v>2008</v>
      </c>
      <c r="G265" s="358">
        <v>33</v>
      </c>
      <c r="H265" s="358"/>
      <c r="I265" s="358">
        <v>2008</v>
      </c>
      <c r="J265" s="358">
        <v>15</v>
      </c>
      <c r="K265" s="358" t="s">
        <v>570</v>
      </c>
      <c r="L265" s="358" t="s">
        <v>2026</v>
      </c>
      <c r="M265" s="620" t="s">
        <v>1271</v>
      </c>
      <c r="N265" s="359" t="s">
        <v>1965</v>
      </c>
      <c r="O265" s="620" t="s">
        <v>1098</v>
      </c>
      <c r="P265" s="620" t="s">
        <v>1626</v>
      </c>
      <c r="Q265" s="360">
        <v>4800000</v>
      </c>
      <c r="R265" s="361" t="s">
        <v>362</v>
      </c>
      <c r="S265" s="294" t="s">
        <v>363</v>
      </c>
      <c r="T265" s="1058">
        <v>8000000</v>
      </c>
      <c r="U265" s="295"/>
      <c r="V265" s="556" t="s">
        <v>118</v>
      </c>
      <c r="W265" s="558"/>
      <c r="X265" s="542"/>
      <c r="Y265" s="293">
        <v>30000</v>
      </c>
      <c r="Z265" s="780"/>
      <c r="AA265" s="293"/>
      <c r="AB265" s="365">
        <v>1</v>
      </c>
      <c r="AC265" s="364">
        <v>185000</v>
      </c>
      <c r="AD265" s="1050"/>
      <c r="AE265" s="295"/>
      <c r="AF265" s="685"/>
      <c r="AG265" s="371">
        <f>SUM(AC265:AE265)</f>
        <v>185000</v>
      </c>
      <c r="AH265" s="499">
        <v>1</v>
      </c>
      <c r="AI265" s="500"/>
      <c r="AJ265" s="500"/>
      <c r="AK265" s="367"/>
      <c r="AL265" s="363"/>
      <c r="AM265" s="293"/>
      <c r="AN265" s="293"/>
      <c r="AO265" s="293"/>
      <c r="AP265" s="293"/>
      <c r="AQ265" s="293"/>
      <c r="AR265" s="293"/>
      <c r="AS265" s="293"/>
      <c r="AT265" s="293"/>
      <c r="AU265" s="293"/>
      <c r="AV265" s="293"/>
      <c r="AW265" s="293"/>
      <c r="AX265" s="544"/>
      <c r="AY265" s="544"/>
      <c r="AZ265" s="545"/>
      <c r="BA265" s="543"/>
      <c r="BB265" s="299">
        <f t="shared" si="47"/>
        <v>185000</v>
      </c>
      <c r="BC265" s="546"/>
      <c r="BD265" s="547"/>
      <c r="BE265" s="549"/>
      <c r="BF265" s="352">
        <f t="shared" si="48"/>
        <v>185000</v>
      </c>
      <c r="BG265" s="451" t="str">
        <f t="shared" ref="BG265:BG329" si="49">IF(OR(BL265=2799,BL265=2099),"N","Y")</f>
        <v>Y</v>
      </c>
      <c r="BH265" s="451"/>
      <c r="BI265" s="299"/>
      <c r="BJ265" s="698"/>
      <c r="BK265" s="698"/>
      <c r="BL265" s="303" t="s">
        <v>1583</v>
      </c>
      <c r="BM265" s="706"/>
      <c r="BN265" s="373"/>
      <c r="BO265" s="706"/>
      <c r="BP265" s="716"/>
      <c r="BQ265" s="706"/>
      <c r="BR265" s="373"/>
      <c r="BS265" s="373"/>
      <c r="BT265" s="451" t="str">
        <f t="shared" si="39"/>
        <v>N</v>
      </c>
      <c r="BU265" s="451" t="str">
        <f t="shared" si="39"/>
        <v>N</v>
      </c>
      <c r="BV265" s="318" t="s">
        <v>503</v>
      </c>
      <c r="BW265" s="358"/>
      <c r="BX265" s="359" t="s">
        <v>194</v>
      </c>
      <c r="BY265" s="374" t="s">
        <v>598</v>
      </c>
      <c r="BZ265" s="624"/>
      <c r="CA265" s="624"/>
      <c r="CB265" s="624"/>
      <c r="CC265" s="624"/>
      <c r="CD265" s="624"/>
      <c r="CE265" s="624"/>
      <c r="CF265" s="624"/>
      <c r="CG265" s="624"/>
      <c r="CH265" s="624"/>
    </row>
    <row r="266" spans="1:86" s="305" customFormat="1" ht="39" customHeight="1">
      <c r="A266" s="276"/>
      <c r="B266" s="348">
        <v>203</v>
      </c>
      <c r="C266" s="348"/>
      <c r="D266" s="726" t="str">
        <f>L266&amp;" "&amp;N266</f>
        <v>Yemen Conflict</v>
      </c>
      <c r="E266" s="349">
        <v>39637</v>
      </c>
      <c r="F266" s="288">
        <v>2009</v>
      </c>
      <c r="G266" s="288">
        <v>1</v>
      </c>
      <c r="H266" s="288"/>
      <c r="I266" s="288">
        <v>2008</v>
      </c>
      <c r="J266" s="288">
        <v>16</v>
      </c>
      <c r="K266" s="288" t="s">
        <v>570</v>
      </c>
      <c r="L266" s="358" t="s">
        <v>195</v>
      </c>
      <c r="M266" s="288" t="s">
        <v>1273</v>
      </c>
      <c r="N266" s="290" t="s">
        <v>1940</v>
      </c>
      <c r="O266" s="288" t="s">
        <v>1940</v>
      </c>
      <c r="P266" s="288" t="s">
        <v>1940</v>
      </c>
      <c r="Q266" s="375">
        <v>77000</v>
      </c>
      <c r="R266" s="361" t="s">
        <v>362</v>
      </c>
      <c r="S266" s="294" t="s">
        <v>365</v>
      </c>
      <c r="T266" s="1058">
        <v>13707000</v>
      </c>
      <c r="U266" s="295"/>
      <c r="V266" s="295"/>
      <c r="W266" s="392"/>
      <c r="X266" s="537"/>
      <c r="Y266" s="293">
        <v>80500</v>
      </c>
      <c r="Z266" s="294"/>
      <c r="AA266" s="293"/>
      <c r="AB266" s="365">
        <v>1</v>
      </c>
      <c r="AC266" s="534"/>
      <c r="AD266" s="565">
        <v>50000</v>
      </c>
      <c r="AE266" s="535"/>
      <c r="AF266" s="684"/>
      <c r="AG266" s="395">
        <f>SUM(AC266:AE266)</f>
        <v>50000</v>
      </c>
      <c r="AH266" s="502"/>
      <c r="AI266" s="503"/>
      <c r="AJ266" s="503"/>
      <c r="AK266" s="388" t="s">
        <v>289</v>
      </c>
      <c r="AL266" s="389"/>
      <c r="AM266" s="301"/>
      <c r="AN266" s="301"/>
      <c r="AO266" s="301"/>
      <c r="AP266" s="301"/>
      <c r="AQ266" s="301"/>
      <c r="AR266" s="301"/>
      <c r="AS266" s="301"/>
      <c r="AT266" s="301"/>
      <c r="AU266" s="301"/>
      <c r="AV266" s="301"/>
      <c r="AW266" s="301"/>
      <c r="AX266" s="536"/>
      <c r="AY266" s="536"/>
      <c r="AZ266" s="537"/>
      <c r="BA266" s="534"/>
      <c r="BB266" s="299">
        <f t="shared" si="47"/>
        <v>50000</v>
      </c>
      <c r="BC266" s="538"/>
      <c r="BD266" s="539"/>
      <c r="BE266" s="501"/>
      <c r="BF266" s="352">
        <f t="shared" si="48"/>
        <v>50000</v>
      </c>
      <c r="BG266" s="451" t="str">
        <f t="shared" si="49"/>
        <v>N</v>
      </c>
      <c r="BH266" s="451"/>
      <c r="BI266" s="299"/>
      <c r="BJ266" s="698"/>
      <c r="BK266" s="698"/>
      <c r="BL266" s="303">
        <v>2799</v>
      </c>
      <c r="BM266" s="706"/>
      <c r="BN266" s="373"/>
      <c r="BO266" s="706"/>
      <c r="BP266" s="716"/>
      <c r="BQ266" s="706"/>
      <c r="BR266" s="373"/>
      <c r="BS266" s="373"/>
      <c r="BT266" s="451" t="str">
        <f t="shared" si="39"/>
        <v>Y</v>
      </c>
      <c r="BU266" s="451" t="str">
        <f t="shared" si="39"/>
        <v>N</v>
      </c>
      <c r="BV266" s="318"/>
      <c r="BW266" s="358"/>
      <c r="BX266" s="449" t="s">
        <v>1204</v>
      </c>
      <c r="BY266" s="449" t="s">
        <v>1582</v>
      </c>
      <c r="BZ266" s="624"/>
      <c r="CA266" s="624"/>
      <c r="CB266" s="624"/>
      <c r="CC266" s="624"/>
      <c r="CD266" s="624"/>
      <c r="CE266" s="624"/>
      <c r="CF266" s="624"/>
      <c r="CG266" s="624"/>
      <c r="CH266" s="624"/>
    </row>
    <row r="267" spans="1:86" s="305" customFormat="1" ht="39" customHeight="1">
      <c r="A267" s="276" t="s">
        <v>55</v>
      </c>
      <c r="B267" s="348">
        <v>204</v>
      </c>
      <c r="C267" s="348"/>
      <c r="D267" s="726" t="s">
        <v>559</v>
      </c>
      <c r="E267" s="349">
        <v>39630</v>
      </c>
      <c r="F267" s="288">
        <v>2009</v>
      </c>
      <c r="G267" s="288">
        <v>2</v>
      </c>
      <c r="H267" s="288"/>
      <c r="I267" s="288">
        <v>2008</v>
      </c>
      <c r="J267" s="288">
        <v>17</v>
      </c>
      <c r="K267" s="288" t="s">
        <v>1211</v>
      </c>
      <c r="L267" s="288" t="s">
        <v>196</v>
      </c>
      <c r="M267" s="300" t="s">
        <v>1271</v>
      </c>
      <c r="N267" s="359" t="s">
        <v>1877</v>
      </c>
      <c r="O267" s="465" t="s">
        <v>1337</v>
      </c>
      <c r="P267" s="288" t="s">
        <v>1337</v>
      </c>
      <c r="Q267" s="375">
        <v>49090</v>
      </c>
      <c r="R267" s="361" t="s">
        <v>362</v>
      </c>
      <c r="S267" s="294" t="s">
        <v>363</v>
      </c>
      <c r="T267" s="1058">
        <v>861000</v>
      </c>
      <c r="U267" s="295"/>
      <c r="V267" s="295" t="s">
        <v>634</v>
      </c>
      <c r="W267" s="392"/>
      <c r="X267" s="533"/>
      <c r="Y267" s="293">
        <v>3000</v>
      </c>
      <c r="Z267" s="294"/>
      <c r="AA267" s="293"/>
      <c r="AB267" s="365"/>
      <c r="AC267" s="534"/>
      <c r="AD267" s="565"/>
      <c r="AE267" s="535"/>
      <c r="AF267" s="684"/>
      <c r="AG267" s="395" t="s">
        <v>289</v>
      </c>
      <c r="AH267" s="502">
        <v>2</v>
      </c>
      <c r="AI267" s="503" t="s">
        <v>227</v>
      </c>
      <c r="AJ267" s="503">
        <f>SUM('Deployments History'!A18:A19)</f>
        <v>2</v>
      </c>
      <c r="AK267" s="388" t="s">
        <v>289</v>
      </c>
      <c r="AL267" s="389"/>
      <c r="AM267" s="301"/>
      <c r="AN267" s="301"/>
      <c r="AO267" s="301"/>
      <c r="AP267" s="301"/>
      <c r="AQ267" s="301"/>
      <c r="AR267" s="301"/>
      <c r="AS267" s="301"/>
      <c r="AT267" s="301"/>
      <c r="AU267" s="301"/>
      <c r="AV267" s="301"/>
      <c r="AW267" s="301"/>
      <c r="AX267" s="536"/>
      <c r="AY267" s="536"/>
      <c r="AZ267" s="537" t="s">
        <v>289</v>
      </c>
      <c r="BA267" s="534" t="s">
        <v>289</v>
      </c>
      <c r="BB267" s="299"/>
      <c r="BC267" s="538"/>
      <c r="BD267" s="539"/>
      <c r="BE267" s="501"/>
      <c r="BF267" s="352"/>
      <c r="BG267" s="451" t="str">
        <f t="shared" si="49"/>
        <v>N</v>
      </c>
      <c r="BH267" s="451"/>
      <c r="BI267" s="299"/>
      <c r="BJ267" s="698"/>
      <c r="BK267" s="698"/>
      <c r="BL267" s="303">
        <v>2799</v>
      </c>
      <c r="BM267" s="706"/>
      <c r="BN267" s="373"/>
      <c r="BO267" s="706"/>
      <c r="BP267" s="716"/>
      <c r="BQ267" s="706"/>
      <c r="BR267" s="373"/>
      <c r="BS267" s="373"/>
      <c r="BT267" s="451" t="str">
        <f t="shared" si="39"/>
        <v>Y</v>
      </c>
      <c r="BU267" s="451" t="str">
        <f t="shared" si="39"/>
        <v>N</v>
      </c>
      <c r="BV267" s="318"/>
      <c r="BW267" s="358"/>
      <c r="BX267" s="449"/>
      <c r="BY267" s="449" t="s">
        <v>197</v>
      </c>
      <c r="BZ267" s="624"/>
      <c r="CA267" s="624"/>
      <c r="CB267" s="624"/>
      <c r="CC267" s="624"/>
      <c r="CD267" s="624"/>
      <c r="CE267" s="624"/>
      <c r="CF267" s="624"/>
      <c r="CG267" s="624"/>
      <c r="CH267" s="624"/>
    </row>
    <row r="268" spans="1:86" s="305" customFormat="1" ht="39" customHeight="1">
      <c r="A268" s="276" t="s">
        <v>57</v>
      </c>
      <c r="B268" s="348">
        <v>205</v>
      </c>
      <c r="C268" s="348"/>
      <c r="D268" s="726" t="s">
        <v>56</v>
      </c>
      <c r="E268" s="349">
        <v>39661</v>
      </c>
      <c r="F268" s="288">
        <v>2009</v>
      </c>
      <c r="G268" s="288">
        <v>3</v>
      </c>
      <c r="H268" s="288"/>
      <c r="I268" s="288">
        <v>2008</v>
      </c>
      <c r="J268" s="288">
        <v>18</v>
      </c>
      <c r="K268" s="288" t="s">
        <v>570</v>
      </c>
      <c r="L268" s="358" t="s">
        <v>198</v>
      </c>
      <c r="M268" s="300" t="s">
        <v>1271</v>
      </c>
      <c r="N268" s="359" t="s">
        <v>1877</v>
      </c>
      <c r="O268" s="465" t="s">
        <v>1337</v>
      </c>
      <c r="P268" s="288" t="s">
        <v>1337</v>
      </c>
      <c r="Q268" s="375">
        <v>30000</v>
      </c>
      <c r="R268" s="361" t="s">
        <v>362</v>
      </c>
      <c r="S268" s="294" t="s">
        <v>363</v>
      </c>
      <c r="T268" s="1058">
        <v>1193000</v>
      </c>
      <c r="U268" s="295"/>
      <c r="V268" s="565" t="s">
        <v>1318</v>
      </c>
      <c r="W268" s="392"/>
      <c r="X268" s="537"/>
      <c r="Y268" s="293">
        <v>60000</v>
      </c>
      <c r="Z268" s="780"/>
      <c r="AA268" s="293"/>
      <c r="AB268" s="365">
        <v>1</v>
      </c>
      <c r="AC268" s="534">
        <v>44250</v>
      </c>
      <c r="AD268" s="565"/>
      <c r="AE268" s="535"/>
      <c r="AF268" s="684"/>
      <c r="AG268" s="395">
        <f>SUM(AC268:AE268)</f>
        <v>44250</v>
      </c>
      <c r="AH268" s="502"/>
      <c r="AI268" s="503"/>
      <c r="AJ268" s="503"/>
      <c r="AK268" s="388" t="s">
        <v>289</v>
      </c>
      <c r="AL268" s="389"/>
      <c r="AM268" s="301"/>
      <c r="AN268" s="301"/>
      <c r="AO268" s="301"/>
      <c r="AP268" s="301"/>
      <c r="AQ268" s="301"/>
      <c r="AR268" s="301"/>
      <c r="AS268" s="301"/>
      <c r="AT268" s="301"/>
      <c r="AU268" s="301"/>
      <c r="AV268" s="301"/>
      <c r="AW268" s="301"/>
      <c r="AX268" s="536"/>
      <c r="AY268" s="536"/>
      <c r="AZ268" s="537"/>
      <c r="BA268" s="534"/>
      <c r="BB268" s="299">
        <f>AG268+AZ268+BA268</f>
        <v>44250</v>
      </c>
      <c r="BC268" s="538"/>
      <c r="BD268" s="539"/>
      <c r="BE268" s="501"/>
      <c r="BF268" s="352">
        <f t="shared" si="48"/>
        <v>44250</v>
      </c>
      <c r="BG268" s="451" t="str">
        <f t="shared" si="49"/>
        <v>Y</v>
      </c>
      <c r="BH268" s="451"/>
      <c r="BI268" s="299"/>
      <c r="BJ268" s="698"/>
      <c r="BK268" s="698"/>
      <c r="BL268" s="303">
        <v>2048</v>
      </c>
      <c r="BM268" s="706"/>
      <c r="BN268" s="373"/>
      <c r="BO268" s="706"/>
      <c r="BP268" s="716"/>
      <c r="BQ268" s="706"/>
      <c r="BR268" s="373"/>
      <c r="BS268" s="373"/>
      <c r="BT268" s="451" t="str">
        <f t="shared" si="39"/>
        <v>N</v>
      </c>
      <c r="BU268" s="451" t="str">
        <f t="shared" si="39"/>
        <v>N</v>
      </c>
      <c r="BV268" s="318"/>
      <c r="BW268" s="358"/>
      <c r="BX268" s="449"/>
      <c r="BY268" s="449" t="s">
        <v>1581</v>
      </c>
      <c r="BZ268" s="624"/>
      <c r="CA268" s="624"/>
      <c r="CB268" s="624"/>
      <c r="CC268" s="624"/>
      <c r="CD268" s="624"/>
      <c r="CE268" s="624"/>
      <c r="CF268" s="624"/>
      <c r="CG268" s="624"/>
      <c r="CH268" s="624"/>
    </row>
    <row r="269" spans="1:86" s="305" customFormat="1" ht="39" customHeight="1">
      <c r="A269" s="276"/>
      <c r="B269" s="348">
        <v>206</v>
      </c>
      <c r="C269" s="348"/>
      <c r="D269" s="726" t="s">
        <v>558</v>
      </c>
      <c r="E269" s="349">
        <v>39661</v>
      </c>
      <c r="F269" s="288">
        <v>2009</v>
      </c>
      <c r="G269" s="288">
        <v>4</v>
      </c>
      <c r="H269" s="288"/>
      <c r="I269" s="288">
        <v>2008</v>
      </c>
      <c r="J269" s="288">
        <v>19</v>
      </c>
      <c r="K269" s="288" t="s">
        <v>570</v>
      </c>
      <c r="L269" s="358" t="s">
        <v>202</v>
      </c>
      <c r="M269" s="288" t="s">
        <v>1273</v>
      </c>
      <c r="N269" s="290" t="s">
        <v>1940</v>
      </c>
      <c r="O269" s="288" t="s">
        <v>1940</v>
      </c>
      <c r="P269" s="288" t="s">
        <v>1940</v>
      </c>
      <c r="Q269" s="375">
        <v>72000</v>
      </c>
      <c r="R269" s="361" t="s">
        <v>362</v>
      </c>
      <c r="S269" s="294" t="s">
        <v>365</v>
      </c>
      <c r="T269" s="1058">
        <v>7395000</v>
      </c>
      <c r="U269" s="295"/>
      <c r="V269" s="295" t="s">
        <v>87</v>
      </c>
      <c r="W269" s="392"/>
      <c r="X269" s="537"/>
      <c r="Y269" s="293">
        <v>50000</v>
      </c>
      <c r="Z269" s="294"/>
      <c r="AA269" s="293"/>
      <c r="AB269" s="365">
        <v>1</v>
      </c>
      <c r="AC269" s="534"/>
      <c r="AD269" s="565">
        <v>100000</v>
      </c>
      <c r="AE269" s="535"/>
      <c r="AF269" s="684"/>
      <c r="AG269" s="395">
        <f>SUM(AC269:AE269)</f>
        <v>100000</v>
      </c>
      <c r="AH269" s="502"/>
      <c r="AI269" s="503"/>
      <c r="AJ269" s="503"/>
      <c r="AK269" s="388" t="s">
        <v>289</v>
      </c>
      <c r="AL269" s="389"/>
      <c r="AM269" s="301"/>
      <c r="AN269" s="301"/>
      <c r="AO269" s="301"/>
      <c r="AP269" s="301"/>
      <c r="AQ269" s="301"/>
      <c r="AR269" s="301"/>
      <c r="AS269" s="301"/>
      <c r="AT269" s="301"/>
      <c r="AU269" s="301"/>
      <c r="AV269" s="301"/>
      <c r="AW269" s="301"/>
      <c r="AX269" s="536"/>
      <c r="AY269" s="536"/>
      <c r="AZ269" s="537"/>
      <c r="BA269" s="534"/>
      <c r="BB269" s="299">
        <f>AG269+AZ269+BA269</f>
        <v>100000</v>
      </c>
      <c r="BC269" s="538"/>
      <c r="BD269" s="539"/>
      <c r="BE269" s="501"/>
      <c r="BF269" s="352">
        <f t="shared" si="48"/>
        <v>100000</v>
      </c>
      <c r="BG269" s="451" t="str">
        <f t="shared" si="49"/>
        <v>N</v>
      </c>
      <c r="BH269" s="451"/>
      <c r="BI269" s="299"/>
      <c r="BJ269" s="698"/>
      <c r="BK269" s="698"/>
      <c r="BL269" s="303">
        <v>2799</v>
      </c>
      <c r="BM269" s="706"/>
      <c r="BN269" s="373"/>
      <c r="BO269" s="706"/>
      <c r="BP269" s="716"/>
      <c r="BQ269" s="706"/>
      <c r="BR269" s="373"/>
      <c r="BS269" s="373"/>
      <c r="BT269" s="451" t="str">
        <f t="shared" si="39"/>
        <v>Y</v>
      </c>
      <c r="BU269" s="451" t="str">
        <f t="shared" si="39"/>
        <v>N</v>
      </c>
      <c r="BV269" s="318"/>
      <c r="BW269" s="358"/>
      <c r="BX269" s="449" t="s">
        <v>203</v>
      </c>
      <c r="BY269" s="449" t="s">
        <v>1580</v>
      </c>
      <c r="BZ269" s="624"/>
      <c r="CA269" s="624"/>
      <c r="CB269" s="624"/>
      <c r="CC269" s="624"/>
      <c r="CD269" s="624"/>
      <c r="CE269" s="624"/>
      <c r="CF269" s="624"/>
      <c r="CG269" s="624"/>
      <c r="CH269" s="624"/>
    </row>
    <row r="270" spans="1:86" s="305" customFormat="1" ht="39" customHeight="1">
      <c r="A270" s="275" t="s">
        <v>58</v>
      </c>
      <c r="B270" s="355">
        <v>207</v>
      </c>
      <c r="C270" s="355"/>
      <c r="D270" s="726" t="s">
        <v>1145</v>
      </c>
      <c r="E270" s="356">
        <v>39699</v>
      </c>
      <c r="F270" s="358">
        <v>2009</v>
      </c>
      <c r="G270" s="358">
        <v>5</v>
      </c>
      <c r="H270" s="358"/>
      <c r="I270" s="358">
        <v>2008</v>
      </c>
      <c r="J270" s="358">
        <v>20</v>
      </c>
      <c r="K270" s="358" t="s">
        <v>570</v>
      </c>
      <c r="L270" s="358" t="s">
        <v>35</v>
      </c>
      <c r="M270" s="358" t="s">
        <v>1271</v>
      </c>
      <c r="N270" s="359" t="s">
        <v>1877</v>
      </c>
      <c r="O270" s="358" t="s">
        <v>1337</v>
      </c>
      <c r="P270" s="358" t="s">
        <v>1337</v>
      </c>
      <c r="Q270" s="360">
        <v>70000</v>
      </c>
      <c r="R270" s="361" t="s">
        <v>362</v>
      </c>
      <c r="S270" s="294" t="s">
        <v>363</v>
      </c>
      <c r="T270" s="1058">
        <v>2647699</v>
      </c>
      <c r="U270" s="295"/>
      <c r="V270" s="566" t="s">
        <v>1317</v>
      </c>
      <c r="W270" s="558"/>
      <c r="X270" s="545"/>
      <c r="Y270" s="293">
        <v>150000</v>
      </c>
      <c r="Z270" s="780"/>
      <c r="AA270" s="293"/>
      <c r="AB270" s="365">
        <f>COUNTIF(AC270, "&gt;49999")</f>
        <v>1</v>
      </c>
      <c r="AC270" s="543">
        <v>50000</v>
      </c>
      <c r="AD270" s="1050"/>
      <c r="AE270" s="295"/>
      <c r="AF270" s="685"/>
      <c r="AG270" s="371">
        <f>SUM(AC270:AE270)</f>
        <v>50000</v>
      </c>
      <c r="AH270" s="499"/>
      <c r="AI270" s="500"/>
      <c r="AJ270" s="500"/>
      <c r="AK270" s="367" t="s">
        <v>289</v>
      </c>
      <c r="AL270" s="363"/>
      <c r="AM270" s="293"/>
      <c r="AN270" s="293"/>
      <c r="AO270" s="293"/>
      <c r="AP270" s="293"/>
      <c r="AQ270" s="293"/>
      <c r="AR270" s="293"/>
      <c r="AS270" s="293"/>
      <c r="AT270" s="293"/>
      <c r="AU270" s="293"/>
      <c r="AV270" s="293"/>
      <c r="AW270" s="293"/>
      <c r="AX270" s="544"/>
      <c r="AY270" s="544"/>
      <c r="AZ270" s="545"/>
      <c r="BA270" s="543"/>
      <c r="BB270" s="299">
        <f>AG270+AZ270+BA270</f>
        <v>50000</v>
      </c>
      <c r="BC270" s="546"/>
      <c r="BD270" s="547"/>
      <c r="BE270" s="549"/>
      <c r="BF270" s="352">
        <f t="shared" si="48"/>
        <v>50000</v>
      </c>
      <c r="BG270" s="451" t="str">
        <f t="shared" si="49"/>
        <v>N</v>
      </c>
      <c r="BH270" s="451"/>
      <c r="BI270" s="299"/>
      <c r="BJ270" s="698"/>
      <c r="BK270" s="698"/>
      <c r="BL270" s="303">
        <v>2799</v>
      </c>
      <c r="BM270" s="706"/>
      <c r="BN270" s="373"/>
      <c r="BO270" s="706"/>
      <c r="BP270" s="716"/>
      <c r="BQ270" s="706"/>
      <c r="BR270" s="373"/>
      <c r="BS270" s="373"/>
      <c r="BT270" s="451" t="str">
        <f t="shared" si="39"/>
        <v>Y</v>
      </c>
      <c r="BU270" s="451" t="str">
        <f t="shared" si="39"/>
        <v>N</v>
      </c>
      <c r="BV270" s="318"/>
      <c r="BW270" s="358"/>
      <c r="BX270" s="374" t="s">
        <v>1867</v>
      </c>
      <c r="BY270" s="374" t="s">
        <v>1579</v>
      </c>
      <c r="BZ270" s="624"/>
      <c r="CA270" s="624"/>
      <c r="CB270" s="624"/>
      <c r="CC270" s="624"/>
      <c r="CD270" s="624"/>
      <c r="CE270" s="624"/>
      <c r="CF270" s="624"/>
      <c r="CG270" s="624"/>
      <c r="CH270" s="624"/>
    </row>
    <row r="271" spans="1:86" s="305" customFormat="1" ht="37.5" customHeight="1">
      <c r="A271" s="275" t="s">
        <v>72</v>
      </c>
      <c r="B271" s="355">
        <v>208</v>
      </c>
      <c r="C271" s="355"/>
      <c r="D271" s="726" t="s">
        <v>345</v>
      </c>
      <c r="E271" s="356">
        <v>39699</v>
      </c>
      <c r="F271" s="358">
        <v>2009</v>
      </c>
      <c r="G271" s="358">
        <v>6</v>
      </c>
      <c r="H271" s="358"/>
      <c r="I271" s="358">
        <v>2008</v>
      </c>
      <c r="J271" s="358">
        <v>21</v>
      </c>
      <c r="K271" s="358" t="s">
        <v>1211</v>
      </c>
      <c r="L271" s="358" t="s">
        <v>682</v>
      </c>
      <c r="M271" s="620" t="s">
        <v>1271</v>
      </c>
      <c r="N271" s="359" t="s">
        <v>1965</v>
      </c>
      <c r="O271" s="620" t="s">
        <v>1098</v>
      </c>
      <c r="P271" s="620" t="s">
        <v>1892</v>
      </c>
      <c r="Q271" s="360">
        <v>800000</v>
      </c>
      <c r="R271" s="361" t="s">
        <v>362</v>
      </c>
      <c r="S271" s="563" t="s">
        <v>363</v>
      </c>
      <c r="T271" s="1058">
        <v>7600000</v>
      </c>
      <c r="U271" s="295"/>
      <c r="V271" s="566" t="s">
        <v>1316</v>
      </c>
      <c r="W271" s="362"/>
      <c r="X271" s="545"/>
      <c r="Y271" s="293">
        <v>50000</v>
      </c>
      <c r="Z271" s="780"/>
      <c r="AA271" s="293"/>
      <c r="AB271" s="365">
        <f>COUNTIF(AC271, "&gt;49999")</f>
        <v>1</v>
      </c>
      <c r="AC271" s="543">
        <v>283682</v>
      </c>
      <c r="AD271" s="1050"/>
      <c r="AE271" s="295"/>
      <c r="AF271" s="685"/>
      <c r="AG271" s="371">
        <f>SUM(AC271:AE271)</f>
        <v>283682</v>
      </c>
      <c r="AH271" s="499">
        <v>5</v>
      </c>
      <c r="AI271" s="500" t="s">
        <v>226</v>
      </c>
      <c r="AJ271" s="500">
        <f>SUM('Deployments History'!A26:A28,'Deployments History'!A22,'Deployments History'!A20)</f>
        <v>5</v>
      </c>
      <c r="AK271" s="367">
        <f>SUM(AM271:AW271)</f>
        <v>19100</v>
      </c>
      <c r="AL271" s="363"/>
      <c r="AM271" s="293">
        <v>4000</v>
      </c>
      <c r="AN271" s="293"/>
      <c r="AO271" s="293"/>
      <c r="AP271" s="293">
        <v>4800</v>
      </c>
      <c r="AQ271" s="293"/>
      <c r="AR271" s="293">
        <v>3000</v>
      </c>
      <c r="AS271" s="293"/>
      <c r="AT271" s="293">
        <v>6000</v>
      </c>
      <c r="AU271" s="293"/>
      <c r="AV271" s="293">
        <v>1300</v>
      </c>
      <c r="AW271" s="293"/>
      <c r="AX271" s="544"/>
      <c r="AY271" s="544"/>
      <c r="AZ271" s="545">
        <v>340000</v>
      </c>
      <c r="BA271" s="543"/>
      <c r="BB271" s="299">
        <v>1532876</v>
      </c>
      <c r="BC271" s="549"/>
      <c r="BD271" s="547"/>
      <c r="BE271" s="549"/>
      <c r="BF271" s="352">
        <f>BB271+BD271</f>
        <v>1532876</v>
      </c>
      <c r="BG271" s="451" t="str">
        <f t="shared" si="49"/>
        <v>Y</v>
      </c>
      <c r="BH271" s="451"/>
      <c r="BI271" s="299"/>
      <c r="BJ271" s="698"/>
      <c r="BK271" s="698"/>
      <c r="BL271" s="303" t="s">
        <v>666</v>
      </c>
      <c r="BM271" s="706"/>
      <c r="BN271" s="373"/>
      <c r="BO271" s="706"/>
      <c r="BP271" s="716"/>
      <c r="BQ271" s="706"/>
      <c r="BR271" s="373"/>
      <c r="BS271" s="373"/>
      <c r="BT271" s="451" t="str">
        <f t="shared" si="39"/>
        <v>N</v>
      </c>
      <c r="BU271" s="451" t="str">
        <f t="shared" si="39"/>
        <v>N</v>
      </c>
      <c r="BV271" s="318" t="s">
        <v>631</v>
      </c>
      <c r="BW271" s="358" t="s">
        <v>996</v>
      </c>
      <c r="BX271" s="798" t="s">
        <v>204</v>
      </c>
      <c r="BY271" s="374" t="s">
        <v>1971</v>
      </c>
      <c r="BZ271" s="624"/>
      <c r="CA271" s="624"/>
      <c r="CB271" s="624"/>
      <c r="CC271" s="624"/>
      <c r="CD271" s="624"/>
      <c r="CE271" s="624"/>
      <c r="CF271" s="624"/>
      <c r="CG271" s="624"/>
      <c r="CH271" s="624"/>
    </row>
    <row r="272" spans="1:86" s="305" customFormat="1" ht="39" customHeight="1">
      <c r="A272" s="275" t="s">
        <v>73</v>
      </c>
      <c r="B272" s="355">
        <v>209</v>
      </c>
      <c r="C272" s="914"/>
      <c r="D272" s="729" t="s">
        <v>1844</v>
      </c>
      <c r="E272" s="356">
        <v>39699</v>
      </c>
      <c r="F272" s="358">
        <v>2009</v>
      </c>
      <c r="G272" s="358">
        <v>7</v>
      </c>
      <c r="H272" s="358"/>
      <c r="I272" s="358">
        <v>2008</v>
      </c>
      <c r="J272" s="358">
        <v>22</v>
      </c>
      <c r="K272" s="358" t="s">
        <v>1211</v>
      </c>
      <c r="L272" s="358" t="s">
        <v>1891</v>
      </c>
      <c r="M272" s="358" t="s">
        <v>1271</v>
      </c>
      <c r="N272" s="359" t="s">
        <v>1965</v>
      </c>
      <c r="O272" s="358" t="s">
        <v>1098</v>
      </c>
      <c r="P272" s="358" t="s">
        <v>1892</v>
      </c>
      <c r="Q272" s="360">
        <v>9750</v>
      </c>
      <c r="R272" s="361" t="s">
        <v>362</v>
      </c>
      <c r="S272" s="563" t="s">
        <v>363</v>
      </c>
      <c r="T272" s="1058">
        <v>1638300</v>
      </c>
      <c r="U272" s="295"/>
      <c r="V272" s="565" t="s">
        <v>1315</v>
      </c>
      <c r="W272" s="362"/>
      <c r="X272" s="545"/>
      <c r="Y272" s="293">
        <v>20000</v>
      </c>
      <c r="Z272" s="780"/>
      <c r="AA272" s="293"/>
      <c r="AB272" s="365">
        <f>COUNTIF(AC272, "&gt;49999")</f>
        <v>1</v>
      </c>
      <c r="AC272" s="543">
        <v>121044</v>
      </c>
      <c r="AD272" s="1050"/>
      <c r="AE272" s="295"/>
      <c r="AF272" s="685"/>
      <c r="AG272" s="371">
        <v>121044</v>
      </c>
      <c r="AH272" s="499">
        <v>1</v>
      </c>
      <c r="AI272" s="500"/>
      <c r="AJ272" s="500">
        <f>SUM('Deployments History'!A21)</f>
        <v>1</v>
      </c>
      <c r="AK272" s="367" t="s">
        <v>289</v>
      </c>
      <c r="AL272" s="363"/>
      <c r="AM272" s="293"/>
      <c r="AN272" s="293"/>
      <c r="AO272" s="293"/>
      <c r="AP272" s="293"/>
      <c r="AQ272" s="293"/>
      <c r="AR272" s="293"/>
      <c r="AS272" s="293"/>
      <c r="AT272" s="293"/>
      <c r="AU272" s="293"/>
      <c r="AV272" s="293"/>
      <c r="AW272" s="293"/>
      <c r="AX272" s="544"/>
      <c r="AY272" s="544"/>
      <c r="AZ272" s="545"/>
      <c r="BA272" s="543"/>
      <c r="BB272" s="299">
        <f>AG272+AZ272+BA272</f>
        <v>121044</v>
      </c>
      <c r="BC272" s="546"/>
      <c r="BD272" s="547"/>
      <c r="BE272" s="549"/>
      <c r="BF272" s="352">
        <f>BB272+BD272+BC272</f>
        <v>121044</v>
      </c>
      <c r="BG272" s="451" t="str">
        <f t="shared" si="49"/>
        <v>N</v>
      </c>
      <c r="BH272" s="451"/>
      <c r="BI272" s="299"/>
      <c r="BJ272" s="698"/>
      <c r="BK272" s="698"/>
      <c r="BL272" s="303">
        <v>2799</v>
      </c>
      <c r="BM272" s="706"/>
      <c r="BN272" s="373"/>
      <c r="BO272" s="706"/>
      <c r="BP272" s="716"/>
      <c r="BQ272" s="706"/>
      <c r="BR272" s="373"/>
      <c r="BS272" s="373"/>
      <c r="BT272" s="451" t="str">
        <f t="shared" si="39"/>
        <v>Y</v>
      </c>
      <c r="BU272" s="451" t="str">
        <f t="shared" si="39"/>
        <v>N</v>
      </c>
      <c r="BV272" s="318"/>
      <c r="BW272" s="358" t="s">
        <v>996</v>
      </c>
      <c r="BX272" s="798" t="s">
        <v>205</v>
      </c>
      <c r="BY272" s="374" t="s">
        <v>565</v>
      </c>
      <c r="BZ272" s="624"/>
      <c r="CA272" s="624"/>
      <c r="CB272" s="624"/>
      <c r="CC272" s="624"/>
      <c r="CD272" s="624"/>
      <c r="CE272" s="624"/>
      <c r="CF272" s="624"/>
      <c r="CG272" s="624"/>
      <c r="CH272" s="624"/>
    </row>
    <row r="273" spans="1:86" s="305" customFormat="1" ht="39" customHeight="1">
      <c r="A273" s="275" t="s">
        <v>73</v>
      </c>
      <c r="B273" s="355">
        <v>209</v>
      </c>
      <c r="C273" s="355"/>
      <c r="D273" s="726" t="s">
        <v>1843</v>
      </c>
      <c r="E273" s="356">
        <v>39699</v>
      </c>
      <c r="F273" s="358">
        <v>2009</v>
      </c>
      <c r="G273" s="358">
        <v>7</v>
      </c>
      <c r="H273" s="358"/>
      <c r="I273" s="358">
        <v>2008</v>
      </c>
      <c r="J273" s="358">
        <v>22</v>
      </c>
      <c r="K273" s="358" t="s">
        <v>1211</v>
      </c>
      <c r="L273" s="358" t="s">
        <v>1590</v>
      </c>
      <c r="M273" s="358" t="s">
        <v>1271</v>
      </c>
      <c r="N273" s="359" t="s">
        <v>1965</v>
      </c>
      <c r="O273" s="358" t="s">
        <v>1098</v>
      </c>
      <c r="P273" s="358" t="s">
        <v>1892</v>
      </c>
      <c r="Q273" s="360">
        <v>4000</v>
      </c>
      <c r="R273" s="361"/>
      <c r="S273" s="294"/>
      <c r="T273" s="1058" t="s">
        <v>289</v>
      </c>
      <c r="U273" s="295"/>
      <c r="V273" s="565" t="s">
        <v>1315</v>
      </c>
      <c r="W273" s="362"/>
      <c r="X273" s="545"/>
      <c r="Y273" s="293" t="s">
        <v>289</v>
      </c>
      <c r="Z273" s="294"/>
      <c r="AA273" s="293" t="s">
        <v>289</v>
      </c>
      <c r="AB273" s="365"/>
      <c r="AC273" s="543"/>
      <c r="AD273" s="1050"/>
      <c r="AE273" s="295"/>
      <c r="AF273" s="685"/>
      <c r="AG273" s="371"/>
      <c r="AH273" s="499"/>
      <c r="AI273" s="500"/>
      <c r="AJ273" s="500"/>
      <c r="AK273" s="367" t="s">
        <v>289</v>
      </c>
      <c r="AL273" s="363"/>
      <c r="AM273" s="293"/>
      <c r="AN273" s="293"/>
      <c r="AO273" s="293"/>
      <c r="AP273" s="293"/>
      <c r="AQ273" s="293"/>
      <c r="AR273" s="293"/>
      <c r="AS273" s="293"/>
      <c r="AT273" s="293"/>
      <c r="AU273" s="293"/>
      <c r="AV273" s="293"/>
      <c r="AW273" s="293"/>
      <c r="AX273" s="544"/>
      <c r="AY273" s="544"/>
      <c r="AZ273" s="545"/>
      <c r="BA273" s="543"/>
      <c r="BB273" s="299" t="s">
        <v>289</v>
      </c>
      <c r="BC273" s="546"/>
      <c r="BD273" s="547"/>
      <c r="BE273" s="549"/>
      <c r="BF273" s="352" t="s">
        <v>289</v>
      </c>
      <c r="BG273" s="451" t="str">
        <f t="shared" si="49"/>
        <v>Y</v>
      </c>
      <c r="BH273" s="451"/>
      <c r="BI273" s="299"/>
      <c r="BJ273" s="698"/>
      <c r="BK273" s="698"/>
      <c r="BL273" s="303"/>
      <c r="BM273" s="706"/>
      <c r="BN273" s="373"/>
      <c r="BO273" s="706"/>
      <c r="BP273" s="716"/>
      <c r="BQ273" s="706"/>
      <c r="BR273" s="373"/>
      <c r="BS273" s="373"/>
      <c r="BT273" s="451" t="str">
        <f t="shared" si="39"/>
        <v>N</v>
      </c>
      <c r="BU273" s="451" t="str">
        <f t="shared" si="39"/>
        <v>N</v>
      </c>
      <c r="BV273" s="304"/>
      <c r="BW273" s="288" t="s">
        <v>996</v>
      </c>
      <c r="BX273" s="798" t="s">
        <v>205</v>
      </c>
      <c r="BY273" s="374" t="s">
        <v>206</v>
      </c>
      <c r="BZ273" s="624"/>
      <c r="CA273" s="624"/>
      <c r="CB273" s="624"/>
      <c r="CC273" s="624"/>
      <c r="CD273" s="624"/>
      <c r="CE273" s="624"/>
      <c r="CF273" s="624"/>
      <c r="CG273" s="624"/>
      <c r="CH273" s="624"/>
    </row>
    <row r="274" spans="1:86" s="305" customFormat="1" ht="39" customHeight="1">
      <c r="A274" s="275" t="s">
        <v>73</v>
      </c>
      <c r="B274" s="355">
        <v>210</v>
      </c>
      <c r="C274" s="355"/>
      <c r="D274" s="726" t="s">
        <v>344</v>
      </c>
      <c r="E274" s="356">
        <v>39699</v>
      </c>
      <c r="F274" s="358">
        <v>2009</v>
      </c>
      <c r="G274" s="358">
        <v>8</v>
      </c>
      <c r="H274" s="358"/>
      <c r="I274" s="358">
        <v>2008</v>
      </c>
      <c r="J274" s="358">
        <v>23</v>
      </c>
      <c r="K274" s="358" t="s">
        <v>1211</v>
      </c>
      <c r="L274" s="358" t="s">
        <v>1589</v>
      </c>
      <c r="M274" s="358" t="s">
        <v>1271</v>
      </c>
      <c r="N274" s="359" t="s">
        <v>1965</v>
      </c>
      <c r="O274" s="358" t="s">
        <v>1098</v>
      </c>
      <c r="P274" s="358" t="s">
        <v>1892</v>
      </c>
      <c r="Q274" s="360">
        <v>2900000</v>
      </c>
      <c r="R274" s="361" t="s">
        <v>362</v>
      </c>
      <c r="S274" s="294" t="s">
        <v>363</v>
      </c>
      <c r="T274" s="1058">
        <v>8811345</v>
      </c>
      <c r="U274" s="295"/>
      <c r="V274" s="556" t="s">
        <v>1320</v>
      </c>
      <c r="W274" s="558"/>
      <c r="X274" s="545"/>
      <c r="Y274" s="293">
        <v>60000</v>
      </c>
      <c r="Z274" s="780"/>
      <c r="AA274" s="293">
        <v>10380</v>
      </c>
      <c r="AB274" s="365">
        <f>COUNTIF(AC274, "&gt;49999")</f>
        <v>1</v>
      </c>
      <c r="AC274" s="364">
        <v>1129943</v>
      </c>
      <c r="AD274" s="1050"/>
      <c r="AE274" s="295"/>
      <c r="AF274" s="685"/>
      <c r="AG274" s="371">
        <v>1129943</v>
      </c>
      <c r="AH274" s="499"/>
      <c r="AI274" s="500"/>
      <c r="AJ274" s="500"/>
      <c r="AK274" s="367" t="s">
        <v>289</v>
      </c>
      <c r="AL274" s="363"/>
      <c r="AM274" s="293"/>
      <c r="AN274" s="293"/>
      <c r="AO274" s="293"/>
      <c r="AP274" s="293"/>
      <c r="AQ274" s="293"/>
      <c r="AR274" s="293"/>
      <c r="AS274" s="293"/>
      <c r="AT274" s="293"/>
      <c r="AU274" s="293"/>
      <c r="AV274" s="293"/>
      <c r="AW274" s="293"/>
      <c r="AX274" s="544"/>
      <c r="AY274" s="544"/>
      <c r="AZ274" s="545"/>
      <c r="BA274" s="543"/>
      <c r="BB274" s="299">
        <f>AG274+AZ274+BA274</f>
        <v>1129943</v>
      </c>
      <c r="BC274" s="546"/>
      <c r="BD274" s="547"/>
      <c r="BE274" s="549"/>
      <c r="BF274" s="352">
        <f>BB274+BD274+BC274</f>
        <v>1129943</v>
      </c>
      <c r="BG274" s="451" t="str">
        <f t="shared" si="49"/>
        <v>N</v>
      </c>
      <c r="BH274" s="451"/>
      <c r="BI274" s="299"/>
      <c r="BJ274" s="698"/>
      <c r="BK274" s="698"/>
      <c r="BL274" s="303">
        <v>2099</v>
      </c>
      <c r="BM274" s="706"/>
      <c r="BN274" s="373"/>
      <c r="BO274" s="706"/>
      <c r="BP274" s="716"/>
      <c r="BQ274" s="706"/>
      <c r="BR274" s="373"/>
      <c r="BS274" s="373"/>
      <c r="BT274" s="451" t="str">
        <f t="shared" si="39"/>
        <v>N</v>
      </c>
      <c r="BU274" s="451" t="str">
        <f t="shared" si="39"/>
        <v>N</v>
      </c>
      <c r="BV274" s="318"/>
      <c r="BW274" s="358" t="s">
        <v>996</v>
      </c>
      <c r="BX274" s="798" t="s">
        <v>207</v>
      </c>
      <c r="BY274" s="374" t="s">
        <v>208</v>
      </c>
      <c r="BZ274" s="624"/>
      <c r="CA274" s="624"/>
      <c r="CB274" s="624"/>
      <c r="CC274" s="624"/>
      <c r="CD274" s="624"/>
      <c r="CE274" s="624"/>
      <c r="CF274" s="624"/>
      <c r="CG274" s="624"/>
      <c r="CH274" s="624"/>
    </row>
    <row r="275" spans="1:86" s="305" customFormat="1" ht="33.75" customHeight="1">
      <c r="A275" s="275" t="s">
        <v>74</v>
      </c>
      <c r="B275" s="355">
        <v>211</v>
      </c>
      <c r="C275" s="355"/>
      <c r="D275" s="726" t="s">
        <v>343</v>
      </c>
      <c r="E275" s="356">
        <v>39722</v>
      </c>
      <c r="F275" s="358">
        <v>2009</v>
      </c>
      <c r="G275" s="358">
        <v>9</v>
      </c>
      <c r="H275" s="358"/>
      <c r="I275" s="358">
        <v>2008</v>
      </c>
      <c r="J275" s="358">
        <v>24</v>
      </c>
      <c r="K275" s="358" t="s">
        <v>1211</v>
      </c>
      <c r="L275" s="358" t="s">
        <v>1886</v>
      </c>
      <c r="M275" s="358" t="s">
        <v>1271</v>
      </c>
      <c r="N275" s="359" t="s">
        <v>1877</v>
      </c>
      <c r="O275" s="465" t="s">
        <v>1339</v>
      </c>
      <c r="P275" s="358" t="s">
        <v>1339</v>
      </c>
      <c r="Q275" s="360" t="s">
        <v>289</v>
      </c>
      <c r="R275" s="361"/>
      <c r="S275" s="294"/>
      <c r="T275" s="1058" t="s">
        <v>289</v>
      </c>
      <c r="U275" s="295"/>
      <c r="V275" s="295"/>
      <c r="W275" s="362"/>
      <c r="X275" s="352"/>
      <c r="Y275" s="293" t="s">
        <v>289</v>
      </c>
      <c r="Z275" s="294"/>
      <c r="AA275" s="293" t="s">
        <v>289</v>
      </c>
      <c r="AB275" s="365"/>
      <c r="AC275" s="364"/>
      <c r="AD275" s="1050"/>
      <c r="AE275" s="295"/>
      <c r="AF275" s="685"/>
      <c r="AG275" s="571"/>
      <c r="AH275" s="499"/>
      <c r="AI275" s="500"/>
      <c r="AJ275" s="500"/>
      <c r="AK275" s="367" t="s">
        <v>289</v>
      </c>
      <c r="AL275" s="363"/>
      <c r="AM275" s="567"/>
      <c r="AN275" s="567"/>
      <c r="AO275" s="567"/>
      <c r="AP275" s="567"/>
      <c r="AQ275" s="567"/>
      <c r="AR275" s="567"/>
      <c r="AS275" s="567"/>
      <c r="AT275" s="567"/>
      <c r="AU275" s="567"/>
      <c r="AV275" s="567"/>
      <c r="AW275" s="567"/>
      <c r="AX275" s="568"/>
      <c r="AY275" s="568"/>
      <c r="AZ275" s="379"/>
      <c r="BA275" s="569"/>
      <c r="BB275" s="299" t="s">
        <v>289</v>
      </c>
      <c r="BC275" s="570"/>
      <c r="BD275" s="571"/>
      <c r="BE275" s="570"/>
      <c r="BF275" s="379" t="s">
        <v>289</v>
      </c>
      <c r="BG275" s="451" t="str">
        <f t="shared" si="49"/>
        <v>Y</v>
      </c>
      <c r="BH275" s="696"/>
      <c r="BI275" s="330"/>
      <c r="BJ275" s="699"/>
      <c r="BK275" s="699"/>
      <c r="BL275" s="303"/>
      <c r="BM275" s="706"/>
      <c r="BN275" s="373"/>
      <c r="BO275" s="706"/>
      <c r="BP275" s="716"/>
      <c r="BQ275" s="706"/>
      <c r="BR275" s="373"/>
      <c r="BS275" s="373"/>
      <c r="BT275" s="451" t="str">
        <f t="shared" si="39"/>
        <v>N</v>
      </c>
      <c r="BU275" s="451" t="str">
        <f t="shared" si="39"/>
        <v>N</v>
      </c>
      <c r="BV275" s="304"/>
      <c r="BW275" s="288" t="s">
        <v>362</v>
      </c>
      <c r="BX275" s="798"/>
      <c r="BY275" s="374"/>
      <c r="BZ275" s="624"/>
      <c r="CA275" s="624"/>
      <c r="CB275" s="624"/>
      <c r="CC275" s="624"/>
      <c r="CD275" s="624"/>
      <c r="CE275" s="624"/>
      <c r="CF275" s="624"/>
      <c r="CG275" s="624"/>
      <c r="CH275" s="624"/>
    </row>
    <row r="276" spans="1:86" s="305" customFormat="1" ht="33.75" customHeight="1">
      <c r="A276" s="275" t="s">
        <v>74</v>
      </c>
      <c r="B276" s="355">
        <v>211</v>
      </c>
      <c r="C276" s="355"/>
      <c r="D276" s="726" t="s">
        <v>343</v>
      </c>
      <c r="E276" s="356">
        <v>39722</v>
      </c>
      <c r="F276" s="358">
        <v>2009</v>
      </c>
      <c r="G276" s="358">
        <v>9</v>
      </c>
      <c r="H276" s="358"/>
      <c r="I276" s="358">
        <v>2008</v>
      </c>
      <c r="J276" s="358">
        <v>24</v>
      </c>
      <c r="K276" s="358" t="s">
        <v>1211</v>
      </c>
      <c r="L276" s="358" t="s">
        <v>1660</v>
      </c>
      <c r="M276" s="358" t="s">
        <v>1271</v>
      </c>
      <c r="N276" s="359" t="s">
        <v>1877</v>
      </c>
      <c r="O276" s="465" t="s">
        <v>1339</v>
      </c>
      <c r="P276" s="358" t="s">
        <v>1339</v>
      </c>
      <c r="Q276" s="375" t="s">
        <v>289</v>
      </c>
      <c r="R276" s="361"/>
      <c r="S276" s="294"/>
      <c r="T276" s="1058" t="s">
        <v>289</v>
      </c>
      <c r="U276" s="295"/>
      <c r="V276" s="295"/>
      <c r="W276" s="362"/>
      <c r="X276" s="352"/>
      <c r="Y276" s="293" t="s">
        <v>289</v>
      </c>
      <c r="Z276" s="294"/>
      <c r="AA276" s="293" t="s">
        <v>289</v>
      </c>
      <c r="AB276" s="365">
        <v>0</v>
      </c>
      <c r="AC276" s="364">
        <v>25000</v>
      </c>
      <c r="AD276" s="565"/>
      <c r="AE276" s="535"/>
      <c r="AF276" s="684"/>
      <c r="AG276" s="371"/>
      <c r="AH276" s="502"/>
      <c r="AI276" s="503"/>
      <c r="AJ276" s="503"/>
      <c r="AK276" s="388" t="s">
        <v>289</v>
      </c>
      <c r="AL276" s="389"/>
      <c r="AM276" s="567"/>
      <c r="AN276" s="567"/>
      <c r="AO276" s="567"/>
      <c r="AP276" s="567"/>
      <c r="AQ276" s="567"/>
      <c r="AR276" s="567"/>
      <c r="AS276" s="567"/>
      <c r="AT276" s="567"/>
      <c r="AU276" s="567"/>
      <c r="AV276" s="567"/>
      <c r="AW276" s="567"/>
      <c r="AX276" s="568"/>
      <c r="AY276" s="568"/>
      <c r="AZ276" s="379"/>
      <c r="BA276" s="569"/>
      <c r="BB276" s="299" t="s">
        <v>289</v>
      </c>
      <c r="BC276" s="570"/>
      <c r="BD276" s="571"/>
      <c r="BE276" s="570"/>
      <c r="BF276" s="379" t="s">
        <v>289</v>
      </c>
      <c r="BG276" s="451" t="str">
        <f t="shared" si="49"/>
        <v>Y</v>
      </c>
      <c r="BH276" s="696"/>
      <c r="BI276" s="330"/>
      <c r="BJ276" s="699"/>
      <c r="BK276" s="699"/>
      <c r="BL276" s="303">
        <v>2882</v>
      </c>
      <c r="BM276" s="706"/>
      <c r="BN276" s="373"/>
      <c r="BO276" s="706"/>
      <c r="BP276" s="716"/>
      <c r="BQ276" s="706"/>
      <c r="BR276" s="373"/>
      <c r="BS276" s="373"/>
      <c r="BT276" s="451" t="str">
        <f t="shared" si="39"/>
        <v>N</v>
      </c>
      <c r="BU276" s="451" t="str">
        <f t="shared" si="39"/>
        <v>N</v>
      </c>
      <c r="BV276" s="304"/>
      <c r="BW276" s="288" t="s">
        <v>362</v>
      </c>
      <c r="BX276" s="798"/>
      <c r="BY276" s="374" t="s">
        <v>566</v>
      </c>
      <c r="BZ276" s="624"/>
      <c r="CA276" s="624"/>
      <c r="CB276" s="624"/>
      <c r="CC276" s="624"/>
      <c r="CD276" s="624"/>
      <c r="CE276" s="624"/>
      <c r="CF276" s="624"/>
      <c r="CG276" s="624"/>
      <c r="CH276" s="624"/>
    </row>
    <row r="277" spans="1:86" s="305" customFormat="1" ht="33.75" customHeight="1">
      <c r="A277" s="275" t="s">
        <v>74</v>
      </c>
      <c r="B277" s="355">
        <v>211</v>
      </c>
      <c r="C277" s="355"/>
      <c r="D277" s="726" t="s">
        <v>343</v>
      </c>
      <c r="E277" s="356">
        <v>39722</v>
      </c>
      <c r="F277" s="358">
        <v>2009</v>
      </c>
      <c r="G277" s="358">
        <v>9</v>
      </c>
      <c r="H277" s="358"/>
      <c r="I277" s="358">
        <v>2008</v>
      </c>
      <c r="J277" s="358">
        <v>24</v>
      </c>
      <c r="K277" s="358" t="s">
        <v>1211</v>
      </c>
      <c r="L277" s="662" t="s">
        <v>1852</v>
      </c>
      <c r="M277" s="621" t="s">
        <v>1271</v>
      </c>
      <c r="N277" s="359" t="s">
        <v>1877</v>
      </c>
      <c r="O277" s="622" t="s">
        <v>1339</v>
      </c>
      <c r="P277" s="620" t="s">
        <v>1339</v>
      </c>
      <c r="Q277" s="360">
        <v>328000</v>
      </c>
      <c r="R277" s="361" t="s">
        <v>362</v>
      </c>
      <c r="S277" s="294" t="s">
        <v>363</v>
      </c>
      <c r="T277" s="1058">
        <v>1388924</v>
      </c>
      <c r="U277" s="295"/>
      <c r="V277" s="556" t="s">
        <v>1321</v>
      </c>
      <c r="W277" s="558"/>
      <c r="X277" s="352"/>
      <c r="Y277" s="293">
        <v>32000</v>
      </c>
      <c r="Z277" s="780"/>
      <c r="AA277" s="293"/>
      <c r="AB277" s="365">
        <f>COUNTIF(AC277, "&gt;49999")</f>
        <v>1</v>
      </c>
      <c r="AC277" s="364">
        <v>246683</v>
      </c>
      <c r="AD277" s="1050"/>
      <c r="AE277" s="295"/>
      <c r="AF277" s="685"/>
      <c r="AG277" s="371">
        <f>SUM(AC277:AE277)</f>
        <v>246683</v>
      </c>
      <c r="AH277" s="499"/>
      <c r="AI277" s="500"/>
      <c r="AJ277" s="500"/>
      <c r="AK277" s="367" t="s">
        <v>289</v>
      </c>
      <c r="AL277" s="363"/>
      <c r="AM277" s="567"/>
      <c r="AN277" s="567"/>
      <c r="AO277" s="567"/>
      <c r="AP277" s="567"/>
      <c r="AQ277" s="567"/>
      <c r="AR277" s="567"/>
      <c r="AS277" s="567"/>
      <c r="AT277" s="567"/>
      <c r="AU277" s="567"/>
      <c r="AV277" s="567"/>
      <c r="AW277" s="567"/>
      <c r="AX277" s="568"/>
      <c r="AY277" s="568"/>
      <c r="AZ277" s="379"/>
      <c r="BA277" s="569"/>
      <c r="BB277" s="299">
        <f>AG277</f>
        <v>246683</v>
      </c>
      <c r="BC277" s="570"/>
      <c r="BD277" s="571"/>
      <c r="BE277" s="570"/>
      <c r="BF277" s="352">
        <f>BB277+BD277+BC277</f>
        <v>246683</v>
      </c>
      <c r="BG277" s="451" t="str">
        <f t="shared" si="49"/>
        <v>Y</v>
      </c>
      <c r="BH277" s="451"/>
      <c r="BI277" s="299"/>
      <c r="BJ277" s="698"/>
      <c r="BK277" s="698"/>
      <c r="BL277" s="303" t="s">
        <v>1224</v>
      </c>
      <c r="BM277" s="706"/>
      <c r="BN277" s="373"/>
      <c r="BO277" s="706"/>
      <c r="BP277" s="716"/>
      <c r="BQ277" s="706"/>
      <c r="BR277" s="373"/>
      <c r="BS277" s="373"/>
      <c r="BT277" s="451" t="str">
        <f t="shared" ref="BT277:BU295" si="50">IF(OR(BL277=2799),"Y","N")</f>
        <v>N</v>
      </c>
      <c r="BU277" s="451" t="str">
        <f t="shared" si="50"/>
        <v>N</v>
      </c>
      <c r="BV277" s="318" t="s">
        <v>632</v>
      </c>
      <c r="BW277" s="358" t="s">
        <v>996</v>
      </c>
      <c r="BX277" s="798"/>
      <c r="BY277" s="374" t="s">
        <v>2016</v>
      </c>
      <c r="BZ277" s="624"/>
      <c r="CA277" s="624"/>
      <c r="CB277" s="624"/>
      <c r="CC277" s="624"/>
      <c r="CD277" s="624"/>
      <c r="CE277" s="624"/>
      <c r="CF277" s="624"/>
      <c r="CG277" s="624"/>
      <c r="CH277" s="624"/>
    </row>
    <row r="278" spans="1:86" s="305" customFormat="1" ht="33.75" customHeight="1">
      <c r="A278" s="275" t="s">
        <v>74</v>
      </c>
      <c r="B278" s="355">
        <v>211</v>
      </c>
      <c r="C278" s="355"/>
      <c r="D278" s="726" t="s">
        <v>343</v>
      </c>
      <c r="E278" s="356">
        <v>39722</v>
      </c>
      <c r="F278" s="358">
        <v>2009</v>
      </c>
      <c r="G278" s="358">
        <v>9</v>
      </c>
      <c r="H278" s="358"/>
      <c r="I278" s="358">
        <v>2008</v>
      </c>
      <c r="J278" s="358">
        <v>24</v>
      </c>
      <c r="K278" s="358" t="s">
        <v>1211</v>
      </c>
      <c r="L278" s="358" t="s">
        <v>1661</v>
      </c>
      <c r="M278" s="358" t="s">
        <v>1271</v>
      </c>
      <c r="N278" s="359" t="s">
        <v>1877</v>
      </c>
      <c r="O278" s="465" t="s">
        <v>1339</v>
      </c>
      <c r="P278" s="358" t="s">
        <v>1339</v>
      </c>
      <c r="Q278" s="360"/>
      <c r="R278" s="361"/>
      <c r="S278" s="294"/>
      <c r="T278" s="1058"/>
      <c r="U278" s="295"/>
      <c r="V278" s="556"/>
      <c r="W278" s="558"/>
      <c r="X278" s="352"/>
      <c r="Y278" s="293"/>
      <c r="Z278" s="294"/>
      <c r="AA278" s="293"/>
      <c r="AB278" s="365"/>
      <c r="AC278" s="364"/>
      <c r="AD278" s="1050"/>
      <c r="AE278" s="295"/>
      <c r="AF278" s="685"/>
      <c r="AG278" s="371"/>
      <c r="AH278" s="499"/>
      <c r="AI278" s="500"/>
      <c r="AJ278" s="500"/>
      <c r="AK278" s="367" t="s">
        <v>289</v>
      </c>
      <c r="AL278" s="363"/>
      <c r="AM278" s="567"/>
      <c r="AN278" s="567"/>
      <c r="AO278" s="567"/>
      <c r="AP278" s="567"/>
      <c r="AQ278" s="567"/>
      <c r="AR278" s="567"/>
      <c r="AS278" s="567"/>
      <c r="AT278" s="567"/>
      <c r="AU278" s="567"/>
      <c r="AV278" s="567"/>
      <c r="AW278" s="567"/>
      <c r="AX278" s="568"/>
      <c r="AY278" s="568"/>
      <c r="AZ278" s="379"/>
      <c r="BA278" s="569"/>
      <c r="BB278" s="299"/>
      <c r="BC278" s="570"/>
      <c r="BD278" s="571"/>
      <c r="BE278" s="570"/>
      <c r="BF278" s="352">
        <f>BB278+BD278+BC278</f>
        <v>0</v>
      </c>
      <c r="BG278" s="451" t="str">
        <f t="shared" si="49"/>
        <v>Y</v>
      </c>
      <c r="BH278" s="451"/>
      <c r="BI278" s="299"/>
      <c r="BJ278" s="698"/>
      <c r="BK278" s="698"/>
      <c r="BL278" s="303"/>
      <c r="BM278" s="706"/>
      <c r="BN278" s="373"/>
      <c r="BO278" s="706"/>
      <c r="BP278" s="716"/>
      <c r="BQ278" s="706"/>
      <c r="BR278" s="373"/>
      <c r="BS278" s="373"/>
      <c r="BT278" s="451" t="str">
        <f t="shared" si="50"/>
        <v>N</v>
      </c>
      <c r="BU278" s="451" t="str">
        <f t="shared" si="50"/>
        <v>N</v>
      </c>
      <c r="BV278" s="304"/>
      <c r="BW278" s="288" t="s">
        <v>996</v>
      </c>
      <c r="BX278" s="798"/>
      <c r="BY278" s="572"/>
      <c r="BZ278" s="624"/>
      <c r="CA278" s="624"/>
      <c r="CB278" s="624"/>
      <c r="CC278" s="624"/>
      <c r="CD278" s="624"/>
      <c r="CE278" s="624"/>
      <c r="CF278" s="624"/>
      <c r="CG278" s="624"/>
      <c r="CH278" s="624"/>
    </row>
    <row r="279" spans="1:86" s="305" customFormat="1" ht="33.75" customHeight="1">
      <c r="A279" s="275" t="s">
        <v>75</v>
      </c>
      <c r="B279" s="355">
        <v>212</v>
      </c>
      <c r="C279" s="355"/>
      <c r="D279" s="726" t="s">
        <v>635</v>
      </c>
      <c r="E279" s="356">
        <v>39760</v>
      </c>
      <c r="F279" s="358">
        <v>2009</v>
      </c>
      <c r="G279" s="358">
        <v>10</v>
      </c>
      <c r="H279" s="358"/>
      <c r="I279" s="358">
        <v>2008</v>
      </c>
      <c r="J279" s="358">
        <v>25</v>
      </c>
      <c r="K279" s="358" t="s">
        <v>570</v>
      </c>
      <c r="L279" s="358" t="s">
        <v>1668</v>
      </c>
      <c r="M279" s="358" t="s">
        <v>1961</v>
      </c>
      <c r="N279" s="359" t="s">
        <v>1884</v>
      </c>
      <c r="O279" s="358" t="s">
        <v>1884</v>
      </c>
      <c r="P279" s="358" t="s">
        <v>1884</v>
      </c>
      <c r="Q279" s="360">
        <v>366000</v>
      </c>
      <c r="R279" s="361" t="s">
        <v>362</v>
      </c>
      <c r="S279" s="319" t="s">
        <v>636</v>
      </c>
      <c r="T279" s="1058">
        <v>9880000</v>
      </c>
      <c r="U279" s="295"/>
      <c r="V279" s="514" t="s">
        <v>637</v>
      </c>
      <c r="W279" s="362"/>
      <c r="X279" s="352"/>
      <c r="Y279" s="293">
        <v>37930</v>
      </c>
      <c r="Z279" s="294"/>
      <c r="AA279" s="293"/>
      <c r="AB279" s="365"/>
      <c r="AC279" s="364"/>
      <c r="AD279" s="1050"/>
      <c r="AE279" s="299">
        <v>100000</v>
      </c>
      <c r="AF279" s="670"/>
      <c r="AG279" s="371">
        <v>100000</v>
      </c>
      <c r="AH279" s="499"/>
      <c r="AI279" s="500"/>
      <c r="AJ279" s="500"/>
      <c r="AK279" s="367" t="s">
        <v>289</v>
      </c>
      <c r="AL279" s="363"/>
      <c r="AM279" s="368"/>
      <c r="AN279" s="368"/>
      <c r="AO279" s="368"/>
      <c r="AP279" s="368"/>
      <c r="AQ279" s="368"/>
      <c r="AR279" s="368"/>
      <c r="AS279" s="368"/>
      <c r="AT279" s="368"/>
      <c r="AU279" s="368"/>
      <c r="AV279" s="368"/>
      <c r="AW279" s="368"/>
      <c r="AX279" s="369"/>
      <c r="AY279" s="369"/>
      <c r="AZ279" s="352"/>
      <c r="BA279" s="364"/>
      <c r="BB279" s="299">
        <f>AG279+AZ279+BA279</f>
        <v>100000</v>
      </c>
      <c r="BC279" s="370"/>
      <c r="BD279" s="371"/>
      <c r="BE279" s="491">
        <v>37930</v>
      </c>
      <c r="BF279" s="352">
        <f>BB279+BD279+BC279</f>
        <v>100000</v>
      </c>
      <c r="BG279" s="451" t="str">
        <f t="shared" si="49"/>
        <v>N</v>
      </c>
      <c r="BH279" s="451"/>
      <c r="BI279" s="299"/>
      <c r="BJ279" s="698"/>
      <c r="BK279" s="698"/>
      <c r="BL279" s="303">
        <v>2799</v>
      </c>
      <c r="BM279" s="706"/>
      <c r="BN279" s="373"/>
      <c r="BO279" s="706"/>
      <c r="BP279" s="716"/>
      <c r="BQ279" s="706"/>
      <c r="BR279" s="373"/>
      <c r="BS279" s="373"/>
      <c r="BT279" s="451" t="str">
        <f t="shared" si="50"/>
        <v>Y</v>
      </c>
      <c r="BU279" s="451" t="str">
        <f t="shared" si="50"/>
        <v>N</v>
      </c>
      <c r="BV279" s="318"/>
      <c r="BW279" s="358"/>
      <c r="BX279" s="798" t="s">
        <v>2143</v>
      </c>
      <c r="BY279" s="374" t="s">
        <v>2141</v>
      </c>
      <c r="BZ279" s="624"/>
      <c r="CA279" s="624"/>
      <c r="CB279" s="624"/>
      <c r="CC279" s="624"/>
      <c r="CD279" s="624"/>
      <c r="CE279" s="624"/>
      <c r="CF279" s="624"/>
      <c r="CG279" s="624"/>
      <c r="CH279" s="624"/>
    </row>
    <row r="280" spans="1:86" s="305" customFormat="1" ht="33.75" customHeight="1">
      <c r="A280" s="275" t="s">
        <v>76</v>
      </c>
      <c r="B280" s="355">
        <v>213</v>
      </c>
      <c r="C280" s="355"/>
      <c r="D280" s="726" t="s">
        <v>560</v>
      </c>
      <c r="E280" s="356">
        <v>39760</v>
      </c>
      <c r="F280" s="358">
        <v>2009</v>
      </c>
      <c r="G280" s="358">
        <v>11</v>
      </c>
      <c r="H280" s="358"/>
      <c r="I280" s="358">
        <v>2008</v>
      </c>
      <c r="J280" s="358">
        <v>26</v>
      </c>
      <c r="K280" s="358" t="s">
        <v>570</v>
      </c>
      <c r="L280" s="358" t="s">
        <v>1947</v>
      </c>
      <c r="M280" s="358" t="s">
        <v>1271</v>
      </c>
      <c r="N280" s="359" t="s">
        <v>1877</v>
      </c>
      <c r="O280" s="358" t="s">
        <v>1337</v>
      </c>
      <c r="P280" s="358" t="s">
        <v>1337</v>
      </c>
      <c r="Q280" s="360">
        <v>600000</v>
      </c>
      <c r="R280" s="361" t="s">
        <v>362</v>
      </c>
      <c r="S280" s="294" t="s">
        <v>363</v>
      </c>
      <c r="T280" s="1058">
        <v>4000000</v>
      </c>
      <c r="U280" s="295"/>
      <c r="V280" s="556" t="s">
        <v>117</v>
      </c>
      <c r="W280" s="558"/>
      <c r="X280" s="352"/>
      <c r="Y280" s="293">
        <v>300000</v>
      </c>
      <c r="Z280" s="780"/>
      <c r="AA280" s="293"/>
      <c r="AB280" s="365">
        <f>COUNTIF(AC280, "&gt;49999")</f>
        <v>1</v>
      </c>
      <c r="AC280" s="364">
        <v>50000</v>
      </c>
      <c r="AD280" s="1050"/>
      <c r="AE280" s="299"/>
      <c r="AF280" s="670"/>
      <c r="AG280" s="371">
        <v>50000</v>
      </c>
      <c r="AH280" s="499"/>
      <c r="AI280" s="500"/>
      <c r="AJ280" s="500"/>
      <c r="AK280" s="367" t="s">
        <v>289</v>
      </c>
      <c r="AL280" s="363"/>
      <c r="AM280" s="368"/>
      <c r="AN280" s="368"/>
      <c r="AO280" s="368"/>
      <c r="AP280" s="368"/>
      <c r="AQ280" s="368"/>
      <c r="AR280" s="368"/>
      <c r="AS280" s="368"/>
      <c r="AT280" s="368"/>
      <c r="AU280" s="368"/>
      <c r="AV280" s="368"/>
      <c r="AW280" s="368"/>
      <c r="AX280" s="369"/>
      <c r="AY280" s="369"/>
      <c r="AZ280" s="352"/>
      <c r="BA280" s="364"/>
      <c r="BB280" s="299">
        <f>AG280+AZ280+BA280</f>
        <v>50000</v>
      </c>
      <c r="BC280" s="370"/>
      <c r="BD280" s="371"/>
      <c r="BE280" s="549"/>
      <c r="BF280" s="352">
        <f>BB280+BD280+BC280</f>
        <v>50000</v>
      </c>
      <c r="BG280" s="451" t="str">
        <f t="shared" si="49"/>
        <v>N</v>
      </c>
      <c r="BH280" s="451"/>
      <c r="BI280" s="299"/>
      <c r="BJ280" s="698"/>
      <c r="BK280" s="698"/>
      <c r="BL280" s="303">
        <v>2799</v>
      </c>
      <c r="BM280" s="706"/>
      <c r="BN280" s="373"/>
      <c r="BO280" s="706"/>
      <c r="BP280" s="716"/>
      <c r="BQ280" s="706"/>
      <c r="BR280" s="373"/>
      <c r="BS280" s="373"/>
      <c r="BT280" s="451" t="str">
        <f t="shared" si="50"/>
        <v>Y</v>
      </c>
      <c r="BU280" s="451" t="str">
        <f t="shared" si="50"/>
        <v>N</v>
      </c>
      <c r="BV280" s="318"/>
      <c r="BW280" s="358"/>
      <c r="BX280" s="798" t="s">
        <v>1208</v>
      </c>
      <c r="BY280" s="374" t="s">
        <v>977</v>
      </c>
      <c r="BZ280" s="624"/>
      <c r="CA280" s="624"/>
      <c r="CB280" s="624"/>
      <c r="CC280" s="624"/>
      <c r="CD280" s="624"/>
      <c r="CE280" s="624"/>
      <c r="CF280" s="624"/>
      <c r="CG280" s="624"/>
      <c r="CH280" s="624"/>
    </row>
    <row r="281" spans="1:86" s="305" customFormat="1" ht="33.75" customHeight="1">
      <c r="A281" s="275" t="s">
        <v>77</v>
      </c>
      <c r="B281" s="355">
        <v>214</v>
      </c>
      <c r="C281" s="355"/>
      <c r="D281" s="726" t="s">
        <v>342</v>
      </c>
      <c r="E281" s="356">
        <v>39791</v>
      </c>
      <c r="F281" s="358">
        <v>2009</v>
      </c>
      <c r="G281" s="358">
        <v>12</v>
      </c>
      <c r="H281" s="358"/>
      <c r="I281" s="358">
        <v>2008</v>
      </c>
      <c r="J281" s="358">
        <v>27</v>
      </c>
      <c r="K281" s="358" t="s">
        <v>1211</v>
      </c>
      <c r="L281" s="358" t="s">
        <v>1878</v>
      </c>
      <c r="M281" s="358" t="s">
        <v>1271</v>
      </c>
      <c r="N281" s="359" t="s">
        <v>1877</v>
      </c>
      <c r="O281" s="358" t="s">
        <v>1337</v>
      </c>
      <c r="P281" s="358" t="s">
        <v>1337</v>
      </c>
      <c r="Q281" s="360" t="s">
        <v>289</v>
      </c>
      <c r="R281" s="361"/>
      <c r="S281" s="294"/>
      <c r="T281" s="1058" t="s">
        <v>289</v>
      </c>
      <c r="U281" s="295"/>
      <c r="V281" s="295"/>
      <c r="W281" s="362"/>
      <c r="X281" s="352"/>
      <c r="Y281" s="293" t="s">
        <v>289</v>
      </c>
      <c r="Z281" s="294"/>
      <c r="AA281" s="293" t="s">
        <v>289</v>
      </c>
      <c r="AB281" s="365">
        <f>COUNTIF(AC281, "&gt;49999")</f>
        <v>0</v>
      </c>
      <c r="AC281" s="352"/>
      <c r="AD281" s="1050"/>
      <c r="AE281" s="299"/>
      <c r="AF281" s="670"/>
      <c r="AG281" s="371"/>
      <c r="AH281" s="499"/>
      <c r="AI281" s="500"/>
      <c r="AJ281" s="500"/>
      <c r="AK281" s="367" t="s">
        <v>289</v>
      </c>
      <c r="AL281" s="363"/>
      <c r="AM281" s="368"/>
      <c r="AN281" s="368"/>
      <c r="AO281" s="368"/>
      <c r="AP281" s="368"/>
      <c r="AQ281" s="368"/>
      <c r="AR281" s="368"/>
      <c r="AS281" s="368"/>
      <c r="AT281" s="368"/>
      <c r="AU281" s="368"/>
      <c r="AV281" s="368"/>
      <c r="AW281" s="368"/>
      <c r="AX281" s="369"/>
      <c r="AY281" s="369"/>
      <c r="AZ281" s="352"/>
      <c r="BA281" s="364"/>
      <c r="BB281" s="299" t="s">
        <v>289</v>
      </c>
      <c r="BC281" s="370"/>
      <c r="BD281" s="371"/>
      <c r="BE281" s="549"/>
      <c r="BF281" s="352" t="s">
        <v>289</v>
      </c>
      <c r="BG281" s="451" t="str">
        <f t="shared" si="49"/>
        <v>Y</v>
      </c>
      <c r="BH281" s="451"/>
      <c r="BI281" s="299"/>
      <c r="BJ281" s="698"/>
      <c r="BK281" s="698"/>
      <c r="BL281" s="303"/>
      <c r="BM281" s="706"/>
      <c r="BN281" s="373"/>
      <c r="BO281" s="706"/>
      <c r="BP281" s="716"/>
      <c r="BQ281" s="706"/>
      <c r="BR281" s="373"/>
      <c r="BS281" s="373"/>
      <c r="BT281" s="451" t="str">
        <f t="shared" si="50"/>
        <v>N</v>
      </c>
      <c r="BU281" s="451" t="str">
        <f t="shared" si="50"/>
        <v>N</v>
      </c>
      <c r="BV281" s="304"/>
      <c r="BW281" s="288"/>
      <c r="BX281" s="798"/>
      <c r="BY281" s="374"/>
      <c r="BZ281" s="624"/>
      <c r="CA281" s="624"/>
      <c r="CB281" s="624"/>
      <c r="CC281" s="624"/>
      <c r="CD281" s="624"/>
      <c r="CE281" s="624"/>
      <c r="CF281" s="624"/>
      <c r="CG281" s="624"/>
      <c r="CH281" s="624"/>
    </row>
    <row r="282" spans="1:86" s="305" customFormat="1" ht="33.75" customHeight="1">
      <c r="A282" s="275" t="s">
        <v>78</v>
      </c>
      <c r="B282" s="355">
        <v>214</v>
      </c>
      <c r="C282" s="355"/>
      <c r="D282" s="726" t="s">
        <v>342</v>
      </c>
      <c r="E282" s="356">
        <v>39790</v>
      </c>
      <c r="F282" s="358">
        <v>2009</v>
      </c>
      <c r="G282" s="358">
        <v>12</v>
      </c>
      <c r="H282" s="358"/>
      <c r="I282" s="358">
        <v>2008</v>
      </c>
      <c r="J282" s="358">
        <v>27</v>
      </c>
      <c r="K282" s="358" t="s">
        <v>1211</v>
      </c>
      <c r="L282" s="358" t="s">
        <v>1604</v>
      </c>
      <c r="M282" s="358" t="s">
        <v>1271</v>
      </c>
      <c r="N282" s="359" t="s">
        <v>1877</v>
      </c>
      <c r="O282" s="358" t="s">
        <v>1337</v>
      </c>
      <c r="P282" s="358" t="s">
        <v>1337</v>
      </c>
      <c r="Q282" s="360">
        <v>40158</v>
      </c>
      <c r="R282" s="361" t="s">
        <v>362</v>
      </c>
      <c r="S282" s="294" t="s">
        <v>363</v>
      </c>
      <c r="T282" s="1058">
        <v>571953</v>
      </c>
      <c r="U282" s="295"/>
      <c r="V282" s="556" t="s">
        <v>116</v>
      </c>
      <c r="W282" s="558"/>
      <c r="X282" s="573"/>
      <c r="Y282" s="293">
        <v>15000</v>
      </c>
      <c r="Z282" s="780"/>
      <c r="AA282" s="293"/>
      <c r="AB282" s="365">
        <f t="shared" ref="AB282:AB347" si="51">COUNTIF(AC282, "&gt;49999")</f>
        <v>1</v>
      </c>
      <c r="AC282" s="364">
        <v>100000</v>
      </c>
      <c r="AD282" s="1050"/>
      <c r="AE282" s="299"/>
      <c r="AF282" s="670"/>
      <c r="AG282" s="371">
        <v>100000</v>
      </c>
      <c r="AH282" s="499"/>
      <c r="AI282" s="500"/>
      <c r="AJ282" s="500"/>
      <c r="AK282" s="367" t="s">
        <v>289</v>
      </c>
      <c r="AL282" s="363"/>
      <c r="AM282" s="368"/>
      <c r="AN282" s="368"/>
      <c r="AO282" s="368"/>
      <c r="AP282" s="368"/>
      <c r="AQ282" s="368"/>
      <c r="AR282" s="368"/>
      <c r="AS282" s="368"/>
      <c r="AT282" s="368"/>
      <c r="AU282" s="368"/>
      <c r="AV282" s="368"/>
      <c r="AW282" s="368"/>
      <c r="AX282" s="369"/>
      <c r="AY282" s="369"/>
      <c r="AZ282" s="352"/>
      <c r="BA282" s="364"/>
      <c r="BB282" s="299">
        <f>AG282+AZ282+BA282</f>
        <v>100000</v>
      </c>
      <c r="BC282" s="370"/>
      <c r="BD282" s="371"/>
      <c r="BE282" s="549"/>
      <c r="BF282" s="352">
        <f>BB282+BD282+BC282</f>
        <v>100000</v>
      </c>
      <c r="BG282" s="451" t="str">
        <f t="shared" si="49"/>
        <v>N</v>
      </c>
      <c r="BH282" s="451"/>
      <c r="BI282" s="299"/>
      <c r="BJ282" s="698"/>
      <c r="BK282" s="698"/>
      <c r="BL282" s="303">
        <v>2799</v>
      </c>
      <c r="BM282" s="706"/>
      <c r="BN282" s="373"/>
      <c r="BO282" s="706"/>
      <c r="BP282" s="716"/>
      <c r="BQ282" s="706"/>
      <c r="BR282" s="373"/>
      <c r="BS282" s="373"/>
      <c r="BT282" s="451" t="str">
        <f t="shared" si="50"/>
        <v>Y</v>
      </c>
      <c r="BU282" s="451" t="str">
        <f t="shared" si="50"/>
        <v>N</v>
      </c>
      <c r="BV282" s="304"/>
      <c r="BW282" s="288"/>
      <c r="BX282" s="798"/>
      <c r="BY282" s="374" t="s">
        <v>1578</v>
      </c>
      <c r="BZ282" s="624"/>
      <c r="CA282" s="624"/>
      <c r="CB282" s="624"/>
      <c r="CC282" s="624"/>
      <c r="CD282" s="624"/>
      <c r="CE282" s="624"/>
      <c r="CF282" s="624"/>
      <c r="CG282" s="624"/>
      <c r="CH282" s="624"/>
    </row>
    <row r="283" spans="1:86" s="305" customFormat="1" ht="33.75" customHeight="1">
      <c r="A283" s="276"/>
      <c r="B283" s="348">
        <v>215</v>
      </c>
      <c r="C283" s="348"/>
      <c r="D283" s="726" t="s">
        <v>338</v>
      </c>
      <c r="E283" s="349">
        <v>39793</v>
      </c>
      <c r="F283" s="288">
        <v>2009</v>
      </c>
      <c r="G283" s="288">
        <v>13</v>
      </c>
      <c r="H283" s="288"/>
      <c r="I283" s="288">
        <v>2008</v>
      </c>
      <c r="J283" s="288">
        <v>28</v>
      </c>
      <c r="K283" s="288" t="s">
        <v>1210</v>
      </c>
      <c r="L283" s="288" t="s">
        <v>1873</v>
      </c>
      <c r="M283" s="288" t="s">
        <v>1273</v>
      </c>
      <c r="N283" s="290" t="s">
        <v>2023</v>
      </c>
      <c r="O283" s="288" t="s">
        <v>2023</v>
      </c>
      <c r="P283" s="288" t="s">
        <v>2023</v>
      </c>
      <c r="Q283" s="375" t="s">
        <v>289</v>
      </c>
      <c r="R283" s="361"/>
      <c r="S283" s="294"/>
      <c r="T283" s="1058" t="s">
        <v>289</v>
      </c>
      <c r="U283" s="295"/>
      <c r="V283" s="295"/>
      <c r="W283" s="392"/>
      <c r="X283" s="385"/>
      <c r="Y283" s="293" t="s">
        <v>289</v>
      </c>
      <c r="Z283" s="294"/>
      <c r="AA283" s="293" t="s">
        <v>289</v>
      </c>
      <c r="AB283" s="365">
        <f t="shared" si="51"/>
        <v>0</v>
      </c>
      <c r="AC283" s="387"/>
      <c r="AD283" s="565"/>
      <c r="AE283" s="298"/>
      <c r="AF283" s="677"/>
      <c r="AG283" s="395"/>
      <c r="AH283" s="502"/>
      <c r="AI283" s="503"/>
      <c r="AJ283" s="503"/>
      <c r="AK283" s="388" t="s">
        <v>289</v>
      </c>
      <c r="AL283" s="389"/>
      <c r="AM283" s="302"/>
      <c r="AN283" s="302"/>
      <c r="AO283" s="302"/>
      <c r="AP283" s="302"/>
      <c r="AQ283" s="302"/>
      <c r="AR283" s="302"/>
      <c r="AS283" s="302"/>
      <c r="AT283" s="302"/>
      <c r="AU283" s="302"/>
      <c r="AV283" s="302"/>
      <c r="AW283" s="302"/>
      <c r="AX283" s="390"/>
      <c r="AY283" s="390"/>
      <c r="AZ283" s="385"/>
      <c r="BA283" s="387"/>
      <c r="BB283" s="299" t="s">
        <v>289</v>
      </c>
      <c r="BC283" s="394"/>
      <c r="BD283" s="395"/>
      <c r="BE283" s="501"/>
      <c r="BF283" s="352" t="s">
        <v>289</v>
      </c>
      <c r="BG283" s="451" t="str">
        <f t="shared" si="49"/>
        <v>Y</v>
      </c>
      <c r="BH283" s="451"/>
      <c r="BI283" s="299"/>
      <c r="BJ283" s="698"/>
      <c r="BK283" s="698"/>
      <c r="BL283" s="303"/>
      <c r="BM283" s="706"/>
      <c r="BN283" s="373"/>
      <c r="BO283" s="706"/>
      <c r="BP283" s="716"/>
      <c r="BQ283" s="706"/>
      <c r="BR283" s="373"/>
      <c r="BS283" s="373"/>
      <c r="BT283" s="451" t="str">
        <f t="shared" si="50"/>
        <v>N</v>
      </c>
      <c r="BU283" s="451" t="str">
        <f t="shared" si="50"/>
        <v>N</v>
      </c>
      <c r="BV283" s="304"/>
      <c r="BW283" s="288"/>
      <c r="BX283" s="798"/>
      <c r="BY283" s="449"/>
      <c r="BZ283" s="624"/>
      <c r="CA283" s="624"/>
      <c r="CB283" s="624"/>
      <c r="CC283" s="624"/>
      <c r="CD283" s="624"/>
      <c r="CE283" s="624"/>
      <c r="CF283" s="624"/>
      <c r="CG283" s="624"/>
      <c r="CH283" s="624"/>
    </row>
    <row r="284" spans="1:86" s="374" customFormat="1" ht="33.75" customHeight="1">
      <c r="A284" s="276"/>
      <c r="B284" s="348">
        <v>215</v>
      </c>
      <c r="C284" s="348"/>
      <c r="D284" s="726" t="s">
        <v>338</v>
      </c>
      <c r="E284" s="349">
        <v>39794</v>
      </c>
      <c r="F284" s="288">
        <v>2009</v>
      </c>
      <c r="G284" s="288">
        <v>13</v>
      </c>
      <c r="H284" s="288"/>
      <c r="I284" s="288">
        <v>2008</v>
      </c>
      <c r="J284" s="288">
        <v>28</v>
      </c>
      <c r="K284" s="288" t="s">
        <v>1210</v>
      </c>
      <c r="L284" s="288" t="s">
        <v>1605</v>
      </c>
      <c r="M284" s="288" t="s">
        <v>1273</v>
      </c>
      <c r="N284" s="290" t="s">
        <v>2023</v>
      </c>
      <c r="O284" s="288" t="s">
        <v>2023</v>
      </c>
      <c r="P284" s="288" t="s">
        <v>2023</v>
      </c>
      <c r="Q284" s="375" t="s">
        <v>289</v>
      </c>
      <c r="R284" s="361"/>
      <c r="S284" s="294"/>
      <c r="T284" s="1058" t="s">
        <v>289</v>
      </c>
      <c r="U284" s="295"/>
      <c r="V284" s="295"/>
      <c r="W284" s="392"/>
      <c r="X284" s="385"/>
      <c r="Y284" s="293" t="s">
        <v>289</v>
      </c>
      <c r="Z284" s="294"/>
      <c r="AA284" s="293" t="s">
        <v>289</v>
      </c>
      <c r="AB284" s="365">
        <f t="shared" si="51"/>
        <v>0</v>
      </c>
      <c r="AC284" s="387"/>
      <c r="AD284" s="565"/>
      <c r="AE284" s="298"/>
      <c r="AF284" s="677"/>
      <c r="AG284" s="395"/>
      <c r="AH284" s="502"/>
      <c r="AI284" s="503"/>
      <c r="AJ284" s="503"/>
      <c r="AK284" s="388" t="s">
        <v>289</v>
      </c>
      <c r="AL284" s="389"/>
      <c r="AM284" s="302"/>
      <c r="AN284" s="302"/>
      <c r="AO284" s="302"/>
      <c r="AP284" s="302"/>
      <c r="AQ284" s="302"/>
      <c r="AR284" s="302"/>
      <c r="AS284" s="302"/>
      <c r="AT284" s="302"/>
      <c r="AU284" s="302"/>
      <c r="AV284" s="302"/>
      <c r="AW284" s="302"/>
      <c r="AX284" s="390"/>
      <c r="AY284" s="390"/>
      <c r="AZ284" s="385"/>
      <c r="BA284" s="387"/>
      <c r="BB284" s="299" t="s">
        <v>289</v>
      </c>
      <c r="BC284" s="394"/>
      <c r="BD284" s="395"/>
      <c r="BE284" s="501"/>
      <c r="BF284" s="352" t="s">
        <v>289</v>
      </c>
      <c r="BG284" s="451" t="str">
        <f t="shared" si="49"/>
        <v>Y</v>
      </c>
      <c r="BH284" s="451"/>
      <c r="BI284" s="299"/>
      <c r="BJ284" s="698"/>
      <c r="BK284" s="698"/>
      <c r="BL284" s="303"/>
      <c r="BM284" s="706"/>
      <c r="BN284" s="373"/>
      <c r="BO284" s="706"/>
      <c r="BP284" s="716"/>
      <c r="BQ284" s="706"/>
      <c r="BR284" s="373"/>
      <c r="BS284" s="373"/>
      <c r="BT284" s="451" t="str">
        <f t="shared" si="50"/>
        <v>N</v>
      </c>
      <c r="BU284" s="451" t="str">
        <f t="shared" si="50"/>
        <v>N</v>
      </c>
      <c r="BV284" s="304"/>
      <c r="BW284" s="288"/>
      <c r="BX284" s="798"/>
      <c r="BY284" s="449"/>
      <c r="BZ284" s="639"/>
      <c r="CA284" s="639"/>
      <c r="CB284" s="639"/>
      <c r="CC284" s="639"/>
      <c r="CD284" s="639"/>
      <c r="CE284" s="639"/>
      <c r="CF284" s="639"/>
      <c r="CG284" s="639"/>
      <c r="CH284" s="639"/>
    </row>
    <row r="285" spans="1:86" s="374" customFormat="1" ht="33.75" customHeight="1">
      <c r="A285" s="276"/>
      <c r="B285" s="348">
        <v>215</v>
      </c>
      <c r="C285" s="348"/>
      <c r="D285" s="726" t="s">
        <v>338</v>
      </c>
      <c r="E285" s="349">
        <v>39795</v>
      </c>
      <c r="F285" s="288">
        <v>2009</v>
      </c>
      <c r="G285" s="288">
        <v>13</v>
      </c>
      <c r="H285" s="288"/>
      <c r="I285" s="288">
        <v>2008</v>
      </c>
      <c r="J285" s="288">
        <v>28</v>
      </c>
      <c r="K285" s="288" t="s">
        <v>1210</v>
      </c>
      <c r="L285" s="288" t="s">
        <v>420</v>
      </c>
      <c r="M285" s="288" t="s">
        <v>1273</v>
      </c>
      <c r="N285" s="290" t="s">
        <v>2023</v>
      </c>
      <c r="O285" s="288" t="s">
        <v>2023</v>
      </c>
      <c r="P285" s="288" t="s">
        <v>2023</v>
      </c>
      <c r="Q285" s="375" t="s">
        <v>289</v>
      </c>
      <c r="R285" s="361"/>
      <c r="S285" s="294"/>
      <c r="T285" s="1058" t="s">
        <v>289</v>
      </c>
      <c r="U285" s="295"/>
      <c r="V285" s="295"/>
      <c r="W285" s="392"/>
      <c r="X285" s="385"/>
      <c r="Y285" s="293" t="s">
        <v>289</v>
      </c>
      <c r="Z285" s="294"/>
      <c r="AA285" s="293" t="s">
        <v>289</v>
      </c>
      <c r="AB285" s="365">
        <f t="shared" si="51"/>
        <v>0</v>
      </c>
      <c r="AC285" s="387"/>
      <c r="AD285" s="565"/>
      <c r="AE285" s="298"/>
      <c r="AF285" s="677"/>
      <c r="AG285" s="395"/>
      <c r="AH285" s="502"/>
      <c r="AI285" s="503"/>
      <c r="AJ285" s="503"/>
      <c r="AK285" s="388" t="s">
        <v>289</v>
      </c>
      <c r="AL285" s="389"/>
      <c r="AM285" s="302"/>
      <c r="AN285" s="302"/>
      <c r="AO285" s="302"/>
      <c r="AP285" s="302"/>
      <c r="AQ285" s="302"/>
      <c r="AR285" s="302"/>
      <c r="AS285" s="302"/>
      <c r="AT285" s="302"/>
      <c r="AU285" s="302"/>
      <c r="AV285" s="302"/>
      <c r="AW285" s="302"/>
      <c r="AX285" s="390"/>
      <c r="AY285" s="390"/>
      <c r="AZ285" s="385"/>
      <c r="BA285" s="387"/>
      <c r="BB285" s="299" t="s">
        <v>289</v>
      </c>
      <c r="BC285" s="394"/>
      <c r="BD285" s="395"/>
      <c r="BE285" s="501"/>
      <c r="BF285" s="352" t="s">
        <v>289</v>
      </c>
      <c r="BG285" s="451" t="str">
        <f t="shared" si="49"/>
        <v>Y</v>
      </c>
      <c r="BH285" s="451"/>
      <c r="BI285" s="299"/>
      <c r="BJ285" s="698"/>
      <c r="BK285" s="698"/>
      <c r="BL285" s="303"/>
      <c r="BM285" s="706"/>
      <c r="BN285" s="373"/>
      <c r="BO285" s="706"/>
      <c r="BP285" s="716"/>
      <c r="BQ285" s="706"/>
      <c r="BR285" s="373"/>
      <c r="BS285" s="373"/>
      <c r="BT285" s="451" t="str">
        <f t="shared" si="50"/>
        <v>N</v>
      </c>
      <c r="BU285" s="451" t="str">
        <f t="shared" si="50"/>
        <v>N</v>
      </c>
      <c r="BV285" s="304"/>
      <c r="BW285" s="288"/>
      <c r="BX285" s="798"/>
      <c r="BY285" s="449"/>
      <c r="BZ285" s="639"/>
      <c r="CA285" s="639"/>
      <c r="CB285" s="639"/>
      <c r="CC285" s="639"/>
      <c r="CD285" s="639"/>
      <c r="CE285" s="639"/>
      <c r="CF285" s="639"/>
      <c r="CG285" s="639"/>
      <c r="CH285" s="639"/>
    </row>
    <row r="286" spans="1:86" s="305" customFormat="1" ht="33.75" customHeight="1">
      <c r="A286" s="275" t="s">
        <v>71</v>
      </c>
      <c r="B286" s="355">
        <v>215</v>
      </c>
      <c r="C286" s="355"/>
      <c r="D286" s="726" t="s">
        <v>338</v>
      </c>
      <c r="E286" s="356">
        <v>39792</v>
      </c>
      <c r="F286" s="358">
        <v>2009</v>
      </c>
      <c r="G286" s="358">
        <v>13</v>
      </c>
      <c r="H286" s="358"/>
      <c r="I286" s="358">
        <v>2008</v>
      </c>
      <c r="J286" s="358">
        <v>28</v>
      </c>
      <c r="K286" s="358" t="s">
        <v>1210</v>
      </c>
      <c r="L286" s="358" t="s">
        <v>973</v>
      </c>
      <c r="M286" s="288" t="s">
        <v>1273</v>
      </c>
      <c r="N286" s="359" t="s">
        <v>2023</v>
      </c>
      <c r="O286" s="288" t="s">
        <v>2023</v>
      </c>
      <c r="P286" s="288" t="s">
        <v>2023</v>
      </c>
      <c r="Q286" s="360">
        <v>16800000</v>
      </c>
      <c r="R286" s="361" t="s">
        <v>362</v>
      </c>
      <c r="S286" s="563" t="s">
        <v>363</v>
      </c>
      <c r="T286" s="1058">
        <v>66586679</v>
      </c>
      <c r="U286" s="295"/>
      <c r="V286" s="556" t="s">
        <v>115</v>
      </c>
      <c r="W286" s="558" t="s">
        <v>362</v>
      </c>
      <c r="X286" s="573">
        <v>118830</v>
      </c>
      <c r="Y286" s="293">
        <v>2488500</v>
      </c>
      <c r="Z286" s="294"/>
      <c r="AA286" s="293"/>
      <c r="AB286" s="365">
        <f t="shared" si="51"/>
        <v>0</v>
      </c>
      <c r="AC286" s="364"/>
      <c r="AD286" s="1050"/>
      <c r="AE286" s="299">
        <v>500000</v>
      </c>
      <c r="AF286" s="670"/>
      <c r="AG286" s="371"/>
      <c r="AH286" s="499">
        <v>1</v>
      </c>
      <c r="AI286" s="500"/>
      <c r="AJ286" s="500">
        <f>SUM('Deployments History'!A6)</f>
        <v>1</v>
      </c>
      <c r="AK286" s="367" t="s">
        <v>289</v>
      </c>
      <c r="AL286" s="363"/>
      <c r="AM286" s="368"/>
      <c r="AN286" s="368"/>
      <c r="AO286" s="368"/>
      <c r="AP286" s="368"/>
      <c r="AQ286" s="368"/>
      <c r="AR286" s="368"/>
      <c r="AS286" s="368"/>
      <c r="AT286" s="368"/>
      <c r="AU286" s="368"/>
      <c r="AV286" s="368"/>
      <c r="AW286" s="368"/>
      <c r="AX286" s="369"/>
      <c r="AY286" s="369"/>
      <c r="AZ286" s="352"/>
      <c r="BA286" s="364"/>
      <c r="BB286" s="299">
        <f>AG286+AZ286+BA286</f>
        <v>0</v>
      </c>
      <c r="BC286" s="370"/>
      <c r="BD286" s="371"/>
      <c r="BE286" s="549"/>
      <c r="BF286" s="352">
        <f>BB286+BD286+BC286</f>
        <v>0</v>
      </c>
      <c r="BG286" s="451" t="str">
        <f t="shared" si="49"/>
        <v>N</v>
      </c>
      <c r="BH286" s="451"/>
      <c r="BI286" s="299"/>
      <c r="BJ286" s="698"/>
      <c r="BK286" s="698"/>
      <c r="BL286" s="303">
        <v>2799</v>
      </c>
      <c r="BM286" s="706"/>
      <c r="BN286" s="373"/>
      <c r="BO286" s="706"/>
      <c r="BP286" s="716"/>
      <c r="BQ286" s="706"/>
      <c r="BR286" s="373"/>
      <c r="BS286" s="373"/>
      <c r="BT286" s="451" t="str">
        <f t="shared" si="50"/>
        <v>Y</v>
      </c>
      <c r="BU286" s="451" t="str">
        <f t="shared" si="50"/>
        <v>N</v>
      </c>
      <c r="BV286" s="304"/>
      <c r="BW286" s="288"/>
      <c r="BX286" s="798"/>
      <c r="BY286" s="374" t="s">
        <v>1763</v>
      </c>
      <c r="BZ286" s="624"/>
      <c r="CA286" s="624"/>
      <c r="CB286" s="624"/>
      <c r="CC286" s="624"/>
      <c r="CD286" s="624"/>
      <c r="CE286" s="624"/>
      <c r="CF286" s="624"/>
      <c r="CG286" s="624"/>
      <c r="CH286" s="624"/>
    </row>
    <row r="287" spans="1:86" s="305" customFormat="1" ht="33.75" customHeight="1">
      <c r="A287" s="275"/>
      <c r="B287" s="355">
        <v>216</v>
      </c>
      <c r="C287" s="355"/>
      <c r="D287" s="726" t="s">
        <v>337</v>
      </c>
      <c r="E287" s="356">
        <v>39796</v>
      </c>
      <c r="F287" s="358">
        <v>2009</v>
      </c>
      <c r="G287" s="358">
        <v>14</v>
      </c>
      <c r="H287" s="358"/>
      <c r="I287" s="358">
        <v>2008</v>
      </c>
      <c r="J287" s="358">
        <v>29</v>
      </c>
      <c r="K287" s="358" t="s">
        <v>1210</v>
      </c>
      <c r="L287" s="358" t="s">
        <v>1116</v>
      </c>
      <c r="M287" s="288" t="s">
        <v>1273</v>
      </c>
      <c r="N287" s="359" t="s">
        <v>1940</v>
      </c>
      <c r="O287" s="358" t="s">
        <v>1940</v>
      </c>
      <c r="P287" s="358" t="s">
        <v>1940</v>
      </c>
      <c r="Q287" s="360">
        <v>280000</v>
      </c>
      <c r="R287" s="361" t="s">
        <v>362</v>
      </c>
      <c r="S287" s="294" t="s">
        <v>363</v>
      </c>
      <c r="T287" s="1058">
        <v>1437632</v>
      </c>
      <c r="U287" s="295"/>
      <c r="V287" s="556" t="s">
        <v>81</v>
      </c>
      <c r="W287" s="558" t="s">
        <v>362</v>
      </c>
      <c r="X287" s="573">
        <v>201571</v>
      </c>
      <c r="Y287" s="293">
        <v>60000</v>
      </c>
      <c r="Z287" s="780"/>
      <c r="AA287" s="293"/>
      <c r="AB287" s="365">
        <f t="shared" si="51"/>
        <v>1</v>
      </c>
      <c r="AC287" s="364">
        <v>50000</v>
      </c>
      <c r="AD287" s="1036"/>
      <c r="AE287" s="451"/>
      <c r="AF287" s="686"/>
      <c r="AG287" s="371">
        <v>50000</v>
      </c>
      <c r="AH287" s="499">
        <v>1</v>
      </c>
      <c r="AI287" s="500"/>
      <c r="AJ287" s="500">
        <f>SUM('Deployments History'!A5)</f>
        <v>1</v>
      </c>
      <c r="AK287" s="367" t="s">
        <v>289</v>
      </c>
      <c r="AL287" s="363"/>
      <c r="AM287" s="368"/>
      <c r="AN287" s="368"/>
      <c r="AO287" s="368"/>
      <c r="AP287" s="368"/>
      <c r="AQ287" s="368"/>
      <c r="AR287" s="368"/>
      <c r="AS287" s="368"/>
      <c r="AT287" s="368"/>
      <c r="AU287" s="368"/>
      <c r="AV287" s="368"/>
      <c r="AW287" s="368"/>
      <c r="AX287" s="369"/>
      <c r="AY287" s="369"/>
      <c r="AZ287" s="352"/>
      <c r="BA287" s="364"/>
      <c r="BB287" s="299">
        <f>AG287+AZ287+BA287</f>
        <v>50000</v>
      </c>
      <c r="BC287" s="370"/>
      <c r="BD287" s="371"/>
      <c r="BE287" s="549"/>
      <c r="BF287" s="352">
        <f>BB287+BD287+BC287</f>
        <v>50000</v>
      </c>
      <c r="BG287" s="451" t="str">
        <f t="shared" si="49"/>
        <v>N</v>
      </c>
      <c r="BH287" s="451"/>
      <c r="BI287" s="299"/>
      <c r="BJ287" s="698"/>
      <c r="BK287" s="698"/>
      <c r="BL287" s="303">
        <v>2799</v>
      </c>
      <c r="BM287" s="706"/>
      <c r="BN287" s="373"/>
      <c r="BO287" s="706"/>
      <c r="BP287" s="716"/>
      <c r="BQ287" s="706"/>
      <c r="BR287" s="373"/>
      <c r="BS287" s="373"/>
      <c r="BT287" s="451" t="str">
        <f t="shared" si="50"/>
        <v>Y</v>
      </c>
      <c r="BU287" s="451" t="str">
        <f t="shared" si="50"/>
        <v>N</v>
      </c>
      <c r="BV287" s="318"/>
      <c r="BW287" s="358"/>
      <c r="BX287" s="798"/>
      <c r="BY287" s="374" t="s">
        <v>712</v>
      </c>
      <c r="BZ287" s="624"/>
      <c r="CA287" s="624"/>
      <c r="CB287" s="624"/>
      <c r="CC287" s="624"/>
      <c r="CD287" s="624"/>
      <c r="CE287" s="624"/>
      <c r="CF287" s="624"/>
      <c r="CG287" s="624"/>
      <c r="CH287" s="624"/>
    </row>
    <row r="288" spans="1:86" s="305" customFormat="1" ht="33.75" customHeight="1">
      <c r="A288" s="275" t="s">
        <v>70</v>
      </c>
      <c r="B288" s="355">
        <v>217</v>
      </c>
      <c r="C288" s="355"/>
      <c r="D288" s="726" t="s">
        <v>336</v>
      </c>
      <c r="E288" s="356">
        <v>39799</v>
      </c>
      <c r="F288" s="358">
        <v>2009</v>
      </c>
      <c r="G288" s="358">
        <v>15</v>
      </c>
      <c r="H288" s="358"/>
      <c r="I288" s="358">
        <v>2008</v>
      </c>
      <c r="J288" s="358">
        <v>30</v>
      </c>
      <c r="K288" s="358" t="s">
        <v>1210</v>
      </c>
      <c r="L288" s="358" t="s">
        <v>1562</v>
      </c>
      <c r="M288" s="288" t="s">
        <v>1963</v>
      </c>
      <c r="N288" s="359" t="s">
        <v>1639</v>
      </c>
      <c r="O288" s="288" t="s">
        <v>975</v>
      </c>
      <c r="P288" s="288" t="s">
        <v>976</v>
      </c>
      <c r="Q288" s="360">
        <v>50000</v>
      </c>
      <c r="R288" s="361" t="s">
        <v>362</v>
      </c>
      <c r="S288" s="294" t="s">
        <v>363</v>
      </c>
      <c r="T288" s="1058">
        <v>9200000</v>
      </c>
      <c r="U288" s="295"/>
      <c r="V288" s="556" t="s">
        <v>80</v>
      </c>
      <c r="W288" s="558" t="s">
        <v>362</v>
      </c>
      <c r="X288" s="352">
        <v>359374</v>
      </c>
      <c r="Y288" s="293">
        <v>1500000</v>
      </c>
      <c r="Z288" s="780"/>
      <c r="AA288" s="293"/>
      <c r="AB288" s="365">
        <f t="shared" si="51"/>
        <v>1</v>
      </c>
      <c r="AC288" s="364">
        <v>100000</v>
      </c>
      <c r="AD288" s="1036"/>
      <c r="AE288" s="451"/>
      <c r="AF288" s="686"/>
      <c r="AG288" s="371">
        <v>100000</v>
      </c>
      <c r="AH288" s="499"/>
      <c r="AI288" s="500"/>
      <c r="AJ288" s="500"/>
      <c r="AK288" s="367" t="s">
        <v>289</v>
      </c>
      <c r="AL288" s="363"/>
      <c r="AM288" s="368"/>
      <c r="AN288" s="368"/>
      <c r="AO288" s="368"/>
      <c r="AP288" s="368"/>
      <c r="AQ288" s="368"/>
      <c r="AR288" s="368"/>
      <c r="AS288" s="368"/>
      <c r="AT288" s="368"/>
      <c r="AU288" s="368"/>
      <c r="AV288" s="368"/>
      <c r="AW288" s="368"/>
      <c r="AX288" s="369"/>
      <c r="AY288" s="369"/>
      <c r="AZ288" s="352"/>
      <c r="BA288" s="364"/>
      <c r="BB288" s="299">
        <f>AG288+AZ288+BA288</f>
        <v>100000</v>
      </c>
      <c r="BC288" s="427"/>
      <c r="BD288" s="370"/>
      <c r="BE288" s="549"/>
      <c r="BF288" s="352">
        <f>BB288+BD288+BC288</f>
        <v>100000</v>
      </c>
      <c r="BG288" s="451" t="str">
        <f t="shared" si="49"/>
        <v>N</v>
      </c>
      <c r="BH288" s="451"/>
      <c r="BI288" s="299"/>
      <c r="BJ288" s="698"/>
      <c r="BK288" s="698"/>
      <c r="BL288" s="303">
        <v>2799</v>
      </c>
      <c r="BM288" s="706"/>
      <c r="BN288" s="373"/>
      <c r="BO288" s="706"/>
      <c r="BP288" s="716"/>
      <c r="BQ288" s="706"/>
      <c r="BR288" s="373"/>
      <c r="BS288" s="373"/>
      <c r="BT288" s="451" t="str">
        <f t="shared" si="50"/>
        <v>Y</v>
      </c>
      <c r="BU288" s="451" t="str">
        <f t="shared" si="50"/>
        <v>N</v>
      </c>
      <c r="BV288" s="304"/>
      <c r="BW288" s="288"/>
      <c r="BX288" s="798"/>
      <c r="BY288" s="374" t="s">
        <v>1576</v>
      </c>
      <c r="BZ288" s="624"/>
      <c r="CA288" s="624"/>
      <c r="CB288" s="624"/>
      <c r="CC288" s="624"/>
      <c r="CD288" s="624"/>
      <c r="CE288" s="624"/>
      <c r="CF288" s="624"/>
      <c r="CG288" s="624"/>
      <c r="CH288" s="624"/>
    </row>
    <row r="289" spans="1:86" s="374" customFormat="1" ht="33.75" customHeight="1">
      <c r="A289" s="276"/>
      <c r="B289" s="348">
        <v>218</v>
      </c>
      <c r="C289" s="348"/>
      <c r="D289" s="726" t="s">
        <v>1845</v>
      </c>
      <c r="E289" s="349">
        <v>39799</v>
      </c>
      <c r="F289" s="288">
        <v>2009</v>
      </c>
      <c r="G289" s="288">
        <v>16</v>
      </c>
      <c r="H289" s="288"/>
      <c r="I289" s="288">
        <v>2008</v>
      </c>
      <c r="J289" s="288">
        <v>31</v>
      </c>
      <c r="K289" s="288" t="s">
        <v>570</v>
      </c>
      <c r="L289" s="288" t="s">
        <v>124</v>
      </c>
      <c r="M289" s="288" t="s">
        <v>1273</v>
      </c>
      <c r="N289" s="290" t="s">
        <v>1940</v>
      </c>
      <c r="O289" s="288" t="s">
        <v>1940</v>
      </c>
      <c r="P289" s="288" t="s">
        <v>1940</v>
      </c>
      <c r="Q289" s="375" t="s">
        <v>289</v>
      </c>
      <c r="R289" s="361" t="s">
        <v>362</v>
      </c>
      <c r="S289" s="574" t="s">
        <v>998</v>
      </c>
      <c r="T289" s="1058" t="s">
        <v>289</v>
      </c>
      <c r="U289" s="295"/>
      <c r="V289" s="295"/>
      <c r="W289" s="392"/>
      <c r="X289" s="385"/>
      <c r="Y289" s="293" t="s">
        <v>289</v>
      </c>
      <c r="Z289" s="294"/>
      <c r="AA289" s="293" t="s">
        <v>289</v>
      </c>
      <c r="AB289" s="365">
        <f t="shared" si="51"/>
        <v>0</v>
      </c>
      <c r="AC289" s="575"/>
      <c r="AD289" s="1051" t="s">
        <v>514</v>
      </c>
      <c r="AE289" s="535">
        <v>200000</v>
      </c>
      <c r="AF289" s="684"/>
      <c r="AG289" s="395"/>
      <c r="AH289" s="502"/>
      <c r="AI289" s="503"/>
      <c r="AJ289" s="503"/>
      <c r="AK289" s="388" t="s">
        <v>289</v>
      </c>
      <c r="AL289" s="389"/>
      <c r="AM289" s="302"/>
      <c r="AN289" s="302"/>
      <c r="AO289" s="302"/>
      <c r="AP289" s="302"/>
      <c r="AQ289" s="302"/>
      <c r="AR289" s="302"/>
      <c r="AS289" s="302"/>
      <c r="AT289" s="302"/>
      <c r="AU289" s="302"/>
      <c r="AV289" s="302"/>
      <c r="AW289" s="302"/>
      <c r="AX289" s="390"/>
      <c r="AY289" s="390"/>
      <c r="AZ289" s="385"/>
      <c r="BA289" s="387"/>
      <c r="BB289" s="299" t="s">
        <v>289</v>
      </c>
      <c r="BC289" s="394"/>
      <c r="BD289" s="395"/>
      <c r="BE289" s="501"/>
      <c r="BF289" s="352" t="s">
        <v>289</v>
      </c>
      <c r="BG289" s="451" t="str">
        <f t="shared" si="49"/>
        <v>N</v>
      </c>
      <c r="BH289" s="451"/>
      <c r="BI289" s="299"/>
      <c r="BJ289" s="698"/>
      <c r="BK289" s="698"/>
      <c r="BL289" s="303">
        <v>2099</v>
      </c>
      <c r="BM289" s="706"/>
      <c r="BN289" s="373"/>
      <c r="BO289" s="706"/>
      <c r="BP289" s="716"/>
      <c r="BQ289" s="706"/>
      <c r="BR289" s="373"/>
      <c r="BS289" s="373"/>
      <c r="BT289" s="451" t="str">
        <f t="shared" si="50"/>
        <v>N</v>
      </c>
      <c r="BU289" s="451" t="str">
        <f t="shared" si="50"/>
        <v>N</v>
      </c>
      <c r="BV289" s="318"/>
      <c r="BW289" s="358"/>
      <c r="BX289" s="798"/>
      <c r="BY289" s="374" t="s">
        <v>563</v>
      </c>
      <c r="BZ289" s="639"/>
      <c r="CA289" s="639"/>
      <c r="CB289" s="639"/>
      <c r="CC289" s="639"/>
      <c r="CD289" s="639"/>
      <c r="CE289" s="639"/>
      <c r="CF289" s="639"/>
      <c r="CG289" s="639"/>
      <c r="CH289" s="639"/>
    </row>
    <row r="290" spans="1:86" s="305" customFormat="1" ht="33.75" customHeight="1">
      <c r="A290" s="275"/>
      <c r="B290" s="355">
        <v>218</v>
      </c>
      <c r="C290" s="355"/>
      <c r="D290" s="726" t="s">
        <v>1846</v>
      </c>
      <c r="E290" s="356">
        <v>39799</v>
      </c>
      <c r="F290" s="358">
        <v>2009</v>
      </c>
      <c r="G290" s="358">
        <v>16</v>
      </c>
      <c r="H290" s="358"/>
      <c r="I290" s="358">
        <v>2008</v>
      </c>
      <c r="J290" s="358">
        <v>31</v>
      </c>
      <c r="K290" s="358" t="s">
        <v>570</v>
      </c>
      <c r="L290" s="358" t="s">
        <v>974</v>
      </c>
      <c r="M290" s="288" t="s">
        <v>1273</v>
      </c>
      <c r="N290" s="359" t="s">
        <v>1940</v>
      </c>
      <c r="O290" s="288" t="s">
        <v>1940</v>
      </c>
      <c r="P290" s="288" t="s">
        <v>1940</v>
      </c>
      <c r="Q290" s="360">
        <v>90000</v>
      </c>
      <c r="R290" s="361" t="s">
        <v>362</v>
      </c>
      <c r="S290" s="574" t="s">
        <v>998</v>
      </c>
      <c r="T290" s="1058"/>
      <c r="U290" s="295"/>
      <c r="V290" s="295"/>
      <c r="W290" s="362" t="s">
        <v>362</v>
      </c>
      <c r="X290" s="352">
        <v>310244</v>
      </c>
      <c r="Y290" s="293">
        <v>50000</v>
      </c>
      <c r="Z290" s="294"/>
      <c r="AA290" s="293"/>
      <c r="AB290" s="365">
        <f t="shared" si="51"/>
        <v>0</v>
      </c>
      <c r="AC290" s="450"/>
      <c r="AD290" s="427">
        <v>360625</v>
      </c>
      <c r="AE290" s="295">
        <v>560625</v>
      </c>
      <c r="AF290" s="685"/>
      <c r="AG290" s="371">
        <f>SUM(AC290:AE290)</f>
        <v>921250</v>
      </c>
      <c r="AH290" s="499"/>
      <c r="AI290" s="500"/>
      <c r="AJ290" s="500"/>
      <c r="AK290" s="367" t="s">
        <v>289</v>
      </c>
      <c r="AL290" s="363"/>
      <c r="AM290" s="368"/>
      <c r="AN290" s="368"/>
      <c r="AO290" s="368"/>
      <c r="AP290" s="368"/>
      <c r="AQ290" s="368"/>
      <c r="AR290" s="368"/>
      <c r="AS290" s="368"/>
      <c r="AT290" s="368"/>
      <c r="AU290" s="368"/>
      <c r="AV290" s="368"/>
      <c r="AW290" s="368"/>
      <c r="AX290" s="369"/>
      <c r="AY290" s="369"/>
      <c r="AZ290" s="352"/>
      <c r="BA290" s="364"/>
      <c r="BB290" s="299">
        <f t="shared" ref="BB290:BB313" si="52">AG290+AZ290+BA290</f>
        <v>921250</v>
      </c>
      <c r="BC290" s="370"/>
      <c r="BD290" s="371"/>
      <c r="BE290" s="549"/>
      <c r="BF290" s="352">
        <f t="shared" ref="BF290:BF313" si="53">BB290+BD290+BC290</f>
        <v>921250</v>
      </c>
      <c r="BG290" s="451" t="str">
        <f t="shared" si="49"/>
        <v>Y</v>
      </c>
      <c r="BH290" s="451"/>
      <c r="BI290" s="299"/>
      <c r="BJ290" s="698"/>
      <c r="BK290" s="698"/>
      <c r="BL290" s="303" t="s">
        <v>564</v>
      </c>
      <c r="BM290" s="706"/>
      <c r="BN290" s="373"/>
      <c r="BO290" s="706"/>
      <c r="BP290" s="716"/>
      <c r="BQ290" s="706"/>
      <c r="BR290" s="373"/>
      <c r="BS290" s="373"/>
      <c r="BT290" s="451" t="str">
        <f t="shared" si="50"/>
        <v>N</v>
      </c>
      <c r="BU290" s="451" t="str">
        <f t="shared" si="50"/>
        <v>N</v>
      </c>
      <c r="BV290" s="318"/>
      <c r="BW290" s="358"/>
      <c r="BX290" s="798" t="s">
        <v>2203</v>
      </c>
      <c r="BY290" s="374" t="s">
        <v>563</v>
      </c>
      <c r="BZ290" s="624"/>
      <c r="CA290" s="624"/>
      <c r="CB290" s="624"/>
      <c r="CC290" s="624"/>
      <c r="CD290" s="624"/>
      <c r="CE290" s="624"/>
      <c r="CF290" s="624"/>
      <c r="CG290" s="624"/>
      <c r="CH290" s="624"/>
    </row>
    <row r="291" spans="1:86" s="305" customFormat="1" ht="33.75" customHeight="1">
      <c r="A291" s="275" t="s">
        <v>69</v>
      </c>
      <c r="B291" s="355">
        <v>219</v>
      </c>
      <c r="C291" s="355"/>
      <c r="D291" s="726" t="str">
        <f>L291&amp;" "&amp;N291</f>
        <v>Costa Rica Earthquake</v>
      </c>
      <c r="E291" s="356">
        <v>39821</v>
      </c>
      <c r="F291" s="358">
        <v>2009</v>
      </c>
      <c r="G291" s="358">
        <v>17</v>
      </c>
      <c r="H291" s="358" t="s">
        <v>379</v>
      </c>
      <c r="I291" s="358">
        <v>2009</v>
      </c>
      <c r="J291" s="358">
        <v>2</v>
      </c>
      <c r="K291" s="358" t="s">
        <v>1211</v>
      </c>
      <c r="L291" s="358" t="s">
        <v>1878</v>
      </c>
      <c r="M291" s="358" t="s">
        <v>1961</v>
      </c>
      <c r="N291" s="359" t="s">
        <v>1884</v>
      </c>
      <c r="O291" s="358" t="s">
        <v>1884</v>
      </c>
      <c r="P291" s="358" t="s">
        <v>1884</v>
      </c>
      <c r="Q291" s="360">
        <v>2943</v>
      </c>
      <c r="R291" s="361" t="s">
        <v>1752</v>
      </c>
      <c r="S291" s="294"/>
      <c r="T291" s="1058" t="s">
        <v>289</v>
      </c>
      <c r="U291" s="295"/>
      <c r="V291" s="295"/>
      <c r="W291" s="362" t="s">
        <v>362</v>
      </c>
      <c r="X291" s="352">
        <v>49273</v>
      </c>
      <c r="Y291" s="293" t="s">
        <v>289</v>
      </c>
      <c r="Z291" s="294" t="s">
        <v>362</v>
      </c>
      <c r="AA291" s="293">
        <v>640</v>
      </c>
      <c r="AB291" s="365">
        <f t="shared" si="51"/>
        <v>0</v>
      </c>
      <c r="AC291" s="364"/>
      <c r="AD291" s="427"/>
      <c r="AE291" s="299">
        <v>62250</v>
      </c>
      <c r="AF291" s="670"/>
      <c r="AG291" s="395">
        <f>SUM(AC291:AE291)</f>
        <v>62250</v>
      </c>
      <c r="AH291" s="499">
        <v>2</v>
      </c>
      <c r="AI291" s="500"/>
      <c r="AJ291" s="500">
        <f>SUM('Deployments History'!A23,'Deployments History'!A29)</f>
        <v>2</v>
      </c>
      <c r="AK291" s="367"/>
      <c r="AL291" s="363"/>
      <c r="AM291" s="368"/>
      <c r="AN291" s="368"/>
      <c r="AO291" s="368"/>
      <c r="AP291" s="368"/>
      <c r="AQ291" s="368"/>
      <c r="AR291" s="368"/>
      <c r="AS291" s="368"/>
      <c r="AT291" s="368"/>
      <c r="AU291" s="368"/>
      <c r="AV291" s="368"/>
      <c r="AW291" s="368"/>
      <c r="AX291" s="369"/>
      <c r="AY291" s="369"/>
      <c r="AZ291" s="352"/>
      <c r="BA291" s="364">
        <v>11950</v>
      </c>
      <c r="BB291" s="299">
        <f t="shared" si="52"/>
        <v>74200</v>
      </c>
      <c r="BC291" s="370"/>
      <c r="BD291" s="371"/>
      <c r="BE291" s="549"/>
      <c r="BF291" s="352">
        <f t="shared" si="53"/>
        <v>74200</v>
      </c>
      <c r="BG291" s="451" t="str">
        <f t="shared" si="49"/>
        <v>Y</v>
      </c>
      <c r="BH291" s="451"/>
      <c r="BI291" s="299"/>
      <c r="BJ291" s="698"/>
      <c r="BK291" s="698"/>
      <c r="BL291" s="303">
        <v>2882</v>
      </c>
      <c r="BM291" s="706"/>
      <c r="BN291" s="373"/>
      <c r="BO291" s="706"/>
      <c r="BP291" s="716"/>
      <c r="BQ291" s="706"/>
      <c r="BR291" s="373"/>
      <c r="BS291" s="373"/>
      <c r="BT291" s="451" t="str">
        <f t="shared" si="50"/>
        <v>N</v>
      </c>
      <c r="BU291" s="451" t="str">
        <f t="shared" si="50"/>
        <v>N</v>
      </c>
      <c r="BV291" s="304"/>
      <c r="BW291" s="288"/>
      <c r="BX291" s="798" t="s">
        <v>2204</v>
      </c>
      <c r="BY291" s="374" t="s">
        <v>997</v>
      </c>
      <c r="BZ291" s="624"/>
      <c r="CA291" s="624"/>
      <c r="CB291" s="624"/>
      <c r="CC291" s="624"/>
      <c r="CD291" s="624"/>
      <c r="CE291" s="624"/>
      <c r="CF291" s="624"/>
      <c r="CG291" s="624"/>
      <c r="CH291" s="624"/>
    </row>
    <row r="292" spans="1:86" s="305" customFormat="1" ht="33.75" customHeight="1">
      <c r="A292" s="276" t="s">
        <v>874</v>
      </c>
      <c r="B292" s="348">
        <v>220</v>
      </c>
      <c r="C292" s="348"/>
      <c r="D292" s="726" t="s">
        <v>873</v>
      </c>
      <c r="E292" s="349">
        <v>39851</v>
      </c>
      <c r="F292" s="288">
        <v>2009</v>
      </c>
      <c r="G292" s="288">
        <v>18</v>
      </c>
      <c r="H292" s="358" t="s">
        <v>379</v>
      </c>
      <c r="I292" s="288">
        <v>2009</v>
      </c>
      <c r="J292" s="288">
        <v>3</v>
      </c>
      <c r="K292" s="288" t="s">
        <v>570</v>
      </c>
      <c r="L292" s="288" t="s">
        <v>1757</v>
      </c>
      <c r="M292" s="288" t="s">
        <v>1271</v>
      </c>
      <c r="N292" s="290" t="s">
        <v>1968</v>
      </c>
      <c r="O292" s="288" t="s">
        <v>1593</v>
      </c>
      <c r="P292" s="288" t="s">
        <v>1593</v>
      </c>
      <c r="Q292" s="375">
        <v>22000</v>
      </c>
      <c r="R292" s="361" t="s">
        <v>1752</v>
      </c>
      <c r="S292" s="294"/>
      <c r="T292" s="1058"/>
      <c r="U292" s="295"/>
      <c r="V292" s="295"/>
      <c r="W292" s="392"/>
      <c r="X292" s="385"/>
      <c r="Y292" s="293"/>
      <c r="Z292" s="294" t="s">
        <v>362</v>
      </c>
      <c r="AA292" s="293"/>
      <c r="AB292" s="365">
        <f t="shared" si="51"/>
        <v>0</v>
      </c>
      <c r="AC292" s="387"/>
      <c r="AD292" s="587"/>
      <c r="AE292" s="298">
        <v>1520000</v>
      </c>
      <c r="AF292" s="677"/>
      <c r="AG292" s="395">
        <f>SUM(AC292:AE292)</f>
        <v>1520000</v>
      </c>
      <c r="AH292" s="502"/>
      <c r="AI292" s="503"/>
      <c r="AJ292" s="503"/>
      <c r="AK292" s="388"/>
      <c r="AL292" s="389"/>
      <c r="AM292" s="302"/>
      <c r="AN292" s="302"/>
      <c r="AO292" s="302"/>
      <c r="AP292" s="302"/>
      <c r="AQ292" s="302"/>
      <c r="AR292" s="302"/>
      <c r="AS292" s="302"/>
      <c r="AT292" s="302"/>
      <c r="AU292" s="302"/>
      <c r="AV292" s="302"/>
      <c r="AW292" s="302"/>
      <c r="AX292" s="390"/>
      <c r="AY292" s="390"/>
      <c r="AZ292" s="385"/>
      <c r="BA292" s="387"/>
      <c r="BB292" s="299">
        <f t="shared" si="52"/>
        <v>1520000</v>
      </c>
      <c r="BC292" s="394"/>
      <c r="BD292" s="395"/>
      <c r="BE292" s="501"/>
      <c r="BF292" s="352">
        <f t="shared" si="53"/>
        <v>1520000</v>
      </c>
      <c r="BG292" s="451" t="str">
        <f t="shared" si="49"/>
        <v>Y</v>
      </c>
      <c r="BH292" s="451"/>
      <c r="BI292" s="299"/>
      <c r="BJ292" s="698"/>
      <c r="BK292" s="698"/>
      <c r="BL292" s="300">
        <v>2881</v>
      </c>
      <c r="BM292" s="707"/>
      <c r="BN292" s="391"/>
      <c r="BO292" s="707"/>
      <c r="BP292" s="717"/>
      <c r="BQ292" s="707"/>
      <c r="BR292" s="391"/>
      <c r="BS292" s="391"/>
      <c r="BT292" s="451" t="str">
        <f t="shared" si="50"/>
        <v>N</v>
      </c>
      <c r="BU292" s="451" t="str">
        <f t="shared" si="50"/>
        <v>N</v>
      </c>
      <c r="BV292" s="318"/>
      <c r="BW292" s="358"/>
      <c r="BX292" s="798" t="s">
        <v>2202</v>
      </c>
      <c r="BY292" s="449" t="s">
        <v>371</v>
      </c>
      <c r="BZ292" s="624"/>
      <c r="CA292" s="624"/>
      <c r="CB292" s="624"/>
      <c r="CC292" s="624"/>
      <c r="CD292" s="624"/>
      <c r="CE292" s="624"/>
      <c r="CF292" s="624"/>
      <c r="CG292" s="624"/>
      <c r="CH292" s="624"/>
    </row>
    <row r="293" spans="1:86" s="305" customFormat="1" ht="33.75" customHeight="1">
      <c r="A293" s="276"/>
      <c r="B293" s="348">
        <v>221</v>
      </c>
      <c r="C293" s="348"/>
      <c r="D293" s="726" t="s">
        <v>442</v>
      </c>
      <c r="E293" s="349">
        <v>39877</v>
      </c>
      <c r="F293" s="288">
        <v>2009</v>
      </c>
      <c r="G293" s="288">
        <v>19</v>
      </c>
      <c r="H293" s="358" t="s">
        <v>379</v>
      </c>
      <c r="I293" s="288">
        <v>2009</v>
      </c>
      <c r="J293" s="288">
        <v>4</v>
      </c>
      <c r="K293" s="288" t="s">
        <v>570</v>
      </c>
      <c r="L293" s="358" t="s">
        <v>1637</v>
      </c>
      <c r="M293" s="288" t="s">
        <v>1273</v>
      </c>
      <c r="N293" s="290" t="s">
        <v>1940</v>
      </c>
      <c r="O293" s="288"/>
      <c r="P293" s="288"/>
      <c r="Q293" s="375">
        <v>250000</v>
      </c>
      <c r="R293" s="361" t="s">
        <v>362</v>
      </c>
      <c r="S293" s="294" t="s">
        <v>365</v>
      </c>
      <c r="T293" s="1058"/>
      <c r="U293" s="295"/>
      <c r="V293" s="295"/>
      <c r="W293" s="392"/>
      <c r="X293" s="385"/>
      <c r="Y293" s="293"/>
      <c r="Z293" s="294"/>
      <c r="AA293" s="293">
        <v>20000</v>
      </c>
      <c r="AB293" s="365">
        <f t="shared" si="51"/>
        <v>0</v>
      </c>
      <c r="AC293" s="387"/>
      <c r="AD293" s="587">
        <v>500000</v>
      </c>
      <c r="AE293" s="298"/>
      <c r="AF293" s="677"/>
      <c r="AG293" s="395">
        <f>SUM(AC293:AE293)</f>
        <v>500000</v>
      </c>
      <c r="AH293" s="502">
        <v>1</v>
      </c>
      <c r="AI293" s="503"/>
      <c r="AJ293" s="503">
        <f>SUM('Deployments History'!A9)</f>
        <v>1</v>
      </c>
      <c r="AK293" s="388"/>
      <c r="AL293" s="389"/>
      <c r="AM293" s="302"/>
      <c r="AN293" s="302"/>
      <c r="AO293" s="302"/>
      <c r="AP293" s="302"/>
      <c r="AQ293" s="302"/>
      <c r="AR293" s="302"/>
      <c r="AS293" s="302"/>
      <c r="AT293" s="302"/>
      <c r="AU293" s="302"/>
      <c r="AV293" s="302"/>
      <c r="AW293" s="302"/>
      <c r="AX293" s="390"/>
      <c r="AY293" s="390"/>
      <c r="AZ293" s="385"/>
      <c r="BA293" s="387"/>
      <c r="BB293" s="299">
        <f t="shared" si="52"/>
        <v>500000</v>
      </c>
      <c r="BC293" s="501"/>
      <c r="BD293" s="577"/>
      <c r="BE293" s="501"/>
      <c r="BF293" s="352">
        <f t="shared" si="53"/>
        <v>500000</v>
      </c>
      <c r="BG293" s="451" t="str">
        <f t="shared" si="49"/>
        <v>Y</v>
      </c>
      <c r="BH293" s="451"/>
      <c r="BI293" s="299"/>
      <c r="BJ293" s="698"/>
      <c r="BK293" s="698"/>
      <c r="BL293" s="300" t="s">
        <v>567</v>
      </c>
      <c r="BM293" s="707"/>
      <c r="BN293" s="391"/>
      <c r="BO293" s="707"/>
      <c r="BP293" s="717"/>
      <c r="BQ293" s="707"/>
      <c r="BR293" s="391"/>
      <c r="BS293" s="391"/>
      <c r="BT293" s="451" t="str">
        <f t="shared" si="50"/>
        <v>N</v>
      </c>
      <c r="BU293" s="451" t="str">
        <f t="shared" si="50"/>
        <v>N</v>
      </c>
      <c r="BV293" s="318"/>
      <c r="BW293" s="358"/>
      <c r="BX293" s="798" t="s">
        <v>2201</v>
      </c>
      <c r="BY293" s="449" t="s">
        <v>112</v>
      </c>
      <c r="BZ293" s="624"/>
      <c r="CA293" s="624"/>
      <c r="CB293" s="624"/>
      <c r="CC293" s="624"/>
      <c r="CD293" s="624"/>
      <c r="CE293" s="624"/>
      <c r="CF293" s="624"/>
      <c r="CG293" s="624"/>
      <c r="CH293" s="624"/>
    </row>
    <row r="294" spans="1:86" s="305" customFormat="1" ht="33.75" customHeight="1">
      <c r="A294" s="276" t="s">
        <v>1663</v>
      </c>
      <c r="B294" s="348">
        <v>222</v>
      </c>
      <c r="C294" s="348"/>
      <c r="D294" s="726" t="s">
        <v>441</v>
      </c>
      <c r="E294" s="349">
        <v>39891</v>
      </c>
      <c r="F294" s="288">
        <v>2009</v>
      </c>
      <c r="G294" s="288">
        <v>20</v>
      </c>
      <c r="H294" s="358" t="s">
        <v>379</v>
      </c>
      <c r="I294" s="288">
        <v>2009</v>
      </c>
      <c r="J294" s="288">
        <v>5</v>
      </c>
      <c r="K294" s="288" t="s">
        <v>1211</v>
      </c>
      <c r="L294" s="288" t="s">
        <v>717</v>
      </c>
      <c r="M294" s="288" t="s">
        <v>1271</v>
      </c>
      <c r="N294" s="290" t="s">
        <v>1877</v>
      </c>
      <c r="O294" s="288"/>
      <c r="P294" s="288"/>
      <c r="Q294" s="375">
        <v>31250</v>
      </c>
      <c r="R294" s="361" t="s">
        <v>362</v>
      </c>
      <c r="S294" s="294" t="s">
        <v>363</v>
      </c>
      <c r="T294" s="1058">
        <v>957924</v>
      </c>
      <c r="U294" s="295"/>
      <c r="V294" s="295" t="s">
        <v>1664</v>
      </c>
      <c r="W294" s="392" t="s">
        <v>362</v>
      </c>
      <c r="X294" s="385">
        <v>152369</v>
      </c>
      <c r="Y294" s="293">
        <v>25000</v>
      </c>
      <c r="Z294" s="294"/>
      <c r="AA294" s="293"/>
      <c r="AB294" s="365">
        <f t="shared" si="51"/>
        <v>0</v>
      </c>
      <c r="AC294" s="387"/>
      <c r="AD294" s="587"/>
      <c r="AE294" s="298"/>
      <c r="AF294" s="677"/>
      <c r="AG294" s="395"/>
      <c r="AH294" s="502"/>
      <c r="AI294" s="503"/>
      <c r="AJ294" s="503"/>
      <c r="AK294" s="367">
        <f>SUM(AM294:AW294)</f>
        <v>8000</v>
      </c>
      <c r="AL294" s="363"/>
      <c r="AM294" s="302"/>
      <c r="AN294" s="302"/>
      <c r="AO294" s="302">
        <v>8000</v>
      </c>
      <c r="AP294" s="302"/>
      <c r="AQ294" s="302"/>
      <c r="AR294" s="302"/>
      <c r="AS294" s="302"/>
      <c r="AT294" s="302"/>
      <c r="AU294" s="302"/>
      <c r="AV294" s="302"/>
      <c r="AW294" s="302"/>
      <c r="AX294" s="390"/>
      <c r="AY294" s="390"/>
      <c r="AZ294" s="385">
        <v>30000</v>
      </c>
      <c r="BA294" s="387"/>
      <c r="BB294" s="299">
        <f t="shared" si="52"/>
        <v>30000</v>
      </c>
      <c r="BC294" s="501"/>
      <c r="BD294" s="577"/>
      <c r="BE294" s="501"/>
      <c r="BF294" s="352">
        <f t="shared" si="53"/>
        <v>30000</v>
      </c>
      <c r="BG294" s="451" t="str">
        <f t="shared" si="49"/>
        <v>N</v>
      </c>
      <c r="BH294" s="451"/>
      <c r="BI294" s="299"/>
      <c r="BJ294" s="698"/>
      <c r="BK294" s="698"/>
      <c r="BL294" s="300">
        <v>2799</v>
      </c>
      <c r="BM294" s="707"/>
      <c r="BN294" s="391"/>
      <c r="BO294" s="707"/>
      <c r="BP294" s="717"/>
      <c r="BQ294" s="707"/>
      <c r="BR294" s="391"/>
      <c r="BS294" s="391"/>
      <c r="BT294" s="451" t="str">
        <f t="shared" si="50"/>
        <v>Y</v>
      </c>
      <c r="BU294" s="451" t="str">
        <f t="shared" si="50"/>
        <v>N</v>
      </c>
      <c r="BV294" s="304"/>
      <c r="BW294" s="288"/>
      <c r="BX294" s="798" t="s">
        <v>2200</v>
      </c>
      <c r="BY294" s="449" t="s">
        <v>1665</v>
      </c>
      <c r="BZ294" s="624"/>
      <c r="CA294" s="624"/>
      <c r="CB294" s="624"/>
      <c r="CC294" s="624"/>
      <c r="CD294" s="624"/>
      <c r="CE294" s="624"/>
      <c r="CF294" s="624"/>
      <c r="CG294" s="624"/>
      <c r="CH294" s="624"/>
    </row>
    <row r="295" spans="1:86" s="305" customFormat="1" ht="33.75" customHeight="1">
      <c r="A295" s="276" t="s">
        <v>404</v>
      </c>
      <c r="B295" s="348">
        <v>223</v>
      </c>
      <c r="C295" s="348"/>
      <c r="D295" s="726" t="s">
        <v>403</v>
      </c>
      <c r="E295" s="349">
        <v>39910</v>
      </c>
      <c r="F295" s="288">
        <v>2009</v>
      </c>
      <c r="G295" s="288">
        <v>21</v>
      </c>
      <c r="H295" s="288" t="s">
        <v>380</v>
      </c>
      <c r="I295" s="288">
        <v>2009</v>
      </c>
      <c r="J295" s="288">
        <v>6</v>
      </c>
      <c r="K295" s="288" t="s">
        <v>570</v>
      </c>
      <c r="L295" s="288" t="s">
        <v>1750</v>
      </c>
      <c r="M295" s="288" t="s">
        <v>1961</v>
      </c>
      <c r="N295" s="290" t="s">
        <v>1884</v>
      </c>
      <c r="O295" s="288"/>
      <c r="P295" s="288"/>
      <c r="Q295" s="375">
        <v>48000</v>
      </c>
      <c r="R295" s="361" t="s">
        <v>1752</v>
      </c>
      <c r="S295" s="294"/>
      <c r="T295" s="1058"/>
      <c r="U295" s="295"/>
      <c r="V295" s="295"/>
      <c r="W295" s="392" t="s">
        <v>362</v>
      </c>
      <c r="X295" s="385">
        <v>613944</v>
      </c>
      <c r="Y295" s="293"/>
      <c r="Z295" s="294" t="s">
        <v>362</v>
      </c>
      <c r="AA295" s="293"/>
      <c r="AB295" s="365">
        <f t="shared" si="51"/>
        <v>0</v>
      </c>
      <c r="AC295" s="387"/>
      <c r="AD295" s="587"/>
      <c r="AE295" s="298">
        <v>981315</v>
      </c>
      <c r="AF295" s="677"/>
      <c r="AG295" s="395">
        <f>SUM(AC295:AE295)</f>
        <v>981315</v>
      </c>
      <c r="AH295" s="383"/>
      <c r="AI295" s="384"/>
      <c r="AJ295" s="384"/>
      <c r="AK295" s="388"/>
      <c r="AL295" s="389"/>
      <c r="AM295" s="302"/>
      <c r="AN295" s="302"/>
      <c r="AO295" s="302"/>
      <c r="AP295" s="302"/>
      <c r="AQ295" s="302"/>
      <c r="AR295" s="302"/>
      <c r="AS295" s="302"/>
      <c r="AT295" s="302"/>
      <c r="AU295" s="302"/>
      <c r="AV295" s="302"/>
      <c r="AW295" s="302"/>
      <c r="AX295" s="390"/>
      <c r="AY295" s="390"/>
      <c r="AZ295" s="385"/>
      <c r="BA295" s="387"/>
      <c r="BB295" s="299">
        <f t="shared" si="52"/>
        <v>981315</v>
      </c>
      <c r="BC295" s="501"/>
      <c r="BD295" s="577"/>
      <c r="BE295" s="501"/>
      <c r="BF295" s="352">
        <f t="shared" si="53"/>
        <v>981315</v>
      </c>
      <c r="BG295" s="451" t="str">
        <f t="shared" si="49"/>
        <v>Y</v>
      </c>
      <c r="BH295" s="451"/>
      <c r="BI295" s="299"/>
      <c r="BJ295" s="698"/>
      <c r="BK295" s="698"/>
      <c r="BL295" s="300" t="s">
        <v>1577</v>
      </c>
      <c r="BM295" s="707"/>
      <c r="BN295" s="391"/>
      <c r="BO295" s="707"/>
      <c r="BP295" s="717"/>
      <c r="BQ295" s="707"/>
      <c r="BR295" s="391"/>
      <c r="BS295" s="391"/>
      <c r="BT295" s="451" t="str">
        <f t="shared" si="50"/>
        <v>N</v>
      </c>
      <c r="BU295" s="451" t="str">
        <f t="shared" si="50"/>
        <v>N</v>
      </c>
      <c r="BV295" s="304"/>
      <c r="BW295" s="288"/>
      <c r="BX295" s="798" t="s">
        <v>2199</v>
      </c>
      <c r="BY295" s="449" t="s">
        <v>1630</v>
      </c>
      <c r="BZ295" s="624"/>
      <c r="CA295" s="624"/>
      <c r="CB295" s="624"/>
      <c r="CC295" s="624"/>
      <c r="CD295" s="624"/>
      <c r="CE295" s="624"/>
      <c r="CF295" s="624"/>
      <c r="CG295" s="624"/>
      <c r="CH295" s="624"/>
    </row>
    <row r="296" spans="1:86" s="305" customFormat="1" ht="33.75" customHeight="1">
      <c r="A296" s="276" t="s">
        <v>84</v>
      </c>
      <c r="B296" s="348">
        <v>224</v>
      </c>
      <c r="C296" s="348"/>
      <c r="D296" s="726" t="s">
        <v>82</v>
      </c>
      <c r="E296" s="349">
        <v>39948</v>
      </c>
      <c r="F296" s="288">
        <v>2009</v>
      </c>
      <c r="G296" s="288">
        <v>22</v>
      </c>
      <c r="H296" s="288" t="s">
        <v>380</v>
      </c>
      <c r="I296" s="288">
        <v>2009</v>
      </c>
      <c r="J296" s="288">
        <v>7</v>
      </c>
      <c r="K296" s="288" t="s">
        <v>1210</v>
      </c>
      <c r="L296" s="300" t="s">
        <v>85</v>
      </c>
      <c r="M296" s="300" t="s">
        <v>1271</v>
      </c>
      <c r="N296" s="449" t="s">
        <v>1877</v>
      </c>
      <c r="O296" s="288"/>
      <c r="P296" s="288"/>
      <c r="Q296" s="375">
        <v>700000</v>
      </c>
      <c r="R296" s="361" t="s">
        <v>362</v>
      </c>
      <c r="S296" s="294" t="s">
        <v>363</v>
      </c>
      <c r="T296" s="1058">
        <v>1878181</v>
      </c>
      <c r="U296" s="295"/>
      <c r="V296" s="295" t="s">
        <v>86</v>
      </c>
      <c r="W296" s="392" t="s">
        <v>362</v>
      </c>
      <c r="X296" s="385">
        <v>128552</v>
      </c>
      <c r="Y296" s="293">
        <v>20000</v>
      </c>
      <c r="Z296" s="780"/>
      <c r="AA296" s="285"/>
      <c r="AB296" s="365">
        <f t="shared" si="51"/>
        <v>1</v>
      </c>
      <c r="AC296" s="387">
        <v>50000</v>
      </c>
      <c r="AD296" s="587"/>
      <c r="AE296" s="298"/>
      <c r="AF296" s="677"/>
      <c r="AG296" s="395">
        <f>SUM(AC296:AE296)</f>
        <v>50000</v>
      </c>
      <c r="AH296" s="499"/>
      <c r="AI296" s="500"/>
      <c r="AJ296" s="500"/>
      <c r="AK296" s="388"/>
      <c r="AL296" s="389"/>
      <c r="AM296" s="302"/>
      <c r="AN296" s="302"/>
      <c r="AO296" s="302"/>
      <c r="AP296" s="302"/>
      <c r="AQ296" s="302"/>
      <c r="AR296" s="302"/>
      <c r="AS296" s="302"/>
      <c r="AT296" s="302"/>
      <c r="AU296" s="302"/>
      <c r="AV296" s="302"/>
      <c r="AW296" s="302"/>
      <c r="AX296" s="390"/>
      <c r="AY296" s="390"/>
      <c r="AZ296" s="385"/>
      <c r="BA296" s="387"/>
      <c r="BB296" s="299">
        <f t="shared" si="52"/>
        <v>50000</v>
      </c>
      <c r="BC296" s="394"/>
      <c r="BD296" s="395"/>
      <c r="BE296" s="501"/>
      <c r="BF296" s="352">
        <f t="shared" si="53"/>
        <v>50000</v>
      </c>
      <c r="BG296" s="451" t="str">
        <f t="shared" si="49"/>
        <v>N</v>
      </c>
      <c r="BH296" s="451"/>
      <c r="BI296" s="299"/>
      <c r="BJ296" s="698"/>
      <c r="BK296" s="698"/>
      <c r="BL296" s="303">
        <v>2799</v>
      </c>
      <c r="BM296" s="706"/>
      <c r="BN296" s="373"/>
      <c r="BO296" s="706"/>
      <c r="BP296" s="716"/>
      <c r="BQ296" s="706"/>
      <c r="BR296" s="373"/>
      <c r="BS296" s="373"/>
      <c r="BT296" s="451" t="str">
        <f>IF(OR(BL296=2799),"Y","N")</f>
        <v>Y</v>
      </c>
      <c r="BU296" s="451" t="str">
        <f>IF(OR(BM296=2799),"Y","N")</f>
        <v>N</v>
      </c>
      <c r="BV296" s="318"/>
      <c r="BW296" s="358"/>
      <c r="BX296" s="798" t="s">
        <v>2198</v>
      </c>
      <c r="BY296" s="449" t="s">
        <v>1680</v>
      </c>
      <c r="BZ296" s="624"/>
      <c r="CA296" s="624"/>
      <c r="CB296" s="624"/>
      <c r="CC296" s="624"/>
      <c r="CD296" s="624"/>
      <c r="CE296" s="624"/>
      <c r="CF296" s="624"/>
      <c r="CG296" s="624"/>
      <c r="CH296" s="624"/>
    </row>
    <row r="297" spans="1:86" s="639" customFormat="1" ht="33.75" customHeight="1">
      <c r="A297" s="644"/>
      <c r="B297" s="645">
        <v>225</v>
      </c>
      <c r="C297" s="645"/>
      <c r="D297" s="730" t="s">
        <v>83</v>
      </c>
      <c r="E297" s="646">
        <v>39948</v>
      </c>
      <c r="F297" s="626">
        <v>2009</v>
      </c>
      <c r="G297" s="626">
        <v>23</v>
      </c>
      <c r="H297" s="626" t="s">
        <v>380</v>
      </c>
      <c r="I297" s="626">
        <v>2009</v>
      </c>
      <c r="J297" s="626">
        <v>8</v>
      </c>
      <c r="K297" s="626" t="s">
        <v>1210</v>
      </c>
      <c r="L297" s="626" t="s">
        <v>1992</v>
      </c>
      <c r="M297" s="620" t="s">
        <v>1963</v>
      </c>
      <c r="N297" s="628" t="s">
        <v>1639</v>
      </c>
      <c r="O297" s="620"/>
      <c r="P297" s="620"/>
      <c r="Q297" s="647">
        <v>25000000</v>
      </c>
      <c r="R297" s="648" t="s">
        <v>362</v>
      </c>
      <c r="S297" s="631" t="s">
        <v>363</v>
      </c>
      <c r="T297" s="1063">
        <v>2200000</v>
      </c>
      <c r="U297" s="632"/>
      <c r="V297" s="632" t="s">
        <v>114</v>
      </c>
      <c r="W297" s="649" t="s">
        <v>362</v>
      </c>
      <c r="X297" s="650">
        <v>315628</v>
      </c>
      <c r="Y297" s="590">
        <v>25000000</v>
      </c>
      <c r="Z297" s="782"/>
      <c r="AA297" s="590"/>
      <c r="AB297" s="365">
        <f t="shared" si="51"/>
        <v>1</v>
      </c>
      <c r="AC297" s="651">
        <v>200000</v>
      </c>
      <c r="AD297" s="1033"/>
      <c r="AE297" s="634"/>
      <c r="AF297" s="687"/>
      <c r="AG297" s="658">
        <f>SUM(AC297:AE297)</f>
        <v>200000</v>
      </c>
      <c r="AH297" s="652"/>
      <c r="AI297" s="653"/>
      <c r="AJ297" s="653"/>
      <c r="AK297" s="654"/>
      <c r="AL297" s="655"/>
      <c r="AM297" s="636"/>
      <c r="AN297" s="636"/>
      <c r="AO297" s="636"/>
      <c r="AP297" s="636"/>
      <c r="AQ297" s="636"/>
      <c r="AR297" s="636"/>
      <c r="AS297" s="636"/>
      <c r="AT297" s="636"/>
      <c r="AU297" s="636"/>
      <c r="AV297" s="636"/>
      <c r="AW297" s="636"/>
      <c r="AX297" s="656"/>
      <c r="AY297" s="656"/>
      <c r="AZ297" s="650"/>
      <c r="BA297" s="651"/>
      <c r="BB297" s="634">
        <f t="shared" si="52"/>
        <v>200000</v>
      </c>
      <c r="BC297" s="657"/>
      <c r="BD297" s="658"/>
      <c r="BE297" s="659"/>
      <c r="BF297" s="650">
        <f t="shared" si="53"/>
        <v>200000</v>
      </c>
      <c r="BG297" s="451" t="str">
        <f t="shared" si="49"/>
        <v>Y</v>
      </c>
      <c r="BH297" s="689"/>
      <c r="BI297" s="634"/>
      <c r="BJ297" s="700"/>
      <c r="BK297" s="700"/>
      <c r="BL297" s="635">
        <v>2869</v>
      </c>
      <c r="BM297" s="713"/>
      <c r="BN297" s="660"/>
      <c r="BO297" s="713"/>
      <c r="BP297" s="721"/>
      <c r="BQ297" s="713"/>
      <c r="BR297" s="660" t="s">
        <v>362</v>
      </c>
      <c r="BS297" s="660"/>
      <c r="BT297" s="451" t="str">
        <f t="shared" ref="BT297:BU315" si="54">IF(OR(BL297=2799),"Y","N")</f>
        <v>N</v>
      </c>
      <c r="BU297" s="451" t="str">
        <f t="shared" si="54"/>
        <v>N</v>
      </c>
      <c r="BV297" s="637" t="s">
        <v>630</v>
      </c>
      <c r="BW297" s="626"/>
      <c r="BX297" s="798" t="s">
        <v>2197</v>
      </c>
      <c r="BY297" s="639" t="s">
        <v>1223</v>
      </c>
    </row>
    <row r="298" spans="1:86" s="305" customFormat="1" ht="33.75" customHeight="1">
      <c r="A298" s="276"/>
      <c r="B298" s="348">
        <v>226</v>
      </c>
      <c r="C298" s="348"/>
      <c r="D298" s="726" t="s">
        <v>2004</v>
      </c>
      <c r="E298" s="349">
        <v>39948</v>
      </c>
      <c r="F298" s="288">
        <v>2009</v>
      </c>
      <c r="G298" s="288">
        <v>24</v>
      </c>
      <c r="H298" s="288" t="s">
        <v>380</v>
      </c>
      <c r="I298" s="288">
        <v>2009</v>
      </c>
      <c r="J298" s="288">
        <v>9</v>
      </c>
      <c r="K298" s="288" t="s">
        <v>570</v>
      </c>
      <c r="L298" s="358" t="s">
        <v>1668</v>
      </c>
      <c r="M298" s="288" t="s">
        <v>1273</v>
      </c>
      <c r="N298" s="290" t="s">
        <v>1940</v>
      </c>
      <c r="O298" s="288"/>
      <c r="P298" s="288"/>
      <c r="Q298" s="375">
        <v>2000000</v>
      </c>
      <c r="R298" s="361" t="s">
        <v>362</v>
      </c>
      <c r="S298" s="294" t="s">
        <v>363</v>
      </c>
      <c r="T298" s="1058">
        <v>7300000</v>
      </c>
      <c r="U298" s="295"/>
      <c r="V298" s="295" t="s">
        <v>33</v>
      </c>
      <c r="W298" s="392"/>
      <c r="X298" s="393"/>
      <c r="Y298" s="293">
        <v>91000</v>
      </c>
      <c r="Z298" s="780"/>
      <c r="AA298" s="293"/>
      <c r="AB298" s="365">
        <f t="shared" si="51"/>
        <v>1</v>
      </c>
      <c r="AC298" s="387">
        <v>250000</v>
      </c>
      <c r="AD298" s="587"/>
      <c r="AE298" s="298"/>
      <c r="AF298" s="677"/>
      <c r="AG298" s="395">
        <f>SUM(AC298:AE298)</f>
        <v>250000</v>
      </c>
      <c r="AH298" s="502"/>
      <c r="AI298" s="503"/>
      <c r="AJ298" s="503"/>
      <c r="AK298" s="388">
        <v>5150</v>
      </c>
      <c r="AL298" s="389"/>
      <c r="AM298" s="302"/>
      <c r="AN298" s="302"/>
      <c r="AO298" s="302"/>
      <c r="AP298" s="302"/>
      <c r="AQ298" s="302"/>
      <c r="AR298" s="302"/>
      <c r="AS298" s="302"/>
      <c r="AT298" s="302"/>
      <c r="AU298" s="302"/>
      <c r="AV298" s="302"/>
      <c r="AW298" s="302"/>
      <c r="AX298" s="390"/>
      <c r="AY298" s="390"/>
      <c r="AZ298" s="385">
        <v>80000</v>
      </c>
      <c r="BA298" s="387"/>
      <c r="BB298" s="299">
        <f t="shared" si="52"/>
        <v>330000</v>
      </c>
      <c r="BC298" s="394"/>
      <c r="BD298" s="395"/>
      <c r="BE298" s="501"/>
      <c r="BF298" s="352">
        <f t="shared" si="53"/>
        <v>330000</v>
      </c>
      <c r="BG298" s="451" t="str">
        <f t="shared" si="49"/>
        <v>N</v>
      </c>
      <c r="BH298" s="451"/>
      <c r="BI298" s="299"/>
      <c r="BJ298" s="698"/>
      <c r="BK298" s="698"/>
      <c r="BL298" s="303">
        <v>2799</v>
      </c>
      <c r="BM298" s="706"/>
      <c r="BN298" s="373"/>
      <c r="BO298" s="706"/>
      <c r="BP298" s="716"/>
      <c r="BQ298" s="706"/>
      <c r="BR298" s="373"/>
      <c r="BS298" s="373"/>
      <c r="BT298" s="451" t="str">
        <f t="shared" si="54"/>
        <v>Y</v>
      </c>
      <c r="BU298" s="451" t="str">
        <f t="shared" si="54"/>
        <v>N</v>
      </c>
      <c r="BV298" s="304"/>
      <c r="BW298" s="288"/>
      <c r="BX298" s="798" t="s">
        <v>2187</v>
      </c>
      <c r="BY298" s="449" t="s">
        <v>32</v>
      </c>
      <c r="BZ298" s="624"/>
      <c r="CA298" s="624"/>
      <c r="CB298" s="624"/>
      <c r="CC298" s="624"/>
      <c r="CD298" s="624"/>
      <c r="CE298" s="624"/>
      <c r="CF298" s="624"/>
      <c r="CG298" s="624"/>
      <c r="CH298" s="624"/>
    </row>
    <row r="299" spans="1:86" s="305" customFormat="1" ht="33.75" customHeight="1">
      <c r="A299" s="276" t="s">
        <v>30</v>
      </c>
      <c r="B299" s="348">
        <v>227</v>
      </c>
      <c r="C299" s="348"/>
      <c r="D299" s="726" t="s">
        <v>29</v>
      </c>
      <c r="E299" s="349">
        <v>39990</v>
      </c>
      <c r="F299" s="288">
        <v>2009</v>
      </c>
      <c r="G299" s="288">
        <v>25</v>
      </c>
      <c r="H299" s="288" t="s">
        <v>380</v>
      </c>
      <c r="I299" s="288">
        <v>2009</v>
      </c>
      <c r="J299" s="288">
        <v>10</v>
      </c>
      <c r="K299" s="288" t="s">
        <v>570</v>
      </c>
      <c r="L299" s="288" t="s">
        <v>1943</v>
      </c>
      <c r="M299" s="288" t="s">
        <v>1271</v>
      </c>
      <c r="N299" s="290" t="s">
        <v>1965</v>
      </c>
      <c r="O299" s="288"/>
      <c r="P299" s="288"/>
      <c r="Q299" s="375">
        <v>3928238</v>
      </c>
      <c r="R299" s="361" t="s">
        <v>362</v>
      </c>
      <c r="S299" s="294" t="s">
        <v>363</v>
      </c>
      <c r="T299" s="1058">
        <v>2200000</v>
      </c>
      <c r="U299" s="295"/>
      <c r="V299" s="295" t="s">
        <v>31</v>
      </c>
      <c r="W299" s="392" t="s">
        <v>362</v>
      </c>
      <c r="X299" s="385">
        <v>230677</v>
      </c>
      <c r="Y299" s="293">
        <v>184000</v>
      </c>
      <c r="Z299" s="294"/>
      <c r="AA299" s="293"/>
      <c r="AB299" s="365">
        <f t="shared" si="51"/>
        <v>0</v>
      </c>
      <c r="AC299" s="387"/>
      <c r="AD299" s="587"/>
      <c r="AE299" s="298"/>
      <c r="AF299" s="677"/>
      <c r="AG299" s="395"/>
      <c r="AH299" s="502">
        <v>1</v>
      </c>
      <c r="AI299" s="503"/>
      <c r="AJ299" s="503">
        <f>SUM('Deployments History'!A10)</f>
        <v>1</v>
      </c>
      <c r="AK299" s="388"/>
      <c r="AL299" s="389"/>
      <c r="AM299" s="302"/>
      <c r="AN299" s="302"/>
      <c r="AO299" s="302"/>
      <c r="AP299" s="302"/>
      <c r="AQ299" s="302"/>
      <c r="AR299" s="302"/>
      <c r="AS299" s="302"/>
      <c r="AT299" s="302"/>
      <c r="AU299" s="302"/>
      <c r="AV299" s="302"/>
      <c r="AW299" s="302"/>
      <c r="AX299" s="390"/>
      <c r="AY299" s="390"/>
      <c r="AZ299" s="385"/>
      <c r="BA299" s="387"/>
      <c r="BB299" s="299">
        <f t="shared" si="52"/>
        <v>0</v>
      </c>
      <c r="BC299" s="394"/>
      <c r="BD299" s="395"/>
      <c r="BE299" s="501"/>
      <c r="BF299" s="670">
        <f t="shared" si="53"/>
        <v>0</v>
      </c>
      <c r="BG299" s="451" t="str">
        <f t="shared" si="49"/>
        <v>Y</v>
      </c>
      <c r="BH299" s="686"/>
      <c r="BI299" s="670"/>
      <c r="BJ299" s="701"/>
      <c r="BK299" s="701"/>
      <c r="BL299" s="303">
        <v>2017</v>
      </c>
      <c r="BM299" s="668"/>
      <c r="BN299" s="303"/>
      <c r="BO299" s="668"/>
      <c r="BP299" s="584"/>
      <c r="BQ299" s="668"/>
      <c r="BR299" s="303"/>
      <c r="BS299" s="303"/>
      <c r="BT299" s="451" t="str">
        <f t="shared" si="54"/>
        <v>N</v>
      </c>
      <c r="BU299" s="451" t="str">
        <f t="shared" si="54"/>
        <v>N</v>
      </c>
      <c r="BV299" s="304"/>
      <c r="BW299" s="288"/>
      <c r="BX299" s="798" t="s">
        <v>2196</v>
      </c>
      <c r="BY299" s="449" t="s">
        <v>54</v>
      </c>
      <c r="BZ299" s="624"/>
      <c r="CA299" s="624"/>
      <c r="CB299" s="624"/>
      <c r="CC299" s="624"/>
      <c r="CD299" s="624"/>
      <c r="CE299" s="624"/>
      <c r="CF299" s="624"/>
      <c r="CG299" s="624"/>
      <c r="CH299" s="624"/>
    </row>
    <row r="300" spans="1:86" s="305" customFormat="1" ht="33.75" customHeight="1">
      <c r="A300" s="276" t="s">
        <v>354</v>
      </c>
      <c r="B300" s="348">
        <v>228</v>
      </c>
      <c r="C300" s="348"/>
      <c r="D300" s="731" t="s">
        <v>357</v>
      </c>
      <c r="E300" s="349">
        <v>40037</v>
      </c>
      <c r="F300" s="288">
        <v>2010</v>
      </c>
      <c r="G300" s="288">
        <v>1</v>
      </c>
      <c r="H300" s="288" t="s">
        <v>376</v>
      </c>
      <c r="I300" s="288">
        <v>2009</v>
      </c>
      <c r="J300" s="288">
        <v>11</v>
      </c>
      <c r="K300" s="288" t="s">
        <v>570</v>
      </c>
      <c r="L300" s="288" t="s">
        <v>355</v>
      </c>
      <c r="M300" s="288" t="s">
        <v>1271</v>
      </c>
      <c r="N300" s="290" t="s">
        <v>1877</v>
      </c>
      <c r="O300" s="288"/>
      <c r="P300" s="288"/>
      <c r="Q300" s="375">
        <v>12000</v>
      </c>
      <c r="R300" s="361" t="s">
        <v>362</v>
      </c>
      <c r="S300" s="294" t="s">
        <v>363</v>
      </c>
      <c r="T300" s="1058">
        <v>806936</v>
      </c>
      <c r="U300" s="295"/>
      <c r="V300" s="295" t="s">
        <v>356</v>
      </c>
      <c r="W300" s="392" t="s">
        <v>362</v>
      </c>
      <c r="X300" s="352">
        <v>118472</v>
      </c>
      <c r="Y300" s="293">
        <v>4320</v>
      </c>
      <c r="Z300" s="780"/>
      <c r="AA300" s="293">
        <f>33*5</f>
        <v>165</v>
      </c>
      <c r="AB300" s="365">
        <f t="shared" si="51"/>
        <v>0</v>
      </c>
      <c r="AC300" s="387">
        <v>11500</v>
      </c>
      <c r="AD300" s="587"/>
      <c r="AE300" s="298"/>
      <c r="AF300" s="677"/>
      <c r="AG300" s="395">
        <f t="shared" ref="AG300:AG313" si="55">SUM(AC300:AE300)</f>
        <v>11500</v>
      </c>
      <c r="AH300" s="502"/>
      <c r="AI300" s="503"/>
      <c r="AJ300" s="503"/>
      <c r="AK300" s="367"/>
      <c r="AL300" s="363"/>
      <c r="AM300" s="302"/>
      <c r="AN300" s="302"/>
      <c r="AO300" s="302"/>
      <c r="AP300" s="302"/>
      <c r="AQ300" s="302"/>
      <c r="AR300" s="302"/>
      <c r="AS300" s="302"/>
      <c r="AT300" s="302"/>
      <c r="AU300" s="302"/>
      <c r="AV300" s="302"/>
      <c r="AW300" s="302"/>
      <c r="AX300" s="390"/>
      <c r="AY300" s="390"/>
      <c r="AZ300" s="385"/>
      <c r="BA300" s="387"/>
      <c r="BB300" s="299">
        <f t="shared" si="52"/>
        <v>11500</v>
      </c>
      <c r="BC300" s="394"/>
      <c r="BD300" s="395"/>
      <c r="BE300" s="501"/>
      <c r="BF300" s="352">
        <f t="shared" si="53"/>
        <v>11500</v>
      </c>
      <c r="BG300" s="451" t="str">
        <f t="shared" si="49"/>
        <v>N</v>
      </c>
      <c r="BH300" s="451"/>
      <c r="BI300" s="299"/>
      <c r="BJ300" s="698"/>
      <c r="BK300" s="698"/>
      <c r="BL300" s="373">
        <v>2799</v>
      </c>
      <c r="BM300" s="706"/>
      <c r="BN300" s="373"/>
      <c r="BO300" s="706"/>
      <c r="BP300" s="716"/>
      <c r="BQ300" s="706"/>
      <c r="BR300" s="373"/>
      <c r="BS300" s="373"/>
      <c r="BT300" s="451" t="str">
        <f t="shared" si="54"/>
        <v>Y</v>
      </c>
      <c r="BU300" s="451" t="str">
        <f t="shared" si="54"/>
        <v>N</v>
      </c>
      <c r="BV300" s="304"/>
      <c r="BW300" s="288"/>
      <c r="BX300" s="798" t="s">
        <v>2195</v>
      </c>
      <c r="BY300" s="449" t="s">
        <v>1684</v>
      </c>
      <c r="BZ300" s="624"/>
      <c r="CA300" s="624"/>
      <c r="CB300" s="624"/>
      <c r="CC300" s="624"/>
      <c r="CD300" s="624"/>
      <c r="CE300" s="624"/>
      <c r="CF300" s="624"/>
      <c r="CG300" s="624"/>
      <c r="CH300" s="624"/>
    </row>
    <row r="301" spans="1:86" s="305" customFormat="1" ht="33.75" customHeight="1">
      <c r="A301" s="275" t="s">
        <v>339</v>
      </c>
      <c r="B301" s="355">
        <v>229</v>
      </c>
      <c r="C301" s="355"/>
      <c r="D301" s="732" t="s">
        <v>340</v>
      </c>
      <c r="E301" s="356">
        <v>40057</v>
      </c>
      <c r="F301" s="358">
        <v>2010</v>
      </c>
      <c r="G301" s="358">
        <v>2</v>
      </c>
      <c r="H301" s="358" t="s">
        <v>376</v>
      </c>
      <c r="I301" s="358">
        <v>2009</v>
      </c>
      <c r="J301" s="358">
        <v>12</v>
      </c>
      <c r="K301" s="358" t="s">
        <v>570</v>
      </c>
      <c r="L301" s="358" t="s">
        <v>1608</v>
      </c>
      <c r="M301" s="358" t="s">
        <v>1271</v>
      </c>
      <c r="N301" s="359" t="s">
        <v>1874</v>
      </c>
      <c r="O301" s="358"/>
      <c r="P301" s="358"/>
      <c r="Q301" s="360">
        <v>1300000</v>
      </c>
      <c r="R301" s="361" t="s">
        <v>362</v>
      </c>
      <c r="S301" s="294" t="s">
        <v>363</v>
      </c>
      <c r="T301" s="1058">
        <v>3557433</v>
      </c>
      <c r="U301" s="295"/>
      <c r="V301" s="295" t="s">
        <v>341</v>
      </c>
      <c r="W301" s="362" t="s">
        <v>362</v>
      </c>
      <c r="X301" s="661">
        <v>303195</v>
      </c>
      <c r="Y301" s="293">
        <v>260000</v>
      </c>
      <c r="Z301" s="780"/>
      <c r="AA301" s="293"/>
      <c r="AB301" s="365">
        <f t="shared" si="51"/>
        <v>1</v>
      </c>
      <c r="AC301" s="364">
        <v>50000</v>
      </c>
      <c r="AD301" s="427"/>
      <c r="AE301" s="299"/>
      <c r="AF301" s="670"/>
      <c r="AG301" s="371">
        <f t="shared" si="55"/>
        <v>50000</v>
      </c>
      <c r="AH301" s="499"/>
      <c r="AI301" s="500"/>
      <c r="AJ301" s="500"/>
      <c r="AK301" s="367"/>
      <c r="AL301" s="363"/>
      <c r="AM301" s="368"/>
      <c r="AN301" s="368"/>
      <c r="AO301" s="368"/>
      <c r="AP301" s="368"/>
      <c r="AQ301" s="368"/>
      <c r="AR301" s="368"/>
      <c r="AS301" s="368"/>
      <c r="AT301" s="368"/>
      <c r="AU301" s="368"/>
      <c r="AV301" s="368"/>
      <c r="AW301" s="368"/>
      <c r="AX301" s="369"/>
      <c r="AY301" s="369"/>
      <c r="AZ301" s="352"/>
      <c r="BA301" s="364"/>
      <c r="BB301" s="299">
        <f t="shared" si="52"/>
        <v>50000</v>
      </c>
      <c r="BC301" s="370"/>
      <c r="BD301" s="371"/>
      <c r="BE301" s="549"/>
      <c r="BF301" s="352">
        <f t="shared" si="53"/>
        <v>50000</v>
      </c>
      <c r="BG301" s="451" t="s">
        <v>1752</v>
      </c>
      <c r="BH301" s="451"/>
      <c r="BI301" s="299"/>
      <c r="BJ301" s="698"/>
      <c r="BK301" s="698"/>
      <c r="BL301" s="373">
        <v>2869</v>
      </c>
      <c r="BM301" s="706"/>
      <c r="BN301" s="373"/>
      <c r="BO301" s="706"/>
      <c r="BP301" s="716"/>
      <c r="BQ301" s="706"/>
      <c r="BR301" s="706">
        <v>50000</v>
      </c>
      <c r="BS301" s="373"/>
      <c r="BT301" s="451" t="str">
        <f t="shared" si="54"/>
        <v>N</v>
      </c>
      <c r="BU301" s="451" t="str">
        <f t="shared" si="54"/>
        <v>N</v>
      </c>
      <c r="BV301" s="318" t="s">
        <v>1840</v>
      </c>
      <c r="BW301" s="358"/>
      <c r="BX301" s="798" t="s">
        <v>2193</v>
      </c>
      <c r="BY301" s="374" t="s">
        <v>1683</v>
      </c>
      <c r="BZ301" s="624"/>
      <c r="CA301" s="624"/>
      <c r="CB301" s="624"/>
      <c r="CC301" s="624"/>
      <c r="CD301" s="624"/>
      <c r="CE301" s="624"/>
      <c r="CF301" s="624"/>
      <c r="CG301" s="624"/>
      <c r="CH301" s="624"/>
    </row>
    <row r="302" spans="1:86" s="305" customFormat="1" ht="33.75" customHeight="1">
      <c r="A302" s="276" t="s">
        <v>7</v>
      </c>
      <c r="B302" s="348">
        <v>230</v>
      </c>
      <c r="C302" s="348"/>
      <c r="D302" s="731" t="s">
        <v>547</v>
      </c>
      <c r="E302" s="349">
        <v>40066</v>
      </c>
      <c r="F302" s="288">
        <v>2010</v>
      </c>
      <c r="G302" s="288">
        <v>3</v>
      </c>
      <c r="H302" s="288" t="s">
        <v>376</v>
      </c>
      <c r="I302" s="288">
        <v>2009</v>
      </c>
      <c r="J302" s="288">
        <v>13</v>
      </c>
      <c r="K302" s="288" t="s">
        <v>1210</v>
      </c>
      <c r="L302" s="288" t="s">
        <v>1420</v>
      </c>
      <c r="M302" s="288" t="s">
        <v>1271</v>
      </c>
      <c r="N302" s="290" t="s">
        <v>1877</v>
      </c>
      <c r="O302" s="288"/>
      <c r="P302" s="288"/>
      <c r="Q302" s="375">
        <v>600000</v>
      </c>
      <c r="R302" s="361" t="s">
        <v>362</v>
      </c>
      <c r="S302" s="294" t="s">
        <v>363</v>
      </c>
      <c r="T302" s="1058">
        <v>2600000</v>
      </c>
      <c r="U302" s="295"/>
      <c r="V302" s="295" t="s">
        <v>1421</v>
      </c>
      <c r="W302" s="392" t="s">
        <v>362</v>
      </c>
      <c r="X302" s="352">
        <v>419190</v>
      </c>
      <c r="Y302" s="293">
        <v>40000</v>
      </c>
      <c r="Z302" s="294"/>
      <c r="AA302" s="293"/>
      <c r="AB302" s="365">
        <f t="shared" si="51"/>
        <v>0</v>
      </c>
      <c r="AC302" s="387"/>
      <c r="AD302" s="587"/>
      <c r="AE302" s="298"/>
      <c r="AF302" s="677"/>
      <c r="AG302" s="395">
        <f t="shared" si="55"/>
        <v>0</v>
      </c>
      <c r="AH302" s="502">
        <v>1</v>
      </c>
      <c r="AI302" s="503"/>
      <c r="AJ302" s="503">
        <f>SUM('Deployments History'!A32)</f>
        <v>1</v>
      </c>
      <c r="AK302" s="367"/>
      <c r="AL302" s="363"/>
      <c r="AM302" s="302">
        <v>7500</v>
      </c>
      <c r="AN302" s="302">
        <v>37500</v>
      </c>
      <c r="AO302" s="302">
        <v>7500</v>
      </c>
      <c r="AP302" s="302">
        <v>7500</v>
      </c>
      <c r="AQ302" s="302">
        <v>500</v>
      </c>
      <c r="AR302" s="302">
        <v>7500</v>
      </c>
      <c r="AS302" s="302"/>
      <c r="AT302" s="302"/>
      <c r="AU302" s="302"/>
      <c r="AV302" s="302"/>
      <c r="AW302" s="302"/>
      <c r="AX302" s="390"/>
      <c r="AY302" s="390"/>
      <c r="AZ302" s="385"/>
      <c r="BA302" s="387"/>
      <c r="BB302" s="299">
        <f t="shared" si="52"/>
        <v>0</v>
      </c>
      <c r="BC302" s="394"/>
      <c r="BD302" s="395"/>
      <c r="BE302" s="501"/>
      <c r="BF302" s="352">
        <f t="shared" si="53"/>
        <v>0</v>
      </c>
      <c r="BG302" s="451" t="str">
        <f t="shared" si="49"/>
        <v>N</v>
      </c>
      <c r="BH302" s="451"/>
      <c r="BI302" s="299"/>
      <c r="BJ302" s="698"/>
      <c r="BK302" s="698"/>
      <c r="BL302" s="373">
        <v>2799</v>
      </c>
      <c r="BM302" s="706"/>
      <c r="BN302" s="373"/>
      <c r="BO302" s="706"/>
      <c r="BP302" s="716"/>
      <c r="BQ302" s="706"/>
      <c r="BR302" s="373"/>
      <c r="BS302" s="373"/>
      <c r="BT302" s="451" t="str">
        <f t="shared" si="54"/>
        <v>Y</v>
      </c>
      <c r="BU302" s="451" t="str">
        <f t="shared" si="54"/>
        <v>N</v>
      </c>
      <c r="BV302" s="304"/>
      <c r="BW302" s="288"/>
      <c r="BX302" s="798" t="s">
        <v>2192</v>
      </c>
      <c r="BY302" s="449" t="s">
        <v>548</v>
      </c>
      <c r="BZ302" s="624"/>
      <c r="CA302" s="624"/>
      <c r="CB302" s="624"/>
      <c r="CC302" s="624"/>
      <c r="CD302" s="624"/>
      <c r="CE302" s="624"/>
      <c r="CF302" s="624"/>
      <c r="CG302" s="624"/>
      <c r="CH302" s="624"/>
    </row>
    <row r="303" spans="1:86" s="305" customFormat="1" ht="33.75" customHeight="1">
      <c r="A303" s="276" t="s">
        <v>6</v>
      </c>
      <c r="B303" s="348">
        <v>230</v>
      </c>
      <c r="C303" s="348"/>
      <c r="D303" s="731" t="s">
        <v>546</v>
      </c>
      <c r="E303" s="349">
        <v>40066</v>
      </c>
      <c r="F303" s="288">
        <v>2010</v>
      </c>
      <c r="G303" s="288">
        <v>3</v>
      </c>
      <c r="H303" s="288" t="s">
        <v>376</v>
      </c>
      <c r="I303" s="288">
        <v>2009</v>
      </c>
      <c r="J303" s="288">
        <v>13</v>
      </c>
      <c r="K303" s="288" t="s">
        <v>1210</v>
      </c>
      <c r="L303" s="288" t="s">
        <v>1902</v>
      </c>
      <c r="M303" s="288" t="s">
        <v>1271</v>
      </c>
      <c r="N303" s="290" t="s">
        <v>1877</v>
      </c>
      <c r="O303" s="288"/>
      <c r="P303" s="288"/>
      <c r="Q303" s="375">
        <v>156000</v>
      </c>
      <c r="R303" s="361" t="s">
        <v>362</v>
      </c>
      <c r="S303" s="294" t="s">
        <v>363</v>
      </c>
      <c r="T303" s="1058">
        <v>2000000</v>
      </c>
      <c r="U303" s="295"/>
      <c r="V303" s="295" t="s">
        <v>1421</v>
      </c>
      <c r="W303" s="392" t="s">
        <v>362</v>
      </c>
      <c r="X303" s="352">
        <v>419190</v>
      </c>
      <c r="Y303" s="293">
        <v>25000</v>
      </c>
      <c r="Z303" s="294"/>
      <c r="AA303" s="293"/>
      <c r="AB303" s="365">
        <f t="shared" si="51"/>
        <v>0</v>
      </c>
      <c r="AC303" s="387"/>
      <c r="AD303" s="587"/>
      <c r="AE303" s="298"/>
      <c r="AF303" s="677"/>
      <c r="AG303" s="395">
        <f t="shared" si="55"/>
        <v>0</v>
      </c>
      <c r="AH303" s="502">
        <v>3</v>
      </c>
      <c r="AI303" s="503" t="s">
        <v>226</v>
      </c>
      <c r="AJ303" s="503">
        <f>SUM('Deployments History'!A33:A35)</f>
        <v>3</v>
      </c>
      <c r="AK303" s="388"/>
      <c r="AL303" s="389"/>
      <c r="AM303" s="302"/>
      <c r="AN303" s="302"/>
      <c r="AO303" s="302"/>
      <c r="AP303" s="302"/>
      <c r="AQ303" s="302"/>
      <c r="AR303" s="302"/>
      <c r="AS303" s="302"/>
      <c r="AT303" s="302"/>
      <c r="AU303" s="302"/>
      <c r="AV303" s="302"/>
      <c r="AW303" s="302"/>
      <c r="AX303" s="390"/>
      <c r="AY303" s="390"/>
      <c r="AZ303" s="385"/>
      <c r="BA303" s="387"/>
      <c r="BB303" s="299">
        <f t="shared" si="52"/>
        <v>0</v>
      </c>
      <c r="BC303" s="394"/>
      <c r="BD303" s="395"/>
      <c r="BE303" s="501"/>
      <c r="BF303" s="352">
        <f t="shared" si="53"/>
        <v>0</v>
      </c>
      <c r="BG303" s="451" t="str">
        <f t="shared" si="49"/>
        <v>N</v>
      </c>
      <c r="BH303" s="451"/>
      <c r="BI303" s="299"/>
      <c r="BJ303" s="698"/>
      <c r="BK303" s="698"/>
      <c r="BL303" s="373">
        <v>2799</v>
      </c>
      <c r="BM303" s="706"/>
      <c r="BN303" s="373"/>
      <c r="BO303" s="706"/>
      <c r="BP303" s="716"/>
      <c r="BQ303" s="706"/>
      <c r="BR303" s="373"/>
      <c r="BS303" s="373"/>
      <c r="BT303" s="451" t="str">
        <f t="shared" si="54"/>
        <v>Y</v>
      </c>
      <c r="BU303" s="451" t="str">
        <f t="shared" si="54"/>
        <v>N</v>
      </c>
      <c r="BV303" s="304"/>
      <c r="BW303" s="288"/>
      <c r="BX303" s="798" t="s">
        <v>2192</v>
      </c>
      <c r="BY303" s="449" t="s">
        <v>1839</v>
      </c>
      <c r="BZ303" s="624"/>
      <c r="CA303" s="624"/>
      <c r="CB303" s="624"/>
      <c r="CC303" s="624"/>
      <c r="CD303" s="624"/>
      <c r="CE303" s="624"/>
      <c r="CF303" s="624"/>
      <c r="CG303" s="624"/>
      <c r="CH303" s="624"/>
    </row>
    <row r="304" spans="1:86" s="305" customFormat="1" ht="33.75" customHeight="1">
      <c r="A304" s="276" t="s">
        <v>333</v>
      </c>
      <c r="B304" s="348">
        <v>231</v>
      </c>
      <c r="C304" s="348"/>
      <c r="D304" s="731" t="s">
        <v>329</v>
      </c>
      <c r="E304" s="349">
        <v>40059</v>
      </c>
      <c r="F304" s="288">
        <v>2010</v>
      </c>
      <c r="G304" s="288">
        <v>4</v>
      </c>
      <c r="H304" s="288" t="s">
        <v>376</v>
      </c>
      <c r="I304" s="288">
        <v>2009</v>
      </c>
      <c r="J304" s="288">
        <v>14</v>
      </c>
      <c r="K304" s="288" t="s">
        <v>1211</v>
      </c>
      <c r="L304" s="288" t="s">
        <v>1876</v>
      </c>
      <c r="M304" s="288" t="s">
        <v>1271</v>
      </c>
      <c r="N304" s="290" t="s">
        <v>1586</v>
      </c>
      <c r="O304" s="288"/>
      <c r="P304" s="288"/>
      <c r="Q304" s="375">
        <v>100000</v>
      </c>
      <c r="R304" s="361" t="s">
        <v>1752</v>
      </c>
      <c r="S304" s="294"/>
      <c r="T304" s="1058"/>
      <c r="U304" s="295"/>
      <c r="V304" s="295"/>
      <c r="W304" s="392" t="s">
        <v>362</v>
      </c>
      <c r="X304" s="352">
        <v>319632</v>
      </c>
      <c r="Y304" s="293"/>
      <c r="Z304" s="452" t="s">
        <v>362</v>
      </c>
      <c r="AA304" s="544">
        <f>AR304*5</f>
        <v>15000</v>
      </c>
      <c r="AB304" s="365">
        <f t="shared" si="51"/>
        <v>0</v>
      </c>
      <c r="AC304" s="387"/>
      <c r="AD304" s="587"/>
      <c r="AE304" s="298"/>
      <c r="AF304" s="677"/>
      <c r="AG304" s="395">
        <f t="shared" si="55"/>
        <v>0</v>
      </c>
      <c r="AH304" s="502">
        <v>1</v>
      </c>
      <c r="AI304" s="503"/>
      <c r="AJ304" s="503">
        <f>SUM('Deployments History'!A40)</f>
        <v>1</v>
      </c>
      <c r="AK304" s="367">
        <f>SUM(AM304:AX304)</f>
        <v>13840</v>
      </c>
      <c r="AL304" s="363" t="s">
        <v>1899</v>
      </c>
      <c r="AM304" s="302">
        <v>1840</v>
      </c>
      <c r="AN304" s="302"/>
      <c r="AO304" s="302"/>
      <c r="AP304" s="302"/>
      <c r="AQ304" s="302"/>
      <c r="AR304" s="302">
        <v>3000</v>
      </c>
      <c r="AS304" s="302"/>
      <c r="AT304" s="302">
        <v>6000</v>
      </c>
      <c r="AU304" s="302"/>
      <c r="AV304" s="302"/>
      <c r="AW304" s="302"/>
      <c r="AX304" s="390">
        <v>3000</v>
      </c>
      <c r="AY304" s="390"/>
      <c r="AZ304" s="385">
        <v>259500</v>
      </c>
      <c r="BA304" s="387"/>
      <c r="BB304" s="299">
        <f t="shared" si="52"/>
        <v>259500</v>
      </c>
      <c r="BC304" s="394"/>
      <c r="BD304" s="395"/>
      <c r="BE304" s="501"/>
      <c r="BF304" s="352">
        <f t="shared" si="53"/>
        <v>259500</v>
      </c>
      <c r="BG304" s="451" t="s">
        <v>1752</v>
      </c>
      <c r="BH304" s="451"/>
      <c r="BI304" s="299"/>
      <c r="BJ304" s="698"/>
      <c r="BK304" s="698"/>
      <c r="BL304" s="373" t="s">
        <v>331</v>
      </c>
      <c r="BM304" s="706"/>
      <c r="BN304" s="373"/>
      <c r="BO304" s="706"/>
      <c r="BP304" s="716"/>
      <c r="BQ304" s="706"/>
      <c r="BR304" s="373"/>
      <c r="BS304" s="373" t="s">
        <v>362</v>
      </c>
      <c r="BT304" s="451" t="str">
        <f t="shared" si="54"/>
        <v>N</v>
      </c>
      <c r="BU304" s="451" t="str">
        <f t="shared" si="54"/>
        <v>N</v>
      </c>
      <c r="BV304" s="304"/>
      <c r="BW304" s="288"/>
      <c r="BX304" s="798" t="s">
        <v>2191</v>
      </c>
      <c r="BY304" s="449" t="s">
        <v>1091</v>
      </c>
      <c r="BZ304" s="624"/>
      <c r="CA304" s="624"/>
      <c r="CB304" s="624"/>
      <c r="CC304" s="624"/>
      <c r="CD304" s="624"/>
      <c r="CE304" s="624"/>
      <c r="CF304" s="624"/>
      <c r="CG304" s="624"/>
      <c r="CH304" s="624"/>
    </row>
    <row r="305" spans="1:86" s="305" customFormat="1" ht="33.75" customHeight="1">
      <c r="A305" s="276" t="s">
        <v>5</v>
      </c>
      <c r="B305" s="348">
        <v>232</v>
      </c>
      <c r="C305" s="348"/>
      <c r="D305" s="731" t="s">
        <v>334</v>
      </c>
      <c r="E305" s="349">
        <v>40058</v>
      </c>
      <c r="F305" s="288">
        <v>2010</v>
      </c>
      <c r="G305" s="288">
        <v>5</v>
      </c>
      <c r="H305" s="288" t="s">
        <v>376</v>
      </c>
      <c r="I305" s="288">
        <v>2009</v>
      </c>
      <c r="J305" s="288">
        <v>15</v>
      </c>
      <c r="K305" s="288" t="s">
        <v>570</v>
      </c>
      <c r="L305" s="288" t="s">
        <v>1565</v>
      </c>
      <c r="M305" s="288" t="s">
        <v>1961</v>
      </c>
      <c r="N305" s="290" t="s">
        <v>1884</v>
      </c>
      <c r="O305" s="288"/>
      <c r="P305" s="288"/>
      <c r="Q305" s="375">
        <v>90000</v>
      </c>
      <c r="R305" s="361" t="s">
        <v>1752</v>
      </c>
      <c r="S305" s="294"/>
      <c r="T305" s="1058"/>
      <c r="U305" s="295"/>
      <c r="V305" s="295"/>
      <c r="W305" s="392" t="s">
        <v>1752</v>
      </c>
      <c r="X305" s="352"/>
      <c r="Y305" s="293"/>
      <c r="Z305" s="452" t="s">
        <v>362</v>
      </c>
      <c r="AA305" s="544"/>
      <c r="AB305" s="365">
        <f t="shared" si="51"/>
        <v>0</v>
      </c>
      <c r="AC305" s="387"/>
      <c r="AD305" s="587"/>
      <c r="AE305" s="298"/>
      <c r="AF305" s="677"/>
      <c r="AG305" s="395">
        <f t="shared" si="55"/>
        <v>0</v>
      </c>
      <c r="AH305" s="502">
        <v>1</v>
      </c>
      <c r="AI305" s="503"/>
      <c r="AJ305" s="503">
        <f>SUM('Deployments History'!A36)</f>
        <v>1</v>
      </c>
      <c r="AK305" s="367"/>
      <c r="AL305" s="363"/>
      <c r="AM305" s="302"/>
      <c r="AN305" s="302"/>
      <c r="AO305" s="302"/>
      <c r="AP305" s="302"/>
      <c r="AQ305" s="302"/>
      <c r="AR305" s="302"/>
      <c r="AS305" s="302"/>
      <c r="AT305" s="302"/>
      <c r="AU305" s="302"/>
      <c r="AV305" s="302"/>
      <c r="AW305" s="302"/>
      <c r="AX305" s="390"/>
      <c r="AY305" s="390"/>
      <c r="AZ305" s="385"/>
      <c r="BA305" s="387"/>
      <c r="BB305" s="299">
        <f t="shared" si="52"/>
        <v>0</v>
      </c>
      <c r="BC305" s="394"/>
      <c r="BD305" s="395"/>
      <c r="BE305" s="501"/>
      <c r="BF305" s="352">
        <f t="shared" si="53"/>
        <v>0</v>
      </c>
      <c r="BG305" s="451" t="str">
        <f t="shared" si="49"/>
        <v>N</v>
      </c>
      <c r="BH305" s="451"/>
      <c r="BI305" s="299"/>
      <c r="BJ305" s="698"/>
      <c r="BK305" s="698"/>
      <c r="BL305" s="373">
        <v>2799</v>
      </c>
      <c r="BM305" s="706"/>
      <c r="BN305" s="373"/>
      <c r="BO305" s="706"/>
      <c r="BP305" s="716"/>
      <c r="BQ305" s="706"/>
      <c r="BR305" s="373"/>
      <c r="BS305" s="373"/>
      <c r="BT305" s="451" t="str">
        <f t="shared" si="54"/>
        <v>Y</v>
      </c>
      <c r="BU305" s="451" t="str">
        <f t="shared" si="54"/>
        <v>N</v>
      </c>
      <c r="BV305" s="304"/>
      <c r="BW305" s="288"/>
      <c r="BX305" s="798" t="s">
        <v>2190</v>
      </c>
      <c r="BY305" s="449" t="s">
        <v>335</v>
      </c>
      <c r="BZ305" s="624"/>
      <c r="CA305" s="624"/>
      <c r="CB305" s="624"/>
      <c r="CC305" s="624"/>
      <c r="CD305" s="624"/>
      <c r="CE305" s="624"/>
      <c r="CF305" s="624"/>
      <c r="CG305" s="624"/>
      <c r="CH305" s="624"/>
    </row>
    <row r="306" spans="1:86" s="305" customFormat="1" ht="127.5" customHeight="1">
      <c r="A306" s="275" t="s">
        <v>109</v>
      </c>
      <c r="B306" s="355">
        <v>233</v>
      </c>
      <c r="C306" s="355"/>
      <c r="D306" s="732" t="s">
        <v>545</v>
      </c>
      <c r="E306" s="356">
        <v>40058</v>
      </c>
      <c r="F306" s="358">
        <v>2010</v>
      </c>
      <c r="G306" s="358">
        <v>6</v>
      </c>
      <c r="H306" s="358" t="s">
        <v>376</v>
      </c>
      <c r="I306" s="358">
        <v>2009</v>
      </c>
      <c r="J306" s="358">
        <v>16</v>
      </c>
      <c r="K306" s="358" t="s">
        <v>570</v>
      </c>
      <c r="L306" s="358" t="s">
        <v>2026</v>
      </c>
      <c r="M306" s="358" t="s">
        <v>1271</v>
      </c>
      <c r="N306" s="359" t="s">
        <v>1586</v>
      </c>
      <c r="O306" s="358"/>
      <c r="P306" s="358"/>
      <c r="Q306" s="360">
        <v>1000000</v>
      </c>
      <c r="R306" s="361" t="s">
        <v>362</v>
      </c>
      <c r="S306" s="294" t="s">
        <v>363</v>
      </c>
      <c r="T306" s="1058">
        <v>13905878</v>
      </c>
      <c r="U306" s="295"/>
      <c r="V306" s="295" t="s">
        <v>110</v>
      </c>
      <c r="W306" s="362" t="s">
        <v>362</v>
      </c>
      <c r="X306" s="578">
        <v>242000</v>
      </c>
      <c r="Y306" s="293">
        <v>200000</v>
      </c>
      <c r="Z306" s="783"/>
      <c r="AA306" s="544">
        <f>AO306*5</f>
        <v>50000</v>
      </c>
      <c r="AB306" s="365">
        <f t="shared" si="51"/>
        <v>1</v>
      </c>
      <c r="AC306" s="364">
        <v>550000</v>
      </c>
      <c r="AD306" s="427"/>
      <c r="AE306" s="299">
        <v>500000</v>
      </c>
      <c r="AF306" s="670"/>
      <c r="AG306" s="371">
        <f t="shared" si="55"/>
        <v>1050000</v>
      </c>
      <c r="AH306" s="499">
        <v>2</v>
      </c>
      <c r="AI306" s="500"/>
      <c r="AJ306" s="500">
        <f>SUM('Deployments History'!A37:A38)</f>
        <v>2</v>
      </c>
      <c r="AK306" s="367">
        <f>SUM(AM306:AX306)</f>
        <v>22300</v>
      </c>
      <c r="AL306" s="363" t="s">
        <v>362</v>
      </c>
      <c r="AM306" s="368"/>
      <c r="AN306" s="368">
        <v>4000</v>
      </c>
      <c r="AO306" s="368">
        <v>10000</v>
      </c>
      <c r="AP306" s="368"/>
      <c r="AQ306" s="368"/>
      <c r="AR306" s="368">
        <v>1500</v>
      </c>
      <c r="AS306" s="368"/>
      <c r="AT306" s="368">
        <v>6800</v>
      </c>
      <c r="AU306" s="368"/>
      <c r="AV306" s="368"/>
      <c r="AW306" s="368"/>
      <c r="AX306" s="369"/>
      <c r="AY306" s="369"/>
      <c r="AZ306" s="352">
        <v>118000</v>
      </c>
      <c r="BA306" s="364"/>
      <c r="BB306" s="299">
        <f t="shared" si="52"/>
        <v>1168000</v>
      </c>
      <c r="BC306" s="364"/>
      <c r="BD306" s="371"/>
      <c r="BE306" s="549"/>
      <c r="BF306" s="352">
        <f t="shared" si="53"/>
        <v>1168000</v>
      </c>
      <c r="BG306" s="451" t="str">
        <f t="shared" si="49"/>
        <v>Y</v>
      </c>
      <c r="BH306" s="451"/>
      <c r="BI306" s="299"/>
      <c r="BJ306" s="698"/>
      <c r="BK306" s="698"/>
      <c r="BL306" s="373">
        <v>2698</v>
      </c>
      <c r="BM306" s="706"/>
      <c r="BN306" s="373"/>
      <c r="BO306" s="706"/>
      <c r="BP306" s="716"/>
      <c r="BQ306" s="706"/>
      <c r="BR306" s="373"/>
      <c r="BS306" s="373" t="s">
        <v>362</v>
      </c>
      <c r="BT306" s="451" t="str">
        <f t="shared" si="54"/>
        <v>N</v>
      </c>
      <c r="BU306" s="451" t="str">
        <f t="shared" si="54"/>
        <v>N</v>
      </c>
      <c r="BV306" s="318" t="s">
        <v>1973</v>
      </c>
      <c r="BW306" s="358"/>
      <c r="BX306" s="798" t="s">
        <v>2189</v>
      </c>
      <c r="BY306" s="374" t="s">
        <v>1682</v>
      </c>
      <c r="BZ306" s="624"/>
      <c r="CA306" s="624"/>
      <c r="CB306" s="624"/>
      <c r="CC306" s="624"/>
      <c r="CD306" s="624"/>
      <c r="CE306" s="624"/>
      <c r="CF306" s="624"/>
      <c r="CG306" s="624"/>
      <c r="CH306" s="624"/>
    </row>
    <row r="307" spans="1:86" s="305" customFormat="1" ht="33.75" customHeight="1">
      <c r="A307" s="274" t="s">
        <v>108</v>
      </c>
      <c r="B307" s="358">
        <v>233</v>
      </c>
      <c r="C307" s="915"/>
      <c r="D307" s="733" t="s">
        <v>544</v>
      </c>
      <c r="E307" s="308">
        <v>40058</v>
      </c>
      <c r="F307" s="358">
        <v>2010</v>
      </c>
      <c r="G307" s="358">
        <v>6</v>
      </c>
      <c r="H307" s="358" t="s">
        <v>376</v>
      </c>
      <c r="I307" s="358">
        <v>2009</v>
      </c>
      <c r="J307" s="358">
        <v>16</v>
      </c>
      <c r="K307" s="358" t="s">
        <v>570</v>
      </c>
      <c r="L307" s="358" t="s">
        <v>1947</v>
      </c>
      <c r="M307" s="579" t="s">
        <v>1271</v>
      </c>
      <c r="N307" s="359" t="s">
        <v>1586</v>
      </c>
      <c r="O307" s="580"/>
      <c r="P307" s="581"/>
      <c r="Q307" s="293">
        <v>3000000</v>
      </c>
      <c r="R307" s="294" t="s">
        <v>362</v>
      </c>
      <c r="S307" s="294" t="s">
        <v>363</v>
      </c>
      <c r="T307" s="1058">
        <v>3900000</v>
      </c>
      <c r="U307" s="295"/>
      <c r="V307" s="295" t="s">
        <v>2231</v>
      </c>
      <c r="W307" s="426" t="s">
        <v>362</v>
      </c>
      <c r="X307" s="582">
        <v>324167</v>
      </c>
      <c r="Y307" s="293">
        <v>270000</v>
      </c>
      <c r="Z307" s="780"/>
      <c r="AA307" s="293"/>
      <c r="AB307" s="365">
        <f t="shared" si="51"/>
        <v>1</v>
      </c>
      <c r="AC307" s="299">
        <v>450000</v>
      </c>
      <c r="AD307" s="427"/>
      <c r="AE307" s="299">
        <v>500000</v>
      </c>
      <c r="AF307" s="299"/>
      <c r="AG307" s="427">
        <f t="shared" si="55"/>
        <v>950000</v>
      </c>
      <c r="AH307" s="583">
        <v>1</v>
      </c>
      <c r="AI307" s="584"/>
      <c r="AJ307" s="584">
        <f>SUM('Deployments History'!A39)</f>
        <v>1</v>
      </c>
      <c r="AK307" s="293"/>
      <c r="AL307" s="293"/>
      <c r="AM307" s="368"/>
      <c r="AN307" s="368"/>
      <c r="AO307" s="368"/>
      <c r="AP307" s="368"/>
      <c r="AQ307" s="368"/>
      <c r="AR307" s="368"/>
      <c r="AS307" s="368"/>
      <c r="AT307" s="368"/>
      <c r="AU307" s="368"/>
      <c r="AV307" s="368"/>
      <c r="AW307" s="368"/>
      <c r="AX307" s="368"/>
      <c r="AY307" s="368"/>
      <c r="AZ307" s="299"/>
      <c r="BA307" s="299"/>
      <c r="BB307" s="299">
        <f t="shared" si="52"/>
        <v>950000</v>
      </c>
      <c r="BC307" s="299">
        <v>1200000</v>
      </c>
      <c r="BD307" s="427"/>
      <c r="BF307" s="299">
        <f t="shared" si="53"/>
        <v>2150000</v>
      </c>
      <c r="BG307" s="451" t="str">
        <f t="shared" si="49"/>
        <v>Y</v>
      </c>
      <c r="BH307" s="451"/>
      <c r="BI307" s="299"/>
      <c r="BJ307" s="698"/>
      <c r="BK307" s="698"/>
      <c r="BL307" s="373">
        <v>2698</v>
      </c>
      <c r="BM307" s="668"/>
      <c r="BN307" s="303"/>
      <c r="BO307" s="668"/>
      <c r="BP307" s="584"/>
      <c r="BQ307" s="668"/>
      <c r="BR307" s="303"/>
      <c r="BS307" s="303" t="s">
        <v>362</v>
      </c>
      <c r="BT307" s="451" t="str">
        <f t="shared" si="54"/>
        <v>N</v>
      </c>
      <c r="BU307" s="451" t="str">
        <f t="shared" si="54"/>
        <v>N</v>
      </c>
      <c r="BV307" s="318" t="s">
        <v>628</v>
      </c>
      <c r="BW307" s="358"/>
      <c r="BX307" s="798" t="s">
        <v>2189</v>
      </c>
      <c r="BY307" s="374" t="s">
        <v>1681</v>
      </c>
      <c r="BZ307" s="624"/>
      <c r="CA307" s="624"/>
      <c r="CB307" s="624"/>
      <c r="CC307" s="624"/>
      <c r="CD307" s="624"/>
      <c r="CE307" s="624"/>
      <c r="CF307" s="624"/>
      <c r="CG307" s="624"/>
      <c r="CH307" s="624"/>
    </row>
    <row r="308" spans="1:86" s="305" customFormat="1" ht="33.75" customHeight="1">
      <c r="A308" s="274" t="s">
        <v>1841</v>
      </c>
      <c r="B308" s="358">
        <v>234</v>
      </c>
      <c r="C308" s="915"/>
      <c r="D308" s="733" t="s">
        <v>1358</v>
      </c>
      <c r="E308" s="308">
        <v>40058</v>
      </c>
      <c r="F308" s="358">
        <v>2010</v>
      </c>
      <c r="G308" s="358">
        <v>7</v>
      </c>
      <c r="H308" s="358" t="s">
        <v>376</v>
      </c>
      <c r="I308" s="358">
        <v>2009</v>
      </c>
      <c r="J308" s="358">
        <v>17</v>
      </c>
      <c r="K308" s="358" t="s">
        <v>570</v>
      </c>
      <c r="L308" s="358" t="s">
        <v>1565</v>
      </c>
      <c r="M308" s="289" t="s">
        <v>1961</v>
      </c>
      <c r="N308" s="359" t="s">
        <v>1884</v>
      </c>
      <c r="O308" s="291"/>
      <c r="P308" s="292"/>
      <c r="Q308" s="293">
        <v>1000000</v>
      </c>
      <c r="R308" s="294" t="s">
        <v>362</v>
      </c>
      <c r="S308" s="294" t="s">
        <v>363</v>
      </c>
      <c r="T308" s="1058">
        <v>18600000</v>
      </c>
      <c r="U308" s="295"/>
      <c r="V308" s="295" t="s">
        <v>543</v>
      </c>
      <c r="W308" s="426" t="s">
        <v>362</v>
      </c>
      <c r="X308" s="299">
        <v>227106</v>
      </c>
      <c r="Y308" s="293">
        <v>100000</v>
      </c>
      <c r="Z308" s="294"/>
      <c r="AA308" s="293">
        <v>25000</v>
      </c>
      <c r="AB308" s="365">
        <f t="shared" si="51"/>
        <v>0</v>
      </c>
      <c r="AC308" s="299"/>
      <c r="AD308" s="427"/>
      <c r="AE308" s="299">
        <v>500000</v>
      </c>
      <c r="AF308" s="299"/>
      <c r="AG308" s="427">
        <f t="shared" si="55"/>
        <v>500000</v>
      </c>
      <c r="AH308" s="583">
        <v>1</v>
      </c>
      <c r="AI308" s="584"/>
      <c r="AJ308" s="584">
        <f>SUM('Deployments History'!A41)</f>
        <v>1</v>
      </c>
      <c r="AK308" s="293">
        <f>SUM(AM308:AX308)</f>
        <v>44181</v>
      </c>
      <c r="AL308" s="293" t="s">
        <v>362</v>
      </c>
      <c r="AM308" s="368"/>
      <c r="AN308" s="368">
        <v>20981</v>
      </c>
      <c r="AO308" s="368"/>
      <c r="AP308" s="368"/>
      <c r="AQ308" s="368"/>
      <c r="AR308" s="368"/>
      <c r="AS308" s="368"/>
      <c r="AT308" s="368">
        <v>13200</v>
      </c>
      <c r="AU308" s="368"/>
      <c r="AV308" s="368">
        <v>10000</v>
      </c>
      <c r="AW308" s="368"/>
      <c r="AX308" s="368"/>
      <c r="AY308" s="368"/>
      <c r="AZ308" s="299">
        <v>400000</v>
      </c>
      <c r="BA308" s="299"/>
      <c r="BB308" s="299">
        <f t="shared" si="52"/>
        <v>900000</v>
      </c>
      <c r="BC308" s="299">
        <v>764192.86</v>
      </c>
      <c r="BD308" s="427"/>
      <c r="BF308" s="299">
        <f t="shared" si="53"/>
        <v>1664192.8599999999</v>
      </c>
      <c r="BG308" s="451" t="str">
        <f t="shared" si="49"/>
        <v>Y</v>
      </c>
      <c r="BH308" s="451"/>
      <c r="BI308" s="299"/>
      <c r="BJ308" s="698"/>
      <c r="BK308" s="698"/>
      <c r="BL308" s="303">
        <v>2930</v>
      </c>
      <c r="BM308" s="668"/>
      <c r="BN308" s="303"/>
      <c r="BO308" s="668"/>
      <c r="BP308" s="584"/>
      <c r="BQ308" s="668"/>
      <c r="BR308" s="303"/>
      <c r="BS308" s="303" t="s">
        <v>362</v>
      </c>
      <c r="BT308" s="451" t="str">
        <f t="shared" si="54"/>
        <v>N</v>
      </c>
      <c r="BU308" s="451" t="str">
        <f t="shared" si="54"/>
        <v>N</v>
      </c>
      <c r="BV308" s="318" t="s">
        <v>1973</v>
      </c>
      <c r="BW308" s="358"/>
      <c r="BX308" s="798" t="s">
        <v>2188</v>
      </c>
      <c r="BY308" s="374" t="s">
        <v>1088</v>
      </c>
      <c r="BZ308" s="624"/>
      <c r="CA308" s="624"/>
      <c r="CB308" s="624"/>
      <c r="CC308" s="624"/>
      <c r="CD308" s="624"/>
      <c r="CE308" s="624"/>
      <c r="CF308" s="624"/>
      <c r="CG308" s="624"/>
      <c r="CH308" s="624"/>
    </row>
    <row r="309" spans="1:86" s="305" customFormat="1" ht="33.75" customHeight="1">
      <c r="A309" s="277" t="s">
        <v>539</v>
      </c>
      <c r="B309" s="288">
        <v>235</v>
      </c>
      <c r="C309" s="911"/>
      <c r="D309" s="734" t="s">
        <v>46</v>
      </c>
      <c r="E309" s="287">
        <v>40087</v>
      </c>
      <c r="F309" s="288">
        <v>2010</v>
      </c>
      <c r="G309" s="288">
        <v>8</v>
      </c>
      <c r="H309" s="288" t="s">
        <v>378</v>
      </c>
      <c r="I309" s="288">
        <v>2009</v>
      </c>
      <c r="J309" s="288">
        <v>18</v>
      </c>
      <c r="K309" s="288" t="s">
        <v>570</v>
      </c>
      <c r="L309" s="288" t="s">
        <v>47</v>
      </c>
      <c r="M309" s="289" t="s">
        <v>1271</v>
      </c>
      <c r="N309" s="290" t="s">
        <v>2005</v>
      </c>
      <c r="O309" s="291"/>
      <c r="P309" s="292"/>
      <c r="Q309" s="301">
        <v>10000</v>
      </c>
      <c r="R309" s="294" t="s">
        <v>362</v>
      </c>
      <c r="S309" s="294" t="s">
        <v>363</v>
      </c>
      <c r="T309" s="1058">
        <v>2738653</v>
      </c>
      <c r="U309" s="295"/>
      <c r="V309" s="295" t="s">
        <v>541</v>
      </c>
      <c r="W309" s="426" t="s">
        <v>362</v>
      </c>
      <c r="X309" s="299">
        <v>313729</v>
      </c>
      <c r="Y309" s="293">
        <v>5000</v>
      </c>
      <c r="Z309" s="780"/>
      <c r="AA309" s="293">
        <v>2500</v>
      </c>
      <c r="AB309" s="365">
        <f t="shared" si="51"/>
        <v>1</v>
      </c>
      <c r="AC309" s="298">
        <v>100000</v>
      </c>
      <c r="AD309" s="587"/>
      <c r="AE309" s="298"/>
      <c r="AF309" s="298"/>
      <c r="AG309" s="587">
        <f t="shared" si="55"/>
        <v>100000</v>
      </c>
      <c r="AH309" s="585"/>
      <c r="AI309" s="586"/>
      <c r="AJ309" s="586"/>
      <c r="AK309" s="301"/>
      <c r="AL309" s="301"/>
      <c r="AM309" s="302"/>
      <c r="AN309" s="302"/>
      <c r="AO309" s="302"/>
      <c r="AP309" s="302"/>
      <c r="AQ309" s="302"/>
      <c r="AR309" s="302"/>
      <c r="AS309" s="302"/>
      <c r="AT309" s="302"/>
      <c r="AU309" s="302"/>
      <c r="AV309" s="302"/>
      <c r="AW309" s="302"/>
      <c r="AX309" s="302"/>
      <c r="AY309" s="302"/>
      <c r="AZ309" s="298"/>
      <c r="BA309" s="298"/>
      <c r="BB309" s="299">
        <f t="shared" si="52"/>
        <v>100000</v>
      </c>
      <c r="BC309" s="587"/>
      <c r="BD309" s="587"/>
      <c r="BE309" s="285"/>
      <c r="BF309" s="299">
        <f t="shared" si="53"/>
        <v>100000</v>
      </c>
      <c r="BG309" s="451" t="str">
        <f t="shared" si="49"/>
        <v>N</v>
      </c>
      <c r="BH309" s="451"/>
      <c r="BI309" s="299"/>
      <c r="BJ309" s="698"/>
      <c r="BK309" s="698"/>
      <c r="BL309" s="303">
        <v>2799</v>
      </c>
      <c r="BM309" s="668"/>
      <c r="BN309" s="303"/>
      <c r="BO309" s="668"/>
      <c r="BP309" s="584"/>
      <c r="BQ309" s="668"/>
      <c r="BR309" s="303"/>
      <c r="BS309" s="303"/>
      <c r="BT309" s="451" t="str">
        <f t="shared" si="54"/>
        <v>Y</v>
      </c>
      <c r="BU309" s="451" t="str">
        <f t="shared" si="54"/>
        <v>N</v>
      </c>
      <c r="BV309" s="588"/>
      <c r="BW309" s="288"/>
      <c r="BX309" s="798" t="s">
        <v>2186</v>
      </c>
      <c r="BY309" s="449" t="s">
        <v>540</v>
      </c>
      <c r="BZ309" s="624"/>
      <c r="CA309" s="624"/>
      <c r="CB309" s="624"/>
      <c r="CC309" s="624"/>
      <c r="CD309" s="624"/>
      <c r="CE309" s="624"/>
      <c r="CF309" s="624"/>
      <c r="CG309" s="624"/>
      <c r="CH309" s="624"/>
    </row>
    <row r="310" spans="1:86" s="305" customFormat="1" ht="33.75" customHeight="1">
      <c r="A310" s="274" t="s">
        <v>1831</v>
      </c>
      <c r="B310" s="358">
        <v>236</v>
      </c>
      <c r="C310" s="915"/>
      <c r="D310" s="733" t="s">
        <v>1830</v>
      </c>
      <c r="E310" s="308">
        <v>40113</v>
      </c>
      <c r="F310" s="358">
        <v>2010</v>
      </c>
      <c r="G310" s="358">
        <v>9</v>
      </c>
      <c r="H310" s="358" t="s">
        <v>378</v>
      </c>
      <c r="I310" s="358">
        <v>2009</v>
      </c>
      <c r="J310" s="358">
        <v>19</v>
      </c>
      <c r="K310" s="358" t="s">
        <v>570</v>
      </c>
      <c r="L310" s="358" t="s">
        <v>1944</v>
      </c>
      <c r="M310" s="289" t="s">
        <v>1271</v>
      </c>
      <c r="N310" s="359" t="s">
        <v>1877</v>
      </c>
      <c r="O310" s="291"/>
      <c r="P310" s="292"/>
      <c r="Q310" s="293">
        <v>4100000</v>
      </c>
      <c r="R310" s="294" t="s">
        <v>362</v>
      </c>
      <c r="S310" s="294" t="s">
        <v>1832</v>
      </c>
      <c r="T310" s="1058">
        <v>3100000</v>
      </c>
      <c r="U310" s="295"/>
      <c r="V310" s="295" t="s">
        <v>1959</v>
      </c>
      <c r="W310" s="426" t="s">
        <v>362</v>
      </c>
      <c r="X310" s="299">
        <v>51364</v>
      </c>
      <c r="Y310" s="293">
        <v>125000</v>
      </c>
      <c r="Z310" s="294"/>
      <c r="AA310" s="293"/>
      <c r="AB310" s="365">
        <f t="shared" si="51"/>
        <v>0</v>
      </c>
      <c r="AC310" s="299"/>
      <c r="AD310" s="427"/>
      <c r="AE310" s="299"/>
      <c r="AF310" s="299"/>
      <c r="AG310" s="427">
        <f t="shared" si="55"/>
        <v>0</v>
      </c>
      <c r="AH310" s="583"/>
      <c r="AI310" s="584"/>
      <c r="AJ310" s="584"/>
      <c r="AK310" s="293">
        <f>SUM(AM310:AX310)</f>
        <v>7500</v>
      </c>
      <c r="AL310" s="293" t="s">
        <v>1752</v>
      </c>
      <c r="AM310" s="368"/>
      <c r="AN310" s="368"/>
      <c r="AO310" s="368"/>
      <c r="AP310" s="368"/>
      <c r="AQ310" s="368"/>
      <c r="AR310" s="368">
        <v>7500</v>
      </c>
      <c r="AS310" s="368"/>
      <c r="AT310" s="368"/>
      <c r="AU310" s="368"/>
      <c r="AV310" s="368"/>
      <c r="AW310" s="368"/>
      <c r="AX310" s="368"/>
      <c r="AY310" s="368"/>
      <c r="AZ310" s="299">
        <v>190000</v>
      </c>
      <c r="BA310" s="299"/>
      <c r="BB310" s="299">
        <f t="shared" si="52"/>
        <v>190000</v>
      </c>
      <c r="BC310" s="427"/>
      <c r="BD310" s="427"/>
      <c r="BF310" s="299">
        <f t="shared" si="53"/>
        <v>190000</v>
      </c>
      <c r="BG310" s="451" t="s">
        <v>1752</v>
      </c>
      <c r="BH310" s="451"/>
      <c r="BI310" s="299"/>
      <c r="BJ310" s="698"/>
      <c r="BK310" s="698"/>
      <c r="BL310" s="303" t="s">
        <v>1833</v>
      </c>
      <c r="BM310" s="668"/>
      <c r="BN310" s="303"/>
      <c r="BO310" s="668"/>
      <c r="BP310" s="584"/>
      <c r="BQ310" s="668"/>
      <c r="BR310" s="303"/>
      <c r="BS310" s="303"/>
      <c r="BT310" s="451" t="str">
        <f t="shared" si="54"/>
        <v>N</v>
      </c>
      <c r="BU310" s="451" t="str">
        <f t="shared" si="54"/>
        <v>N</v>
      </c>
      <c r="BV310" s="318"/>
      <c r="BW310" s="358"/>
      <c r="BX310" s="798" t="s">
        <v>2185</v>
      </c>
      <c r="BY310" s="589" t="s">
        <v>542</v>
      </c>
      <c r="BZ310" s="624"/>
      <c r="CA310" s="624"/>
      <c r="CB310" s="624"/>
      <c r="CC310" s="624"/>
      <c r="CD310" s="624"/>
      <c r="CE310" s="624"/>
      <c r="CF310" s="624"/>
      <c r="CG310" s="624"/>
      <c r="CH310" s="624"/>
    </row>
    <row r="311" spans="1:86" s="305" customFormat="1" ht="33.75" customHeight="1">
      <c r="A311" s="277" t="s">
        <v>39</v>
      </c>
      <c r="B311" s="288">
        <v>237</v>
      </c>
      <c r="C311" s="911"/>
      <c r="D311" s="734" t="s">
        <v>38</v>
      </c>
      <c r="E311" s="287">
        <v>40122</v>
      </c>
      <c r="F311" s="288">
        <v>2010</v>
      </c>
      <c r="G311" s="288">
        <v>10</v>
      </c>
      <c r="H311" s="288" t="s">
        <v>378</v>
      </c>
      <c r="I311" s="288">
        <v>2009</v>
      </c>
      <c r="J311" s="288">
        <v>20</v>
      </c>
      <c r="K311" s="288" t="s">
        <v>1210</v>
      </c>
      <c r="L311" s="288" t="s">
        <v>1605</v>
      </c>
      <c r="M311" s="289" t="s">
        <v>1271</v>
      </c>
      <c r="N311" s="290" t="s">
        <v>1874</v>
      </c>
      <c r="O311" s="291"/>
      <c r="P311" s="292"/>
      <c r="Q311" s="557">
        <v>3800000</v>
      </c>
      <c r="R311" s="294" t="s">
        <v>362</v>
      </c>
      <c r="S311" s="294" t="s">
        <v>363</v>
      </c>
      <c r="T311" s="1058">
        <v>2246714</v>
      </c>
      <c r="U311" s="295"/>
      <c r="V311" s="295" t="s">
        <v>40</v>
      </c>
      <c r="W311" s="297" t="s">
        <v>362</v>
      </c>
      <c r="X311" s="299">
        <v>500000</v>
      </c>
      <c r="Y311" s="293">
        <v>1692428</v>
      </c>
      <c r="Z311" s="780"/>
      <c r="AA311" s="786">
        <v>21668</v>
      </c>
      <c r="AB311" s="365">
        <f t="shared" si="51"/>
        <v>1</v>
      </c>
      <c r="AC311" s="298">
        <v>100000</v>
      </c>
      <c r="AD311" s="587"/>
      <c r="AE311" s="298"/>
      <c r="AF311" s="298"/>
      <c r="AG311" s="587">
        <f t="shared" si="55"/>
        <v>100000</v>
      </c>
      <c r="AH311" s="288"/>
      <c r="AI311" s="300"/>
      <c r="AJ311" s="300"/>
      <c r="AK311" s="301"/>
      <c r="AL311" s="301"/>
      <c r="AM311" s="302"/>
      <c r="AN311" s="302"/>
      <c r="AO311" s="302"/>
      <c r="AP311" s="302"/>
      <c r="AQ311" s="302"/>
      <c r="AR311" s="302"/>
      <c r="AS311" s="302"/>
      <c r="AT311" s="302"/>
      <c r="AU311" s="302"/>
      <c r="AV311" s="302"/>
      <c r="AW311" s="302"/>
      <c r="AX311" s="302"/>
      <c r="AY311" s="302"/>
      <c r="AZ311" s="298"/>
      <c r="BA311" s="298"/>
      <c r="BB311" s="299">
        <f t="shared" si="52"/>
        <v>100000</v>
      </c>
      <c r="BC311" s="285"/>
      <c r="BD311" s="285"/>
      <c r="BE311" s="285"/>
      <c r="BF311" s="299">
        <f t="shared" si="53"/>
        <v>100000</v>
      </c>
      <c r="BG311" s="451" t="str">
        <f t="shared" si="49"/>
        <v>N</v>
      </c>
      <c r="BH311" s="451"/>
      <c r="BI311" s="299"/>
      <c r="BJ311" s="698"/>
      <c r="BK311" s="698"/>
      <c r="BL311" s="300">
        <v>2799</v>
      </c>
      <c r="BM311" s="709"/>
      <c r="BN311" s="300"/>
      <c r="BO311" s="709"/>
      <c r="BP311" s="586"/>
      <c r="BQ311" s="709"/>
      <c r="BR311" s="300"/>
      <c r="BS311" s="300"/>
      <c r="BT311" s="451" t="str">
        <f t="shared" si="54"/>
        <v>Y</v>
      </c>
      <c r="BU311" s="451" t="str">
        <f t="shared" si="54"/>
        <v>N</v>
      </c>
      <c r="BV311" s="304"/>
      <c r="BW311" s="288"/>
      <c r="BX311" s="798" t="s">
        <v>2184</v>
      </c>
      <c r="BY311" s="449" t="s">
        <v>41</v>
      </c>
      <c r="BZ311" s="624"/>
      <c r="CA311" s="624"/>
      <c r="CB311" s="624"/>
      <c r="CC311" s="624"/>
      <c r="CD311" s="624"/>
      <c r="CE311" s="624"/>
      <c r="CF311" s="624"/>
      <c r="CG311" s="624"/>
      <c r="CH311" s="624"/>
    </row>
    <row r="312" spans="1:86" s="624" customFormat="1" ht="33.75" customHeight="1">
      <c r="A312" s="640" t="s">
        <v>89</v>
      </c>
      <c r="B312" s="626">
        <v>238</v>
      </c>
      <c r="C312" s="916"/>
      <c r="D312" s="735" t="s">
        <v>1810</v>
      </c>
      <c r="E312" s="625">
        <v>40129</v>
      </c>
      <c r="F312" s="626">
        <v>2010</v>
      </c>
      <c r="G312" s="626">
        <v>11</v>
      </c>
      <c r="H312" s="626" t="s">
        <v>378</v>
      </c>
      <c r="I312" s="626">
        <v>2009</v>
      </c>
      <c r="J312" s="626">
        <v>21</v>
      </c>
      <c r="K312" s="626" t="s">
        <v>1211</v>
      </c>
      <c r="L312" s="626" t="s">
        <v>682</v>
      </c>
      <c r="M312" s="627" t="s">
        <v>1271</v>
      </c>
      <c r="N312" s="628" t="s">
        <v>1877</v>
      </c>
      <c r="O312" s="629"/>
      <c r="P312" s="630"/>
      <c r="Q312" s="590">
        <v>2500</v>
      </c>
      <c r="R312" s="631" t="s">
        <v>1752</v>
      </c>
      <c r="S312" s="631"/>
      <c r="T312" s="1063"/>
      <c r="U312" s="632"/>
      <c r="V312" s="632"/>
      <c r="W312" s="633" t="s">
        <v>362</v>
      </c>
      <c r="X312" s="634">
        <v>103918</v>
      </c>
      <c r="Y312" s="590">
        <v>2500</v>
      </c>
      <c r="Z312" s="631" t="s">
        <v>362</v>
      </c>
      <c r="AA312" s="590"/>
      <c r="AB312" s="365">
        <f t="shared" si="51"/>
        <v>0</v>
      </c>
      <c r="AC312" s="634"/>
      <c r="AD312" s="1033"/>
      <c r="AE312" s="634"/>
      <c r="AF312" s="634"/>
      <c r="AG312" s="1033">
        <f t="shared" si="55"/>
        <v>0</v>
      </c>
      <c r="AH312" s="626">
        <v>1</v>
      </c>
      <c r="AI312" s="635"/>
      <c r="AJ312" s="635">
        <f>SUM('Deployments History'!A42)</f>
        <v>1</v>
      </c>
      <c r="AK312" s="590"/>
      <c r="AL312" s="590"/>
      <c r="AM312" s="636"/>
      <c r="AN312" s="636"/>
      <c r="AO312" s="636"/>
      <c r="AP312" s="636"/>
      <c r="AQ312" s="636"/>
      <c r="AR312" s="636"/>
      <c r="AS312" s="636"/>
      <c r="AT312" s="636"/>
      <c r="AU312" s="636"/>
      <c r="AV312" s="636"/>
      <c r="AW312" s="636"/>
      <c r="AX312" s="636"/>
      <c r="AY312" s="636"/>
      <c r="AZ312" s="634"/>
      <c r="BA312" s="634"/>
      <c r="BB312" s="634">
        <f t="shared" si="52"/>
        <v>0</v>
      </c>
      <c r="BF312" s="634">
        <f t="shared" si="53"/>
        <v>0</v>
      </c>
      <c r="BG312" s="451" t="s">
        <v>1752</v>
      </c>
      <c r="BH312" s="689"/>
      <c r="BI312" s="634"/>
      <c r="BJ312" s="700"/>
      <c r="BK312" s="700"/>
      <c r="BL312" s="635">
        <v>2885</v>
      </c>
      <c r="BM312" s="669"/>
      <c r="BN312" s="635"/>
      <c r="BO312" s="669"/>
      <c r="BP312" s="722"/>
      <c r="BQ312" s="669"/>
      <c r="BR312" s="635"/>
      <c r="BS312" s="635"/>
      <c r="BT312" s="451" t="str">
        <f t="shared" si="54"/>
        <v>N</v>
      </c>
      <c r="BU312" s="451" t="str">
        <f t="shared" si="54"/>
        <v>N</v>
      </c>
      <c r="BV312" s="637"/>
      <c r="BW312" s="626"/>
      <c r="BX312" s="798" t="s">
        <v>2183</v>
      </c>
      <c r="BY312" s="639" t="s">
        <v>90</v>
      </c>
    </row>
    <row r="313" spans="1:86" s="624" customFormat="1" ht="90">
      <c r="A313" s="623" t="s">
        <v>507</v>
      </c>
      <c r="B313" s="626">
        <v>239</v>
      </c>
      <c r="C313" s="916"/>
      <c r="D313" s="735" t="s">
        <v>508</v>
      </c>
      <c r="E313" s="625">
        <v>40133</v>
      </c>
      <c r="F313" s="626">
        <v>2010</v>
      </c>
      <c r="G313" s="626">
        <v>12</v>
      </c>
      <c r="H313" s="626" t="s">
        <v>378</v>
      </c>
      <c r="I313" s="626">
        <v>2009</v>
      </c>
      <c r="J313" s="626">
        <v>22</v>
      </c>
      <c r="K313" s="626" t="s">
        <v>1211</v>
      </c>
      <c r="L313" s="626" t="s">
        <v>1641</v>
      </c>
      <c r="M313" s="627" t="s">
        <v>1271</v>
      </c>
      <c r="N313" s="628" t="s">
        <v>1877</v>
      </c>
      <c r="O313" s="629"/>
      <c r="P313" s="630"/>
      <c r="Q313" s="590">
        <v>75000</v>
      </c>
      <c r="R313" s="631" t="s">
        <v>362</v>
      </c>
      <c r="S313" s="631" t="s">
        <v>363</v>
      </c>
      <c r="T313" s="1063">
        <v>1835942</v>
      </c>
      <c r="U313" s="632"/>
      <c r="V313" s="632" t="s">
        <v>1215</v>
      </c>
      <c r="W313" s="633" t="s">
        <v>362</v>
      </c>
      <c r="X313" s="634">
        <v>180614</v>
      </c>
      <c r="Y313" s="590">
        <v>10000</v>
      </c>
      <c r="Z313" s="782"/>
      <c r="AA313" s="590"/>
      <c r="AB313" s="365">
        <f t="shared" si="51"/>
        <v>1</v>
      </c>
      <c r="AC313" s="634">
        <v>243605</v>
      </c>
      <c r="AD313" s="1033"/>
      <c r="AE313" s="634"/>
      <c r="AF313" s="634"/>
      <c r="AG313" s="1033">
        <f t="shared" si="55"/>
        <v>243605</v>
      </c>
      <c r="AH313" s="626"/>
      <c r="AI313" s="635"/>
      <c r="AJ313" s="635"/>
      <c r="AK313" s="590">
        <f>SUM(AM313:AX313)</f>
        <v>1000</v>
      </c>
      <c r="AL313" s="590" t="s">
        <v>362</v>
      </c>
      <c r="AM313" s="636">
        <v>500</v>
      </c>
      <c r="AN313" s="636"/>
      <c r="AO313" s="636"/>
      <c r="AP313" s="636"/>
      <c r="AQ313" s="636"/>
      <c r="AR313" s="636">
        <v>500</v>
      </c>
      <c r="AS313" s="636"/>
      <c r="AT313" s="636"/>
      <c r="AU313" s="636"/>
      <c r="AV313" s="636"/>
      <c r="AW313" s="636"/>
      <c r="AX313" s="636"/>
      <c r="AY313" s="636"/>
      <c r="AZ313" s="634">
        <v>31240</v>
      </c>
      <c r="BA313" s="634"/>
      <c r="BB313" s="634">
        <f t="shared" si="52"/>
        <v>274845</v>
      </c>
      <c r="BF313" s="634">
        <f t="shared" si="53"/>
        <v>274845</v>
      </c>
      <c r="BG313" s="451" t="s">
        <v>362</v>
      </c>
      <c r="BH313" s="689"/>
      <c r="BI313" s="634"/>
      <c r="BJ313" s="700"/>
      <c r="BK313" s="700"/>
      <c r="BL313" s="635">
        <v>2882</v>
      </c>
      <c r="BM313" s="669"/>
      <c r="BN313" s="635"/>
      <c r="BO313" s="669"/>
      <c r="BP313" s="722"/>
      <c r="BQ313" s="669"/>
      <c r="BR313" s="669">
        <v>193000</v>
      </c>
      <c r="BS313" s="635"/>
      <c r="BT313" s="451" t="str">
        <f t="shared" si="54"/>
        <v>N</v>
      </c>
      <c r="BU313" s="451" t="str">
        <f t="shared" si="54"/>
        <v>N</v>
      </c>
      <c r="BV313" s="637" t="s">
        <v>1214</v>
      </c>
      <c r="BW313" s="626" t="s">
        <v>503</v>
      </c>
      <c r="BX313" s="798" t="s">
        <v>2182</v>
      </c>
      <c r="BY313" s="639" t="s">
        <v>517</v>
      </c>
    </row>
    <row r="314" spans="1:86" s="624" customFormat="1" ht="33.75" customHeight="1">
      <c r="A314" s="623" t="s">
        <v>655</v>
      </c>
      <c r="B314" s="626">
        <v>240</v>
      </c>
      <c r="C314" s="916"/>
      <c r="D314" s="735" t="s">
        <v>656</v>
      </c>
      <c r="E314" s="625">
        <v>40190</v>
      </c>
      <c r="F314" s="626">
        <v>2010</v>
      </c>
      <c r="G314" s="626">
        <v>13</v>
      </c>
      <c r="H314" s="626" t="s">
        <v>379</v>
      </c>
      <c r="I314" s="626">
        <v>2010</v>
      </c>
      <c r="J314" s="626">
        <v>1</v>
      </c>
      <c r="K314" s="626" t="s">
        <v>1211</v>
      </c>
      <c r="L314" s="626" t="s">
        <v>682</v>
      </c>
      <c r="M314" s="627" t="s">
        <v>1961</v>
      </c>
      <c r="N314" s="628" t="s">
        <v>1884</v>
      </c>
      <c r="O314" s="629"/>
      <c r="P314" s="630"/>
      <c r="Q314" s="590">
        <v>2000000</v>
      </c>
      <c r="R314" s="631" t="s">
        <v>362</v>
      </c>
      <c r="S314" s="631" t="s">
        <v>363</v>
      </c>
      <c r="T314" s="1063">
        <v>270204199</v>
      </c>
      <c r="U314" s="632"/>
      <c r="V314" s="632" t="s">
        <v>657</v>
      </c>
      <c r="W314" s="633" t="s">
        <v>362</v>
      </c>
      <c r="X314" s="634">
        <v>491265</v>
      </c>
      <c r="Y314" s="590">
        <v>400000</v>
      </c>
      <c r="Z314" s="782"/>
      <c r="AA314" s="590"/>
      <c r="AB314" s="365">
        <f t="shared" si="51"/>
        <v>1</v>
      </c>
      <c r="AC314" s="632">
        <v>42297504</v>
      </c>
      <c r="AD314" s="1033">
        <v>4377346.43</v>
      </c>
      <c r="AE314" s="634"/>
      <c r="AF314" s="634"/>
      <c r="AG314" s="1033">
        <f>AC314+AD314</f>
        <v>46674850.43</v>
      </c>
      <c r="AH314" s="626">
        <v>82</v>
      </c>
      <c r="AI314" s="635" t="s">
        <v>228</v>
      </c>
      <c r="AJ314" s="635">
        <f>SUM('Deployments History'!A47:A131)</f>
        <v>85</v>
      </c>
      <c r="AK314" s="590">
        <v>5143307</v>
      </c>
      <c r="AL314" s="590" t="s">
        <v>362</v>
      </c>
      <c r="AM314" s="636"/>
      <c r="AN314" s="636"/>
      <c r="AO314" s="636"/>
      <c r="AP314" s="636"/>
      <c r="AQ314" s="636"/>
      <c r="AR314" s="636"/>
      <c r="AS314" s="636"/>
      <c r="AT314" s="636"/>
      <c r="AU314" s="636"/>
      <c r="AV314" s="636"/>
      <c r="AW314" s="636"/>
      <c r="AX314" s="636"/>
      <c r="AY314" s="636"/>
      <c r="AZ314" s="634">
        <f>SUM(13289007+1977346)</f>
        <v>15266353</v>
      </c>
      <c r="BA314" s="634"/>
      <c r="BB314" s="634">
        <v>139611532</v>
      </c>
      <c r="BC314" s="634">
        <f>476000000-139000000</f>
        <v>337000000</v>
      </c>
      <c r="BF314" s="634">
        <f>BB314</f>
        <v>139611532</v>
      </c>
      <c r="BG314" s="451" t="str">
        <f t="shared" si="49"/>
        <v>Y</v>
      </c>
      <c r="BH314" s="689" t="s">
        <v>2174</v>
      </c>
      <c r="BI314" s="634">
        <v>476611532</v>
      </c>
      <c r="BJ314" s="700">
        <v>40422</v>
      </c>
      <c r="BK314" s="700"/>
      <c r="BL314" s="635">
        <v>2888</v>
      </c>
      <c r="BM314" s="669"/>
      <c r="BN314" s="635"/>
      <c r="BO314" s="669"/>
      <c r="BP314" s="722"/>
      <c r="BQ314" s="669"/>
      <c r="BR314" s="635"/>
      <c r="BS314" s="635"/>
      <c r="BT314" s="451" t="str">
        <f t="shared" si="54"/>
        <v>N</v>
      </c>
      <c r="BU314" s="451" t="str">
        <f t="shared" si="54"/>
        <v>N</v>
      </c>
      <c r="BV314" s="637" t="s">
        <v>658</v>
      </c>
      <c r="BW314" s="626" t="s">
        <v>2194</v>
      </c>
      <c r="BX314" s="798" t="s">
        <v>2205</v>
      </c>
      <c r="BY314" s="639" t="s">
        <v>1571</v>
      </c>
    </row>
    <row r="315" spans="1:86" s="624" customFormat="1" ht="33.75" customHeight="1">
      <c r="A315" s="623" t="s">
        <v>497</v>
      </c>
      <c r="B315" s="626">
        <v>241</v>
      </c>
      <c r="C315" s="916"/>
      <c r="D315" s="735" t="s">
        <v>51</v>
      </c>
      <c r="E315" s="625">
        <v>40203</v>
      </c>
      <c r="F315" s="626">
        <v>2010</v>
      </c>
      <c r="G315" s="626">
        <v>14</v>
      </c>
      <c r="H315" s="626" t="s">
        <v>379</v>
      </c>
      <c r="I315" s="626">
        <v>2010</v>
      </c>
      <c r="J315" s="626">
        <v>2</v>
      </c>
      <c r="K315" s="626" t="s">
        <v>1210</v>
      </c>
      <c r="L315" s="626" t="s">
        <v>1379</v>
      </c>
      <c r="M315" s="627" t="s">
        <v>1271</v>
      </c>
      <c r="N315" s="628" t="s">
        <v>1877</v>
      </c>
      <c r="O315" s="629"/>
      <c r="P315" s="630"/>
      <c r="Q315" s="590">
        <v>50000</v>
      </c>
      <c r="R315" s="631" t="s">
        <v>362</v>
      </c>
      <c r="S315" s="631" t="s">
        <v>363</v>
      </c>
      <c r="T315" s="1063">
        <v>1008954</v>
      </c>
      <c r="U315" s="632"/>
      <c r="V315" s="632" t="s">
        <v>499</v>
      </c>
      <c r="W315" s="633" t="s">
        <v>362</v>
      </c>
      <c r="X315" s="634">
        <v>313536</v>
      </c>
      <c r="Y315" s="590">
        <v>23000</v>
      </c>
      <c r="Z315" s="782"/>
      <c r="AA315" s="590"/>
      <c r="AB315" s="365">
        <f t="shared" si="51"/>
        <v>1</v>
      </c>
      <c r="AC315" s="634">
        <v>200000</v>
      </c>
      <c r="AD315" s="1033"/>
      <c r="AE315" s="634"/>
      <c r="AF315" s="634"/>
      <c r="AG315" s="1033">
        <f>SUM(AC315:AE315)</f>
        <v>200000</v>
      </c>
      <c r="AH315" s="626"/>
      <c r="AI315" s="635"/>
      <c r="AJ315" s="635"/>
      <c r="AK315" s="590"/>
      <c r="AL315" s="590"/>
      <c r="AM315" s="636"/>
      <c r="AN315" s="636"/>
      <c r="AO315" s="636"/>
      <c r="AP315" s="636"/>
      <c r="AQ315" s="636"/>
      <c r="AR315" s="636"/>
      <c r="AS315" s="636"/>
      <c r="AT315" s="636"/>
      <c r="AU315" s="636"/>
      <c r="AV315" s="636"/>
      <c r="AW315" s="636"/>
      <c r="AX315" s="636"/>
      <c r="AY315" s="636"/>
      <c r="AZ315" s="634"/>
      <c r="BA315" s="634"/>
      <c r="BB315" s="634">
        <f t="shared" ref="BB315:BB335" si="56">AG315+AZ315+BA315</f>
        <v>200000</v>
      </c>
      <c r="BF315" s="634">
        <f t="shared" ref="BF315:BF338" si="57">BB315+BD315+BC315</f>
        <v>200000</v>
      </c>
      <c r="BG315" s="451" t="s">
        <v>1752</v>
      </c>
      <c r="BH315" s="689"/>
      <c r="BI315" s="634"/>
      <c r="BJ315" s="700"/>
      <c r="BK315" s="700"/>
      <c r="BL315" s="635">
        <v>2869</v>
      </c>
      <c r="BM315" s="669"/>
      <c r="BN315" s="635"/>
      <c r="BO315" s="669"/>
      <c r="BP315" s="722"/>
      <c r="BQ315" s="669"/>
      <c r="BR315" s="669">
        <v>200000</v>
      </c>
      <c r="BS315" s="635"/>
      <c r="BT315" s="451" t="str">
        <f t="shared" si="54"/>
        <v>N</v>
      </c>
      <c r="BU315" s="451" t="str">
        <f t="shared" si="54"/>
        <v>N</v>
      </c>
      <c r="BV315" s="637" t="s">
        <v>52</v>
      </c>
      <c r="BW315" s="626" t="s">
        <v>503</v>
      </c>
      <c r="BX315" s="798"/>
      <c r="BY315" s="639" t="s">
        <v>502</v>
      </c>
    </row>
    <row r="316" spans="1:86" s="624" customFormat="1" ht="33.75" customHeight="1">
      <c r="A316" s="623" t="s">
        <v>496</v>
      </c>
      <c r="B316" s="626">
        <v>242</v>
      </c>
      <c r="C316" s="916"/>
      <c r="D316" s="735" t="s">
        <v>53</v>
      </c>
      <c r="E316" s="625">
        <v>40236</v>
      </c>
      <c r="F316" s="626">
        <v>2010</v>
      </c>
      <c r="G316" s="626">
        <v>15</v>
      </c>
      <c r="H316" s="626" t="s">
        <v>379</v>
      </c>
      <c r="I316" s="626">
        <v>2010</v>
      </c>
      <c r="J316" s="626">
        <v>3</v>
      </c>
      <c r="K316" s="626" t="s">
        <v>1211</v>
      </c>
      <c r="L316" s="626" t="s">
        <v>1400</v>
      </c>
      <c r="M316" s="288" t="s">
        <v>1961</v>
      </c>
      <c r="N316" s="628" t="s">
        <v>1884</v>
      </c>
      <c r="O316" s="641"/>
      <c r="P316" s="642"/>
      <c r="Q316" s="590">
        <v>2000000</v>
      </c>
      <c r="R316" s="631" t="s">
        <v>362</v>
      </c>
      <c r="S316" s="631" t="s">
        <v>363</v>
      </c>
      <c r="T316" s="1063">
        <v>17562275</v>
      </c>
      <c r="U316" s="632"/>
      <c r="V316" s="632" t="s">
        <v>498</v>
      </c>
      <c r="W316" s="633" t="s">
        <v>362</v>
      </c>
      <c r="X316" s="634">
        <v>279350</v>
      </c>
      <c r="Y316" s="590">
        <v>100000</v>
      </c>
      <c r="Z316" s="782"/>
      <c r="AA316" s="590"/>
      <c r="AB316" s="365">
        <f t="shared" si="51"/>
        <v>1</v>
      </c>
      <c r="AC316" s="634">
        <v>500000</v>
      </c>
      <c r="AD316" s="1033"/>
      <c r="AE316" s="634">
        <v>500000</v>
      </c>
      <c r="AF316" s="634"/>
      <c r="AG316" s="1033">
        <v>1000000</v>
      </c>
      <c r="AH316" s="626">
        <v>2</v>
      </c>
      <c r="AI316" s="635"/>
      <c r="AJ316" s="635">
        <f>SUM('Deployments History'!A133:A134)</f>
        <v>2</v>
      </c>
      <c r="AK316" s="590">
        <f>SUM(AM316:AX316)</f>
        <v>6160</v>
      </c>
      <c r="AL316" s="590" t="s">
        <v>362</v>
      </c>
      <c r="AM316" s="636">
        <v>1160</v>
      </c>
      <c r="AN316" s="636"/>
      <c r="AO316" s="636">
        <v>5000</v>
      </c>
      <c r="AP316" s="636"/>
      <c r="AQ316" s="636"/>
      <c r="AR316" s="636"/>
      <c r="AS316" s="636"/>
      <c r="AT316" s="636"/>
      <c r="AU316" s="636"/>
      <c r="AV316" s="636"/>
      <c r="AW316" s="636"/>
      <c r="AX316" s="636"/>
      <c r="AY316" s="636"/>
      <c r="AZ316" s="634">
        <v>96000</v>
      </c>
      <c r="BA316" s="634"/>
      <c r="BB316" s="634">
        <f t="shared" si="56"/>
        <v>1096000</v>
      </c>
      <c r="BC316" s="634">
        <f>6400000-BB316</f>
        <v>5304000</v>
      </c>
      <c r="BF316" s="634">
        <f t="shared" si="57"/>
        <v>6400000</v>
      </c>
      <c r="BG316" s="451" t="str">
        <f t="shared" si="49"/>
        <v>Y</v>
      </c>
      <c r="BH316" s="689"/>
      <c r="BI316" s="634"/>
      <c r="BJ316" s="700"/>
      <c r="BK316" s="700"/>
      <c r="BL316" s="635">
        <v>2896</v>
      </c>
      <c r="BM316" s="669"/>
      <c r="BN316" s="635"/>
      <c r="BO316" s="669"/>
      <c r="BP316" s="722"/>
      <c r="BQ316" s="669"/>
      <c r="BR316" s="635"/>
      <c r="BS316" s="635"/>
      <c r="BT316" s="451" t="str">
        <f>IF(OR(BL316=2799),"Y","N")</f>
        <v>N</v>
      </c>
      <c r="BU316" s="451" t="str">
        <f>IF(OR(BM316=2799),"Y","N")</f>
        <v>N</v>
      </c>
      <c r="BV316" s="637"/>
      <c r="BW316" s="626" t="s">
        <v>2194</v>
      </c>
      <c r="BX316" s="798" t="s">
        <v>2179</v>
      </c>
      <c r="BY316" s="639" t="s">
        <v>1092</v>
      </c>
    </row>
    <row r="317" spans="1:86" s="624" customFormat="1" ht="33.75" customHeight="1">
      <c r="A317" s="623" t="s">
        <v>11</v>
      </c>
      <c r="B317" s="626">
        <v>243</v>
      </c>
      <c r="C317" s="916"/>
      <c r="D317" s="736" t="s">
        <v>1070</v>
      </c>
      <c r="E317" s="625">
        <v>40278</v>
      </c>
      <c r="F317" s="626">
        <v>2010</v>
      </c>
      <c r="G317" s="626">
        <v>16</v>
      </c>
      <c r="H317" s="626" t="s">
        <v>380</v>
      </c>
      <c r="I317" s="626">
        <v>2010</v>
      </c>
      <c r="J317" s="626">
        <v>4</v>
      </c>
      <c r="K317" s="626" t="s">
        <v>570</v>
      </c>
      <c r="L317" s="626" t="s">
        <v>1879</v>
      </c>
      <c r="M317" s="288" t="s">
        <v>1961</v>
      </c>
      <c r="N317" s="628" t="s">
        <v>1884</v>
      </c>
      <c r="O317" s="629"/>
      <c r="P317" s="630"/>
      <c r="Q317" s="590">
        <v>100000</v>
      </c>
      <c r="R317" s="631" t="s">
        <v>362</v>
      </c>
      <c r="S317" s="631" t="s">
        <v>1832</v>
      </c>
      <c r="T317" s="1063"/>
      <c r="U317" s="632"/>
      <c r="V317" s="632"/>
      <c r="W317" s="633"/>
      <c r="X317" s="634"/>
      <c r="Y317" s="590" t="s">
        <v>646</v>
      </c>
      <c r="Z317" s="631"/>
      <c r="AA317" s="590"/>
      <c r="AB317" s="365">
        <f t="shared" si="51"/>
        <v>0</v>
      </c>
      <c r="AC317" s="634">
        <v>0</v>
      </c>
      <c r="AD317" s="1033"/>
      <c r="AE317" s="634">
        <v>500000</v>
      </c>
      <c r="AF317" s="634"/>
      <c r="AG317" s="1033">
        <f t="shared" ref="AG317:AG330" si="58">SUM(AC317:AE317)</f>
        <v>500000</v>
      </c>
      <c r="AH317" s="626"/>
      <c r="AI317" s="635"/>
      <c r="AJ317" s="635"/>
      <c r="AK317" s="590"/>
      <c r="AL317" s="590"/>
      <c r="AM317" s="636"/>
      <c r="AN317" s="636">
        <v>198970</v>
      </c>
      <c r="AO317" s="636"/>
      <c r="AP317" s="636"/>
      <c r="AQ317" s="636"/>
      <c r="AR317" s="636"/>
      <c r="AS317" s="636"/>
      <c r="AT317" s="636"/>
      <c r="AU317" s="636"/>
      <c r="AV317" s="636"/>
      <c r="AW317" s="636"/>
      <c r="AX317" s="636"/>
      <c r="AY317" s="636"/>
      <c r="AZ317" s="634"/>
      <c r="BA317" s="634"/>
      <c r="BB317" s="634">
        <f t="shared" si="56"/>
        <v>500000</v>
      </c>
      <c r="BC317" s="634"/>
      <c r="BF317" s="634">
        <f t="shared" si="57"/>
        <v>500000</v>
      </c>
      <c r="BG317" s="451" t="str">
        <f t="shared" si="49"/>
        <v>Y</v>
      </c>
      <c r="BH317" s="689"/>
      <c r="BI317" s="634"/>
      <c r="BJ317" s="700"/>
      <c r="BK317" s="700"/>
      <c r="BL317" s="635">
        <v>2571</v>
      </c>
      <c r="BM317" s="669"/>
      <c r="BN317" s="635"/>
      <c r="BO317" s="669"/>
      <c r="BP317" s="722"/>
      <c r="BQ317" s="669"/>
      <c r="BR317" s="635"/>
      <c r="BS317" s="635"/>
      <c r="BT317" s="451" t="str">
        <f t="shared" ref="BT317:BU361" si="59">IF(OR(BL317=2799),"Y","N")</f>
        <v>N</v>
      </c>
      <c r="BU317" s="451" t="str">
        <f t="shared" si="59"/>
        <v>N</v>
      </c>
      <c r="BV317" s="639"/>
      <c r="BW317" s="626"/>
      <c r="BX317" s="798" t="s">
        <v>2178</v>
      </c>
      <c r="BY317" s="639" t="s">
        <v>815</v>
      </c>
    </row>
    <row r="318" spans="1:86" s="624" customFormat="1" ht="33.75" customHeight="1">
      <c r="A318" s="623" t="s">
        <v>10</v>
      </c>
      <c r="B318" s="626">
        <v>244</v>
      </c>
      <c r="C318" s="916"/>
      <c r="D318" s="735" t="s">
        <v>1359</v>
      </c>
      <c r="E318" s="625">
        <v>40308</v>
      </c>
      <c r="F318" s="626">
        <v>2010</v>
      </c>
      <c r="G318" s="626">
        <v>17</v>
      </c>
      <c r="H318" s="626" t="s">
        <v>380</v>
      </c>
      <c r="I318" s="626">
        <v>2010</v>
      </c>
      <c r="J318" s="626">
        <v>5</v>
      </c>
      <c r="K318" s="626" t="s">
        <v>570</v>
      </c>
      <c r="L318" s="626" t="s">
        <v>1071</v>
      </c>
      <c r="M318" s="627" t="s">
        <v>1271</v>
      </c>
      <c r="N318" s="628" t="s">
        <v>1072</v>
      </c>
      <c r="O318" s="629"/>
      <c r="P318" s="630"/>
      <c r="Q318" s="590">
        <v>507000</v>
      </c>
      <c r="R318" s="631" t="s">
        <v>362</v>
      </c>
      <c r="S318" s="631" t="s">
        <v>363</v>
      </c>
      <c r="T318" s="1064">
        <v>1434162</v>
      </c>
      <c r="U318" s="636"/>
      <c r="V318" s="803" t="s">
        <v>2230</v>
      </c>
      <c r="W318" s="633" t="s">
        <v>362</v>
      </c>
      <c r="X318" s="634">
        <v>93924</v>
      </c>
      <c r="Y318" s="590">
        <v>13600</v>
      </c>
      <c r="Z318" s="782"/>
      <c r="AB318" s="365">
        <f t="shared" si="51"/>
        <v>1</v>
      </c>
      <c r="AC318" s="634">
        <v>145000</v>
      </c>
      <c r="AD318" s="1033"/>
      <c r="AE318" s="634"/>
      <c r="AF318" s="634"/>
      <c r="AG318" s="1033">
        <f t="shared" si="58"/>
        <v>145000</v>
      </c>
      <c r="AH318" s="626"/>
      <c r="AI318" s="635"/>
      <c r="AJ318" s="635"/>
      <c r="AK318" s="590"/>
      <c r="AL318" s="590"/>
      <c r="AM318" s="636"/>
      <c r="AN318" s="636"/>
      <c r="AO318" s="636"/>
      <c r="AP318" s="636"/>
      <c r="AQ318" s="636"/>
      <c r="AR318" s="636"/>
      <c r="AS318" s="636"/>
      <c r="AT318" s="636"/>
      <c r="AU318" s="636"/>
      <c r="AV318" s="636"/>
      <c r="AW318" s="636"/>
      <c r="AX318" s="636"/>
      <c r="AY318" s="636"/>
      <c r="AZ318" s="634"/>
      <c r="BA318" s="634"/>
      <c r="BB318" s="634">
        <f t="shared" si="56"/>
        <v>145000</v>
      </c>
      <c r="BF318" s="634">
        <f t="shared" si="57"/>
        <v>145000</v>
      </c>
      <c r="BG318" s="451" t="s">
        <v>1752</v>
      </c>
      <c r="BH318" s="689"/>
      <c r="BI318" s="634"/>
      <c r="BJ318" s="700"/>
      <c r="BK318" s="700"/>
      <c r="BL318" s="635">
        <v>2869</v>
      </c>
      <c r="BM318" s="669"/>
      <c r="BN318" s="635"/>
      <c r="BO318" s="669"/>
      <c r="BP318" s="722"/>
      <c r="BQ318" s="669"/>
      <c r="BR318" s="669">
        <v>145000</v>
      </c>
      <c r="BS318" s="635"/>
      <c r="BT318" s="451" t="str">
        <f t="shared" si="59"/>
        <v>N</v>
      </c>
      <c r="BU318" s="451" t="str">
        <f t="shared" si="59"/>
        <v>N</v>
      </c>
      <c r="BV318" s="639" t="s">
        <v>503</v>
      </c>
      <c r="BW318" s="626" t="s">
        <v>503</v>
      </c>
      <c r="BX318" s="798" t="s">
        <v>2177</v>
      </c>
      <c r="BY318" s="639" t="s">
        <v>1360</v>
      </c>
    </row>
    <row r="319" spans="1:86" s="624" customFormat="1" ht="33.75" customHeight="1">
      <c r="A319" s="623"/>
      <c r="B319" s="626">
        <v>245</v>
      </c>
      <c r="C319" s="916"/>
      <c r="D319" s="735" t="s">
        <v>1624</v>
      </c>
      <c r="E319" s="625">
        <v>40318</v>
      </c>
      <c r="F319" s="626">
        <v>2010</v>
      </c>
      <c r="G319" s="626">
        <v>18</v>
      </c>
      <c r="H319" s="626" t="s">
        <v>380</v>
      </c>
      <c r="I319" s="626">
        <v>2010</v>
      </c>
      <c r="J319" s="626">
        <v>6</v>
      </c>
      <c r="K319" s="626" t="s">
        <v>570</v>
      </c>
      <c r="L319" s="626" t="s">
        <v>35</v>
      </c>
      <c r="M319" s="288" t="s">
        <v>1963</v>
      </c>
      <c r="N319" s="628" t="s">
        <v>1639</v>
      </c>
      <c r="O319" s="629"/>
      <c r="P319" s="630"/>
      <c r="Q319" s="590">
        <v>67000</v>
      </c>
      <c r="R319" s="631" t="s">
        <v>362</v>
      </c>
      <c r="S319" s="631" t="s">
        <v>363</v>
      </c>
      <c r="T319" s="1064">
        <v>664175</v>
      </c>
      <c r="U319" s="643"/>
      <c r="V319" s="803" t="s">
        <v>2229</v>
      </c>
      <c r="W319" s="633" t="s">
        <v>362</v>
      </c>
      <c r="X319" s="643">
        <v>179855</v>
      </c>
      <c r="Y319" s="590">
        <v>189000</v>
      </c>
      <c r="Z319" s="782"/>
      <c r="AA319" s="590"/>
      <c r="AB319" s="365">
        <f t="shared" si="51"/>
        <v>1</v>
      </c>
      <c r="AC319" s="634">
        <v>50000</v>
      </c>
      <c r="AD319" s="1033"/>
      <c r="AE319" s="634"/>
      <c r="AF319" s="634"/>
      <c r="AG319" s="1033">
        <f t="shared" si="58"/>
        <v>50000</v>
      </c>
      <c r="AH319" s="626"/>
      <c r="AI319" s="635"/>
      <c r="AJ319" s="635"/>
      <c r="AK319" s="590"/>
      <c r="AL319" s="590"/>
      <c r="AM319" s="636"/>
      <c r="AN319" s="636"/>
      <c r="AO319" s="636"/>
      <c r="AP319" s="636"/>
      <c r="AQ319" s="636"/>
      <c r="AR319" s="636"/>
      <c r="AS319" s="636"/>
      <c r="AT319" s="636"/>
      <c r="AU319" s="636"/>
      <c r="AV319" s="636"/>
      <c r="AW319" s="636"/>
      <c r="AX319" s="636"/>
      <c r="AY319" s="636"/>
      <c r="AZ319" s="634"/>
      <c r="BA319" s="634"/>
      <c r="BB319" s="634">
        <f t="shared" si="56"/>
        <v>50000</v>
      </c>
      <c r="BF319" s="634">
        <f t="shared" si="57"/>
        <v>50000</v>
      </c>
      <c r="BG319" s="451" t="str">
        <f t="shared" si="49"/>
        <v>N</v>
      </c>
      <c r="BH319" s="689"/>
      <c r="BI319" s="634"/>
      <c r="BJ319" s="700"/>
      <c r="BK319" s="700"/>
      <c r="BL319" s="635">
        <v>2799</v>
      </c>
      <c r="BM319" s="669"/>
      <c r="BN319" s="635"/>
      <c r="BO319" s="669"/>
      <c r="BP319" s="722"/>
      <c r="BQ319" s="669"/>
      <c r="BR319" s="635"/>
      <c r="BS319" s="635"/>
      <c r="BT319" s="451" t="str">
        <f t="shared" si="59"/>
        <v>Y</v>
      </c>
      <c r="BU319" s="451" t="str">
        <f t="shared" si="59"/>
        <v>N</v>
      </c>
      <c r="BV319" s="639"/>
      <c r="BW319" s="626"/>
      <c r="BX319" s="798" t="s">
        <v>2176</v>
      </c>
      <c r="BY319" s="639" t="s">
        <v>1363</v>
      </c>
    </row>
    <row r="320" spans="1:86" s="305" customFormat="1" ht="33.75" customHeight="1">
      <c r="A320" s="274" t="s">
        <v>9</v>
      </c>
      <c r="B320" s="358">
        <v>246</v>
      </c>
      <c r="C320" s="915"/>
      <c r="D320" s="733" t="s">
        <v>1648</v>
      </c>
      <c r="E320" s="308">
        <v>40330</v>
      </c>
      <c r="F320" s="358">
        <v>2010</v>
      </c>
      <c r="G320" s="358">
        <v>19</v>
      </c>
      <c r="H320" s="358" t="s">
        <v>380</v>
      </c>
      <c r="I320" s="358">
        <v>2010</v>
      </c>
      <c r="J320" s="358">
        <v>7</v>
      </c>
      <c r="K320" s="358" t="s">
        <v>1211</v>
      </c>
      <c r="L320" s="358" t="s">
        <v>1661</v>
      </c>
      <c r="M320" s="627" t="s">
        <v>1271</v>
      </c>
      <c r="N320" s="359" t="s">
        <v>1586</v>
      </c>
      <c r="O320" s="580"/>
      <c r="P320" s="581"/>
      <c r="Q320" s="293">
        <v>173518</v>
      </c>
      <c r="R320" s="294" t="s">
        <v>362</v>
      </c>
      <c r="S320" s="294" t="s">
        <v>363</v>
      </c>
      <c r="T320" s="1058">
        <v>1405243</v>
      </c>
      <c r="U320" s="295"/>
      <c r="V320" s="295" t="s">
        <v>1958</v>
      </c>
      <c r="W320" s="426" t="s">
        <v>362</v>
      </c>
      <c r="X320" s="299">
        <v>307254</v>
      </c>
      <c r="Y320" s="293">
        <v>7500</v>
      </c>
      <c r="Z320" s="780"/>
      <c r="AA320" s="293">
        <v>1250</v>
      </c>
      <c r="AB320" s="365">
        <f t="shared" si="51"/>
        <v>1</v>
      </c>
      <c r="AC320" s="299">
        <v>100000</v>
      </c>
      <c r="AD320" s="427"/>
      <c r="AE320" s="299"/>
      <c r="AF320" s="299"/>
      <c r="AG320" s="427">
        <f t="shared" si="58"/>
        <v>100000</v>
      </c>
      <c r="AH320" s="358"/>
      <c r="AI320" s="303"/>
      <c r="AJ320" s="303"/>
      <c r="AK320" s="293">
        <v>9900</v>
      </c>
      <c r="AL320" s="293" t="s">
        <v>362</v>
      </c>
      <c r="AM320" s="368">
        <v>1000</v>
      </c>
      <c r="AN320" s="368">
        <v>7500</v>
      </c>
      <c r="AO320" s="368">
        <v>900</v>
      </c>
      <c r="AP320" s="368"/>
      <c r="AQ320" s="368"/>
      <c r="AR320" s="368">
        <v>500</v>
      </c>
      <c r="AS320" s="368"/>
      <c r="AT320" s="368"/>
      <c r="AU320" s="368"/>
      <c r="AV320" s="368"/>
      <c r="AW320" s="368"/>
      <c r="AX320" s="368"/>
      <c r="AY320" s="368"/>
      <c r="AZ320" s="299">
        <v>80000</v>
      </c>
      <c r="BA320" s="299"/>
      <c r="BB320" s="299">
        <f t="shared" si="56"/>
        <v>180000</v>
      </c>
      <c r="BF320" s="299">
        <f t="shared" si="57"/>
        <v>180000</v>
      </c>
      <c r="BG320" s="451" t="str">
        <f t="shared" si="49"/>
        <v>N</v>
      </c>
      <c r="BH320" s="451"/>
      <c r="BI320" s="299"/>
      <c r="BJ320" s="698"/>
      <c r="BK320" s="698"/>
      <c r="BL320" s="303">
        <v>2799</v>
      </c>
      <c r="BM320" s="668"/>
      <c r="BN320" s="303"/>
      <c r="BO320" s="668"/>
      <c r="BP320" s="584"/>
      <c r="BQ320" s="668"/>
      <c r="BR320" s="303"/>
      <c r="BS320" s="303"/>
      <c r="BT320" s="451" t="str">
        <f t="shared" si="59"/>
        <v>Y</v>
      </c>
      <c r="BU320" s="451" t="str">
        <f t="shared" si="59"/>
        <v>N</v>
      </c>
      <c r="BV320" s="639"/>
      <c r="BW320" s="358"/>
      <c r="BX320" s="798" t="s">
        <v>2175</v>
      </c>
      <c r="BY320" s="374" t="s">
        <v>1362</v>
      </c>
      <c r="BZ320" s="624"/>
      <c r="CA320" s="624"/>
      <c r="CB320" s="624"/>
      <c r="CC320" s="624"/>
      <c r="CD320" s="624"/>
      <c r="CE320" s="624"/>
      <c r="CF320" s="624"/>
      <c r="CG320" s="624"/>
      <c r="CH320" s="624"/>
    </row>
    <row r="321" spans="1:86" s="305" customFormat="1" ht="33.75" customHeight="1">
      <c r="A321" s="274" t="s">
        <v>8</v>
      </c>
      <c r="B321" s="358">
        <v>247</v>
      </c>
      <c r="C321" s="915"/>
      <c r="D321" s="733" t="s">
        <v>1601</v>
      </c>
      <c r="E321" s="308">
        <v>40330</v>
      </c>
      <c r="F321" s="358">
        <v>2010</v>
      </c>
      <c r="G321" s="358">
        <v>20</v>
      </c>
      <c r="H321" s="358" t="s">
        <v>380</v>
      </c>
      <c r="I321" s="358">
        <v>2010</v>
      </c>
      <c r="J321" s="358">
        <v>8</v>
      </c>
      <c r="K321" s="358" t="s">
        <v>570</v>
      </c>
      <c r="L321" s="358" t="s">
        <v>1753</v>
      </c>
      <c r="M321" s="288" t="s">
        <v>1273</v>
      </c>
      <c r="N321" s="359" t="s">
        <v>1940</v>
      </c>
      <c r="O321" s="580"/>
      <c r="P321" s="581"/>
      <c r="Q321" s="293">
        <v>375000</v>
      </c>
      <c r="R321" s="294" t="s">
        <v>362</v>
      </c>
      <c r="S321" s="294" t="s">
        <v>680</v>
      </c>
      <c r="T321" s="1058">
        <v>1209785</v>
      </c>
      <c r="U321" s="295">
        <v>8800000</v>
      </c>
      <c r="V321" s="295" t="s">
        <v>1957</v>
      </c>
      <c r="W321" s="426" t="s">
        <v>362</v>
      </c>
      <c r="X321" s="299">
        <v>269348</v>
      </c>
      <c r="Y321" s="293">
        <v>124000</v>
      </c>
      <c r="Z321" s="780"/>
      <c r="AA321" s="293"/>
      <c r="AB321" s="365">
        <f t="shared" si="51"/>
        <v>1</v>
      </c>
      <c r="AC321" s="299">
        <v>50000</v>
      </c>
      <c r="AD321" s="427">
        <v>50000</v>
      </c>
      <c r="AE321" s="299"/>
      <c r="AF321" s="299"/>
      <c r="AG321" s="427">
        <f t="shared" si="58"/>
        <v>100000</v>
      </c>
      <c r="AH321" s="358"/>
      <c r="AI321" s="303"/>
      <c r="AJ321" s="303"/>
      <c r="AK321" s="293"/>
      <c r="AL321" s="293"/>
      <c r="AM321" s="368"/>
      <c r="AN321" s="368"/>
      <c r="AO321" s="368"/>
      <c r="AP321" s="368"/>
      <c r="AQ321" s="368"/>
      <c r="AR321" s="368"/>
      <c r="AS321" s="368"/>
      <c r="AT321" s="368"/>
      <c r="AU321" s="368"/>
      <c r="AV321" s="368"/>
      <c r="AW321" s="368"/>
      <c r="AX321" s="368"/>
      <c r="AY321" s="368"/>
      <c r="AZ321" s="299"/>
      <c r="BA321" s="299"/>
      <c r="BB321" s="299">
        <f t="shared" si="56"/>
        <v>100000</v>
      </c>
      <c r="BF321" s="299">
        <f t="shared" si="57"/>
        <v>100000</v>
      </c>
      <c r="BG321" s="451" t="str">
        <f t="shared" si="49"/>
        <v>Y</v>
      </c>
      <c r="BH321" s="451" t="s">
        <v>2087</v>
      </c>
      <c r="BI321" s="299"/>
      <c r="BJ321" s="698"/>
      <c r="BK321" s="698"/>
      <c r="BL321" s="303" t="s">
        <v>802</v>
      </c>
      <c r="BM321" s="668"/>
      <c r="BN321" s="303"/>
      <c r="BO321" s="668"/>
      <c r="BP321" s="584"/>
      <c r="BQ321" s="668"/>
      <c r="BR321" s="303"/>
      <c r="BS321" s="303"/>
      <c r="BT321" s="451" t="s">
        <v>362</v>
      </c>
      <c r="BU321" s="451" t="s">
        <v>362</v>
      </c>
      <c r="BV321" s="639"/>
      <c r="BW321" s="358"/>
      <c r="BX321" s="798" t="s">
        <v>2173</v>
      </c>
      <c r="BY321" s="374" t="s">
        <v>1361</v>
      </c>
      <c r="BZ321" s="624"/>
      <c r="CA321" s="624"/>
      <c r="CB321" s="624"/>
      <c r="CC321" s="624"/>
      <c r="CD321" s="624"/>
      <c r="CE321" s="624"/>
      <c r="CF321" s="624"/>
      <c r="CG321" s="624"/>
      <c r="CH321" s="624"/>
    </row>
    <row r="322" spans="1:86" s="305" customFormat="1" ht="33.75" customHeight="1">
      <c r="A322" s="274" t="s">
        <v>8</v>
      </c>
      <c r="B322" s="358">
        <v>247</v>
      </c>
      <c r="C322" s="915"/>
      <c r="D322" s="733" t="s">
        <v>1601</v>
      </c>
      <c r="E322" s="308">
        <v>40330</v>
      </c>
      <c r="F322" s="358">
        <v>2010</v>
      </c>
      <c r="G322" s="358">
        <v>20</v>
      </c>
      <c r="H322" s="358" t="s">
        <v>380</v>
      </c>
      <c r="I322" s="358">
        <v>2010</v>
      </c>
      <c r="J322" s="358">
        <v>8</v>
      </c>
      <c r="K322" s="358" t="s">
        <v>570</v>
      </c>
      <c r="L322" s="358" t="s">
        <v>1669</v>
      </c>
      <c r="M322" s="288" t="s">
        <v>1273</v>
      </c>
      <c r="N322" s="359" t="s">
        <v>1940</v>
      </c>
      <c r="O322" s="580"/>
      <c r="P322" s="581"/>
      <c r="Q322" s="293"/>
      <c r="R322" s="294" t="s">
        <v>362</v>
      </c>
      <c r="S322" s="294" t="s">
        <v>363</v>
      </c>
      <c r="T322" s="1058">
        <v>1054292</v>
      </c>
      <c r="U322" s="295"/>
      <c r="V322" s="295" t="s">
        <v>1334</v>
      </c>
      <c r="W322" s="426"/>
      <c r="X322" s="299"/>
      <c r="Y322" s="293">
        <v>5265</v>
      </c>
      <c r="Z322" s="780"/>
      <c r="AA322" s="293"/>
      <c r="AB322" s="365">
        <f t="shared" si="51"/>
        <v>1</v>
      </c>
      <c r="AC322" s="299">
        <v>100000</v>
      </c>
      <c r="AD322" s="427"/>
      <c r="AE322" s="299"/>
      <c r="AF322" s="299"/>
      <c r="AG322" s="427">
        <f t="shared" si="58"/>
        <v>100000</v>
      </c>
      <c r="AH322" s="358"/>
      <c r="AI322" s="303"/>
      <c r="AJ322" s="303"/>
      <c r="AK322" s="293"/>
      <c r="AL322" s="293"/>
      <c r="AM322" s="368"/>
      <c r="AN322" s="368"/>
      <c r="AO322" s="368"/>
      <c r="AP322" s="368"/>
      <c r="AQ322" s="368"/>
      <c r="AR322" s="368"/>
      <c r="AS322" s="368"/>
      <c r="AT322" s="368"/>
      <c r="AU322" s="368"/>
      <c r="AV322" s="368"/>
      <c r="AW322" s="368"/>
      <c r="AX322" s="368"/>
      <c r="AY322" s="368"/>
      <c r="AZ322" s="299"/>
      <c r="BA322" s="299"/>
      <c r="BB322" s="299">
        <f t="shared" si="56"/>
        <v>100000</v>
      </c>
      <c r="BF322" s="299">
        <f t="shared" si="57"/>
        <v>100000</v>
      </c>
      <c r="BG322" s="451" t="str">
        <f t="shared" si="49"/>
        <v>Y</v>
      </c>
      <c r="BH322" s="451" t="s">
        <v>2087</v>
      </c>
      <c r="BI322" s="299"/>
      <c r="BJ322" s="698"/>
      <c r="BK322" s="698"/>
      <c r="BL322" s="303" t="s">
        <v>802</v>
      </c>
      <c r="BM322" s="668"/>
      <c r="BN322" s="303"/>
      <c r="BO322" s="668"/>
      <c r="BP322" s="584"/>
      <c r="BQ322" s="668"/>
      <c r="BR322" s="303"/>
      <c r="BS322" s="303"/>
      <c r="BT322" s="451" t="s">
        <v>362</v>
      </c>
      <c r="BU322" s="451" t="s">
        <v>362</v>
      </c>
      <c r="BV322" s="639"/>
      <c r="BW322" s="358"/>
      <c r="BX322" s="798" t="s">
        <v>2173</v>
      </c>
      <c r="BY322" s="374" t="s">
        <v>1364</v>
      </c>
      <c r="BZ322" s="624"/>
      <c r="CA322" s="624"/>
      <c r="CB322" s="624"/>
      <c r="CC322" s="624"/>
      <c r="CD322" s="624"/>
      <c r="CE322" s="624"/>
      <c r="CF322" s="624"/>
      <c r="CG322" s="624"/>
      <c r="CH322" s="624"/>
    </row>
    <row r="323" spans="1:86" s="374" customFormat="1" ht="33.75" customHeight="1">
      <c r="A323" s="274" t="s">
        <v>1644</v>
      </c>
      <c r="B323" s="358">
        <v>248</v>
      </c>
      <c r="C323" s="915"/>
      <c r="D323" s="733" t="s">
        <v>1600</v>
      </c>
      <c r="E323" s="308">
        <v>40392</v>
      </c>
      <c r="F323" s="358">
        <v>2011</v>
      </c>
      <c r="G323" s="358">
        <v>1</v>
      </c>
      <c r="H323" s="358" t="s">
        <v>376</v>
      </c>
      <c r="I323" s="358">
        <v>2010</v>
      </c>
      <c r="J323" s="358">
        <v>9</v>
      </c>
      <c r="K323" s="358" t="s">
        <v>570</v>
      </c>
      <c r="L323" s="358" t="s">
        <v>1668</v>
      </c>
      <c r="M323" s="627" t="s">
        <v>1271</v>
      </c>
      <c r="N323" s="359" t="s">
        <v>1877</v>
      </c>
      <c r="O323" s="580"/>
      <c r="P323" s="581"/>
      <c r="Q323" s="293">
        <v>20000000</v>
      </c>
      <c r="R323" s="294" t="s">
        <v>362</v>
      </c>
      <c r="S323" s="294" t="s">
        <v>2227</v>
      </c>
      <c r="T323" s="1058">
        <v>133800000</v>
      </c>
      <c r="U323" s="295" t="s">
        <v>2228</v>
      </c>
      <c r="V323" s="295" t="s">
        <v>1267</v>
      </c>
      <c r="W323" s="426" t="s">
        <v>362</v>
      </c>
      <c r="X323" s="299">
        <v>239406</v>
      </c>
      <c r="Y323" s="293">
        <v>2600000</v>
      </c>
      <c r="Z323" s="780"/>
      <c r="AA323" s="293"/>
      <c r="AB323" s="365">
        <f t="shared" si="51"/>
        <v>1</v>
      </c>
      <c r="AC323" s="299">
        <v>4100000</v>
      </c>
      <c r="AD323" s="427"/>
      <c r="AE323" s="299"/>
      <c r="AF323" s="299"/>
      <c r="AG323" s="427">
        <v>4850000</v>
      </c>
      <c r="AH323" s="358">
        <v>2</v>
      </c>
      <c r="AI323" s="303"/>
      <c r="AJ323" s="303">
        <f>SUM('Deployments History'!A136:A137)</f>
        <v>2</v>
      </c>
      <c r="AK323" s="293">
        <f>SUM(AM323:AX323)</f>
        <v>99900</v>
      </c>
      <c r="AL323" s="293" t="s">
        <v>362</v>
      </c>
      <c r="AM323" s="368"/>
      <c r="AN323" s="368">
        <f>SUM(10000+25000)</f>
        <v>35000</v>
      </c>
      <c r="AO323" s="368">
        <f>SUM(5000+10000)</f>
        <v>15000</v>
      </c>
      <c r="AP323" s="368">
        <v>3650</v>
      </c>
      <c r="AQ323" s="368"/>
      <c r="AR323" s="368">
        <f>SUM(5000+5000)</f>
        <v>10000</v>
      </c>
      <c r="AS323" s="368"/>
      <c r="AT323" s="368">
        <v>20000</v>
      </c>
      <c r="AU323" s="368"/>
      <c r="AV323" s="368">
        <v>10000</v>
      </c>
      <c r="AW323" s="368"/>
      <c r="AX323" s="368">
        <v>6250</v>
      </c>
      <c r="AY323" s="368"/>
      <c r="AZ323" s="299">
        <v>824977</v>
      </c>
      <c r="BA323" s="299"/>
      <c r="BB323" s="299">
        <f t="shared" si="56"/>
        <v>5674977</v>
      </c>
      <c r="BC323" s="299">
        <f>(8200000) -BB323</f>
        <v>2525023</v>
      </c>
      <c r="BD323" s="305"/>
      <c r="BE323" s="305"/>
      <c r="BF323" s="299">
        <f t="shared" si="57"/>
        <v>8200000</v>
      </c>
      <c r="BG323" s="451" t="s">
        <v>362</v>
      </c>
      <c r="BH323" s="451" t="s">
        <v>2088</v>
      </c>
      <c r="BI323" s="299"/>
      <c r="BJ323" s="698"/>
      <c r="BK323" s="698"/>
      <c r="BL323" s="303">
        <v>2799</v>
      </c>
      <c r="BM323" s="668"/>
      <c r="BN323" s="303">
        <v>2699</v>
      </c>
      <c r="BO323" s="668"/>
      <c r="BP323" s="584"/>
      <c r="BQ323" s="668"/>
      <c r="BR323" s="303"/>
      <c r="BS323" s="303"/>
      <c r="BT323" s="451" t="s">
        <v>362</v>
      </c>
      <c r="BU323" s="451" t="s">
        <v>362</v>
      </c>
      <c r="BV323" s="639"/>
      <c r="BW323" s="358" t="s">
        <v>2194</v>
      </c>
      <c r="BX323" s="798" t="s">
        <v>2162</v>
      </c>
      <c r="BY323" s="374" t="s">
        <v>413</v>
      </c>
      <c r="BZ323" s="639"/>
      <c r="CA323" s="639"/>
      <c r="CB323" s="639"/>
      <c r="CC323" s="639"/>
      <c r="CD323" s="639"/>
      <c r="CE323" s="639"/>
      <c r="CF323" s="639"/>
      <c r="CG323" s="639"/>
      <c r="CH323" s="639"/>
    </row>
    <row r="324" spans="1:86" s="639" customFormat="1" ht="33.75" customHeight="1">
      <c r="A324" s="623"/>
      <c r="B324" s="626">
        <v>249</v>
      </c>
      <c r="C324" s="916"/>
      <c r="D324" s="735" t="s">
        <v>97</v>
      </c>
      <c r="E324" s="625">
        <v>40452</v>
      </c>
      <c r="F324" s="626">
        <v>2011</v>
      </c>
      <c r="G324" s="626">
        <v>2</v>
      </c>
      <c r="H324" s="626" t="s">
        <v>378</v>
      </c>
      <c r="I324" s="626">
        <v>2010</v>
      </c>
      <c r="J324" s="626">
        <v>10</v>
      </c>
      <c r="K324" s="626" t="s">
        <v>1211</v>
      </c>
      <c r="L324" s="626" t="s">
        <v>1876</v>
      </c>
      <c r="M324" s="627" t="s">
        <v>1271</v>
      </c>
      <c r="N324" s="628" t="s">
        <v>1877</v>
      </c>
      <c r="O324" s="629"/>
      <c r="P324" s="630"/>
      <c r="Q324" s="590">
        <v>500000</v>
      </c>
      <c r="R324" s="631" t="s">
        <v>1752</v>
      </c>
      <c r="S324" s="631"/>
      <c r="T324" s="1063"/>
      <c r="U324" s="632"/>
      <c r="V324" s="632"/>
      <c r="W324" s="633" t="s">
        <v>1752</v>
      </c>
      <c r="X324" s="634"/>
      <c r="Y324" s="590"/>
      <c r="Z324" s="631" t="s">
        <v>362</v>
      </c>
      <c r="AA324" s="590">
        <v>50000</v>
      </c>
      <c r="AB324" s="365">
        <f t="shared" si="51"/>
        <v>0</v>
      </c>
      <c r="AC324" s="634"/>
      <c r="AD324" s="1033"/>
      <c r="AE324" s="634">
        <v>200000</v>
      </c>
      <c r="AF324" s="634"/>
      <c r="AG324" s="1033">
        <f t="shared" si="58"/>
        <v>200000</v>
      </c>
      <c r="AH324" s="626"/>
      <c r="AI324" s="635"/>
      <c r="AJ324" s="635"/>
      <c r="AK324" s="590"/>
      <c r="AL324" s="590"/>
      <c r="AM324" s="636"/>
      <c r="AN324" s="636"/>
      <c r="AO324" s="636"/>
      <c r="AP324" s="636"/>
      <c r="AQ324" s="636"/>
      <c r="AR324" s="636"/>
      <c r="AS324" s="636"/>
      <c r="AT324" s="636"/>
      <c r="AU324" s="636"/>
      <c r="AV324" s="636"/>
      <c r="AW324" s="636"/>
      <c r="AX324" s="636"/>
      <c r="AY324" s="636"/>
      <c r="AZ324" s="634"/>
      <c r="BA324" s="634"/>
      <c r="BB324" s="634">
        <f t="shared" si="56"/>
        <v>200000</v>
      </c>
      <c r="BC324" s="624"/>
      <c r="BD324" s="624"/>
      <c r="BE324" s="624"/>
      <c r="BF324" s="634">
        <f t="shared" si="57"/>
        <v>200000</v>
      </c>
      <c r="BG324" s="451" t="s">
        <v>1752</v>
      </c>
      <c r="BH324" s="689"/>
      <c r="BI324" s="634"/>
      <c r="BJ324" s="700"/>
      <c r="BK324" s="700"/>
      <c r="BL324" s="635" t="s">
        <v>2093</v>
      </c>
      <c r="BM324" s="669"/>
      <c r="BN324" s="635"/>
      <c r="BO324" s="669"/>
      <c r="BP324" s="722"/>
      <c r="BQ324" s="669"/>
      <c r="BR324" s="669">
        <v>200000</v>
      </c>
      <c r="BS324" s="635"/>
      <c r="BT324" s="451" t="str">
        <f t="shared" si="59"/>
        <v>N</v>
      </c>
      <c r="BU324" s="451" t="str">
        <f t="shared" si="59"/>
        <v>N</v>
      </c>
      <c r="BV324" s="639" t="s">
        <v>52</v>
      </c>
      <c r="BW324" s="626" t="s">
        <v>503</v>
      </c>
      <c r="BX324" s="798" t="s">
        <v>2172</v>
      </c>
      <c r="BY324" s="639" t="s">
        <v>1284</v>
      </c>
    </row>
    <row r="325" spans="1:86" s="374" customFormat="1" ht="33.75" customHeight="1">
      <c r="A325" s="274" t="s">
        <v>1281</v>
      </c>
      <c r="B325" s="358">
        <v>250</v>
      </c>
      <c r="C325" s="915"/>
      <c r="D325" s="733" t="s">
        <v>560</v>
      </c>
      <c r="E325" s="308">
        <v>40469</v>
      </c>
      <c r="F325" s="358">
        <v>2011</v>
      </c>
      <c r="G325" s="358">
        <v>3</v>
      </c>
      <c r="H325" s="358" t="s">
        <v>378</v>
      </c>
      <c r="I325" s="358">
        <v>2010</v>
      </c>
      <c r="J325" s="358">
        <v>11</v>
      </c>
      <c r="K325" s="358" t="s">
        <v>570</v>
      </c>
      <c r="L325" s="358" t="s">
        <v>1947</v>
      </c>
      <c r="M325" s="627" t="s">
        <v>1271</v>
      </c>
      <c r="N325" s="359" t="s">
        <v>1877</v>
      </c>
      <c r="O325" s="580"/>
      <c r="P325" s="581"/>
      <c r="Q325" s="293">
        <v>660000</v>
      </c>
      <c r="R325" s="294" t="s">
        <v>362</v>
      </c>
      <c r="S325" s="294" t="s">
        <v>363</v>
      </c>
      <c r="T325" s="1058">
        <v>1080000</v>
      </c>
      <c r="U325" s="295"/>
      <c r="V325" s="295" t="s">
        <v>1282</v>
      </c>
      <c r="W325" s="426" t="s">
        <v>362</v>
      </c>
      <c r="X325" s="299">
        <v>160853</v>
      </c>
      <c r="Y325" s="293">
        <v>120000</v>
      </c>
      <c r="Z325" s="780"/>
      <c r="AA325" s="293"/>
      <c r="AB325" s="365">
        <f t="shared" si="51"/>
        <v>0</v>
      </c>
      <c r="AC325" s="299">
        <v>30000</v>
      </c>
      <c r="AD325" s="427"/>
      <c r="AE325" s="299"/>
      <c r="AF325" s="299"/>
      <c r="AG325" s="427">
        <f t="shared" si="58"/>
        <v>30000</v>
      </c>
      <c r="AH325" s="358"/>
      <c r="AI325" s="303"/>
      <c r="AJ325" s="303"/>
      <c r="AK325" s="293"/>
      <c r="AL325" s="293"/>
      <c r="AM325" s="368"/>
      <c r="AN325" s="368"/>
      <c r="AO325" s="368"/>
      <c r="AP325" s="368"/>
      <c r="AQ325" s="368"/>
      <c r="AR325" s="368"/>
      <c r="AS325" s="368"/>
      <c r="AT325" s="368"/>
      <c r="AU325" s="368"/>
      <c r="AV325" s="368"/>
      <c r="AW325" s="368"/>
      <c r="AX325" s="368"/>
      <c r="AY325" s="368"/>
      <c r="AZ325" s="299"/>
      <c r="BA325" s="299"/>
      <c r="BB325" s="299">
        <f t="shared" si="56"/>
        <v>30000</v>
      </c>
      <c r="BC325" s="305"/>
      <c r="BD325" s="305"/>
      <c r="BE325" s="305"/>
      <c r="BF325" s="299">
        <f t="shared" si="57"/>
        <v>30000</v>
      </c>
      <c r="BG325" s="451" t="str">
        <f t="shared" si="49"/>
        <v>N</v>
      </c>
      <c r="BH325" s="451"/>
      <c r="BI325" s="299"/>
      <c r="BJ325" s="698"/>
      <c r="BK325" s="698"/>
      <c r="BL325" s="303">
        <v>2799</v>
      </c>
      <c r="BM325" s="668"/>
      <c r="BN325" s="303"/>
      <c r="BO325" s="668"/>
      <c r="BP325" s="584"/>
      <c r="BQ325" s="668"/>
      <c r="BR325" s="303"/>
      <c r="BS325" s="303"/>
      <c r="BT325" s="451" t="str">
        <f t="shared" si="59"/>
        <v>Y</v>
      </c>
      <c r="BU325" s="451" t="str">
        <f t="shared" si="59"/>
        <v>N</v>
      </c>
      <c r="BV325" s="318"/>
      <c r="BW325" s="358"/>
      <c r="BX325" s="798" t="s">
        <v>2171</v>
      </c>
      <c r="BY325" s="374" t="s">
        <v>1283</v>
      </c>
      <c r="BZ325" s="639"/>
      <c r="CA325" s="639"/>
      <c r="CB325" s="639"/>
      <c r="CC325" s="639"/>
      <c r="CD325" s="639"/>
      <c r="CE325" s="639"/>
      <c r="CF325" s="639"/>
      <c r="CG325" s="639"/>
      <c r="CH325" s="639"/>
    </row>
    <row r="326" spans="1:86" s="374" customFormat="1" ht="199.5" customHeight="1">
      <c r="A326" s="274" t="s">
        <v>1285</v>
      </c>
      <c r="B326" s="358">
        <v>251</v>
      </c>
      <c r="C326" s="915"/>
      <c r="D326" s="733" t="s">
        <v>2032</v>
      </c>
      <c r="E326" s="308">
        <v>40475</v>
      </c>
      <c r="F326" s="358">
        <v>2011</v>
      </c>
      <c r="G326" s="358">
        <v>4</v>
      </c>
      <c r="H326" s="358" t="s">
        <v>378</v>
      </c>
      <c r="I326" s="358">
        <v>2010</v>
      </c>
      <c r="J326" s="358">
        <v>12</v>
      </c>
      <c r="K326" s="358" t="s">
        <v>1211</v>
      </c>
      <c r="L326" s="358" t="s">
        <v>682</v>
      </c>
      <c r="M326" s="288" t="s">
        <v>1963</v>
      </c>
      <c r="N326" s="359" t="s">
        <v>1639</v>
      </c>
      <c r="O326" s="580"/>
      <c r="P326" s="581"/>
      <c r="R326" s="294" t="s">
        <v>362</v>
      </c>
      <c r="S326" s="294" t="s">
        <v>363</v>
      </c>
      <c r="T326" s="1058">
        <v>12547960</v>
      </c>
      <c r="U326" s="295"/>
      <c r="V326" s="295" t="s">
        <v>1286</v>
      </c>
      <c r="W326" s="426" t="s">
        <v>362</v>
      </c>
      <c r="X326" s="299">
        <v>80618</v>
      </c>
      <c r="Y326" s="293">
        <v>1500000</v>
      </c>
      <c r="Z326" s="780"/>
      <c r="AA326" s="293"/>
      <c r="AB326" s="365">
        <f t="shared" si="51"/>
        <v>1</v>
      </c>
      <c r="AC326" s="299">
        <v>2166133</v>
      </c>
      <c r="AD326" s="427"/>
      <c r="AE326" s="299"/>
      <c r="AF326" s="299"/>
      <c r="AG326" s="427">
        <v>2320081</v>
      </c>
      <c r="AH326" s="358"/>
      <c r="AI326" s="303"/>
      <c r="AJ326" s="303"/>
      <c r="AK326" s="293"/>
      <c r="AL326" s="293"/>
      <c r="AM326" s="368"/>
      <c r="AN326" s="368"/>
      <c r="AO326" s="368"/>
      <c r="AP326" s="368"/>
      <c r="AQ326" s="368"/>
      <c r="AR326" s="368"/>
      <c r="AS326" s="368"/>
      <c r="AT326" s="368"/>
      <c r="AU326" s="368"/>
      <c r="AV326" s="368"/>
      <c r="AW326" s="368"/>
      <c r="AX326" s="368"/>
      <c r="AY326" s="368"/>
      <c r="AZ326" s="299">
        <v>694910</v>
      </c>
      <c r="BA326" s="299"/>
      <c r="BB326" s="299">
        <v>16068357</v>
      </c>
      <c r="BC326" s="305"/>
      <c r="BD326" s="305"/>
      <c r="BE326" s="305"/>
      <c r="BF326" s="299">
        <f t="shared" si="57"/>
        <v>16068357</v>
      </c>
      <c r="BG326" s="451" t="s">
        <v>362</v>
      </c>
      <c r="BH326" s="451" t="s">
        <v>2088</v>
      </c>
      <c r="BI326" s="299"/>
      <c r="BJ326" s="698"/>
      <c r="BK326" s="698"/>
      <c r="BL326" s="303">
        <v>2888</v>
      </c>
      <c r="BM326" s="668"/>
      <c r="BN326" s="303"/>
      <c r="BO326" s="668"/>
      <c r="BP326" s="584"/>
      <c r="BQ326" s="668"/>
      <c r="BR326" s="303"/>
      <c r="BS326" s="303"/>
      <c r="BT326" s="451" t="str">
        <f t="shared" si="59"/>
        <v>N</v>
      </c>
      <c r="BU326" s="451" t="str">
        <f t="shared" si="59"/>
        <v>N</v>
      </c>
      <c r="BV326" s="318"/>
      <c r="BW326" s="358"/>
      <c r="BX326" s="798" t="s">
        <v>2170</v>
      </c>
      <c r="BY326" s="318" t="s">
        <v>1764</v>
      </c>
      <c r="BZ326" s="639"/>
      <c r="CA326" s="639"/>
      <c r="CB326" s="639"/>
      <c r="CC326" s="639"/>
      <c r="CD326" s="639"/>
      <c r="CE326" s="639"/>
      <c r="CF326" s="639"/>
      <c r="CG326" s="639"/>
      <c r="CH326" s="639"/>
    </row>
    <row r="327" spans="1:86" s="374" customFormat="1" ht="250.5" customHeight="1">
      <c r="A327" s="274" t="s">
        <v>1285</v>
      </c>
      <c r="B327" s="358">
        <v>251</v>
      </c>
      <c r="C327" s="915"/>
      <c r="D327" s="733" t="s">
        <v>2032</v>
      </c>
      <c r="E327" s="308">
        <v>40475</v>
      </c>
      <c r="F327" s="358">
        <v>2011</v>
      </c>
      <c r="G327" s="358">
        <v>4</v>
      </c>
      <c r="H327" s="358" t="s">
        <v>378</v>
      </c>
      <c r="I327" s="358">
        <v>2010</v>
      </c>
      <c r="J327" s="358">
        <v>12</v>
      </c>
      <c r="K327" s="358" t="s">
        <v>1211</v>
      </c>
      <c r="L327" s="358" t="s">
        <v>1540</v>
      </c>
      <c r="M327" s="288" t="s">
        <v>1963</v>
      </c>
      <c r="N327" s="359" t="s">
        <v>1639</v>
      </c>
      <c r="O327" s="580"/>
      <c r="P327" s="581"/>
      <c r="R327" s="294"/>
      <c r="S327" s="294"/>
      <c r="T327" s="1058"/>
      <c r="U327" s="541"/>
      <c r="V327" s="295" t="s">
        <v>1286</v>
      </c>
      <c r="W327" s="426"/>
      <c r="X327" s="299"/>
      <c r="Y327" s="293"/>
      <c r="Z327" s="294"/>
      <c r="AA327" s="293"/>
      <c r="AB327" s="365">
        <f t="shared" si="51"/>
        <v>0</v>
      </c>
      <c r="AC327" s="299"/>
      <c r="AD327" s="427"/>
      <c r="AE327" s="299"/>
      <c r="AF327" s="299"/>
      <c r="AG327" s="427"/>
      <c r="AH327" s="358"/>
      <c r="AI327" s="303"/>
      <c r="AJ327" s="303"/>
      <c r="AK327" s="293"/>
      <c r="AL327" s="293"/>
      <c r="AM327" s="368"/>
      <c r="AN327" s="368"/>
      <c r="AO327" s="368"/>
      <c r="AP327" s="368"/>
      <c r="AQ327" s="368"/>
      <c r="AR327" s="368"/>
      <c r="AS327" s="368"/>
      <c r="AT327" s="368"/>
      <c r="AU327" s="368"/>
      <c r="AV327" s="368"/>
      <c r="AW327" s="368"/>
      <c r="AX327" s="368"/>
      <c r="AY327" s="368"/>
      <c r="AZ327" s="299"/>
      <c r="BA327" s="299"/>
      <c r="BB327" s="299"/>
      <c r="BC327" s="305"/>
      <c r="BD327" s="305"/>
      <c r="BE327" s="305"/>
      <c r="BF327" s="299"/>
      <c r="BG327" s="451"/>
      <c r="BH327" s="451"/>
      <c r="BI327" s="299"/>
      <c r="BJ327" s="698"/>
      <c r="BK327" s="698"/>
      <c r="BL327" s="303"/>
      <c r="BM327" s="668"/>
      <c r="BN327" s="303"/>
      <c r="BO327" s="668"/>
      <c r="BP327" s="584"/>
      <c r="BQ327" s="668"/>
      <c r="BR327" s="303"/>
      <c r="BS327" s="303"/>
      <c r="BT327" s="451"/>
      <c r="BU327" s="451"/>
      <c r="BV327" s="318"/>
      <c r="BW327" s="358"/>
      <c r="BX327" s="798" t="s">
        <v>2170</v>
      </c>
      <c r="BY327" s="616"/>
      <c r="BZ327" s="639"/>
      <c r="CA327" s="639"/>
      <c r="CB327" s="639"/>
      <c r="CC327" s="639"/>
      <c r="CD327" s="639"/>
      <c r="CE327" s="639"/>
      <c r="CF327" s="639"/>
      <c r="CG327" s="639"/>
      <c r="CH327" s="639"/>
    </row>
    <row r="328" spans="1:86" s="374" customFormat="1" ht="33.75" customHeight="1">
      <c r="A328" s="274" t="s">
        <v>1919</v>
      </c>
      <c r="B328" s="358">
        <v>252</v>
      </c>
      <c r="C328" s="915"/>
      <c r="D328" s="733" t="s">
        <v>1918</v>
      </c>
      <c r="E328" s="308">
        <v>40477</v>
      </c>
      <c r="F328" s="358">
        <v>2011</v>
      </c>
      <c r="G328" s="358">
        <v>5</v>
      </c>
      <c r="H328" s="358" t="s">
        <v>378</v>
      </c>
      <c r="I328" s="358">
        <v>2010</v>
      </c>
      <c r="J328" s="358">
        <v>13</v>
      </c>
      <c r="K328" s="358" t="s">
        <v>570</v>
      </c>
      <c r="L328" s="358" t="s">
        <v>2026</v>
      </c>
      <c r="M328" s="627" t="s">
        <v>1271</v>
      </c>
      <c r="N328" s="359" t="s">
        <v>1586</v>
      </c>
      <c r="O328" s="580"/>
      <c r="P328" s="581"/>
      <c r="Q328" s="293">
        <v>2000000</v>
      </c>
      <c r="R328" s="294" t="s">
        <v>362</v>
      </c>
      <c r="S328" s="294" t="s">
        <v>363</v>
      </c>
      <c r="T328" s="1058">
        <v>4310000</v>
      </c>
      <c r="U328" s="295"/>
      <c r="V328" s="295" t="s">
        <v>1921</v>
      </c>
      <c r="W328" s="426" t="s">
        <v>362</v>
      </c>
      <c r="X328" s="299">
        <v>214855</v>
      </c>
      <c r="Y328" s="293">
        <v>60000</v>
      </c>
      <c r="Z328" s="780"/>
      <c r="AA328" s="293"/>
      <c r="AB328" s="365">
        <f t="shared" si="51"/>
        <v>0</v>
      </c>
      <c r="AC328" s="299">
        <v>30000</v>
      </c>
      <c r="AD328" s="427"/>
      <c r="AE328" s="299"/>
      <c r="AF328" s="299"/>
      <c r="AG328" s="427">
        <f t="shared" si="58"/>
        <v>30000</v>
      </c>
      <c r="AH328" s="358"/>
      <c r="AI328" s="303"/>
      <c r="AJ328" s="303"/>
      <c r="AK328" s="293"/>
      <c r="AL328" s="293"/>
      <c r="AM328" s="368"/>
      <c r="AN328" s="368"/>
      <c r="AO328" s="368"/>
      <c r="AP328" s="368"/>
      <c r="AQ328" s="368"/>
      <c r="AR328" s="368"/>
      <c r="AS328" s="368"/>
      <c r="AT328" s="368"/>
      <c r="AU328" s="368"/>
      <c r="AV328" s="368"/>
      <c r="AW328" s="368"/>
      <c r="AX328" s="368"/>
      <c r="AY328" s="368"/>
      <c r="AZ328" s="299"/>
      <c r="BA328" s="299"/>
      <c r="BB328" s="299">
        <f t="shared" si="56"/>
        <v>30000</v>
      </c>
      <c r="BC328" s="305"/>
      <c r="BD328" s="305"/>
      <c r="BE328" s="305"/>
      <c r="BF328" s="299">
        <f t="shared" si="57"/>
        <v>30000</v>
      </c>
      <c r="BG328" s="451" t="s">
        <v>1752</v>
      </c>
      <c r="BH328" s="451"/>
      <c r="BI328" s="299"/>
      <c r="BJ328" s="698"/>
      <c r="BK328" s="698"/>
      <c r="BL328" s="303">
        <v>2032</v>
      </c>
      <c r="BM328" s="668">
        <v>30000</v>
      </c>
      <c r="BN328" s="303"/>
      <c r="BO328" s="668"/>
      <c r="BP328" s="584"/>
      <c r="BQ328" s="668"/>
      <c r="BR328" s="303"/>
      <c r="BS328" s="303"/>
      <c r="BT328" s="451" t="str">
        <f t="shared" si="59"/>
        <v>N</v>
      </c>
      <c r="BU328" s="451" t="str">
        <f t="shared" si="59"/>
        <v>N</v>
      </c>
      <c r="BV328" s="318"/>
      <c r="BW328" s="358"/>
      <c r="BX328" s="798" t="s">
        <v>2169</v>
      </c>
      <c r="BY328" s="616" t="s">
        <v>1922</v>
      </c>
      <c r="BZ328" s="639"/>
      <c r="CA328" s="639"/>
      <c r="CB328" s="639"/>
      <c r="CC328" s="639"/>
      <c r="CD328" s="639"/>
      <c r="CE328" s="639"/>
      <c r="CF328" s="639"/>
      <c r="CG328" s="639"/>
      <c r="CH328" s="639"/>
    </row>
    <row r="329" spans="1:86" s="374" customFormat="1" ht="33.75" customHeight="1">
      <c r="A329" s="617" t="s">
        <v>1280</v>
      </c>
      <c r="B329" s="358">
        <v>253</v>
      </c>
      <c r="C329" s="915"/>
      <c r="D329" s="733" t="s">
        <v>1277</v>
      </c>
      <c r="E329" s="308">
        <v>40490</v>
      </c>
      <c r="F329" s="358">
        <v>2011</v>
      </c>
      <c r="G329" s="358">
        <v>6</v>
      </c>
      <c r="H329" s="358" t="s">
        <v>378</v>
      </c>
      <c r="I329" s="358">
        <v>2010</v>
      </c>
      <c r="J329" s="358">
        <v>14</v>
      </c>
      <c r="K329" s="358" t="s">
        <v>570</v>
      </c>
      <c r="L329" s="358" t="s">
        <v>1565</v>
      </c>
      <c r="M329" s="627" t="s">
        <v>1271</v>
      </c>
      <c r="N329" s="359" t="s">
        <v>1920</v>
      </c>
      <c r="O329" s="580"/>
      <c r="P329" s="581"/>
      <c r="Q329" s="293">
        <v>215000</v>
      </c>
      <c r="R329" s="294" t="s">
        <v>362</v>
      </c>
      <c r="S329" s="294" t="s">
        <v>363</v>
      </c>
      <c r="T329" s="1058">
        <v>5504123</v>
      </c>
      <c r="U329" s="295"/>
      <c r="V329" s="295" t="s">
        <v>1923</v>
      </c>
      <c r="W329" s="426" t="s">
        <v>362</v>
      </c>
      <c r="X329" s="299"/>
      <c r="Y329" s="293">
        <v>25000</v>
      </c>
      <c r="Z329" s="780"/>
      <c r="AA329" s="293"/>
      <c r="AB329" s="365">
        <f t="shared" si="51"/>
        <v>1</v>
      </c>
      <c r="AC329" s="299">
        <v>50000</v>
      </c>
      <c r="AD329" s="427"/>
      <c r="AE329" s="299"/>
      <c r="AF329" s="299"/>
      <c r="AG329" s="427">
        <f t="shared" si="58"/>
        <v>50000</v>
      </c>
      <c r="AH329" s="358"/>
      <c r="AI329" s="303"/>
      <c r="AJ329" s="303"/>
      <c r="AK329" s="293"/>
      <c r="AL329" s="293"/>
      <c r="AM329" s="368"/>
      <c r="AN329" s="368"/>
      <c r="AO329" s="368"/>
      <c r="AP329" s="368"/>
      <c r="AQ329" s="368"/>
      <c r="AR329" s="368"/>
      <c r="AS329" s="368"/>
      <c r="AT329" s="368"/>
      <c r="AU329" s="368"/>
      <c r="AV329" s="368"/>
      <c r="AW329" s="368"/>
      <c r="AX329" s="368"/>
      <c r="AY329" s="368"/>
      <c r="AZ329" s="299"/>
      <c r="BA329" s="299"/>
      <c r="BB329" s="299">
        <f t="shared" si="56"/>
        <v>50000</v>
      </c>
      <c r="BC329" s="305"/>
      <c r="BD329" s="305"/>
      <c r="BE329" s="305"/>
      <c r="BF329" s="299">
        <f t="shared" si="57"/>
        <v>50000</v>
      </c>
      <c r="BG329" s="451" t="str">
        <f t="shared" si="49"/>
        <v>N</v>
      </c>
      <c r="BH329" s="451"/>
      <c r="BI329" s="299"/>
      <c r="BJ329" s="698"/>
      <c r="BK329" s="698"/>
      <c r="BL329" s="303">
        <v>2799</v>
      </c>
      <c r="BM329" s="668"/>
      <c r="BN329" s="303"/>
      <c r="BO329" s="668"/>
      <c r="BP329" s="584"/>
      <c r="BQ329" s="668"/>
      <c r="BR329" s="303"/>
      <c r="BS329" s="303"/>
      <c r="BT329" s="451" t="str">
        <f t="shared" si="59"/>
        <v>Y</v>
      </c>
      <c r="BU329" s="451" t="str">
        <f t="shared" si="59"/>
        <v>N</v>
      </c>
      <c r="BV329" s="318"/>
      <c r="BW329" s="358"/>
      <c r="BX329" s="798" t="s">
        <v>2168</v>
      </c>
      <c r="BY329" s="618" t="s">
        <v>1924</v>
      </c>
      <c r="BZ329" s="639"/>
      <c r="CA329" s="639"/>
      <c r="CB329" s="639"/>
      <c r="CC329" s="639"/>
      <c r="CD329" s="639"/>
      <c r="CE329" s="639"/>
      <c r="CF329" s="639"/>
      <c r="CG329" s="639"/>
      <c r="CH329" s="639"/>
    </row>
    <row r="330" spans="1:86" s="374" customFormat="1" ht="147.75" customHeight="1">
      <c r="A330" s="274" t="s">
        <v>1926</v>
      </c>
      <c r="B330" s="358">
        <v>254</v>
      </c>
      <c r="C330" s="915"/>
      <c r="D330" s="733" t="s">
        <v>1278</v>
      </c>
      <c r="E330" s="308">
        <v>40485</v>
      </c>
      <c r="F330" s="358">
        <v>2011</v>
      </c>
      <c r="G330" s="358">
        <v>7</v>
      </c>
      <c r="H330" s="358" t="s">
        <v>378</v>
      </c>
      <c r="I330" s="358">
        <v>2010</v>
      </c>
      <c r="J330" s="358">
        <v>15</v>
      </c>
      <c r="K330" s="358" t="s">
        <v>1211</v>
      </c>
      <c r="L330" s="944" t="s">
        <v>1927</v>
      </c>
      <c r="M330" s="627" t="s">
        <v>1271</v>
      </c>
      <c r="N330" s="359" t="s">
        <v>1586</v>
      </c>
      <c r="O330" s="580"/>
      <c r="P330" s="581"/>
      <c r="Q330" s="293">
        <v>9500</v>
      </c>
      <c r="R330" s="294" t="s">
        <v>362</v>
      </c>
      <c r="S330" s="294" t="s">
        <v>363</v>
      </c>
      <c r="T330" s="1058">
        <v>1141503</v>
      </c>
      <c r="U330" s="295"/>
      <c r="V330" s="295" t="s">
        <v>1925</v>
      </c>
      <c r="W330" s="426"/>
      <c r="X330" s="299"/>
      <c r="Y330" s="293">
        <v>7500</v>
      </c>
      <c r="Z330" s="780"/>
      <c r="AA330" s="293"/>
      <c r="AB330" s="365">
        <f t="shared" si="51"/>
        <v>1</v>
      </c>
      <c r="AC330" s="299">
        <v>145000</v>
      </c>
      <c r="AD330" s="427"/>
      <c r="AE330" s="299"/>
      <c r="AF330" s="299"/>
      <c r="AG330" s="427">
        <f t="shared" si="58"/>
        <v>145000</v>
      </c>
      <c r="AH330" s="358">
        <v>6</v>
      </c>
      <c r="AI330" s="303"/>
      <c r="AJ330" s="303">
        <f>SUM('Deployments History'!A138:A143)</f>
        <v>6</v>
      </c>
      <c r="AK330" s="293"/>
      <c r="AL330" s="293"/>
      <c r="AM330" s="368"/>
      <c r="AN330" s="368"/>
      <c r="AO330" s="368"/>
      <c r="AP330" s="368"/>
      <c r="AQ330" s="368"/>
      <c r="AR330" s="368"/>
      <c r="AS330" s="368"/>
      <c r="AT330" s="368"/>
      <c r="AU330" s="368"/>
      <c r="AV330" s="368"/>
      <c r="AW330" s="368"/>
      <c r="AX330" s="368"/>
      <c r="AY330" s="368"/>
      <c r="AZ330" s="299"/>
      <c r="BA330" s="299"/>
      <c r="BB330" s="299">
        <f t="shared" si="56"/>
        <v>145000</v>
      </c>
      <c r="BC330" s="305"/>
      <c r="BD330" s="305"/>
      <c r="BE330" s="305"/>
      <c r="BF330" s="299">
        <f t="shared" si="57"/>
        <v>145000</v>
      </c>
      <c r="BG330" s="451" t="str">
        <f t="shared" ref="BG330:BG361" si="60">IF(OR(BL330=2799,BL330=2099),"N","Y")</f>
        <v>N</v>
      </c>
      <c r="BH330" s="451"/>
      <c r="BI330" s="299"/>
      <c r="BJ330" s="698"/>
      <c r="BK330" s="698"/>
      <c r="BL330" s="303">
        <v>2799</v>
      </c>
      <c r="BM330" s="668"/>
      <c r="BN330" s="303"/>
      <c r="BO330" s="668"/>
      <c r="BP330" s="584"/>
      <c r="BQ330" s="668"/>
      <c r="BR330" s="303"/>
      <c r="BS330" s="303"/>
      <c r="BT330" s="451" t="str">
        <f t="shared" si="59"/>
        <v>Y</v>
      </c>
      <c r="BU330" s="451" t="str">
        <f t="shared" si="59"/>
        <v>N</v>
      </c>
      <c r="BV330" s="318"/>
      <c r="BW330" s="358"/>
      <c r="BX330" s="798" t="s">
        <v>2167</v>
      </c>
      <c r="BY330" s="318" t="s">
        <v>619</v>
      </c>
      <c r="BZ330" s="639"/>
      <c r="CA330" s="639"/>
      <c r="CB330" s="639"/>
      <c r="CC330" s="639"/>
      <c r="CD330" s="639"/>
      <c r="CE330" s="639"/>
      <c r="CF330" s="639"/>
      <c r="CG330" s="639"/>
      <c r="CH330" s="639"/>
    </row>
    <row r="331" spans="1:86" s="374" customFormat="1" ht="33.75" customHeight="1">
      <c r="A331" s="274"/>
      <c r="B331" s="358">
        <v>255</v>
      </c>
      <c r="C331" s="915"/>
      <c r="D331" s="733" t="s">
        <v>1279</v>
      </c>
      <c r="E331" s="308">
        <v>40491</v>
      </c>
      <c r="F331" s="358">
        <v>2011</v>
      </c>
      <c r="G331" s="358">
        <v>8</v>
      </c>
      <c r="H331" s="358" t="s">
        <v>378</v>
      </c>
      <c r="I331" s="358">
        <v>2010</v>
      </c>
      <c r="J331" s="358">
        <v>16</v>
      </c>
      <c r="K331" s="358" t="s">
        <v>1211</v>
      </c>
      <c r="L331" s="358" t="s">
        <v>121</v>
      </c>
      <c r="M331" s="627" t="s">
        <v>1271</v>
      </c>
      <c r="N331" s="359" t="s">
        <v>1586</v>
      </c>
      <c r="O331" s="580"/>
      <c r="P331" s="581"/>
      <c r="Q331" s="293"/>
      <c r="R331" s="294" t="s">
        <v>1752</v>
      </c>
      <c r="S331" s="294"/>
      <c r="T331" s="1058"/>
      <c r="U331" s="295"/>
      <c r="V331" s="295" t="s">
        <v>1928</v>
      </c>
      <c r="W331" s="426" t="s">
        <v>362</v>
      </c>
      <c r="X331" s="299">
        <v>56303</v>
      </c>
      <c r="Y331" s="293"/>
      <c r="Z331" s="294"/>
      <c r="AA331" s="293">
        <v>4639</v>
      </c>
      <c r="AB331" s="365">
        <f t="shared" si="51"/>
        <v>0</v>
      </c>
      <c r="AC331" s="299"/>
      <c r="AD331" s="427"/>
      <c r="AE331" s="299">
        <v>80000</v>
      </c>
      <c r="AF331" s="299"/>
      <c r="AG331" s="427">
        <f>SUM(AD331:AE331)</f>
        <v>80000</v>
      </c>
      <c r="AH331" s="358">
        <v>1</v>
      </c>
      <c r="AI331" s="303"/>
      <c r="AJ331" s="303">
        <f>SUM('Deployments History'!A144)</f>
        <v>1</v>
      </c>
      <c r="AK331" s="293"/>
      <c r="AL331" s="293"/>
      <c r="AM331" s="368"/>
      <c r="AN331" s="368"/>
      <c r="AO331" s="368"/>
      <c r="AP331" s="368"/>
      <c r="AQ331" s="368"/>
      <c r="AR331" s="368"/>
      <c r="AS331" s="368"/>
      <c r="AT331" s="368"/>
      <c r="AU331" s="368"/>
      <c r="AV331" s="368"/>
      <c r="AW331" s="368"/>
      <c r="AX331" s="368"/>
      <c r="AY331" s="368"/>
      <c r="AZ331" s="299"/>
      <c r="BA331" s="299"/>
      <c r="BB331" s="299">
        <f t="shared" si="56"/>
        <v>80000</v>
      </c>
      <c r="BC331" s="305"/>
      <c r="BD331" s="305"/>
      <c r="BE331" s="305"/>
      <c r="BF331" s="299">
        <f t="shared" si="57"/>
        <v>80000</v>
      </c>
      <c r="BG331" s="451" t="str">
        <f t="shared" si="60"/>
        <v>N</v>
      </c>
      <c r="BH331" s="451"/>
      <c r="BI331" s="299"/>
      <c r="BJ331" s="698"/>
      <c r="BK331" s="698"/>
      <c r="BL331" s="303">
        <v>2799</v>
      </c>
      <c r="BM331" s="668"/>
      <c r="BN331" s="303"/>
      <c r="BO331" s="668"/>
      <c r="BP331" s="584"/>
      <c r="BQ331" s="668"/>
      <c r="BR331" s="303"/>
      <c r="BS331" s="303"/>
      <c r="BT331" s="451" t="str">
        <f t="shared" si="59"/>
        <v>Y</v>
      </c>
      <c r="BU331" s="451" t="str">
        <f t="shared" si="59"/>
        <v>N</v>
      </c>
      <c r="BV331" s="318"/>
      <c r="BW331" s="358"/>
      <c r="BX331" s="798" t="s">
        <v>2166</v>
      </c>
      <c r="BY331" s="318" t="s">
        <v>1929</v>
      </c>
      <c r="BZ331" s="639"/>
      <c r="CA331" s="639"/>
      <c r="CB331" s="639"/>
      <c r="CC331" s="639"/>
      <c r="CD331" s="639"/>
      <c r="CE331" s="639"/>
      <c r="CF331" s="639"/>
      <c r="CG331" s="639"/>
      <c r="CH331" s="639"/>
    </row>
    <row r="332" spans="1:86" s="374" customFormat="1" ht="33.75" customHeight="1">
      <c r="A332" s="274" t="s">
        <v>865</v>
      </c>
      <c r="B332" s="358">
        <v>256</v>
      </c>
      <c r="C332" s="915"/>
      <c r="D332" s="737" t="s">
        <v>532</v>
      </c>
      <c r="E332" s="308">
        <v>40492</v>
      </c>
      <c r="F332" s="358">
        <v>2011</v>
      </c>
      <c r="G332" s="358">
        <v>9</v>
      </c>
      <c r="H332" s="358" t="s">
        <v>378</v>
      </c>
      <c r="I332" s="358">
        <v>2010</v>
      </c>
      <c r="J332" s="358">
        <v>17</v>
      </c>
      <c r="K332" s="358" t="s">
        <v>1211</v>
      </c>
      <c r="L332" s="358" t="s">
        <v>1878</v>
      </c>
      <c r="M332" s="627" t="s">
        <v>1271</v>
      </c>
      <c r="N332" s="359" t="s">
        <v>1877</v>
      </c>
      <c r="O332" s="580"/>
      <c r="P332" s="581"/>
      <c r="Q332" s="293">
        <v>13500</v>
      </c>
      <c r="R332" s="294" t="s">
        <v>1752</v>
      </c>
      <c r="S332" s="294"/>
      <c r="T332" s="1058"/>
      <c r="U332" s="295"/>
      <c r="V332" s="295"/>
      <c r="W332" s="426" t="s">
        <v>362</v>
      </c>
      <c r="X332" s="299">
        <v>123611</v>
      </c>
      <c r="Y332" s="293">
        <v>1000</v>
      </c>
      <c r="Z332" s="294" t="s">
        <v>362</v>
      </c>
      <c r="AA332" s="293"/>
      <c r="AB332" s="365">
        <f t="shared" si="51"/>
        <v>0</v>
      </c>
      <c r="AC332" s="299"/>
      <c r="AD332" s="427"/>
      <c r="AE332" s="299">
        <v>322330</v>
      </c>
      <c r="AF332" s="299"/>
      <c r="AG332" s="427">
        <f>SUM(AD332:AE332)</f>
        <v>322330</v>
      </c>
      <c r="AH332" s="358"/>
      <c r="AI332" s="303"/>
      <c r="AJ332" s="303"/>
      <c r="AK332" s="293"/>
      <c r="AL332" s="293"/>
      <c r="AM332" s="368"/>
      <c r="AN332" s="368"/>
      <c r="AO332" s="368"/>
      <c r="AP332" s="368"/>
      <c r="AQ332" s="368"/>
      <c r="AR332" s="368"/>
      <c r="AS332" s="368"/>
      <c r="AT332" s="368"/>
      <c r="AU332" s="368"/>
      <c r="AV332" s="368"/>
      <c r="AW332" s="368"/>
      <c r="AX332" s="368"/>
      <c r="AY332" s="368"/>
      <c r="AZ332" s="299"/>
      <c r="BA332" s="299"/>
      <c r="BB332" s="299">
        <f t="shared" si="56"/>
        <v>322330</v>
      </c>
      <c r="BC332" s="305"/>
      <c r="BD332" s="305"/>
      <c r="BE332" s="305"/>
      <c r="BF332" s="299">
        <f t="shared" si="57"/>
        <v>322330</v>
      </c>
      <c r="BG332" s="451" t="str">
        <f t="shared" si="60"/>
        <v>Y</v>
      </c>
      <c r="BH332" s="451" t="s">
        <v>2471</v>
      </c>
      <c r="BI332" s="299"/>
      <c r="BJ332" s="698"/>
      <c r="BK332" s="698"/>
      <c r="BL332" s="303" t="s">
        <v>864</v>
      </c>
      <c r="BM332" s="668"/>
      <c r="BN332" s="303"/>
      <c r="BO332" s="668"/>
      <c r="BP332" s="584"/>
      <c r="BQ332" s="668"/>
      <c r="BR332" s="303"/>
      <c r="BS332" s="303" t="s">
        <v>362</v>
      </c>
      <c r="BT332" s="451" t="str">
        <f t="shared" si="59"/>
        <v>N</v>
      </c>
      <c r="BU332" s="451" t="str">
        <f t="shared" si="59"/>
        <v>N</v>
      </c>
      <c r="BV332" s="318" t="s">
        <v>1570</v>
      </c>
      <c r="BW332" s="358"/>
      <c r="BX332" s="798" t="s">
        <v>2165</v>
      </c>
      <c r="BY332" s="318" t="s">
        <v>863</v>
      </c>
      <c r="BZ332" s="639"/>
      <c r="CA332" s="639"/>
      <c r="CB332" s="639"/>
      <c r="CC332" s="639"/>
      <c r="CD332" s="639"/>
      <c r="CE332" s="639"/>
      <c r="CF332" s="639"/>
      <c r="CG332" s="639"/>
      <c r="CH332" s="639"/>
    </row>
    <row r="333" spans="1:86" s="374" customFormat="1" ht="33.75" customHeight="1">
      <c r="A333" s="274" t="s">
        <v>866</v>
      </c>
      <c r="B333" s="358">
        <v>257</v>
      </c>
      <c r="C333" s="915"/>
      <c r="D333" s="733" t="s">
        <v>1160</v>
      </c>
      <c r="E333" s="308">
        <v>40528</v>
      </c>
      <c r="F333" s="358">
        <v>2011</v>
      </c>
      <c r="G333" s="358">
        <v>10</v>
      </c>
      <c r="H333" s="358" t="s">
        <v>378</v>
      </c>
      <c r="I333" s="358">
        <v>2010</v>
      </c>
      <c r="J333" s="358">
        <v>18</v>
      </c>
      <c r="K333" s="358" t="s">
        <v>1211</v>
      </c>
      <c r="L333" s="358" t="s">
        <v>717</v>
      </c>
      <c r="M333" s="627" t="s">
        <v>1271</v>
      </c>
      <c r="N333" s="359" t="s">
        <v>1877</v>
      </c>
      <c r="O333" s="580"/>
      <c r="P333" s="581"/>
      <c r="Q333" s="293">
        <v>1500000</v>
      </c>
      <c r="R333" s="294" t="s">
        <v>362</v>
      </c>
      <c r="S333" s="294" t="s">
        <v>363</v>
      </c>
      <c r="T333" s="1058">
        <v>1442696.61</v>
      </c>
      <c r="U333" s="295"/>
      <c r="V333" s="295" t="s">
        <v>867</v>
      </c>
      <c r="W333" s="426" t="s">
        <v>362</v>
      </c>
      <c r="X333" s="299">
        <v>64807</v>
      </c>
      <c r="Y333" s="293">
        <v>71500</v>
      </c>
      <c r="Z333" s="780"/>
      <c r="AA333" s="293">
        <v>1500</v>
      </c>
      <c r="AB333" s="365">
        <f t="shared" si="51"/>
        <v>1</v>
      </c>
      <c r="AC333" s="299">
        <v>80000</v>
      </c>
      <c r="AD333" s="427"/>
      <c r="AE333" s="299">
        <v>120000</v>
      </c>
      <c r="AF333" s="299"/>
      <c r="AG333" s="427">
        <f>SUM(AC333:AE333)</f>
        <v>200000</v>
      </c>
      <c r="AH333" s="358"/>
      <c r="AI333" s="303"/>
      <c r="AJ333" s="303"/>
      <c r="AK333" s="293">
        <f>SUM(AM333:AX333)</f>
        <v>6000</v>
      </c>
      <c r="AL333" s="293" t="s">
        <v>362</v>
      </c>
      <c r="AM333" s="368"/>
      <c r="AN333" s="368"/>
      <c r="AO333" s="368"/>
      <c r="AP333" s="368"/>
      <c r="AQ333" s="368"/>
      <c r="AR333" s="368"/>
      <c r="AS333" s="368"/>
      <c r="AT333" s="368">
        <v>6000</v>
      </c>
      <c r="AU333" s="368"/>
      <c r="AV333" s="368"/>
      <c r="AW333" s="368"/>
      <c r="AX333" s="368"/>
      <c r="AY333" s="368"/>
      <c r="AZ333" s="299">
        <v>40000</v>
      </c>
      <c r="BA333" s="299"/>
      <c r="BB333" s="299">
        <f t="shared" si="56"/>
        <v>240000</v>
      </c>
      <c r="BC333" s="305"/>
      <c r="BD333" s="305"/>
      <c r="BE333" s="305"/>
      <c r="BF333" s="299">
        <f t="shared" si="57"/>
        <v>240000</v>
      </c>
      <c r="BG333" s="451" t="s">
        <v>362</v>
      </c>
      <c r="BH333" s="451" t="s">
        <v>2087</v>
      </c>
      <c r="BI333" s="299"/>
      <c r="BJ333" s="698"/>
      <c r="BK333" s="698"/>
      <c r="BL333" s="303">
        <v>2799</v>
      </c>
      <c r="BM333" s="668"/>
      <c r="BN333" s="303">
        <v>2025</v>
      </c>
      <c r="BO333" s="668">
        <v>155000</v>
      </c>
      <c r="BP333" s="584"/>
      <c r="BQ333" s="668"/>
      <c r="BR333" s="303"/>
      <c r="BS333" s="303"/>
      <c r="BT333" s="451" t="str">
        <f t="shared" si="59"/>
        <v>Y</v>
      </c>
      <c r="BU333" s="451" t="str">
        <f t="shared" si="59"/>
        <v>N</v>
      </c>
      <c r="BV333" s="637" t="s">
        <v>2101</v>
      </c>
      <c r="BW333" s="358"/>
      <c r="BX333" s="798" t="s">
        <v>2164</v>
      </c>
      <c r="BY333" s="318" t="s">
        <v>1106</v>
      </c>
      <c r="BZ333" s="639"/>
      <c r="CA333" s="639"/>
      <c r="CB333" s="639"/>
      <c r="CC333" s="639"/>
      <c r="CD333" s="639"/>
      <c r="CE333" s="639"/>
      <c r="CF333" s="639"/>
      <c r="CG333" s="639"/>
      <c r="CH333" s="639"/>
    </row>
    <row r="334" spans="1:86" s="374" customFormat="1" ht="33.75" customHeight="1">
      <c r="A334" s="274" t="s">
        <v>869</v>
      </c>
      <c r="B334" s="358">
        <v>258</v>
      </c>
      <c r="C334" s="915"/>
      <c r="D334" s="733" t="s">
        <v>1808</v>
      </c>
      <c r="E334" s="308">
        <v>40512</v>
      </c>
      <c r="F334" s="358">
        <v>2011</v>
      </c>
      <c r="G334" s="358">
        <v>11</v>
      </c>
      <c r="H334" s="358" t="s">
        <v>378</v>
      </c>
      <c r="I334" s="358">
        <v>2010</v>
      </c>
      <c r="J334" s="358">
        <v>19</v>
      </c>
      <c r="K334" s="358" t="s">
        <v>1211</v>
      </c>
      <c r="L334" s="358" t="s">
        <v>1604</v>
      </c>
      <c r="M334" s="627" t="s">
        <v>1271</v>
      </c>
      <c r="N334" s="359" t="s">
        <v>1877</v>
      </c>
      <c r="O334" s="580"/>
      <c r="P334" s="581"/>
      <c r="Q334" s="293">
        <v>6200</v>
      </c>
      <c r="R334" s="294" t="s">
        <v>362</v>
      </c>
      <c r="S334" s="294" t="s">
        <v>363</v>
      </c>
      <c r="T334" s="1058">
        <v>364732</v>
      </c>
      <c r="U334" s="295"/>
      <c r="V334" s="295" t="s">
        <v>868</v>
      </c>
      <c r="W334" s="426" t="s">
        <v>362</v>
      </c>
      <c r="X334" s="299">
        <v>82608</v>
      </c>
      <c r="Y334" s="293">
        <v>10225</v>
      </c>
      <c r="Z334" s="294"/>
      <c r="AA334" s="293">
        <v>300</v>
      </c>
      <c r="AB334" s="365">
        <f t="shared" si="51"/>
        <v>0</v>
      </c>
      <c r="AC334" s="299"/>
      <c r="AD334" s="427"/>
      <c r="AE334" s="299"/>
      <c r="AF334" s="299"/>
      <c r="AG334" s="427"/>
      <c r="AH334" s="358"/>
      <c r="AI334" s="303"/>
      <c r="AJ334" s="303"/>
      <c r="AK334" s="293">
        <f>SUM(AM334:AX334)</f>
        <v>1714</v>
      </c>
      <c r="AL334" s="293" t="s">
        <v>362</v>
      </c>
      <c r="AM334" s="368">
        <v>214</v>
      </c>
      <c r="AN334" s="368">
        <v>1500</v>
      </c>
      <c r="AO334" s="368"/>
      <c r="AP334" s="368"/>
      <c r="AQ334" s="368"/>
      <c r="AR334" s="368"/>
      <c r="AS334" s="368"/>
      <c r="AT334" s="368"/>
      <c r="AU334" s="368"/>
      <c r="AV334" s="368"/>
      <c r="AW334" s="368"/>
      <c r="AX334" s="368"/>
      <c r="AY334" s="368"/>
      <c r="AZ334" s="299">
        <v>9812</v>
      </c>
      <c r="BA334" s="299"/>
      <c r="BB334" s="299">
        <f t="shared" si="56"/>
        <v>9812</v>
      </c>
      <c r="BC334" s="305"/>
      <c r="BD334" s="305"/>
      <c r="BE334" s="305"/>
      <c r="BF334" s="299">
        <f t="shared" si="57"/>
        <v>9812</v>
      </c>
      <c r="BG334" s="451" t="str">
        <f t="shared" si="60"/>
        <v>N</v>
      </c>
      <c r="BH334" s="451"/>
      <c r="BI334" s="299"/>
      <c r="BJ334" s="698"/>
      <c r="BK334" s="698"/>
      <c r="BL334" s="303">
        <v>2799</v>
      </c>
      <c r="BM334" s="668"/>
      <c r="BN334" s="303"/>
      <c r="BO334" s="668"/>
      <c r="BP334" s="584"/>
      <c r="BQ334" s="668"/>
      <c r="BR334" s="303"/>
      <c r="BS334" s="303"/>
      <c r="BT334" s="451" t="str">
        <f t="shared" si="59"/>
        <v>Y</v>
      </c>
      <c r="BU334" s="451" t="str">
        <f t="shared" si="59"/>
        <v>N</v>
      </c>
      <c r="BV334" s="318"/>
      <c r="BW334" s="358"/>
      <c r="BX334" s="798" t="s">
        <v>2163</v>
      </c>
      <c r="BY334" s="318" t="s">
        <v>1159</v>
      </c>
      <c r="BZ334" s="639"/>
      <c r="CA334" s="639"/>
      <c r="CB334" s="639"/>
      <c r="CC334" s="639"/>
      <c r="CD334" s="639"/>
      <c r="CE334" s="639"/>
      <c r="CF334" s="639"/>
      <c r="CG334" s="639"/>
      <c r="CH334" s="639"/>
    </row>
    <row r="335" spans="1:86" s="909" customFormat="1" ht="207">
      <c r="A335" s="883" t="s">
        <v>19</v>
      </c>
      <c r="B335" s="884">
        <v>259</v>
      </c>
      <c r="C335" s="917"/>
      <c r="D335" s="885" t="s">
        <v>12</v>
      </c>
      <c r="E335" s="886">
        <v>40602</v>
      </c>
      <c r="F335" s="884">
        <v>2011</v>
      </c>
      <c r="G335" s="884">
        <v>12</v>
      </c>
      <c r="H335" s="884" t="s">
        <v>379</v>
      </c>
      <c r="I335" s="884">
        <v>2011</v>
      </c>
      <c r="J335" s="884">
        <v>1</v>
      </c>
      <c r="K335" s="884" t="s">
        <v>570</v>
      </c>
      <c r="L335" s="884" t="s">
        <v>3083</v>
      </c>
      <c r="M335" s="288" t="s">
        <v>1273</v>
      </c>
      <c r="N335" s="887" t="s">
        <v>900</v>
      </c>
      <c r="O335" s="888"/>
      <c r="P335" s="889"/>
      <c r="Q335" s="890"/>
      <c r="R335" s="891" t="s">
        <v>362</v>
      </c>
      <c r="S335" s="891" t="s">
        <v>2227</v>
      </c>
      <c r="T335" s="1065">
        <f>20396194</f>
        <v>20396194</v>
      </c>
      <c r="U335" s="892">
        <v>31916000</v>
      </c>
      <c r="V335" s="945" t="s">
        <v>3084</v>
      </c>
      <c r="W335" s="893" t="s">
        <v>362</v>
      </c>
      <c r="X335" s="894">
        <v>431000</v>
      </c>
      <c r="Y335" s="890">
        <v>306000</v>
      </c>
      <c r="Z335" s="895"/>
      <c r="AA335" s="890"/>
      <c r="AB335" s="896">
        <f t="shared" si="51"/>
        <v>1</v>
      </c>
      <c r="AC335" s="894">
        <v>397270</v>
      </c>
      <c r="AD335" s="1034">
        <v>100000</v>
      </c>
      <c r="AE335" s="894"/>
      <c r="AF335" s="894"/>
      <c r="AG335" s="1034">
        <f>SUM(AC335:AE335)</f>
        <v>497270</v>
      </c>
      <c r="AH335" s="884">
        <v>5</v>
      </c>
      <c r="AI335" s="897"/>
      <c r="AJ335" s="897"/>
      <c r="AK335" s="890">
        <f>SUM(AM335:AX335)</f>
        <v>1500</v>
      </c>
      <c r="AL335" s="890" t="s">
        <v>362</v>
      </c>
      <c r="AM335" s="898"/>
      <c r="AN335" s="898"/>
      <c r="AO335" s="898"/>
      <c r="AP335" s="898"/>
      <c r="AQ335" s="898"/>
      <c r="AR335" s="898"/>
      <c r="AS335" s="898"/>
      <c r="AT335" s="898"/>
      <c r="AU335" s="898"/>
      <c r="AV335" s="898">
        <v>1500</v>
      </c>
      <c r="AW335" s="898"/>
      <c r="AX335" s="898"/>
      <c r="AY335" s="898"/>
      <c r="AZ335" s="894">
        <v>43000</v>
      </c>
      <c r="BA335" s="894"/>
      <c r="BB335" s="894">
        <f t="shared" si="56"/>
        <v>540270</v>
      </c>
      <c r="BC335" s="899"/>
      <c r="BD335" s="899"/>
      <c r="BE335" s="899"/>
      <c r="BF335" s="894">
        <f t="shared" si="57"/>
        <v>540270</v>
      </c>
      <c r="BG335" s="900" t="s">
        <v>362</v>
      </c>
      <c r="BH335" s="901" t="s">
        <v>2088</v>
      </c>
      <c r="BI335" s="894">
        <v>154218</v>
      </c>
      <c r="BJ335" s="902"/>
      <c r="BK335" s="902"/>
      <c r="BL335" s="897" t="s">
        <v>2093</v>
      </c>
      <c r="BM335" s="903"/>
      <c r="BN335" s="897">
        <v>2010</v>
      </c>
      <c r="BO335" s="903"/>
      <c r="BP335" s="904">
        <v>2799</v>
      </c>
      <c r="BQ335" s="903" t="s">
        <v>2100</v>
      </c>
      <c r="BR335" s="905">
        <v>162270</v>
      </c>
      <c r="BS335" s="906"/>
      <c r="BT335" s="900" t="str">
        <f t="shared" si="59"/>
        <v>N</v>
      </c>
      <c r="BU335" s="900" t="str">
        <f t="shared" si="59"/>
        <v>N</v>
      </c>
      <c r="BV335" s="907" t="s">
        <v>2099</v>
      </c>
      <c r="BW335" s="884"/>
      <c r="BX335" s="908" t="s">
        <v>2145</v>
      </c>
      <c r="BY335" s="907" t="s">
        <v>2211</v>
      </c>
    </row>
    <row r="336" spans="1:86" s="909" customFormat="1" ht="17.25">
      <c r="A336" s="883" t="s">
        <v>19</v>
      </c>
      <c r="B336" s="884">
        <v>259</v>
      </c>
      <c r="C336" s="917"/>
      <c r="D336" s="885" t="s">
        <v>12</v>
      </c>
      <c r="E336" s="886">
        <v>40602</v>
      </c>
      <c r="F336" s="884">
        <v>2011</v>
      </c>
      <c r="G336" s="884">
        <v>12</v>
      </c>
      <c r="H336" s="884" t="s">
        <v>379</v>
      </c>
      <c r="I336" s="884">
        <v>2011</v>
      </c>
      <c r="J336" s="884">
        <v>1</v>
      </c>
      <c r="K336" s="884" t="s">
        <v>570</v>
      </c>
      <c r="L336" s="884" t="s">
        <v>15</v>
      </c>
      <c r="M336" s="288" t="s">
        <v>1273</v>
      </c>
      <c r="N336" s="887" t="s">
        <v>900</v>
      </c>
      <c r="O336" s="888"/>
      <c r="P336" s="889"/>
      <c r="Q336" s="890"/>
      <c r="R336" s="891" t="s">
        <v>362</v>
      </c>
      <c r="S336" s="891"/>
      <c r="T336" s="1065"/>
      <c r="U336" s="892"/>
      <c r="V336" s="892"/>
      <c r="W336" s="893"/>
      <c r="X336" s="894"/>
      <c r="Y336" s="890"/>
      <c r="Z336" s="895"/>
      <c r="AA336" s="890"/>
      <c r="AB336" s="896"/>
      <c r="AC336" s="894"/>
      <c r="AD336" s="1034"/>
      <c r="AE336" s="894"/>
      <c r="AF336" s="894"/>
      <c r="AG336" s="1034"/>
      <c r="AH336" s="884"/>
      <c r="AI336" s="897"/>
      <c r="AJ336" s="897"/>
      <c r="AK336" s="890"/>
      <c r="AL336" s="890"/>
      <c r="AM336" s="898"/>
      <c r="AN336" s="898"/>
      <c r="AO336" s="898"/>
      <c r="AP336" s="898"/>
      <c r="AQ336" s="898"/>
      <c r="AR336" s="898"/>
      <c r="AS336" s="898"/>
      <c r="AT336" s="898"/>
      <c r="AU336" s="898"/>
      <c r="AV336" s="898"/>
      <c r="AW336" s="898"/>
      <c r="AX336" s="898"/>
      <c r="AY336" s="898"/>
      <c r="AZ336" s="894"/>
      <c r="BA336" s="894"/>
      <c r="BB336" s="894"/>
      <c r="BC336" s="899"/>
      <c r="BD336" s="899"/>
      <c r="BE336" s="899"/>
      <c r="BF336" s="894"/>
      <c r="BG336" s="900"/>
      <c r="BH336" s="901"/>
      <c r="BI336" s="894"/>
      <c r="BJ336" s="902"/>
      <c r="BK336" s="902"/>
      <c r="BL336" s="897"/>
      <c r="BM336" s="903"/>
      <c r="BN336" s="897"/>
      <c r="BO336" s="903"/>
      <c r="BP336" s="904"/>
      <c r="BQ336" s="903"/>
      <c r="BR336" s="905"/>
      <c r="BS336" s="906"/>
      <c r="BT336" s="900"/>
      <c r="BU336" s="900"/>
      <c r="BV336" s="907"/>
      <c r="BW336" s="884"/>
      <c r="BX336" s="908"/>
      <c r="BY336" s="907"/>
    </row>
    <row r="337" spans="1:86" s="909" customFormat="1" ht="17.25">
      <c r="A337" s="883" t="s">
        <v>19</v>
      </c>
      <c r="B337" s="884">
        <v>259</v>
      </c>
      <c r="C337" s="917"/>
      <c r="D337" s="885" t="s">
        <v>12</v>
      </c>
      <c r="E337" s="886">
        <v>40602</v>
      </c>
      <c r="F337" s="884">
        <v>2011</v>
      </c>
      <c r="G337" s="884">
        <v>12</v>
      </c>
      <c r="H337" s="884" t="s">
        <v>379</v>
      </c>
      <c r="I337" s="884">
        <v>2011</v>
      </c>
      <c r="J337" s="884">
        <v>1</v>
      </c>
      <c r="K337" s="884" t="s">
        <v>570</v>
      </c>
      <c r="L337" s="884" t="s">
        <v>1608</v>
      </c>
      <c r="M337" s="288" t="s">
        <v>1273</v>
      </c>
      <c r="N337" s="887" t="s">
        <v>900</v>
      </c>
      <c r="O337" s="888"/>
      <c r="P337" s="889"/>
      <c r="Q337" s="890"/>
      <c r="R337" s="891" t="s">
        <v>362</v>
      </c>
      <c r="S337" s="891"/>
      <c r="T337" s="1065"/>
      <c r="U337" s="892"/>
      <c r="V337" s="892"/>
      <c r="W337" s="893"/>
      <c r="X337" s="894"/>
      <c r="Y337" s="890"/>
      <c r="Z337" s="895"/>
      <c r="AA337" s="890"/>
      <c r="AB337" s="896"/>
      <c r="AC337" s="894"/>
      <c r="AD337" s="1034"/>
      <c r="AE337" s="894"/>
      <c r="AF337" s="894"/>
      <c r="AG337" s="1034"/>
      <c r="AH337" s="884"/>
      <c r="AI337" s="897"/>
      <c r="AJ337" s="897"/>
      <c r="AK337" s="890"/>
      <c r="AL337" s="890"/>
      <c r="AM337" s="898"/>
      <c r="AN337" s="898"/>
      <c r="AO337" s="898"/>
      <c r="AP337" s="898"/>
      <c r="AQ337" s="898"/>
      <c r="AR337" s="898"/>
      <c r="AS337" s="898"/>
      <c r="AT337" s="898"/>
      <c r="AU337" s="898"/>
      <c r="AV337" s="898"/>
      <c r="AW337" s="898"/>
      <c r="AX337" s="898"/>
      <c r="AY337" s="898"/>
      <c r="AZ337" s="894"/>
      <c r="BA337" s="894"/>
      <c r="BB337" s="894"/>
      <c r="BC337" s="899"/>
      <c r="BD337" s="899"/>
      <c r="BE337" s="899"/>
      <c r="BF337" s="894"/>
      <c r="BG337" s="900"/>
      <c r="BH337" s="901"/>
      <c r="BI337" s="894"/>
      <c r="BJ337" s="902"/>
      <c r="BK337" s="902"/>
      <c r="BL337" s="897"/>
      <c r="BM337" s="903"/>
      <c r="BN337" s="897"/>
      <c r="BO337" s="903"/>
      <c r="BP337" s="904"/>
      <c r="BQ337" s="903"/>
      <c r="BR337" s="905"/>
      <c r="BS337" s="906"/>
      <c r="BT337" s="900"/>
      <c r="BU337" s="900"/>
      <c r="BV337" s="907"/>
      <c r="BW337" s="884"/>
      <c r="BX337" s="908"/>
      <c r="BY337" s="907"/>
    </row>
    <row r="338" spans="1:86" s="638" customFormat="1" ht="33.75" customHeight="1">
      <c r="A338" s="623" t="s">
        <v>586</v>
      </c>
      <c r="B338" s="626">
        <v>260</v>
      </c>
      <c r="C338" s="916"/>
      <c r="D338" s="735" t="s">
        <v>577</v>
      </c>
      <c r="E338" s="625">
        <v>40597</v>
      </c>
      <c r="F338" s="626">
        <v>2011</v>
      </c>
      <c r="G338" s="626">
        <v>13</v>
      </c>
      <c r="H338" s="626" t="s">
        <v>379</v>
      </c>
      <c r="I338" s="626">
        <v>2011</v>
      </c>
      <c r="J338" s="626">
        <v>2</v>
      </c>
      <c r="K338" s="626" t="s">
        <v>570</v>
      </c>
      <c r="L338" s="626" t="s">
        <v>584</v>
      </c>
      <c r="M338" s="288" t="s">
        <v>1961</v>
      </c>
      <c r="N338" s="628" t="s">
        <v>1884</v>
      </c>
      <c r="O338" s="629"/>
      <c r="P338" s="630"/>
      <c r="Q338" s="590"/>
      <c r="R338" s="631" t="s">
        <v>1752</v>
      </c>
      <c r="S338" s="631"/>
      <c r="T338" s="1063"/>
      <c r="U338" s="632"/>
      <c r="V338" s="632"/>
      <c r="W338" s="633"/>
      <c r="X338" s="634"/>
      <c r="Y338" s="590">
        <v>47800</v>
      </c>
      <c r="Z338" s="631" t="s">
        <v>362</v>
      </c>
      <c r="AA338" s="590"/>
      <c r="AB338" s="365">
        <f t="shared" si="51"/>
        <v>0</v>
      </c>
      <c r="AC338" s="634"/>
      <c r="AD338" s="1033"/>
      <c r="AE338" s="634">
        <v>826450</v>
      </c>
      <c r="AF338" s="634"/>
      <c r="AG338" s="1033">
        <f t="shared" ref="AG338:AG379" si="61">SUM(AC338:AE338)</f>
        <v>826450</v>
      </c>
      <c r="AH338" s="626"/>
      <c r="AI338" s="635"/>
      <c r="AJ338" s="635"/>
      <c r="AK338" s="590"/>
      <c r="AL338" s="590"/>
      <c r="AM338" s="636"/>
      <c r="AN338" s="636"/>
      <c r="AO338" s="636"/>
      <c r="AP338" s="636"/>
      <c r="AQ338" s="636"/>
      <c r="AR338" s="636"/>
      <c r="AS338" s="636"/>
      <c r="AT338" s="636"/>
      <c r="AU338" s="636"/>
      <c r="AV338" s="636"/>
      <c r="AW338" s="636"/>
      <c r="AX338" s="636"/>
      <c r="AY338" s="636"/>
      <c r="AZ338" s="634"/>
      <c r="BA338" s="634"/>
      <c r="BB338" s="634">
        <f t="shared" ref="BB338:BB349" si="62">AG338+AZ338+BA338</f>
        <v>826450</v>
      </c>
      <c r="BC338" s="624"/>
      <c r="BD338" s="624"/>
      <c r="BE338" s="624"/>
      <c r="BF338" s="634">
        <f t="shared" si="57"/>
        <v>826450</v>
      </c>
      <c r="BG338" s="451" t="str">
        <f t="shared" si="60"/>
        <v>Y</v>
      </c>
      <c r="BH338" s="689" t="s">
        <v>2088</v>
      </c>
      <c r="BI338" s="634">
        <v>898367</v>
      </c>
      <c r="BJ338" s="700">
        <v>40652</v>
      </c>
      <c r="BK338" s="700">
        <v>40652</v>
      </c>
      <c r="BL338" s="635">
        <v>2881</v>
      </c>
      <c r="BM338" s="669"/>
      <c r="BN338" s="635"/>
      <c r="BO338" s="669"/>
      <c r="BP338" s="722"/>
      <c r="BQ338" s="669"/>
      <c r="BR338" s="635"/>
      <c r="BS338" s="635"/>
      <c r="BT338" s="451" t="str">
        <f t="shared" si="59"/>
        <v>N</v>
      </c>
      <c r="BU338" s="451" t="str">
        <f t="shared" si="59"/>
        <v>N</v>
      </c>
      <c r="BV338" s="637"/>
      <c r="BW338" s="626"/>
      <c r="BX338" s="798" t="s">
        <v>2146</v>
      </c>
      <c r="BY338" s="637" t="s">
        <v>549</v>
      </c>
    </row>
    <row r="339" spans="1:86" s="638" customFormat="1" ht="33.75" customHeight="1">
      <c r="A339" s="623"/>
      <c r="B339" s="626">
        <v>261</v>
      </c>
      <c r="C339" s="916"/>
      <c r="D339" s="735" t="s">
        <v>21</v>
      </c>
      <c r="E339" s="625">
        <v>40603</v>
      </c>
      <c r="F339" s="626">
        <v>2011</v>
      </c>
      <c r="G339" s="626">
        <v>14</v>
      </c>
      <c r="H339" s="626" t="s">
        <v>379</v>
      </c>
      <c r="I339" s="626">
        <v>2011</v>
      </c>
      <c r="J339" s="626">
        <v>3</v>
      </c>
      <c r="K339" s="626" t="s">
        <v>1211</v>
      </c>
      <c r="L339" s="626" t="s">
        <v>398</v>
      </c>
      <c r="M339" s="288" t="s">
        <v>1963</v>
      </c>
      <c r="N339" s="628" t="s">
        <v>1639</v>
      </c>
      <c r="O339" s="629"/>
      <c r="P339" s="630"/>
      <c r="Q339" s="590"/>
      <c r="R339" s="631" t="s">
        <v>1752</v>
      </c>
      <c r="S339" s="631"/>
      <c r="T339" s="1063"/>
      <c r="U339" s="632"/>
      <c r="V339" s="632"/>
      <c r="W339" s="633" t="s">
        <v>1752</v>
      </c>
      <c r="X339" s="634"/>
      <c r="Y339" s="590"/>
      <c r="Z339" s="631" t="s">
        <v>362</v>
      </c>
      <c r="AA339" s="590">
        <v>2000</v>
      </c>
      <c r="AB339" s="365">
        <f t="shared" si="51"/>
        <v>0</v>
      </c>
      <c r="AC339" s="634"/>
      <c r="AD339" s="1033"/>
      <c r="AE339" s="634">
        <v>56000</v>
      </c>
      <c r="AF339" s="634"/>
      <c r="AG339" s="1033">
        <f>SUM(AC339:AE339)</f>
        <v>56000</v>
      </c>
      <c r="AH339" s="626"/>
      <c r="AI339" s="635"/>
      <c r="AJ339" s="635"/>
      <c r="AK339" s="590"/>
      <c r="AL339" s="590"/>
      <c r="AM339" s="636"/>
      <c r="AN339" s="636"/>
      <c r="AO339" s="636"/>
      <c r="AP339" s="636"/>
      <c r="AQ339" s="636"/>
      <c r="AR339" s="636"/>
      <c r="AS339" s="636"/>
      <c r="AT339" s="636"/>
      <c r="AU339" s="636"/>
      <c r="AV339" s="636"/>
      <c r="AW339" s="636"/>
      <c r="AX339" s="636"/>
      <c r="AY339" s="636"/>
      <c r="AZ339" s="634"/>
      <c r="BA339" s="634"/>
      <c r="BB339" s="634">
        <f t="shared" si="62"/>
        <v>56000</v>
      </c>
      <c r="BC339" s="624"/>
      <c r="BD339" s="624"/>
      <c r="BE339" s="624"/>
      <c r="BF339" s="634">
        <f t="shared" ref="BF339:BF349" si="63">BB339+BD339+BC339</f>
        <v>56000</v>
      </c>
      <c r="BG339" s="451" t="str">
        <f t="shared" si="60"/>
        <v>Y</v>
      </c>
      <c r="BH339" s="689" t="s">
        <v>2087</v>
      </c>
      <c r="BI339" s="634">
        <v>56000</v>
      </c>
      <c r="BJ339" s="700">
        <v>40602</v>
      </c>
      <c r="BK339" s="700">
        <v>40602</v>
      </c>
      <c r="BL339" s="635">
        <v>2025</v>
      </c>
      <c r="BM339" s="669"/>
      <c r="BN339" s="635"/>
      <c r="BO339" s="669"/>
      <c r="BP339" s="722"/>
      <c r="BQ339" s="669"/>
      <c r="BR339" s="635"/>
      <c r="BS339" s="635"/>
      <c r="BT339" s="451" t="str">
        <f t="shared" si="59"/>
        <v>N</v>
      </c>
      <c r="BU339" s="451" t="str">
        <f t="shared" si="59"/>
        <v>N</v>
      </c>
      <c r="BV339" s="637" t="s">
        <v>2098</v>
      </c>
      <c r="BW339" s="626"/>
      <c r="BX339" s="798" t="s">
        <v>2147</v>
      </c>
      <c r="BY339" s="637" t="s">
        <v>589</v>
      </c>
    </row>
    <row r="340" spans="1:86" s="638" customFormat="1" ht="96.75" customHeight="1">
      <c r="A340" s="623" t="s">
        <v>581</v>
      </c>
      <c r="B340" s="626">
        <v>262</v>
      </c>
      <c r="C340" s="916"/>
      <c r="D340" s="736" t="s">
        <v>578</v>
      </c>
      <c r="E340" s="625">
        <v>40613</v>
      </c>
      <c r="F340" s="626">
        <v>2011</v>
      </c>
      <c r="G340" s="626">
        <v>15</v>
      </c>
      <c r="H340" s="626" t="s">
        <v>379</v>
      </c>
      <c r="I340" s="626">
        <v>2011</v>
      </c>
      <c r="J340" s="626">
        <v>4</v>
      </c>
      <c r="K340" s="626" t="s">
        <v>570</v>
      </c>
      <c r="L340" s="626" t="s">
        <v>1936</v>
      </c>
      <c r="M340" s="288" t="s">
        <v>1961</v>
      </c>
      <c r="N340" s="639" t="s">
        <v>737</v>
      </c>
      <c r="O340" s="629"/>
      <c r="P340" s="630"/>
      <c r="Q340" s="590">
        <v>300000</v>
      </c>
      <c r="R340" s="631" t="s">
        <v>1752</v>
      </c>
      <c r="S340" s="631"/>
      <c r="T340" s="1063"/>
      <c r="U340" s="632"/>
      <c r="V340" s="632"/>
      <c r="W340" s="633"/>
      <c r="X340" s="634"/>
      <c r="Y340" s="590">
        <v>225000</v>
      </c>
      <c r="Z340" s="631" t="s">
        <v>362</v>
      </c>
      <c r="AA340" s="590"/>
      <c r="AB340" s="365">
        <f t="shared" si="51"/>
        <v>0</v>
      </c>
      <c r="AC340" s="634"/>
      <c r="AD340" s="1033"/>
      <c r="AE340" s="634">
        <v>276000000</v>
      </c>
      <c r="AF340" s="634">
        <v>1500000</v>
      </c>
      <c r="AG340" s="1033">
        <f>SUM(SUM(AC340:AE340)+(500000+3000000+300000))</f>
        <v>279800000</v>
      </c>
      <c r="AH340" s="626">
        <v>3</v>
      </c>
      <c r="AI340" s="635"/>
      <c r="AJ340" s="635"/>
      <c r="AK340" s="590"/>
      <c r="AL340" s="590"/>
      <c r="AM340" s="636"/>
      <c r="AN340" s="636"/>
      <c r="AO340" s="636"/>
      <c r="AP340" s="636"/>
      <c r="AQ340" s="636"/>
      <c r="AR340" s="636"/>
      <c r="AS340" s="636"/>
      <c r="AT340" s="636"/>
      <c r="AU340" s="636"/>
      <c r="AV340" s="636"/>
      <c r="AW340" s="636"/>
      <c r="AX340" s="636"/>
      <c r="AY340" s="636"/>
      <c r="AZ340" s="634"/>
      <c r="BA340" s="634"/>
      <c r="BB340" s="634">
        <f t="shared" si="62"/>
        <v>279800000</v>
      </c>
      <c r="BC340" s="624"/>
      <c r="BD340" s="634"/>
      <c r="BE340" s="624"/>
      <c r="BF340" s="634">
        <f t="shared" si="63"/>
        <v>279800000</v>
      </c>
      <c r="BG340" s="451" t="str">
        <f t="shared" si="60"/>
        <v>Y</v>
      </c>
      <c r="BH340" s="689" t="s">
        <v>2088</v>
      </c>
      <c r="BI340" s="689">
        <v>307256521</v>
      </c>
      <c r="BJ340" s="700">
        <v>40878</v>
      </c>
      <c r="BK340" s="700" t="s">
        <v>2089</v>
      </c>
      <c r="BL340" s="635">
        <v>2687</v>
      </c>
      <c r="BM340" s="669"/>
      <c r="BN340" s="635">
        <v>2841</v>
      </c>
      <c r="BO340" s="669"/>
      <c r="BP340" s="722"/>
      <c r="BQ340" s="669"/>
      <c r="BR340" s="635"/>
      <c r="BS340" s="635"/>
      <c r="BT340" s="451" t="str">
        <f t="shared" si="59"/>
        <v>N</v>
      </c>
      <c r="BU340" s="451" t="str">
        <f t="shared" si="59"/>
        <v>N</v>
      </c>
      <c r="BV340" s="637"/>
      <c r="BW340" s="626" t="s">
        <v>2194</v>
      </c>
      <c r="BX340" s="798" t="s">
        <v>2148</v>
      </c>
      <c r="BY340" s="637" t="s">
        <v>2095</v>
      </c>
    </row>
    <row r="341" spans="1:86" s="638" customFormat="1" ht="33.75" customHeight="1">
      <c r="A341" s="623" t="s">
        <v>582</v>
      </c>
      <c r="B341" s="626">
        <v>263</v>
      </c>
      <c r="C341" s="916"/>
      <c r="D341" s="735" t="s">
        <v>1803</v>
      </c>
      <c r="E341" s="625">
        <v>40625</v>
      </c>
      <c r="F341" s="626">
        <v>2011</v>
      </c>
      <c r="G341" s="626">
        <v>16</v>
      </c>
      <c r="H341" s="626" t="s">
        <v>379</v>
      </c>
      <c r="I341" s="626">
        <v>2011</v>
      </c>
      <c r="J341" s="626">
        <v>5</v>
      </c>
      <c r="K341" s="626" t="s">
        <v>1211</v>
      </c>
      <c r="L341" s="626" t="s">
        <v>1653</v>
      </c>
      <c r="M341" s="627" t="s">
        <v>1271</v>
      </c>
      <c r="N341" s="628" t="s">
        <v>1877</v>
      </c>
      <c r="O341" s="629"/>
      <c r="P341" s="630"/>
      <c r="Q341" s="590">
        <v>70000</v>
      </c>
      <c r="R341" s="631" t="s">
        <v>362</v>
      </c>
      <c r="S341" s="631" t="s">
        <v>363</v>
      </c>
      <c r="T341" s="1063">
        <v>571602</v>
      </c>
      <c r="U341" s="632"/>
      <c r="V341" s="632" t="s">
        <v>583</v>
      </c>
      <c r="W341" s="633"/>
      <c r="X341" s="634"/>
      <c r="Y341" s="590">
        <v>2500</v>
      </c>
      <c r="Z341" s="782"/>
      <c r="AA341" s="590"/>
      <c r="AB341" s="365">
        <f t="shared" si="51"/>
        <v>1</v>
      </c>
      <c r="AC341" s="634">
        <v>182000</v>
      </c>
      <c r="AD341" s="1033"/>
      <c r="AE341" s="634"/>
      <c r="AF341" s="634"/>
      <c r="AG341" s="1033">
        <f t="shared" si="61"/>
        <v>182000</v>
      </c>
      <c r="AH341" s="626"/>
      <c r="AI341" s="635"/>
      <c r="AJ341" s="635"/>
      <c r="AK341" s="590"/>
      <c r="AL341" s="590"/>
      <c r="AM341" s="636"/>
      <c r="AN341" s="636"/>
      <c r="AO341" s="636"/>
      <c r="AP341" s="636"/>
      <c r="AQ341" s="636"/>
      <c r="AR341" s="636"/>
      <c r="AS341" s="636"/>
      <c r="AT341" s="636"/>
      <c r="AU341" s="636"/>
      <c r="AV341" s="636"/>
      <c r="AW341" s="636"/>
      <c r="AX341" s="636"/>
      <c r="AY341" s="636"/>
      <c r="AZ341" s="634"/>
      <c r="BA341" s="634"/>
      <c r="BB341" s="634">
        <f t="shared" si="62"/>
        <v>182000</v>
      </c>
      <c r="BC341" s="624"/>
      <c r="BD341" s="624"/>
      <c r="BE341" s="624"/>
      <c r="BF341" s="634">
        <f t="shared" si="63"/>
        <v>182000</v>
      </c>
      <c r="BG341" s="451" t="s">
        <v>362</v>
      </c>
      <c r="BH341" s="689" t="s">
        <v>2087</v>
      </c>
      <c r="BI341" s="634">
        <v>200000</v>
      </c>
      <c r="BJ341" s="700">
        <v>40673</v>
      </c>
      <c r="BK341" s="700">
        <v>40673</v>
      </c>
      <c r="BL341" s="635" t="s">
        <v>2093</v>
      </c>
      <c r="BM341" s="669">
        <v>100000</v>
      </c>
      <c r="BN341" s="635">
        <v>2025</v>
      </c>
      <c r="BO341" s="669">
        <v>100000</v>
      </c>
      <c r="BP341" s="722"/>
      <c r="BQ341" s="669"/>
      <c r="BR341" s="669">
        <v>91000</v>
      </c>
      <c r="BS341" s="635"/>
      <c r="BT341" s="451" t="str">
        <f t="shared" si="59"/>
        <v>N</v>
      </c>
      <c r="BU341" s="451" t="str">
        <f t="shared" si="59"/>
        <v>N</v>
      </c>
      <c r="BV341" s="637" t="s">
        <v>2094</v>
      </c>
      <c r="BW341" s="626"/>
      <c r="BX341" s="798" t="s">
        <v>2149</v>
      </c>
      <c r="BY341" s="637" t="s">
        <v>552</v>
      </c>
    </row>
    <row r="342" spans="1:86" s="638" customFormat="1" ht="33.75" customHeight="1">
      <c r="A342" s="623" t="s">
        <v>579</v>
      </c>
      <c r="B342" s="626">
        <v>264</v>
      </c>
      <c r="C342" s="916"/>
      <c r="D342" s="735" t="s">
        <v>580</v>
      </c>
      <c r="E342" s="625">
        <v>40634</v>
      </c>
      <c r="F342" s="626">
        <v>2011</v>
      </c>
      <c r="G342" s="626">
        <v>17</v>
      </c>
      <c r="H342" s="626" t="s">
        <v>380</v>
      </c>
      <c r="I342" s="626">
        <v>2011</v>
      </c>
      <c r="J342" s="626">
        <v>6</v>
      </c>
      <c r="K342" s="626" t="s">
        <v>1210</v>
      </c>
      <c r="L342" s="626" t="s">
        <v>1544</v>
      </c>
      <c r="M342" s="288" t="s">
        <v>1273</v>
      </c>
      <c r="N342" s="639" t="s">
        <v>176</v>
      </c>
      <c r="O342" s="629"/>
      <c r="P342" s="630"/>
      <c r="Q342" s="590"/>
      <c r="R342" s="631" t="s">
        <v>362</v>
      </c>
      <c r="S342" s="631" t="s">
        <v>363</v>
      </c>
      <c r="T342" s="1063">
        <v>4340568</v>
      </c>
      <c r="U342" s="632"/>
      <c r="V342" s="632" t="s">
        <v>587</v>
      </c>
      <c r="W342" s="633"/>
      <c r="X342" s="634"/>
      <c r="Y342" s="590">
        <v>67500</v>
      </c>
      <c r="Z342" s="782"/>
      <c r="AA342" s="590"/>
      <c r="AB342" s="365">
        <f t="shared" si="51"/>
        <v>1</v>
      </c>
      <c r="AC342" s="634">
        <v>150000</v>
      </c>
      <c r="AD342" s="1033"/>
      <c r="AE342" s="634"/>
      <c r="AF342" s="634"/>
      <c r="AG342" s="1033">
        <f t="shared" si="61"/>
        <v>150000</v>
      </c>
      <c r="AH342" s="626"/>
      <c r="AI342" s="635"/>
      <c r="AJ342" s="635"/>
      <c r="AK342" s="590"/>
      <c r="AL342" s="590"/>
      <c r="AM342" s="636"/>
      <c r="AN342" s="636"/>
      <c r="AO342" s="636"/>
      <c r="AP342" s="636"/>
      <c r="AQ342" s="636"/>
      <c r="AR342" s="636"/>
      <c r="AS342" s="636"/>
      <c r="AT342" s="636"/>
      <c r="AU342" s="636"/>
      <c r="AV342" s="636"/>
      <c r="AW342" s="636"/>
      <c r="AX342" s="636"/>
      <c r="AY342" s="636"/>
      <c r="AZ342" s="634"/>
      <c r="BA342" s="634"/>
      <c r="BB342" s="634">
        <f t="shared" si="62"/>
        <v>150000</v>
      </c>
      <c r="BC342" s="624"/>
      <c r="BD342" s="624"/>
      <c r="BE342" s="624"/>
      <c r="BF342" s="634">
        <f t="shared" si="63"/>
        <v>150000</v>
      </c>
      <c r="BG342" s="451" t="str">
        <f t="shared" si="60"/>
        <v>N</v>
      </c>
      <c r="BH342" s="689"/>
      <c r="BI342" s="634"/>
      <c r="BJ342" s="700"/>
      <c r="BK342" s="700"/>
      <c r="BL342" s="635">
        <v>2799</v>
      </c>
      <c r="BM342" s="669"/>
      <c r="BN342" s="635"/>
      <c r="BO342" s="669"/>
      <c r="BP342" s="722"/>
      <c r="BQ342" s="669"/>
      <c r="BR342" s="635"/>
      <c r="BS342" s="635"/>
      <c r="BT342" s="451" t="str">
        <f t="shared" si="59"/>
        <v>Y</v>
      </c>
      <c r="BU342" s="451" t="str">
        <f t="shared" si="59"/>
        <v>N</v>
      </c>
      <c r="BV342" s="637"/>
      <c r="BW342" s="626"/>
      <c r="BX342" s="798" t="s">
        <v>2150</v>
      </c>
      <c r="BY342" s="637" t="s">
        <v>1027</v>
      </c>
    </row>
    <row r="343" spans="1:86" s="638" customFormat="1" ht="33.75" customHeight="1">
      <c r="A343" s="623" t="s">
        <v>1029</v>
      </c>
      <c r="B343" s="626">
        <v>265</v>
      </c>
      <c r="C343" s="916"/>
      <c r="D343" s="735" t="s">
        <v>82</v>
      </c>
      <c r="E343" s="625">
        <v>40627</v>
      </c>
      <c r="F343" s="626">
        <v>2011</v>
      </c>
      <c r="G343" s="626">
        <v>18</v>
      </c>
      <c r="H343" s="626" t="s">
        <v>380</v>
      </c>
      <c r="I343" s="626">
        <v>2011</v>
      </c>
      <c r="J343" s="626">
        <v>7</v>
      </c>
      <c r="K343" s="626" t="s">
        <v>1210</v>
      </c>
      <c r="L343" s="626" t="s">
        <v>85</v>
      </c>
      <c r="M343" s="627" t="s">
        <v>1271</v>
      </c>
      <c r="N343" s="628" t="s">
        <v>1877</v>
      </c>
      <c r="O343" s="629"/>
      <c r="P343" s="630"/>
      <c r="Q343" s="590">
        <v>228500</v>
      </c>
      <c r="R343" s="631" t="s">
        <v>362</v>
      </c>
      <c r="S343" s="631" t="s">
        <v>363</v>
      </c>
      <c r="T343" s="1063">
        <v>2032221</v>
      </c>
      <c r="U343" s="632"/>
      <c r="V343" s="632" t="s">
        <v>1026</v>
      </c>
      <c r="W343" s="633"/>
      <c r="X343" s="634"/>
      <c r="Y343" s="590">
        <v>37457</v>
      </c>
      <c r="Z343" s="782"/>
      <c r="AA343" s="590"/>
      <c r="AB343" s="365">
        <f t="shared" si="51"/>
        <v>1</v>
      </c>
      <c r="AC343" s="634">
        <v>50000</v>
      </c>
      <c r="AD343" s="1033"/>
      <c r="AE343" s="634"/>
      <c r="AF343" s="634"/>
      <c r="AG343" s="1033">
        <f t="shared" si="61"/>
        <v>50000</v>
      </c>
      <c r="AH343" s="626"/>
      <c r="AI343" s="635"/>
      <c r="AJ343" s="635"/>
      <c r="AK343" s="590"/>
      <c r="AL343" s="590"/>
      <c r="AM343" s="636"/>
      <c r="AN343" s="636"/>
      <c r="AO343" s="636"/>
      <c r="AP343" s="636"/>
      <c r="AQ343" s="636"/>
      <c r="AR343" s="636"/>
      <c r="AS343" s="636"/>
      <c r="AT343" s="636"/>
      <c r="AU343" s="636"/>
      <c r="AV343" s="636"/>
      <c r="AW343" s="636"/>
      <c r="AX343" s="636"/>
      <c r="AY343" s="636"/>
      <c r="AZ343" s="634"/>
      <c r="BA343" s="634"/>
      <c r="BB343" s="634">
        <f t="shared" si="62"/>
        <v>50000</v>
      </c>
      <c r="BC343" s="624"/>
      <c r="BD343" s="624"/>
      <c r="BE343" s="624"/>
      <c r="BF343" s="634">
        <f t="shared" si="63"/>
        <v>50000</v>
      </c>
      <c r="BG343" s="451" t="str">
        <f t="shared" si="60"/>
        <v>N</v>
      </c>
      <c r="BH343" s="689"/>
      <c r="BI343" s="634"/>
      <c r="BJ343" s="700"/>
      <c r="BK343" s="700"/>
      <c r="BL343" s="635">
        <v>2799</v>
      </c>
      <c r="BM343" s="669"/>
      <c r="BN343" s="635"/>
      <c r="BO343" s="669"/>
      <c r="BP343" s="722"/>
      <c r="BQ343" s="669"/>
      <c r="BR343" s="635"/>
      <c r="BS343" s="635"/>
      <c r="BT343" s="451" t="str">
        <f t="shared" si="59"/>
        <v>Y</v>
      </c>
      <c r="BU343" s="451" t="str">
        <f t="shared" si="59"/>
        <v>N</v>
      </c>
      <c r="BV343" s="637"/>
      <c r="BW343" s="626"/>
      <c r="BX343" s="798" t="s">
        <v>2151</v>
      </c>
      <c r="BY343" s="637" t="s">
        <v>1028</v>
      </c>
    </row>
    <row r="344" spans="1:86" s="638" customFormat="1" ht="164.25" customHeight="1">
      <c r="A344" s="623" t="s">
        <v>1933</v>
      </c>
      <c r="B344" s="626">
        <v>266</v>
      </c>
      <c r="C344" s="916"/>
      <c r="D344" s="735" t="s">
        <v>1932</v>
      </c>
      <c r="E344" s="625">
        <v>40752</v>
      </c>
      <c r="F344" s="626">
        <v>2012</v>
      </c>
      <c r="G344" s="626">
        <v>1</v>
      </c>
      <c r="H344" s="626" t="s">
        <v>376</v>
      </c>
      <c r="I344" s="626">
        <v>2011</v>
      </c>
      <c r="J344" s="626">
        <v>8</v>
      </c>
      <c r="K344" s="626" t="s">
        <v>1210</v>
      </c>
      <c r="L344" s="635" t="s">
        <v>1852</v>
      </c>
      <c r="M344" s="627" t="s">
        <v>1271</v>
      </c>
      <c r="N344" s="628" t="s">
        <v>1874</v>
      </c>
      <c r="O344" s="629"/>
      <c r="P344" s="630"/>
      <c r="Q344" s="590">
        <v>13300000</v>
      </c>
      <c r="R344" s="631" t="s">
        <v>362</v>
      </c>
      <c r="S344" s="631" t="s">
        <v>20</v>
      </c>
      <c r="T344" s="1063">
        <f>SUM(T345:T348)</f>
        <v>98100000</v>
      </c>
      <c r="U344" s="632"/>
      <c r="V344" s="669" t="s">
        <v>2049</v>
      </c>
      <c r="W344" s="633"/>
      <c r="X344" s="634"/>
      <c r="Y344" s="590">
        <f>SUM(Y345:Y348)</f>
        <v>2840000</v>
      </c>
      <c r="Z344" s="782"/>
      <c r="AA344" s="590"/>
      <c r="AB344" s="365"/>
      <c r="AC344" s="634">
        <f>SUM(AC345:AC348)</f>
        <v>2835906</v>
      </c>
      <c r="AD344" s="1033">
        <v>1113000</v>
      </c>
      <c r="AE344" s="634"/>
      <c r="AF344" s="634"/>
      <c r="AG344" s="1033">
        <v>4048905</v>
      </c>
      <c r="AH344" s="626"/>
      <c r="AI344" s="635"/>
      <c r="AJ344" s="635"/>
      <c r="AK344" s="590"/>
      <c r="AL344" s="590" t="s">
        <v>362</v>
      </c>
      <c r="AM344" s="636"/>
      <c r="AN344" s="636"/>
      <c r="AO344" s="636"/>
      <c r="AP344" s="636">
        <v>4900</v>
      </c>
      <c r="AQ344" s="636"/>
      <c r="AR344" s="636"/>
      <c r="AS344" s="636"/>
      <c r="AT344" s="636">
        <v>20000</v>
      </c>
      <c r="AU344" s="636"/>
      <c r="AV344" s="636"/>
      <c r="AW344" s="636"/>
      <c r="AX344" s="636"/>
      <c r="AY344" s="636"/>
      <c r="AZ344" s="634">
        <v>130000</v>
      </c>
      <c r="BA344" s="634"/>
      <c r="BB344" s="634">
        <f t="shared" si="62"/>
        <v>4178905</v>
      </c>
      <c r="BC344" s="624"/>
      <c r="BD344" s="624"/>
      <c r="BE344" s="624"/>
      <c r="BF344" s="634">
        <f t="shared" si="63"/>
        <v>4178905</v>
      </c>
      <c r="BG344" s="451" t="str">
        <f t="shared" si="60"/>
        <v>Y</v>
      </c>
      <c r="BH344" s="689" t="s">
        <v>2088</v>
      </c>
      <c r="BI344" s="634">
        <v>4185949</v>
      </c>
      <c r="BJ344" s="700">
        <v>40878</v>
      </c>
      <c r="BK344" s="700" t="s">
        <v>2089</v>
      </c>
      <c r="BL344" s="635" t="s">
        <v>2090</v>
      </c>
      <c r="BM344" s="669">
        <v>200000</v>
      </c>
      <c r="BN344" s="635">
        <v>2836</v>
      </c>
      <c r="BO344" s="669">
        <v>2553000</v>
      </c>
      <c r="BP344" s="722">
        <v>2099</v>
      </c>
      <c r="BQ344" s="669">
        <v>200000</v>
      </c>
      <c r="BR344" s="635" t="s">
        <v>362</v>
      </c>
      <c r="BS344" s="635"/>
      <c r="BT344" s="451" t="str">
        <f t="shared" si="59"/>
        <v>N</v>
      </c>
      <c r="BU344" s="451" t="str">
        <f t="shared" si="59"/>
        <v>N</v>
      </c>
      <c r="BV344" s="637" t="s">
        <v>0</v>
      </c>
      <c r="BW344" s="626"/>
      <c r="BX344" s="798" t="s">
        <v>2181</v>
      </c>
      <c r="BY344" s="639" t="s">
        <v>2107</v>
      </c>
    </row>
    <row r="345" spans="1:86" s="638" customFormat="1" ht="37.5" customHeight="1">
      <c r="A345" s="623" t="s">
        <v>1933</v>
      </c>
      <c r="B345" s="626">
        <v>266</v>
      </c>
      <c r="C345" s="916"/>
      <c r="D345" s="735" t="s">
        <v>1932</v>
      </c>
      <c r="E345" s="625">
        <v>40752</v>
      </c>
      <c r="F345" s="626">
        <v>2012</v>
      </c>
      <c r="G345" s="626">
        <v>1</v>
      </c>
      <c r="H345" s="626" t="s">
        <v>376</v>
      </c>
      <c r="I345" s="626">
        <v>2011</v>
      </c>
      <c r="J345" s="626">
        <v>8</v>
      </c>
      <c r="K345" s="626" t="s">
        <v>1210</v>
      </c>
      <c r="L345" s="635" t="s">
        <v>1605</v>
      </c>
      <c r="M345" s="627" t="s">
        <v>1271</v>
      </c>
      <c r="N345" s="628" t="s">
        <v>1874</v>
      </c>
      <c r="O345" s="629"/>
      <c r="P345" s="630"/>
      <c r="Q345" s="590"/>
      <c r="R345" s="631"/>
      <c r="S345" s="631"/>
      <c r="T345" s="1063">
        <v>61300000</v>
      </c>
      <c r="U345" s="632"/>
      <c r="V345" s="669"/>
      <c r="W345" s="633"/>
      <c r="X345" s="634"/>
      <c r="Y345" s="590">
        <v>1000000</v>
      </c>
      <c r="Z345" s="631"/>
      <c r="AA345" s="590"/>
      <c r="AB345" s="946">
        <v>1</v>
      </c>
      <c r="AC345" s="634">
        <f>400000+200000+1000000</f>
        <v>1600000</v>
      </c>
      <c r="AD345" s="1033"/>
      <c r="AE345" s="634"/>
      <c r="AF345" s="634"/>
      <c r="AG345" s="1033"/>
      <c r="AH345" s="626"/>
      <c r="AI345" s="635"/>
      <c r="AJ345" s="635"/>
      <c r="AK345" s="590"/>
      <c r="AL345" s="590"/>
      <c r="AM345" s="636"/>
      <c r="AN345" s="636"/>
      <c r="AO345" s="636"/>
      <c r="AP345" s="636"/>
      <c r="AQ345" s="636"/>
      <c r="AR345" s="636"/>
      <c r="AS345" s="636"/>
      <c r="AT345" s="636"/>
      <c r="AU345" s="636"/>
      <c r="AV345" s="636"/>
      <c r="AW345" s="636"/>
      <c r="AX345" s="636"/>
      <c r="AY345" s="636"/>
      <c r="AZ345" s="634"/>
      <c r="BA345" s="634"/>
      <c r="BB345" s="634"/>
      <c r="BC345" s="624"/>
      <c r="BD345" s="624"/>
      <c r="BE345" s="624"/>
      <c r="BF345" s="634"/>
      <c r="BG345" s="451"/>
      <c r="BH345" s="689"/>
      <c r="BI345" s="634"/>
      <c r="BJ345" s="700"/>
      <c r="BK345" s="700"/>
      <c r="BL345" s="635"/>
      <c r="BM345" s="669"/>
      <c r="BN345" s="635"/>
      <c r="BO345" s="669"/>
      <c r="BP345" s="722"/>
      <c r="BQ345" s="669"/>
      <c r="BR345" s="635"/>
      <c r="BS345" s="635"/>
      <c r="BT345" s="451"/>
      <c r="BU345" s="451"/>
      <c r="BV345" s="637"/>
      <c r="BW345" s="626"/>
      <c r="BX345" s="798"/>
      <c r="BY345" s="639"/>
    </row>
    <row r="346" spans="1:86" s="638" customFormat="1" ht="37.5" customHeight="1">
      <c r="A346" s="623" t="s">
        <v>1933</v>
      </c>
      <c r="B346" s="626">
        <v>266</v>
      </c>
      <c r="C346" s="916"/>
      <c r="D346" s="735" t="s">
        <v>1932</v>
      </c>
      <c r="E346" s="625">
        <v>40752</v>
      </c>
      <c r="F346" s="626">
        <v>2012</v>
      </c>
      <c r="G346" s="626">
        <v>1</v>
      </c>
      <c r="H346" s="626" t="s">
        <v>376</v>
      </c>
      <c r="I346" s="626">
        <v>2011</v>
      </c>
      <c r="J346" s="626">
        <v>8</v>
      </c>
      <c r="K346" s="626" t="s">
        <v>1210</v>
      </c>
      <c r="L346" s="635" t="s">
        <v>1873</v>
      </c>
      <c r="M346" s="627" t="s">
        <v>1271</v>
      </c>
      <c r="N346" s="628" t="s">
        <v>1874</v>
      </c>
      <c r="O346" s="629"/>
      <c r="P346" s="630"/>
      <c r="Q346" s="590"/>
      <c r="R346" s="631"/>
      <c r="S346" s="631"/>
      <c r="T346" s="1063">
        <v>30800000</v>
      </c>
      <c r="U346" s="632"/>
      <c r="V346" s="669"/>
      <c r="W346" s="633"/>
      <c r="X346" s="634"/>
      <c r="Y346" s="590">
        <v>570000</v>
      </c>
      <c r="Z346" s="631"/>
      <c r="AA346" s="590"/>
      <c r="AB346" s="946">
        <v>1</v>
      </c>
      <c r="AC346" s="634">
        <f>175906+160000+200000+600000</f>
        <v>1135906</v>
      </c>
      <c r="AD346" s="1033"/>
      <c r="AE346" s="634"/>
      <c r="AF346" s="634"/>
      <c r="AG346" s="1033"/>
      <c r="AH346" s="626"/>
      <c r="AI346" s="635"/>
      <c r="AJ346" s="635"/>
      <c r="AK346" s="590"/>
      <c r="AL346" s="590"/>
      <c r="AM346" s="636"/>
      <c r="AN346" s="636"/>
      <c r="AO346" s="636"/>
      <c r="AP346" s="636"/>
      <c r="AQ346" s="636"/>
      <c r="AR346" s="636"/>
      <c r="AS346" s="636"/>
      <c r="AT346" s="636"/>
      <c r="AU346" s="636"/>
      <c r="AV346" s="636"/>
      <c r="AW346" s="636"/>
      <c r="AX346" s="636"/>
      <c r="AY346" s="636"/>
      <c r="AZ346" s="634"/>
      <c r="BA346" s="634"/>
      <c r="BB346" s="634"/>
      <c r="BC346" s="624"/>
      <c r="BD346" s="624"/>
      <c r="BE346" s="624"/>
      <c r="BF346" s="634"/>
      <c r="BG346" s="451"/>
      <c r="BH346" s="689"/>
      <c r="BI346" s="634"/>
      <c r="BJ346" s="700"/>
      <c r="BK346" s="700"/>
      <c r="BL346" s="635"/>
      <c r="BM346" s="669"/>
      <c r="BN346" s="635"/>
      <c r="BO346" s="669"/>
      <c r="BP346" s="722"/>
      <c r="BQ346" s="669"/>
      <c r="BR346" s="635"/>
      <c r="BS346" s="635"/>
      <c r="BT346" s="451"/>
      <c r="BU346" s="451"/>
      <c r="BV346" s="637"/>
      <c r="BW346" s="626"/>
      <c r="BX346" s="798"/>
      <c r="BY346" s="639"/>
    </row>
    <row r="347" spans="1:86" s="638" customFormat="1" ht="90" customHeight="1">
      <c r="A347" s="623" t="s">
        <v>1933</v>
      </c>
      <c r="B347" s="626">
        <v>266</v>
      </c>
      <c r="C347" s="916"/>
      <c r="D347" s="735" t="s">
        <v>1932</v>
      </c>
      <c r="E347" s="625">
        <v>40752</v>
      </c>
      <c r="F347" s="626">
        <v>2012</v>
      </c>
      <c r="G347" s="626">
        <v>1</v>
      </c>
      <c r="H347" s="626" t="s">
        <v>376</v>
      </c>
      <c r="I347" s="626">
        <v>2011</v>
      </c>
      <c r="J347" s="626">
        <v>8</v>
      </c>
      <c r="K347" s="626" t="s">
        <v>1210</v>
      </c>
      <c r="L347" s="635" t="s">
        <v>420</v>
      </c>
      <c r="M347" s="627" t="s">
        <v>1271</v>
      </c>
      <c r="N347" s="628" t="s">
        <v>1874</v>
      </c>
      <c r="O347" s="629"/>
      <c r="P347" s="630"/>
      <c r="Q347" s="590"/>
      <c r="R347" s="631"/>
      <c r="S347" s="631"/>
      <c r="T347" s="1063">
        <v>4500000</v>
      </c>
      <c r="U347" s="632">
        <v>226000000</v>
      </c>
      <c r="V347" s="669"/>
      <c r="W347" s="633"/>
      <c r="X347" s="634"/>
      <c r="Y347" s="590">
        <v>1250000</v>
      </c>
      <c r="Z347" s="631"/>
      <c r="AA347" s="590"/>
      <c r="AB347" s="365">
        <f t="shared" si="51"/>
        <v>0</v>
      </c>
      <c r="AC347" s="634"/>
      <c r="AD347" s="1033"/>
      <c r="AE347" s="634"/>
      <c r="AF347" s="634"/>
      <c r="AG347" s="1033"/>
      <c r="AH347" s="626"/>
      <c r="AI347" s="635"/>
      <c r="AJ347" s="635"/>
      <c r="AK347" s="590">
        <v>24900</v>
      </c>
      <c r="AL347" s="590" t="s">
        <v>362</v>
      </c>
      <c r="AM347" s="636"/>
      <c r="AN347" s="636"/>
      <c r="AO347" s="636"/>
      <c r="AP347" s="636"/>
      <c r="AQ347" s="636"/>
      <c r="AR347" s="636"/>
      <c r="AS347" s="636"/>
      <c r="AT347" s="636"/>
      <c r="AU347" s="636"/>
      <c r="AV347" s="636"/>
      <c r="AW347" s="636"/>
      <c r="AX347" s="636"/>
      <c r="AY347" s="636"/>
      <c r="AZ347" s="634"/>
      <c r="BA347" s="634"/>
      <c r="BB347" s="634"/>
      <c r="BC347" s="624"/>
      <c r="BD347" s="624"/>
      <c r="BE347" s="624"/>
      <c r="BF347" s="634"/>
      <c r="BG347" s="451"/>
      <c r="BH347" s="689"/>
      <c r="BI347" s="634"/>
      <c r="BJ347" s="700"/>
      <c r="BK347" s="700"/>
      <c r="BL347" s="635"/>
      <c r="BM347" s="669"/>
      <c r="BN347" s="635"/>
      <c r="BO347" s="669"/>
      <c r="BP347" s="722"/>
      <c r="BQ347" s="669"/>
      <c r="BR347" s="635"/>
      <c r="BS347" s="635"/>
      <c r="BT347" s="451"/>
      <c r="BU347" s="451"/>
      <c r="BV347" s="637"/>
      <c r="BW347" s="626"/>
      <c r="BX347" s="798"/>
      <c r="BY347" s="639"/>
    </row>
    <row r="348" spans="1:86" s="638" customFormat="1" ht="37.5" customHeight="1">
      <c r="A348" s="623" t="s">
        <v>1933</v>
      </c>
      <c r="B348" s="626">
        <v>266</v>
      </c>
      <c r="C348" s="916"/>
      <c r="D348" s="735" t="s">
        <v>1932</v>
      </c>
      <c r="E348" s="625">
        <v>40752</v>
      </c>
      <c r="F348" s="626">
        <v>2012</v>
      </c>
      <c r="G348" s="626">
        <v>1</v>
      </c>
      <c r="H348" s="626" t="s">
        <v>376</v>
      </c>
      <c r="I348" s="626">
        <v>2011</v>
      </c>
      <c r="J348" s="626">
        <v>8</v>
      </c>
      <c r="K348" s="626" t="s">
        <v>1210</v>
      </c>
      <c r="L348" s="635" t="s">
        <v>1379</v>
      </c>
      <c r="M348" s="627" t="s">
        <v>1271</v>
      </c>
      <c r="N348" s="628" t="s">
        <v>1874</v>
      </c>
      <c r="O348" s="629"/>
      <c r="P348" s="630"/>
      <c r="Q348" s="590"/>
      <c r="R348" s="631" t="s">
        <v>362</v>
      </c>
      <c r="S348" s="631" t="s">
        <v>363</v>
      </c>
      <c r="T348" s="1063">
        <v>1500000</v>
      </c>
      <c r="U348" s="632"/>
      <c r="V348" s="669" t="s">
        <v>2423</v>
      </c>
      <c r="W348" s="633"/>
      <c r="X348" s="634"/>
      <c r="Y348" s="590">
        <v>20000</v>
      </c>
      <c r="Z348" s="631"/>
      <c r="AA348" s="590"/>
      <c r="AB348" s="946">
        <f t="shared" ref="AB348:AB372" si="64">COUNTIF(AC348, "&gt;49999")</f>
        <v>1</v>
      </c>
      <c r="AC348" s="634">
        <v>100000</v>
      </c>
      <c r="AD348" s="1033"/>
      <c r="AE348" s="634"/>
      <c r="AF348" s="634"/>
      <c r="AG348" s="1033"/>
      <c r="AH348" s="626"/>
      <c r="AI348" s="635"/>
      <c r="AJ348" s="635"/>
      <c r="AK348" s="590"/>
      <c r="AL348" s="590"/>
      <c r="AM348" s="636"/>
      <c r="AN348" s="636"/>
      <c r="AO348" s="636"/>
      <c r="AP348" s="636"/>
      <c r="AQ348" s="636"/>
      <c r="AR348" s="636"/>
      <c r="AS348" s="636"/>
      <c r="AT348" s="636"/>
      <c r="AU348" s="636"/>
      <c r="AV348" s="636"/>
      <c r="AW348" s="636"/>
      <c r="AX348" s="636"/>
      <c r="AY348" s="636"/>
      <c r="AZ348" s="634"/>
      <c r="BA348" s="634"/>
      <c r="BB348" s="634"/>
      <c r="BC348" s="624"/>
      <c r="BD348" s="624"/>
      <c r="BE348" s="624"/>
      <c r="BF348" s="634"/>
      <c r="BG348" s="451"/>
      <c r="BH348" s="689"/>
      <c r="BI348" s="634"/>
      <c r="BJ348" s="700"/>
      <c r="BK348" s="700"/>
      <c r="BL348" s="635"/>
      <c r="BM348" s="669"/>
      <c r="BN348" s="635"/>
      <c r="BO348" s="669"/>
      <c r="BP348" s="722"/>
      <c r="BQ348" s="669"/>
      <c r="BR348" s="635"/>
      <c r="BS348" s="635"/>
      <c r="BT348" s="451"/>
      <c r="BU348" s="451"/>
      <c r="BV348" s="637"/>
      <c r="BW348" s="626"/>
      <c r="BX348" s="798"/>
      <c r="BY348" s="639"/>
    </row>
    <row r="349" spans="1:86" s="619" customFormat="1" ht="36.75" customHeight="1">
      <c r="A349" s="274" t="s">
        <v>690</v>
      </c>
      <c r="B349" s="288">
        <v>267</v>
      </c>
      <c r="C349" s="911"/>
      <c r="D349" s="734" t="s">
        <v>689</v>
      </c>
      <c r="E349" s="287">
        <v>40779</v>
      </c>
      <c r="F349" s="288">
        <v>2012</v>
      </c>
      <c r="G349" s="288">
        <v>2</v>
      </c>
      <c r="H349" s="288" t="s">
        <v>376</v>
      </c>
      <c r="I349" s="288">
        <v>2011</v>
      </c>
      <c r="J349" s="288">
        <v>9</v>
      </c>
      <c r="K349" s="288" t="s">
        <v>570</v>
      </c>
      <c r="L349" s="300" t="s">
        <v>691</v>
      </c>
      <c r="M349" s="627" t="s">
        <v>1271</v>
      </c>
      <c r="N349" s="290" t="s">
        <v>1877</v>
      </c>
      <c r="O349" s="291"/>
      <c r="P349" s="292"/>
      <c r="Q349" s="293">
        <v>45000</v>
      </c>
      <c r="R349" s="294" t="s">
        <v>362</v>
      </c>
      <c r="S349" s="294" t="s">
        <v>363</v>
      </c>
      <c r="T349" s="1058">
        <v>4400000</v>
      </c>
      <c r="U349" s="295"/>
      <c r="V349" s="451" t="s">
        <v>692</v>
      </c>
      <c r="W349" s="297" t="s">
        <v>362</v>
      </c>
      <c r="X349" s="298">
        <v>575551</v>
      </c>
      <c r="Y349" s="293">
        <v>30000</v>
      </c>
      <c r="Z349" s="778"/>
      <c r="AA349" s="293"/>
      <c r="AB349" s="946">
        <f t="shared" si="64"/>
        <v>1</v>
      </c>
      <c r="AC349" s="298">
        <v>50000</v>
      </c>
      <c r="AD349" s="587"/>
      <c r="AE349" s="298"/>
      <c r="AF349" s="298"/>
      <c r="AG349" s="427">
        <f t="shared" si="61"/>
        <v>50000</v>
      </c>
      <c r="AH349" s="288"/>
      <c r="AI349" s="300"/>
      <c r="AJ349" s="300"/>
      <c r="AK349" s="301"/>
      <c r="AL349" s="301"/>
      <c r="AM349" s="302"/>
      <c r="AN349" s="302"/>
      <c r="AO349" s="302"/>
      <c r="AP349" s="302"/>
      <c r="AQ349" s="302"/>
      <c r="AR349" s="302"/>
      <c r="AS349" s="302"/>
      <c r="AT349" s="302"/>
      <c r="AU349" s="302"/>
      <c r="AV349" s="302"/>
      <c r="AW349" s="302"/>
      <c r="AX349" s="302"/>
      <c r="AY349" s="302"/>
      <c r="AZ349" s="298"/>
      <c r="BA349" s="298"/>
      <c r="BB349" s="298">
        <f t="shared" si="62"/>
        <v>50000</v>
      </c>
      <c r="BC349" s="285"/>
      <c r="BD349" s="285"/>
      <c r="BE349" s="285"/>
      <c r="BF349" s="298">
        <f t="shared" si="63"/>
        <v>50000</v>
      </c>
      <c r="BG349" s="451" t="str">
        <f t="shared" si="60"/>
        <v>N</v>
      </c>
      <c r="BH349" s="576"/>
      <c r="BI349" s="298"/>
      <c r="BJ349" s="702"/>
      <c r="BK349" s="702"/>
      <c r="BL349" s="303">
        <v>2799</v>
      </c>
      <c r="BM349" s="668"/>
      <c r="BN349" s="303"/>
      <c r="BO349" s="668"/>
      <c r="BP349" s="584"/>
      <c r="BQ349" s="668"/>
      <c r="BR349" s="303"/>
      <c r="BS349" s="303"/>
      <c r="BT349" s="451" t="str">
        <f t="shared" si="59"/>
        <v>Y</v>
      </c>
      <c r="BU349" s="451" t="str">
        <f t="shared" si="59"/>
        <v>N</v>
      </c>
      <c r="BV349" s="304"/>
      <c r="BW349" s="288"/>
      <c r="BX349" s="798" t="s">
        <v>2152</v>
      </c>
      <c r="BY349" s="449" t="s">
        <v>693</v>
      </c>
      <c r="BZ349" s="638"/>
      <c r="CA349" s="638"/>
      <c r="CB349" s="638"/>
      <c r="CC349" s="638"/>
      <c r="CD349" s="638"/>
      <c r="CE349" s="638"/>
      <c r="CF349" s="638"/>
      <c r="CG349" s="638"/>
      <c r="CH349" s="638"/>
    </row>
    <row r="350" spans="1:86" s="619" customFormat="1" ht="34.5" customHeight="1">
      <c r="A350" s="274" t="s">
        <v>745</v>
      </c>
      <c r="B350" s="288">
        <v>268</v>
      </c>
      <c r="C350" s="911"/>
      <c r="D350" s="734" t="s">
        <v>88</v>
      </c>
      <c r="E350" s="287">
        <v>40786</v>
      </c>
      <c r="F350" s="288">
        <v>2012</v>
      </c>
      <c r="G350" s="288">
        <v>3</v>
      </c>
      <c r="H350" s="288" t="s">
        <v>376</v>
      </c>
      <c r="I350" s="288">
        <v>2011</v>
      </c>
      <c r="J350" s="288">
        <v>10</v>
      </c>
      <c r="K350" s="288" t="s">
        <v>570</v>
      </c>
      <c r="L350" s="288" t="s">
        <v>1943</v>
      </c>
      <c r="M350" s="627" t="s">
        <v>1271</v>
      </c>
      <c r="N350" s="290" t="s">
        <v>1877</v>
      </c>
      <c r="O350" s="291"/>
      <c r="P350" s="292"/>
      <c r="Q350" s="293">
        <v>700000</v>
      </c>
      <c r="R350" s="294" t="s">
        <v>362</v>
      </c>
      <c r="S350" s="294" t="s">
        <v>363</v>
      </c>
      <c r="T350" s="1058">
        <v>1500000</v>
      </c>
      <c r="U350" s="295"/>
      <c r="V350" s="451" t="s">
        <v>1412</v>
      </c>
      <c r="W350" s="297" t="s">
        <v>362</v>
      </c>
      <c r="X350" s="298"/>
      <c r="Y350" s="293">
        <v>50000</v>
      </c>
      <c r="Z350" s="778"/>
      <c r="AA350" s="293"/>
      <c r="AB350" s="946">
        <f t="shared" si="64"/>
        <v>1</v>
      </c>
      <c r="AC350" s="298">
        <v>50000</v>
      </c>
      <c r="AD350" s="587"/>
      <c r="AE350" s="298"/>
      <c r="AF350" s="298"/>
      <c r="AG350" s="427">
        <f t="shared" si="61"/>
        <v>50000</v>
      </c>
      <c r="AH350" s="288"/>
      <c r="AI350" s="300"/>
      <c r="AJ350" s="300"/>
      <c r="AK350" s="301"/>
      <c r="AL350" s="301"/>
      <c r="AM350" s="302"/>
      <c r="AN350" s="302"/>
      <c r="AO350" s="302"/>
      <c r="AP350" s="302"/>
      <c r="AQ350" s="302"/>
      <c r="AR350" s="302"/>
      <c r="AS350" s="302"/>
      <c r="AT350" s="302"/>
      <c r="AU350" s="302"/>
      <c r="AV350" s="302"/>
      <c r="AW350" s="302"/>
      <c r="AX350" s="302"/>
      <c r="AY350" s="302"/>
      <c r="AZ350" s="298"/>
      <c r="BA350" s="298"/>
      <c r="BB350" s="298">
        <f>AG350+AZ350+BA350</f>
        <v>50000</v>
      </c>
      <c r="BC350" s="285"/>
      <c r="BD350" s="285"/>
      <c r="BE350" s="285"/>
      <c r="BF350" s="298">
        <f>BB350+BD350+BC350</f>
        <v>50000</v>
      </c>
      <c r="BG350" s="451" t="str">
        <f t="shared" si="60"/>
        <v>N</v>
      </c>
      <c r="BH350" s="576"/>
      <c r="BI350" s="298"/>
      <c r="BJ350" s="702"/>
      <c r="BK350" s="702"/>
      <c r="BL350" s="303">
        <v>2799</v>
      </c>
      <c r="BM350" s="668"/>
      <c r="BN350" s="303"/>
      <c r="BO350" s="668"/>
      <c r="BP350" s="584"/>
      <c r="BQ350" s="668"/>
      <c r="BR350" s="303"/>
      <c r="BS350" s="303"/>
      <c r="BT350" s="451" t="str">
        <f t="shared" si="59"/>
        <v>Y</v>
      </c>
      <c r="BU350" s="451" t="str">
        <f t="shared" si="59"/>
        <v>N</v>
      </c>
      <c r="BV350" s="304"/>
      <c r="BW350" s="288"/>
      <c r="BX350" s="798" t="s">
        <v>2153</v>
      </c>
      <c r="BY350" s="449" t="s">
        <v>1413</v>
      </c>
      <c r="BZ350" s="638"/>
      <c r="CA350" s="638"/>
      <c r="CB350" s="638"/>
      <c r="CC350" s="638"/>
      <c r="CD350" s="638"/>
      <c r="CE350" s="638"/>
      <c r="CF350" s="638"/>
      <c r="CG350" s="638"/>
      <c r="CH350" s="638"/>
    </row>
    <row r="351" spans="1:86" s="619" customFormat="1" ht="32.25" customHeight="1">
      <c r="A351" s="274" t="s">
        <v>1414</v>
      </c>
      <c r="B351" s="288">
        <v>269</v>
      </c>
      <c r="C351" s="911"/>
      <c r="D351" s="734" t="s">
        <v>1415</v>
      </c>
      <c r="E351" s="287">
        <v>40798</v>
      </c>
      <c r="F351" s="288">
        <v>2012</v>
      </c>
      <c r="G351" s="288">
        <v>4</v>
      </c>
      <c r="H351" s="288" t="s">
        <v>376</v>
      </c>
      <c r="I351" s="288">
        <v>2011</v>
      </c>
      <c r="J351" s="288">
        <v>11</v>
      </c>
      <c r="K351" s="288" t="s">
        <v>570</v>
      </c>
      <c r="L351" s="288" t="s">
        <v>1668</v>
      </c>
      <c r="M351" s="627" t="s">
        <v>1271</v>
      </c>
      <c r="N351" s="290" t="s">
        <v>1877</v>
      </c>
      <c r="O351" s="291"/>
      <c r="P351" s="292"/>
      <c r="Q351" s="293">
        <v>5000000</v>
      </c>
      <c r="R351" s="294" t="s">
        <v>362</v>
      </c>
      <c r="S351" s="294" t="s">
        <v>363</v>
      </c>
      <c r="T351" s="1058">
        <v>11900000</v>
      </c>
      <c r="U351" s="295"/>
      <c r="V351" s="451" t="s">
        <v>1416</v>
      </c>
      <c r="W351" s="297" t="s">
        <v>362</v>
      </c>
      <c r="X351" s="298"/>
      <c r="Y351" s="293">
        <v>105000</v>
      </c>
      <c r="Z351" s="778"/>
      <c r="AA351" s="293"/>
      <c r="AB351" s="946">
        <f t="shared" si="64"/>
        <v>1</v>
      </c>
      <c r="AC351" s="298">
        <v>50000</v>
      </c>
      <c r="AD351" s="587"/>
      <c r="AE351" s="298"/>
      <c r="AF351" s="298"/>
      <c r="AG351" s="427">
        <f t="shared" si="61"/>
        <v>50000</v>
      </c>
      <c r="AH351" s="288"/>
      <c r="AI351" s="300"/>
      <c r="AJ351" s="300"/>
      <c r="AK351" s="301"/>
      <c r="AL351" s="301"/>
      <c r="AM351" s="302"/>
      <c r="AN351" s="302"/>
      <c r="AO351" s="302"/>
      <c r="AP351" s="302"/>
      <c r="AQ351" s="302"/>
      <c r="AR351" s="302"/>
      <c r="AS351" s="302"/>
      <c r="AT351" s="302"/>
      <c r="AU351" s="302"/>
      <c r="AV351" s="302"/>
      <c r="AW351" s="302"/>
      <c r="AX351" s="302"/>
      <c r="AY351" s="302"/>
      <c r="AZ351" s="298"/>
      <c r="BA351" s="298"/>
      <c r="BB351" s="298">
        <f t="shared" ref="BB351:BB383" si="65">AG351+AZ351+BA351</f>
        <v>50000</v>
      </c>
      <c r="BC351" s="285"/>
      <c r="BD351" s="285"/>
      <c r="BE351" s="285"/>
      <c r="BF351" s="298">
        <f t="shared" ref="BF351:BF391" si="66">BB351+BD351+BC351</f>
        <v>50000</v>
      </c>
      <c r="BG351" s="451" t="str">
        <f t="shared" si="60"/>
        <v>N</v>
      </c>
      <c r="BH351" s="576"/>
      <c r="BI351" s="298"/>
      <c r="BJ351" s="702"/>
      <c r="BK351" s="702"/>
      <c r="BL351" s="303">
        <v>2799</v>
      </c>
      <c r="BM351" s="668"/>
      <c r="BN351" s="303"/>
      <c r="BO351" s="668"/>
      <c r="BP351" s="584"/>
      <c r="BQ351" s="668"/>
      <c r="BR351" s="303"/>
      <c r="BS351" s="303"/>
      <c r="BT351" s="451" t="str">
        <f t="shared" si="59"/>
        <v>Y</v>
      </c>
      <c r="BU351" s="451" t="str">
        <f t="shared" si="59"/>
        <v>N</v>
      </c>
      <c r="BV351" s="304"/>
      <c r="BW351" s="288"/>
      <c r="BX351" s="798" t="s">
        <v>2154</v>
      </c>
      <c r="BY351" s="449" t="s">
        <v>1413</v>
      </c>
      <c r="BZ351" s="638"/>
      <c r="CA351" s="638"/>
      <c r="CB351" s="638"/>
      <c r="CC351" s="638"/>
      <c r="CD351" s="638"/>
      <c r="CE351" s="638"/>
      <c r="CF351" s="638"/>
      <c r="CG351" s="638"/>
      <c r="CH351" s="638"/>
    </row>
    <row r="352" spans="1:86" s="281" customFormat="1" ht="32.25" customHeight="1">
      <c r="A352" s="274" t="s">
        <v>736</v>
      </c>
      <c r="B352" s="288">
        <v>270</v>
      </c>
      <c r="C352" s="911"/>
      <c r="D352" s="734" t="s">
        <v>1774</v>
      </c>
      <c r="E352" s="287">
        <v>40822</v>
      </c>
      <c r="F352" s="288">
        <v>2012</v>
      </c>
      <c r="G352" s="288">
        <v>5</v>
      </c>
      <c r="H352" s="288" t="s">
        <v>378</v>
      </c>
      <c r="I352" s="288">
        <v>2011</v>
      </c>
      <c r="J352" s="288">
        <v>12</v>
      </c>
      <c r="K352" s="288" t="s">
        <v>570</v>
      </c>
      <c r="L352" s="288" t="s">
        <v>2026</v>
      </c>
      <c r="M352" s="627" t="s">
        <v>1271</v>
      </c>
      <c r="N352" s="290" t="s">
        <v>1586</v>
      </c>
      <c r="O352" s="291"/>
      <c r="P352" s="292"/>
      <c r="Q352" s="293">
        <v>3200000</v>
      </c>
      <c r="R352" s="294" t="s">
        <v>362</v>
      </c>
      <c r="S352" s="294" t="s">
        <v>363</v>
      </c>
      <c r="T352" s="1058">
        <v>3800000</v>
      </c>
      <c r="U352" s="295"/>
      <c r="V352" s="451" t="s">
        <v>735</v>
      </c>
      <c r="W352" s="297" t="s">
        <v>362</v>
      </c>
      <c r="X352" s="298"/>
      <c r="Y352" s="293">
        <v>250000</v>
      </c>
      <c r="Z352" s="778"/>
      <c r="AA352" s="293"/>
      <c r="AB352" s="946">
        <f t="shared" si="64"/>
        <v>1</v>
      </c>
      <c r="AC352" s="298">
        <v>50000</v>
      </c>
      <c r="AD352" s="587"/>
      <c r="AE352" s="298"/>
      <c r="AF352" s="298"/>
      <c r="AG352" s="427">
        <f t="shared" si="61"/>
        <v>50000</v>
      </c>
      <c r="AH352" s="288"/>
      <c r="AI352" s="300"/>
      <c r="AJ352" s="300"/>
      <c r="AK352" s="301"/>
      <c r="AL352" s="301"/>
      <c r="AM352" s="302"/>
      <c r="AN352" s="302"/>
      <c r="AO352" s="302"/>
      <c r="AP352" s="302"/>
      <c r="AQ352" s="302"/>
      <c r="AR352" s="302"/>
      <c r="AS352" s="302"/>
      <c r="AT352" s="302"/>
      <c r="AU352" s="302"/>
      <c r="AV352" s="302"/>
      <c r="AW352" s="302"/>
      <c r="AX352" s="302"/>
      <c r="AY352" s="302"/>
      <c r="AZ352" s="298"/>
      <c r="BA352" s="298"/>
      <c r="BB352" s="298">
        <f t="shared" si="65"/>
        <v>50000</v>
      </c>
      <c r="BC352" s="285"/>
      <c r="BD352" s="285"/>
      <c r="BE352" s="285"/>
      <c r="BF352" s="298">
        <f t="shared" si="66"/>
        <v>50000</v>
      </c>
      <c r="BG352" s="451" t="str">
        <f t="shared" si="60"/>
        <v>N</v>
      </c>
      <c r="BH352" s="576"/>
      <c r="BI352" s="298"/>
      <c r="BJ352" s="702"/>
      <c r="BK352" s="702"/>
      <c r="BL352" s="303">
        <v>2799</v>
      </c>
      <c r="BM352" s="668"/>
      <c r="BN352" s="303"/>
      <c r="BO352" s="668"/>
      <c r="BP352" s="584"/>
      <c r="BQ352" s="668"/>
      <c r="BR352" s="303"/>
      <c r="BS352" s="303"/>
      <c r="BT352" s="451" t="str">
        <f t="shared" si="59"/>
        <v>Y</v>
      </c>
      <c r="BU352" s="451" t="str">
        <f t="shared" si="59"/>
        <v>N</v>
      </c>
      <c r="BV352" s="304"/>
      <c r="BW352" s="288"/>
      <c r="BX352" s="798" t="s">
        <v>2155</v>
      </c>
      <c r="BY352" s="449" t="s">
        <v>1413</v>
      </c>
      <c r="BZ352" s="666"/>
      <c r="CA352" s="666"/>
      <c r="CB352" s="666"/>
      <c r="CC352" s="666"/>
      <c r="CD352" s="666"/>
      <c r="CE352" s="666"/>
      <c r="CF352" s="666"/>
      <c r="CG352" s="666"/>
      <c r="CH352" s="666"/>
    </row>
    <row r="353" spans="1:86" s="281" customFormat="1" ht="234" customHeight="1">
      <c r="A353" s="274" t="s">
        <v>738</v>
      </c>
      <c r="B353" s="288">
        <v>271</v>
      </c>
      <c r="C353" s="911"/>
      <c r="D353" s="734" t="s">
        <v>343</v>
      </c>
      <c r="E353" s="287">
        <v>40836</v>
      </c>
      <c r="F353" s="288">
        <v>2012</v>
      </c>
      <c r="G353" s="288">
        <v>6</v>
      </c>
      <c r="H353" s="288" t="s">
        <v>378</v>
      </c>
      <c r="I353" s="288">
        <v>2011</v>
      </c>
      <c r="J353" s="288">
        <v>13</v>
      </c>
      <c r="K353" s="288" t="s">
        <v>1211</v>
      </c>
      <c r="L353" s="300" t="s">
        <v>1852</v>
      </c>
      <c r="M353" s="627" t="s">
        <v>1271</v>
      </c>
      <c r="N353" s="290" t="s">
        <v>1877</v>
      </c>
      <c r="O353" s="291"/>
      <c r="P353" s="292"/>
      <c r="Q353" s="293">
        <v>638000</v>
      </c>
      <c r="R353" s="294" t="s">
        <v>362</v>
      </c>
      <c r="S353" s="294" t="s">
        <v>363</v>
      </c>
      <c r="T353" s="1066">
        <v>2198600</v>
      </c>
      <c r="U353" s="668"/>
      <c r="V353" s="668" t="s">
        <v>739</v>
      </c>
      <c r="W353" s="297" t="s">
        <v>362</v>
      </c>
      <c r="X353" s="298"/>
      <c r="Y353" s="293">
        <v>2500</v>
      </c>
      <c r="Z353" s="294" t="s">
        <v>362</v>
      </c>
      <c r="AA353" s="293">
        <v>9000</v>
      </c>
      <c r="AB353" s="365">
        <f t="shared" si="64"/>
        <v>0</v>
      </c>
      <c r="AC353" s="298"/>
      <c r="AD353" s="587"/>
      <c r="AE353" s="298">
        <v>48940</v>
      </c>
      <c r="AF353" s="298"/>
      <c r="AG353" s="427">
        <f t="shared" si="61"/>
        <v>48940</v>
      </c>
      <c r="AH353" s="288">
        <v>3</v>
      </c>
      <c r="AI353" s="300"/>
      <c r="AJ353" s="300">
        <v>3</v>
      </c>
      <c r="AK353" s="301">
        <v>26000</v>
      </c>
      <c r="AL353" s="301" t="s">
        <v>362</v>
      </c>
      <c r="AM353" s="302">
        <v>2300</v>
      </c>
      <c r="AN353" s="302">
        <v>11500</v>
      </c>
      <c r="AO353" s="302">
        <v>4600</v>
      </c>
      <c r="AP353" s="302"/>
      <c r="AQ353" s="302"/>
      <c r="AR353" s="302"/>
      <c r="AS353" s="302"/>
      <c r="AT353" s="302">
        <v>4600</v>
      </c>
      <c r="AU353" s="302"/>
      <c r="AV353" s="302">
        <v>3000</v>
      </c>
      <c r="AW353" s="302"/>
      <c r="AX353" s="302"/>
      <c r="AY353" s="302"/>
      <c r="AZ353" s="298">
        <v>255000</v>
      </c>
      <c r="BA353" s="298"/>
      <c r="BB353" s="298">
        <f>AG353+AZ353+BA353</f>
        <v>303940</v>
      </c>
      <c r="BC353" s="285"/>
      <c r="BD353" s="285"/>
      <c r="BE353" s="285"/>
      <c r="BF353" s="298">
        <f t="shared" si="66"/>
        <v>303940</v>
      </c>
      <c r="BG353" s="451" t="str">
        <f t="shared" si="60"/>
        <v>Y</v>
      </c>
      <c r="BH353" s="576" t="s">
        <v>2087</v>
      </c>
      <c r="BI353" s="298"/>
      <c r="BJ353" s="702"/>
      <c r="BK353" s="702">
        <v>40850</v>
      </c>
      <c r="BL353" s="303" t="s">
        <v>2090</v>
      </c>
      <c r="BM353" s="668">
        <v>200000</v>
      </c>
      <c r="BN353" s="303">
        <v>2882</v>
      </c>
      <c r="BO353" s="668">
        <v>103940</v>
      </c>
      <c r="BP353" s="584"/>
      <c r="BQ353" s="668"/>
      <c r="BR353" s="303" t="s">
        <v>362</v>
      </c>
      <c r="BS353" s="303"/>
      <c r="BT353" s="451" t="str">
        <f t="shared" si="59"/>
        <v>N</v>
      </c>
      <c r="BU353" s="451" t="str">
        <f t="shared" si="59"/>
        <v>N</v>
      </c>
      <c r="BV353" s="798" t="s">
        <v>2215</v>
      </c>
      <c r="BW353" s="288"/>
      <c r="BX353" s="798" t="s">
        <v>2180</v>
      </c>
      <c r="BY353" s="449" t="s">
        <v>2214</v>
      </c>
      <c r="BZ353" s="666"/>
      <c r="CA353" s="666"/>
      <c r="CB353" s="666"/>
      <c r="CC353" s="666"/>
      <c r="CD353" s="666"/>
      <c r="CE353" s="666"/>
      <c r="CF353" s="666"/>
      <c r="CG353" s="666"/>
      <c r="CH353" s="666"/>
    </row>
    <row r="354" spans="1:86" s="281" customFormat="1" ht="24.75" customHeight="1">
      <c r="A354" s="274" t="s">
        <v>738</v>
      </c>
      <c r="B354" s="288">
        <v>271</v>
      </c>
      <c r="C354" s="911"/>
      <c r="D354" s="734" t="s">
        <v>343</v>
      </c>
      <c r="E354" s="287">
        <v>40836</v>
      </c>
      <c r="F354" s="288">
        <v>2012</v>
      </c>
      <c r="G354" s="288">
        <v>6</v>
      </c>
      <c r="H354" s="288" t="s">
        <v>378</v>
      </c>
      <c r="I354" s="288">
        <v>2011</v>
      </c>
      <c r="J354" s="288">
        <v>13</v>
      </c>
      <c r="K354" s="288" t="s">
        <v>1211</v>
      </c>
      <c r="L354" s="300" t="s">
        <v>1641</v>
      </c>
      <c r="M354" s="627" t="s">
        <v>1271</v>
      </c>
      <c r="N354" s="290" t="s">
        <v>1877</v>
      </c>
      <c r="O354" s="291"/>
      <c r="P354" s="292"/>
      <c r="Q354" s="293"/>
      <c r="R354" s="294"/>
      <c r="S354" s="294"/>
      <c r="T354" s="1066">
        <v>1300000</v>
      </c>
      <c r="U354" s="668"/>
      <c r="V354" s="668" t="s">
        <v>2106</v>
      </c>
      <c r="W354" s="297"/>
      <c r="X354" s="298"/>
      <c r="Y354" s="293"/>
      <c r="Z354" s="294"/>
      <c r="AA354" s="293"/>
      <c r="AB354" s="365">
        <f t="shared" si="64"/>
        <v>0</v>
      </c>
      <c r="AC354" s="298"/>
      <c r="AD354" s="587"/>
      <c r="AE354" s="298">
        <v>17190</v>
      </c>
      <c r="AF354" s="298"/>
      <c r="AG354" s="427"/>
      <c r="AH354" s="288"/>
      <c r="AI354" s="300"/>
      <c r="AJ354" s="300"/>
      <c r="AK354" s="301"/>
      <c r="AL354" s="301"/>
      <c r="AM354" s="302">
        <v>800</v>
      </c>
      <c r="AN354" s="302">
        <v>4000</v>
      </c>
      <c r="AO354" s="302">
        <v>1600</v>
      </c>
      <c r="AP354" s="302"/>
      <c r="AQ354" s="302"/>
      <c r="AR354" s="302"/>
      <c r="AS354" s="302"/>
      <c r="AT354" s="302">
        <v>1600</v>
      </c>
      <c r="AU354" s="302"/>
      <c r="AV354" s="302"/>
      <c r="AW354" s="302"/>
      <c r="AX354" s="302"/>
      <c r="AY354" s="302"/>
      <c r="AZ354" s="298"/>
      <c r="BA354" s="298"/>
      <c r="BB354" s="298"/>
      <c r="BC354" s="285"/>
      <c r="BD354" s="285"/>
      <c r="BE354" s="285"/>
      <c r="BF354" s="298"/>
      <c r="BG354" s="451"/>
      <c r="BH354" s="576"/>
      <c r="BI354" s="298"/>
      <c r="BJ354" s="702"/>
      <c r="BK354" s="702"/>
      <c r="BL354" s="303"/>
      <c r="BM354" s="668"/>
      <c r="BN354" s="303"/>
      <c r="BO354" s="668"/>
      <c r="BP354" s="584"/>
      <c r="BQ354" s="668"/>
      <c r="BR354" s="303"/>
      <c r="BS354" s="303"/>
      <c r="BT354" s="451"/>
      <c r="BU354" s="451"/>
      <c r="BV354" s="304"/>
      <c r="BW354" s="288"/>
      <c r="BX354" s="304"/>
      <c r="BY354" s="449"/>
      <c r="BZ354" s="666"/>
      <c r="CA354" s="666"/>
      <c r="CB354" s="666"/>
      <c r="CC354" s="666"/>
      <c r="CD354" s="666"/>
      <c r="CE354" s="666"/>
      <c r="CF354" s="666"/>
      <c r="CG354" s="666"/>
      <c r="CH354" s="666"/>
    </row>
    <row r="355" spans="1:86" s="281" customFormat="1" ht="24.75" customHeight="1">
      <c r="A355" s="274" t="s">
        <v>738</v>
      </c>
      <c r="B355" s="288">
        <v>271</v>
      </c>
      <c r="C355" s="911"/>
      <c r="D355" s="734" t="s">
        <v>343</v>
      </c>
      <c r="E355" s="287">
        <v>40836</v>
      </c>
      <c r="F355" s="288">
        <v>2012</v>
      </c>
      <c r="G355" s="288">
        <v>6</v>
      </c>
      <c r="H355" s="288" t="s">
        <v>378</v>
      </c>
      <c r="I355" s="288">
        <v>2011</v>
      </c>
      <c r="J355" s="288">
        <v>13</v>
      </c>
      <c r="K355" s="288" t="s">
        <v>1211</v>
      </c>
      <c r="L355" s="300" t="s">
        <v>1660</v>
      </c>
      <c r="M355" s="627" t="s">
        <v>1271</v>
      </c>
      <c r="N355" s="290" t="s">
        <v>1877</v>
      </c>
      <c r="O355" s="291"/>
      <c r="P355" s="292"/>
      <c r="Q355" s="293"/>
      <c r="R355" s="294"/>
      <c r="S355" s="294"/>
      <c r="T355" s="1066"/>
      <c r="U355" s="668"/>
      <c r="V355" s="668"/>
      <c r="W355" s="297"/>
      <c r="X355" s="298"/>
      <c r="Y355" s="293"/>
      <c r="Z355" s="294"/>
      <c r="AA355" s="293"/>
      <c r="AB355" s="365">
        <f t="shared" si="64"/>
        <v>0</v>
      </c>
      <c r="AC355" s="298"/>
      <c r="AD355" s="587"/>
      <c r="AE355" s="298">
        <v>18125</v>
      </c>
      <c r="AF355" s="298"/>
      <c r="AG355" s="427"/>
      <c r="AH355" s="288"/>
      <c r="AI355" s="300"/>
      <c r="AJ355" s="300"/>
      <c r="AK355" s="301"/>
      <c r="AL355" s="301"/>
      <c r="AM355" s="302">
        <v>500</v>
      </c>
      <c r="AN355" s="302">
        <v>2500</v>
      </c>
      <c r="AO355" s="302">
        <v>1000</v>
      </c>
      <c r="AP355" s="302"/>
      <c r="AQ355" s="302"/>
      <c r="AR355" s="302"/>
      <c r="AS355" s="302"/>
      <c r="AT355" s="302">
        <v>1000</v>
      </c>
      <c r="AU355" s="302"/>
      <c r="AV355" s="302">
        <v>1000</v>
      </c>
      <c r="AW355" s="302"/>
      <c r="AX355" s="302"/>
      <c r="AY355" s="302"/>
      <c r="AZ355" s="298"/>
      <c r="BA355" s="298"/>
      <c r="BB355" s="298"/>
      <c r="BC355" s="285"/>
      <c r="BD355" s="285"/>
      <c r="BE355" s="285"/>
      <c r="BF355" s="298"/>
      <c r="BG355" s="451"/>
      <c r="BH355" s="576"/>
      <c r="BI355" s="298"/>
      <c r="BJ355" s="702"/>
      <c r="BK355" s="702"/>
      <c r="BL355" s="303"/>
      <c r="BM355" s="668"/>
      <c r="BN355" s="303"/>
      <c r="BO355" s="668"/>
      <c r="BP355" s="584"/>
      <c r="BQ355" s="668"/>
      <c r="BR355" s="303"/>
      <c r="BS355" s="303"/>
      <c r="BT355" s="451"/>
      <c r="BU355" s="451"/>
      <c r="BV355" s="304"/>
      <c r="BW355" s="288"/>
      <c r="BX355" s="304"/>
      <c r="BY355" s="449"/>
      <c r="BZ355" s="666"/>
      <c r="CA355" s="666"/>
      <c r="CB355" s="666"/>
      <c r="CC355" s="666"/>
      <c r="CD355" s="666"/>
      <c r="CE355" s="666"/>
      <c r="CF355" s="666"/>
      <c r="CG355" s="666"/>
      <c r="CH355" s="666"/>
    </row>
    <row r="356" spans="1:86" s="281" customFormat="1" ht="24.75" customHeight="1">
      <c r="A356" s="274" t="s">
        <v>738</v>
      </c>
      <c r="B356" s="288">
        <v>271</v>
      </c>
      <c r="C356" s="911"/>
      <c r="D356" s="734" t="s">
        <v>343</v>
      </c>
      <c r="E356" s="287">
        <v>40836</v>
      </c>
      <c r="F356" s="288">
        <v>2012</v>
      </c>
      <c r="G356" s="288">
        <v>6</v>
      </c>
      <c r="H356" s="288" t="s">
        <v>378</v>
      </c>
      <c r="I356" s="288">
        <v>2011</v>
      </c>
      <c r="J356" s="288">
        <v>13</v>
      </c>
      <c r="K356" s="288" t="s">
        <v>1211</v>
      </c>
      <c r="L356" s="300" t="s">
        <v>1661</v>
      </c>
      <c r="M356" s="627" t="s">
        <v>1271</v>
      </c>
      <c r="N356" s="290" t="s">
        <v>1877</v>
      </c>
      <c r="O356" s="291"/>
      <c r="P356" s="292"/>
      <c r="Q356" s="293"/>
      <c r="R356" s="294"/>
      <c r="S356" s="294"/>
      <c r="T356" s="1066">
        <v>898600</v>
      </c>
      <c r="U356" s="668"/>
      <c r="V356" s="668" t="s">
        <v>2105</v>
      </c>
      <c r="W356" s="297"/>
      <c r="X356" s="298"/>
      <c r="Y356" s="293"/>
      <c r="Z356" s="294"/>
      <c r="AA356" s="293"/>
      <c r="AB356" s="365">
        <f t="shared" si="64"/>
        <v>0</v>
      </c>
      <c r="AC356" s="298"/>
      <c r="AD356" s="587"/>
      <c r="AE356" s="298"/>
      <c r="AF356" s="298"/>
      <c r="AG356" s="427"/>
      <c r="AH356" s="288"/>
      <c r="AI356" s="300"/>
      <c r="AJ356" s="300"/>
      <c r="AK356" s="301"/>
      <c r="AL356" s="301"/>
      <c r="AM356" s="302">
        <v>500</v>
      </c>
      <c r="AN356" s="302">
        <v>2500</v>
      </c>
      <c r="AO356" s="302">
        <v>1000</v>
      </c>
      <c r="AP356" s="302"/>
      <c r="AQ356" s="302"/>
      <c r="AR356" s="302"/>
      <c r="AS356" s="302"/>
      <c r="AT356" s="302">
        <v>1000</v>
      </c>
      <c r="AU356" s="302"/>
      <c r="AV356" s="302">
        <v>1000</v>
      </c>
      <c r="AW356" s="302"/>
      <c r="AX356" s="302"/>
      <c r="AY356" s="302"/>
      <c r="AZ356" s="298"/>
      <c r="BA356" s="298"/>
      <c r="BB356" s="298"/>
      <c r="BC356" s="285"/>
      <c r="BD356" s="285"/>
      <c r="BE356" s="285"/>
      <c r="BF356" s="298"/>
      <c r="BG356" s="451"/>
      <c r="BH356" s="576"/>
      <c r="BI356" s="298"/>
      <c r="BJ356" s="702"/>
      <c r="BK356" s="702"/>
      <c r="BL356" s="303"/>
      <c r="BM356" s="668"/>
      <c r="BN356" s="303"/>
      <c r="BO356" s="668"/>
      <c r="BP356" s="584"/>
      <c r="BQ356" s="668"/>
      <c r="BR356" s="303"/>
      <c r="BS356" s="303"/>
      <c r="BT356" s="451"/>
      <c r="BU356" s="451"/>
      <c r="BV356" s="304"/>
      <c r="BW356" s="288"/>
      <c r="BX356" s="304"/>
      <c r="BY356" s="449"/>
      <c r="BZ356" s="666"/>
      <c r="CA356" s="666"/>
      <c r="CB356" s="666"/>
      <c r="CC356" s="666"/>
      <c r="CD356" s="666"/>
      <c r="CE356" s="666"/>
      <c r="CF356" s="666"/>
      <c r="CG356" s="666"/>
      <c r="CH356" s="666"/>
    </row>
    <row r="357" spans="1:86" s="281" customFormat="1" ht="24.75" customHeight="1">
      <c r="A357" s="274" t="s">
        <v>738</v>
      </c>
      <c r="B357" s="288">
        <v>271</v>
      </c>
      <c r="C357" s="911"/>
      <c r="D357" s="734" t="s">
        <v>343</v>
      </c>
      <c r="E357" s="287">
        <v>40836</v>
      </c>
      <c r="F357" s="288">
        <v>2012</v>
      </c>
      <c r="G357" s="288">
        <v>6</v>
      </c>
      <c r="H357" s="288" t="s">
        <v>378</v>
      </c>
      <c r="I357" s="288">
        <v>2011</v>
      </c>
      <c r="J357" s="288">
        <v>13</v>
      </c>
      <c r="K357" s="288" t="s">
        <v>1211</v>
      </c>
      <c r="L357" s="300" t="s">
        <v>1886</v>
      </c>
      <c r="M357" s="627" t="s">
        <v>1271</v>
      </c>
      <c r="N357" s="290" t="s">
        <v>1877</v>
      </c>
      <c r="O357" s="291"/>
      <c r="P357" s="292"/>
      <c r="Q357" s="293"/>
      <c r="R357" s="294"/>
      <c r="S357" s="294"/>
      <c r="T357" s="1066"/>
      <c r="U357" s="668"/>
      <c r="V357" s="668"/>
      <c r="W357" s="297"/>
      <c r="X357" s="298"/>
      <c r="Y357" s="293"/>
      <c r="Z357" s="294"/>
      <c r="AA357" s="293"/>
      <c r="AB357" s="365">
        <f t="shared" si="64"/>
        <v>0</v>
      </c>
      <c r="AC357" s="298"/>
      <c r="AD357" s="587"/>
      <c r="AE357" s="298">
        <v>13625</v>
      </c>
      <c r="AF357" s="298"/>
      <c r="AG357" s="427"/>
      <c r="AH357" s="288"/>
      <c r="AI357" s="300"/>
      <c r="AJ357" s="300"/>
      <c r="AK357" s="301"/>
      <c r="AL357" s="301"/>
      <c r="AM357" s="302">
        <v>500</v>
      </c>
      <c r="AN357" s="302">
        <v>2500</v>
      </c>
      <c r="AO357" s="302">
        <v>1000</v>
      </c>
      <c r="AP357" s="302"/>
      <c r="AQ357" s="302"/>
      <c r="AR357" s="302"/>
      <c r="AS357" s="302"/>
      <c r="AT357" s="302">
        <v>1000</v>
      </c>
      <c r="AU357" s="302"/>
      <c r="AV357" s="302">
        <v>1000</v>
      </c>
      <c r="AW357" s="302"/>
      <c r="AX357" s="302"/>
      <c r="AY357" s="302"/>
      <c r="AZ357" s="298"/>
      <c r="BA357" s="298"/>
      <c r="BB357" s="298"/>
      <c r="BC357" s="285"/>
      <c r="BD357" s="285"/>
      <c r="BE357" s="285"/>
      <c r="BF357" s="298"/>
      <c r="BG357" s="451"/>
      <c r="BH357" s="576"/>
      <c r="BI357" s="298"/>
      <c r="BJ357" s="702"/>
      <c r="BK357" s="702"/>
      <c r="BL357" s="303"/>
      <c r="BM357" s="668"/>
      <c r="BN357" s="303"/>
      <c r="BO357" s="668"/>
      <c r="BP357" s="584"/>
      <c r="BQ357" s="668"/>
      <c r="BR357" s="303"/>
      <c r="BS357" s="303"/>
      <c r="BT357" s="451"/>
      <c r="BU357" s="451"/>
      <c r="BV357" s="304"/>
      <c r="BW357" s="288"/>
      <c r="BX357" s="304"/>
      <c r="BY357" s="449"/>
      <c r="BZ357" s="666"/>
      <c r="CA357" s="666"/>
      <c r="CB357" s="666"/>
      <c r="CC357" s="666"/>
      <c r="CD357" s="666"/>
      <c r="CE357" s="666"/>
      <c r="CF357" s="666"/>
      <c r="CG357" s="666"/>
      <c r="CH357" s="666"/>
    </row>
    <row r="358" spans="1:86" s="281" customFormat="1" ht="309" customHeight="1">
      <c r="A358" s="274" t="s">
        <v>741</v>
      </c>
      <c r="B358" s="288">
        <v>272</v>
      </c>
      <c r="C358" s="911"/>
      <c r="D358" s="734" t="s">
        <v>740</v>
      </c>
      <c r="E358" s="287">
        <v>40842</v>
      </c>
      <c r="F358" s="288">
        <v>2012</v>
      </c>
      <c r="G358" s="288">
        <v>7</v>
      </c>
      <c r="H358" s="288" t="s">
        <v>378</v>
      </c>
      <c r="I358" s="288">
        <v>2011</v>
      </c>
      <c r="J358" s="288">
        <v>14</v>
      </c>
      <c r="K358" s="288" t="s">
        <v>570</v>
      </c>
      <c r="L358" s="288" t="s">
        <v>1883</v>
      </c>
      <c r="M358" s="288" t="s">
        <v>1961</v>
      </c>
      <c r="N358" s="290" t="s">
        <v>1884</v>
      </c>
      <c r="O358" s="291"/>
      <c r="P358" s="292"/>
      <c r="Q358" s="293">
        <v>250000</v>
      </c>
      <c r="R358" s="294" t="s">
        <v>362</v>
      </c>
      <c r="S358" s="294" t="s">
        <v>363</v>
      </c>
      <c r="T358" s="1058">
        <v>11800000</v>
      </c>
      <c r="U358" s="295"/>
      <c r="V358" s="451" t="s">
        <v>742</v>
      </c>
      <c r="W358" s="297"/>
      <c r="X358" s="298"/>
      <c r="Y358" s="293">
        <v>60000</v>
      </c>
      <c r="Z358" s="778"/>
      <c r="AA358" s="293"/>
      <c r="AB358" s="946">
        <f t="shared" si="64"/>
        <v>1</v>
      </c>
      <c r="AC358" s="298">
        <v>897000</v>
      </c>
      <c r="AD358" s="587"/>
      <c r="AE358" s="298"/>
      <c r="AF358" s="298"/>
      <c r="AG358" s="427">
        <f t="shared" si="61"/>
        <v>897000</v>
      </c>
      <c r="AH358" s="288"/>
      <c r="AI358" s="300"/>
      <c r="AJ358" s="300"/>
      <c r="AK358" s="301"/>
      <c r="AL358" s="301"/>
      <c r="AM358" s="302"/>
      <c r="AN358" s="302"/>
      <c r="AO358" s="302"/>
      <c r="AP358" s="302"/>
      <c r="AQ358" s="302"/>
      <c r="AR358" s="302"/>
      <c r="AS358" s="302"/>
      <c r="AT358" s="302"/>
      <c r="AU358" s="302"/>
      <c r="AV358" s="302"/>
      <c r="AW358" s="302"/>
      <c r="AX358" s="302"/>
      <c r="AY358" s="302"/>
      <c r="AZ358" s="298"/>
      <c r="BA358" s="298"/>
      <c r="BB358" s="298">
        <f t="shared" si="65"/>
        <v>897000</v>
      </c>
      <c r="BC358" s="285"/>
      <c r="BD358" s="285"/>
      <c r="BE358" s="285"/>
      <c r="BF358" s="298">
        <f t="shared" si="66"/>
        <v>897000</v>
      </c>
      <c r="BG358" s="451" t="str">
        <f t="shared" si="60"/>
        <v>Y</v>
      </c>
      <c r="BH358" s="576" t="s">
        <v>2087</v>
      </c>
      <c r="BI358" s="298">
        <v>915000</v>
      </c>
      <c r="BJ358" s="702">
        <v>40869</v>
      </c>
      <c r="BK358" s="702" t="s">
        <v>2089</v>
      </c>
      <c r="BL358" s="303">
        <v>2814</v>
      </c>
      <c r="BM358" s="668"/>
      <c r="BN358" s="303"/>
      <c r="BO358" s="668"/>
      <c r="BP358" s="584"/>
      <c r="BQ358" s="668"/>
      <c r="BR358" s="303"/>
      <c r="BS358" s="303"/>
      <c r="BT358" s="451" t="str">
        <f t="shared" si="59"/>
        <v>N</v>
      </c>
      <c r="BU358" s="451" t="str">
        <f t="shared" si="59"/>
        <v>N</v>
      </c>
      <c r="BV358" s="304" t="s">
        <v>2057</v>
      </c>
      <c r="BW358" s="288"/>
      <c r="BX358" s="799" t="s">
        <v>2117</v>
      </c>
      <c r="BY358" s="449" t="s">
        <v>2056</v>
      </c>
      <c r="BZ358" s="666"/>
      <c r="CA358" s="666"/>
      <c r="CB358" s="666"/>
      <c r="CC358" s="666"/>
      <c r="CD358" s="666"/>
      <c r="CE358" s="666"/>
      <c r="CF358" s="666"/>
      <c r="CG358" s="666"/>
      <c r="CH358" s="666"/>
    </row>
    <row r="359" spans="1:86" s="281" customFormat="1" ht="52.5" customHeight="1">
      <c r="A359" t="s">
        <v>3079</v>
      </c>
      <c r="B359" s="288">
        <v>273</v>
      </c>
      <c r="C359" s="937">
        <v>41087</v>
      </c>
      <c r="D359" s="919" t="s">
        <v>97</v>
      </c>
      <c r="E359" s="920">
        <v>40848</v>
      </c>
      <c r="F359" s="288">
        <v>2012</v>
      </c>
      <c r="G359" s="911">
        <v>8</v>
      </c>
      <c r="H359" s="288" t="s">
        <v>378</v>
      </c>
      <c r="I359" s="288">
        <v>2011</v>
      </c>
      <c r="J359" s="911">
        <v>15</v>
      </c>
      <c r="K359" s="288" t="s">
        <v>1211</v>
      </c>
      <c r="L359" s="911" t="s">
        <v>1876</v>
      </c>
      <c r="M359" s="627" t="s">
        <v>1271</v>
      </c>
      <c r="N359" s="921" t="s">
        <v>1938</v>
      </c>
      <c r="O359" s="922"/>
      <c r="P359" s="923"/>
      <c r="Q359" s="924">
        <v>80000</v>
      </c>
      <c r="R359" s="925" t="s">
        <v>1752</v>
      </c>
      <c r="S359" s="925"/>
      <c r="T359" s="1067"/>
      <c r="U359" s="926"/>
      <c r="V359" s="927"/>
      <c r="W359" s="929"/>
      <c r="X359" s="930"/>
      <c r="Y359" s="924"/>
      <c r="Z359" s="942"/>
      <c r="AA359" s="931"/>
      <c r="AB359" s="365"/>
      <c r="AC359" s="930"/>
      <c r="AD359" s="1052"/>
      <c r="AE359" s="930">
        <v>270000</v>
      </c>
      <c r="AF359" s="930"/>
      <c r="AG359" s="1035">
        <v>270000</v>
      </c>
      <c r="AH359" s="911"/>
      <c r="AI359" s="932"/>
      <c r="AJ359" s="932"/>
      <c r="AK359" s="933"/>
      <c r="AL359" s="933"/>
      <c r="AM359" s="934"/>
      <c r="AN359" s="934"/>
      <c r="AO359" s="934"/>
      <c r="AP359" s="934"/>
      <c r="AQ359" s="934"/>
      <c r="AR359" s="934"/>
      <c r="AS359" s="934"/>
      <c r="AT359" s="934"/>
      <c r="AU359" s="934"/>
      <c r="AV359" s="934"/>
      <c r="AW359" s="934"/>
      <c r="AX359" s="934"/>
      <c r="AY359" s="934"/>
      <c r="AZ359" s="930"/>
      <c r="BA359" s="930"/>
      <c r="BB359" s="930">
        <v>270000</v>
      </c>
      <c r="BC359" s="935"/>
      <c r="BD359" s="935"/>
      <c r="BE359" s="935"/>
      <c r="BF359" s="930">
        <v>270000</v>
      </c>
      <c r="BG359" s="927"/>
      <c r="BH359" s="936"/>
      <c r="BI359" s="930">
        <v>287000</v>
      </c>
      <c r="BJ359" s="937">
        <v>40858</v>
      </c>
      <c r="BK359" s="937"/>
      <c r="BL359" s="938">
        <v>2020</v>
      </c>
      <c r="BM359" s="939"/>
      <c r="BN359" s="938"/>
      <c r="BO359" s="939"/>
      <c r="BP359" s="940"/>
      <c r="BQ359" s="939"/>
      <c r="BR359" s="938"/>
      <c r="BS359" s="938"/>
      <c r="BT359" s="927" t="s">
        <v>1752</v>
      </c>
      <c r="BU359" s="927" t="s">
        <v>1752</v>
      </c>
      <c r="BV359" s="279" t="s">
        <v>3080</v>
      </c>
      <c r="BW359" s="911"/>
      <c r="BX359" s="943" t="s">
        <v>3081</v>
      </c>
      <c r="BY359" s="941" t="s">
        <v>3082</v>
      </c>
      <c r="BZ359" s="666"/>
      <c r="CA359" s="666"/>
      <c r="CB359" s="666"/>
      <c r="CC359" s="666"/>
      <c r="CD359" s="666"/>
      <c r="CE359" s="666"/>
      <c r="CF359" s="666"/>
      <c r="CG359" s="666"/>
      <c r="CH359" s="666"/>
    </row>
    <row r="360" spans="1:86" s="281" customFormat="1" ht="50.25" customHeight="1">
      <c r="A360" s="274" t="s">
        <v>2046</v>
      </c>
      <c r="B360" s="288">
        <v>274</v>
      </c>
      <c r="C360" s="911"/>
      <c r="D360" s="734" t="s">
        <v>560</v>
      </c>
      <c r="E360" s="287">
        <v>40857</v>
      </c>
      <c r="F360" s="288">
        <v>2012</v>
      </c>
      <c r="G360" s="288">
        <v>9</v>
      </c>
      <c r="H360" s="288" t="s">
        <v>378</v>
      </c>
      <c r="I360" s="288">
        <v>2011</v>
      </c>
      <c r="J360" s="288">
        <v>16</v>
      </c>
      <c r="K360" s="288" t="s">
        <v>570</v>
      </c>
      <c r="L360" s="288" t="s">
        <v>1947</v>
      </c>
      <c r="M360" s="627" t="s">
        <v>1271</v>
      </c>
      <c r="N360" s="290" t="s">
        <v>1877</v>
      </c>
      <c r="O360" s="291"/>
      <c r="P360" s="292"/>
      <c r="Q360" s="293">
        <v>590000</v>
      </c>
      <c r="R360" s="294" t="s">
        <v>362</v>
      </c>
      <c r="S360" s="294" t="s">
        <v>363</v>
      </c>
      <c r="T360" s="1058">
        <v>1229430</v>
      </c>
      <c r="U360" s="295"/>
      <c r="V360" s="451" t="s">
        <v>2047</v>
      </c>
      <c r="W360" s="297"/>
      <c r="X360" s="298"/>
      <c r="Y360" s="293">
        <v>42000</v>
      </c>
      <c r="Z360" s="294"/>
      <c r="AB360" s="946">
        <f t="shared" si="64"/>
        <v>1</v>
      </c>
      <c r="AC360" s="298">
        <v>50000</v>
      </c>
      <c r="AD360" s="587"/>
      <c r="AE360" s="298"/>
      <c r="AF360" s="298"/>
      <c r="AG360" s="427">
        <f t="shared" si="61"/>
        <v>50000</v>
      </c>
      <c r="AH360" s="288"/>
      <c r="AI360" s="300"/>
      <c r="AJ360" s="300"/>
      <c r="AK360" s="301"/>
      <c r="AL360" s="301"/>
      <c r="AM360" s="302"/>
      <c r="AN360" s="302"/>
      <c r="AO360" s="302"/>
      <c r="AP360" s="302"/>
      <c r="AQ360" s="302"/>
      <c r="AR360" s="302"/>
      <c r="AS360" s="302"/>
      <c r="AT360" s="302"/>
      <c r="AU360" s="302"/>
      <c r="AV360" s="302"/>
      <c r="AW360" s="302"/>
      <c r="AX360" s="302"/>
      <c r="AY360" s="302"/>
      <c r="AZ360" s="298"/>
      <c r="BA360" s="298"/>
      <c r="BB360" s="298">
        <f t="shared" si="65"/>
        <v>50000</v>
      </c>
      <c r="BC360" s="285"/>
      <c r="BD360" s="285"/>
      <c r="BE360" s="285"/>
      <c r="BF360" s="298">
        <f t="shared" si="66"/>
        <v>50000</v>
      </c>
      <c r="BG360" s="451" t="str">
        <f t="shared" si="60"/>
        <v>N</v>
      </c>
      <c r="BH360" s="576"/>
      <c r="BI360" s="298"/>
      <c r="BJ360" s="702"/>
      <c r="BK360" s="702"/>
      <c r="BL360" s="303">
        <v>2799</v>
      </c>
      <c r="BM360" s="668"/>
      <c r="BN360" s="303"/>
      <c r="BO360" s="668"/>
      <c r="BP360" s="584"/>
      <c r="BQ360" s="668"/>
      <c r="BR360" s="303"/>
      <c r="BS360" s="303"/>
      <c r="BT360" s="451" t="str">
        <f t="shared" si="59"/>
        <v>Y</v>
      </c>
      <c r="BU360" s="451" t="str">
        <f t="shared" si="59"/>
        <v>N</v>
      </c>
      <c r="BV360" s="304"/>
      <c r="BW360" s="288"/>
      <c r="BX360" s="799" t="s">
        <v>2156</v>
      </c>
      <c r="BY360" s="449" t="s">
        <v>2048</v>
      </c>
      <c r="BZ360" s="666"/>
      <c r="CA360" s="666"/>
      <c r="CB360" s="666"/>
      <c r="CC360" s="666"/>
      <c r="CD360" s="666"/>
      <c r="CE360" s="666"/>
      <c r="CF360" s="666"/>
      <c r="CG360" s="666"/>
      <c r="CH360" s="666"/>
    </row>
    <row r="361" spans="1:86" s="281" customFormat="1" ht="50.25" customHeight="1">
      <c r="A361" s="274" t="s">
        <v>2051</v>
      </c>
      <c r="B361" s="288">
        <v>275</v>
      </c>
      <c r="C361" s="911"/>
      <c r="D361" s="734" t="s">
        <v>2050</v>
      </c>
      <c r="E361" s="287">
        <v>40857</v>
      </c>
      <c r="F361" s="288">
        <v>2012</v>
      </c>
      <c r="G361" s="288">
        <v>10</v>
      </c>
      <c r="H361" s="288" t="s">
        <v>378</v>
      </c>
      <c r="I361" s="288">
        <v>2011</v>
      </c>
      <c r="J361" s="288">
        <v>17</v>
      </c>
      <c r="K361" s="288" t="s">
        <v>570</v>
      </c>
      <c r="L361" s="288" t="s">
        <v>2052</v>
      </c>
      <c r="M361" s="627" t="s">
        <v>1271</v>
      </c>
      <c r="N361" s="290" t="s">
        <v>1877</v>
      </c>
      <c r="O361" s="291"/>
      <c r="P361" s="292"/>
      <c r="Q361" s="293">
        <v>3400000</v>
      </c>
      <c r="R361" s="294" t="s">
        <v>1752</v>
      </c>
      <c r="S361" s="294"/>
      <c r="T361" s="1058"/>
      <c r="U361" s="295"/>
      <c r="V361" s="451" t="s">
        <v>2053</v>
      </c>
      <c r="W361" s="297"/>
      <c r="X361" s="298"/>
      <c r="Y361" s="293" t="s">
        <v>213</v>
      </c>
      <c r="Z361" s="294"/>
      <c r="AA361" s="293"/>
      <c r="AB361" s="365">
        <v>0</v>
      </c>
      <c r="AC361" s="298">
        <v>167000</v>
      </c>
      <c r="AD361" s="587"/>
      <c r="AE361" s="298"/>
      <c r="AF361" s="298"/>
      <c r="AG361" s="427">
        <f t="shared" si="61"/>
        <v>167000</v>
      </c>
      <c r="AH361" s="288"/>
      <c r="AI361" s="300"/>
      <c r="AJ361" s="300"/>
      <c r="AK361" s="301"/>
      <c r="AL361" s="301"/>
      <c r="AM361" s="302"/>
      <c r="AN361" s="302"/>
      <c r="AO361" s="302"/>
      <c r="AP361" s="302"/>
      <c r="AQ361" s="302"/>
      <c r="AR361" s="302"/>
      <c r="AS361" s="302"/>
      <c r="AT361" s="302"/>
      <c r="AU361" s="302"/>
      <c r="AV361" s="302"/>
      <c r="AW361" s="302"/>
      <c r="AX361" s="302"/>
      <c r="AY361" s="302"/>
      <c r="AZ361" s="298"/>
      <c r="BA361" s="298"/>
      <c r="BB361" s="298">
        <f t="shared" si="65"/>
        <v>167000</v>
      </c>
      <c r="BC361" s="285"/>
      <c r="BD361" s="285"/>
      <c r="BE361" s="285"/>
      <c r="BF361" s="298">
        <f t="shared" si="66"/>
        <v>167000</v>
      </c>
      <c r="BG361" s="451" t="str">
        <f t="shared" si="60"/>
        <v>Y</v>
      </c>
      <c r="BH361" s="576" t="s">
        <v>2087</v>
      </c>
      <c r="BI361" s="298">
        <v>189000</v>
      </c>
      <c r="BJ361" s="702">
        <v>40869</v>
      </c>
      <c r="BK361" s="702">
        <v>40864</v>
      </c>
      <c r="BL361" s="303">
        <v>2689</v>
      </c>
      <c r="BM361" s="668"/>
      <c r="BN361" s="303"/>
      <c r="BO361" s="668"/>
      <c r="BP361" s="584"/>
      <c r="BQ361" s="668"/>
      <c r="BR361" s="303"/>
      <c r="BS361" s="303"/>
      <c r="BT361" s="451" t="str">
        <f t="shared" si="59"/>
        <v>N</v>
      </c>
      <c r="BU361" s="451" t="str">
        <f t="shared" si="59"/>
        <v>N</v>
      </c>
      <c r="BV361" s="304" t="s">
        <v>2054</v>
      </c>
      <c r="BW361" s="288"/>
      <c r="BX361" s="799" t="s">
        <v>2118</v>
      </c>
      <c r="BY361" s="449" t="s">
        <v>2055</v>
      </c>
      <c r="BZ361" s="666"/>
      <c r="CA361" s="666"/>
      <c r="CB361" s="666"/>
      <c r="CC361" s="666"/>
      <c r="CD361" s="666"/>
      <c r="CE361" s="666"/>
      <c r="CF361" s="666"/>
      <c r="CG361" s="666"/>
      <c r="CH361" s="666"/>
    </row>
    <row r="362" spans="1:86" s="770" customFormat="1" ht="50.25" customHeight="1">
      <c r="A362" s="274" t="s">
        <v>2111</v>
      </c>
      <c r="B362" s="288">
        <v>276</v>
      </c>
      <c r="C362" s="911"/>
      <c r="D362" s="734" t="s">
        <v>441</v>
      </c>
      <c r="E362" s="287">
        <v>40882</v>
      </c>
      <c r="F362" s="288">
        <v>2012</v>
      </c>
      <c r="G362" s="288">
        <v>10</v>
      </c>
      <c r="H362" s="288" t="s">
        <v>378</v>
      </c>
      <c r="I362" s="288">
        <v>2011</v>
      </c>
      <c r="J362" s="288">
        <v>17</v>
      </c>
      <c r="K362" s="288" t="s">
        <v>1211</v>
      </c>
      <c r="L362" s="288" t="s">
        <v>717</v>
      </c>
      <c r="M362" s="627" t="s">
        <v>1271</v>
      </c>
      <c r="N362" s="290" t="s">
        <v>1877</v>
      </c>
      <c r="O362" s="673"/>
      <c r="P362" s="294"/>
      <c r="Q362" s="293">
        <v>410420</v>
      </c>
      <c r="R362" s="451" t="s">
        <v>1752</v>
      </c>
      <c r="S362" s="296"/>
      <c r="T362" s="1058"/>
      <c r="U362" s="295"/>
      <c r="V362" s="451"/>
      <c r="W362" s="294"/>
      <c r="Y362" s="293"/>
      <c r="Z362" s="294" t="s">
        <v>362</v>
      </c>
      <c r="AA362" s="293">
        <v>3000</v>
      </c>
      <c r="AB362" s="365">
        <f t="shared" si="64"/>
        <v>0</v>
      </c>
      <c r="AC362" s="298"/>
      <c r="AD362" s="427"/>
      <c r="AE362" s="576">
        <v>100000</v>
      </c>
      <c r="AF362" s="300"/>
      <c r="AG362" s="427">
        <f t="shared" si="61"/>
        <v>100000</v>
      </c>
      <c r="AH362" s="301"/>
      <c r="AI362" s="301"/>
      <c r="AJ362" s="302"/>
      <c r="AK362" s="302"/>
      <c r="AL362" s="302"/>
      <c r="AM362" s="302"/>
      <c r="AN362" s="302"/>
      <c r="AO362" s="302"/>
      <c r="AP362" s="302"/>
      <c r="AQ362" s="302"/>
      <c r="AR362" s="302"/>
      <c r="AS362" s="302"/>
      <c r="AT362" s="302"/>
      <c r="AU362" s="302"/>
      <c r="AV362" s="302"/>
      <c r="AW362" s="298"/>
      <c r="AX362" s="298"/>
      <c r="AY362" s="298"/>
      <c r="AZ362" s="298"/>
      <c r="BA362" s="285"/>
      <c r="BB362" s="298">
        <f t="shared" si="65"/>
        <v>100000</v>
      </c>
      <c r="BC362" s="298"/>
      <c r="BD362" s="451"/>
      <c r="BE362" s="576"/>
      <c r="BF362" s="298">
        <f t="shared" si="66"/>
        <v>100000</v>
      </c>
      <c r="BG362" s="702" t="s">
        <v>1752</v>
      </c>
      <c r="BH362" s="702"/>
      <c r="BI362" s="303"/>
      <c r="BJ362" s="668"/>
      <c r="BK362" s="702"/>
      <c r="BL362" s="303">
        <v>2799</v>
      </c>
      <c r="BM362" s="584"/>
      <c r="BN362" s="668"/>
      <c r="BO362" s="303"/>
      <c r="BP362" s="303"/>
      <c r="BQ362" s="451"/>
      <c r="BR362" s="451"/>
      <c r="BS362" s="304"/>
      <c r="BT362" s="288" t="s">
        <v>362</v>
      </c>
      <c r="BU362" s="288" t="s">
        <v>362</v>
      </c>
      <c r="BV362" s="449" t="s">
        <v>2112</v>
      </c>
      <c r="BW362" s="771"/>
      <c r="BX362" s="800" t="s">
        <v>2157</v>
      </c>
      <c r="BY362" s="449" t="s">
        <v>2060</v>
      </c>
      <c r="BZ362" s="771"/>
      <c r="CA362" s="771"/>
      <c r="CB362" s="771"/>
      <c r="CC362" s="771"/>
      <c r="CD362" s="771"/>
      <c r="CE362" s="771"/>
    </row>
    <row r="363" spans="1:86" s="770" customFormat="1" ht="183.75" customHeight="1">
      <c r="A363" s="277" t="s">
        <v>2113</v>
      </c>
      <c r="B363" s="288">
        <v>277</v>
      </c>
      <c r="C363" s="911"/>
      <c r="D363" s="734" t="s">
        <v>2114</v>
      </c>
      <c r="E363" s="287">
        <v>40898</v>
      </c>
      <c r="F363" s="288">
        <v>2012</v>
      </c>
      <c r="G363" s="288">
        <v>11</v>
      </c>
      <c r="H363" s="288" t="s">
        <v>378</v>
      </c>
      <c r="I363" s="288">
        <v>2011</v>
      </c>
      <c r="J363" s="288">
        <v>18</v>
      </c>
      <c r="K363" s="288" t="s">
        <v>570</v>
      </c>
      <c r="L363" s="288" t="s">
        <v>2026</v>
      </c>
      <c r="M363" s="627" t="s">
        <v>1271</v>
      </c>
      <c r="N363" s="290" t="s">
        <v>1586</v>
      </c>
      <c r="O363" s="288"/>
      <c r="P363" s="288"/>
      <c r="Q363" s="293">
        <v>622400</v>
      </c>
      <c r="R363" s="451" t="s">
        <v>362</v>
      </c>
      <c r="S363" s="296" t="s">
        <v>363</v>
      </c>
      <c r="T363" s="1058">
        <v>6200000</v>
      </c>
      <c r="U363" s="295"/>
      <c r="V363" s="451" t="s">
        <v>2115</v>
      </c>
      <c r="W363" s="769"/>
      <c r="X363" s="769"/>
      <c r="Y363" s="293">
        <v>100000</v>
      </c>
      <c r="Z363" s="294"/>
      <c r="AA363" s="769"/>
      <c r="AB363" s="946">
        <f t="shared" si="64"/>
        <v>1</v>
      </c>
      <c r="AC363" s="298">
        <v>268000</v>
      </c>
      <c r="AD363" s="1037"/>
      <c r="AE363" s="775"/>
      <c r="AF363" s="769"/>
      <c r="AG363" s="427">
        <f t="shared" si="61"/>
        <v>268000</v>
      </c>
      <c r="AH363" s="769"/>
      <c r="AI363" s="773"/>
      <c r="AJ363" s="773"/>
      <c r="AK363" s="769"/>
      <c r="AL363" s="769"/>
      <c r="AM363" s="769"/>
      <c r="AN363" s="769"/>
      <c r="AO363" s="769"/>
      <c r="AP363" s="769"/>
      <c r="AQ363" s="769"/>
      <c r="AR363" s="769"/>
      <c r="AS363" s="769"/>
      <c r="AT363" s="769"/>
      <c r="AU363" s="769"/>
      <c r="AV363" s="769"/>
      <c r="AW363" s="769"/>
      <c r="AX363" s="769"/>
      <c r="AY363" s="769"/>
      <c r="AZ363" s="775"/>
      <c r="BA363" s="769"/>
      <c r="BB363" s="298">
        <f t="shared" si="65"/>
        <v>268000</v>
      </c>
      <c r="BC363" s="769"/>
      <c r="BD363" s="769"/>
      <c r="BE363" s="769"/>
      <c r="BF363" s="298">
        <f t="shared" si="66"/>
        <v>268000</v>
      </c>
      <c r="BG363" s="702" t="s">
        <v>362</v>
      </c>
      <c r="BH363" s="702" t="s">
        <v>2088</v>
      </c>
      <c r="BI363" s="298"/>
      <c r="BJ363" s="774"/>
      <c r="BK363" s="702"/>
      <c r="BL363" s="303">
        <v>2799</v>
      </c>
      <c r="BM363" s="881">
        <v>75000</v>
      </c>
      <c r="BN363" s="882">
        <v>2032</v>
      </c>
      <c r="BO363" s="881">
        <v>193000</v>
      </c>
      <c r="BP363" s="776"/>
      <c r="BQ363" s="775"/>
      <c r="BR363" s="769"/>
      <c r="BS363" s="769"/>
      <c r="BT363" s="288" t="s">
        <v>362</v>
      </c>
      <c r="BU363" s="288" t="s">
        <v>362</v>
      </c>
      <c r="BV363" s="449" t="s">
        <v>3075</v>
      </c>
      <c r="BW363" s="769"/>
      <c r="BX363" s="800" t="s">
        <v>3076</v>
      </c>
      <c r="BY363" s="449" t="s">
        <v>3077</v>
      </c>
      <c r="BZ363" s="771"/>
      <c r="CA363" s="771"/>
      <c r="CB363" s="771"/>
      <c r="CC363" s="771"/>
      <c r="CD363" s="771"/>
      <c r="CE363" s="771"/>
      <c r="CF363" s="771"/>
      <c r="CG363" s="771"/>
      <c r="CH363" s="771"/>
    </row>
    <row r="364" spans="1:86" s="770" customFormat="1" ht="50.25" customHeight="1">
      <c r="A364" s="277" t="s">
        <v>2133</v>
      </c>
      <c r="B364" s="288">
        <v>278</v>
      </c>
      <c r="C364" s="911"/>
      <c r="D364" s="734" t="s">
        <v>1391</v>
      </c>
      <c r="E364" s="287">
        <v>40947</v>
      </c>
      <c r="F364" s="288">
        <v>2012</v>
      </c>
      <c r="G364" s="288">
        <v>12</v>
      </c>
      <c r="H364" s="288" t="s">
        <v>379</v>
      </c>
      <c r="I364" s="288">
        <v>2012</v>
      </c>
      <c r="J364" s="288">
        <v>1</v>
      </c>
      <c r="K364" s="288" t="s">
        <v>1210</v>
      </c>
      <c r="L364" s="288" t="s">
        <v>1852</v>
      </c>
      <c r="M364" s="627" t="s">
        <v>1271</v>
      </c>
      <c r="N364" s="290" t="s">
        <v>2023</v>
      </c>
      <c r="O364" s="280"/>
      <c r="P364" s="280"/>
      <c r="Q364" s="293">
        <v>11000000</v>
      </c>
      <c r="R364" s="451" t="s">
        <v>362</v>
      </c>
      <c r="S364" s="296" t="s">
        <v>363</v>
      </c>
      <c r="T364" s="1068" t="s">
        <v>113</v>
      </c>
      <c r="U364" s="451"/>
      <c r="V364" s="451" t="s">
        <v>113</v>
      </c>
      <c r="W364" s="769"/>
      <c r="X364" s="769"/>
      <c r="Y364" s="877">
        <f>SUM(Y365:Y370)</f>
        <v>901200</v>
      </c>
      <c r="Z364" s="294"/>
      <c r="AA364" s="769"/>
      <c r="AB364" s="365">
        <f t="shared" si="64"/>
        <v>0</v>
      </c>
      <c r="AC364" s="298"/>
      <c r="AD364" s="1037"/>
      <c r="AE364" s="775"/>
      <c r="AF364" s="769"/>
      <c r="AG364" s="427">
        <f t="shared" si="61"/>
        <v>0</v>
      </c>
      <c r="AH364" s="769">
        <v>1</v>
      </c>
      <c r="AI364" s="773"/>
      <c r="AJ364" s="773">
        <v>1</v>
      </c>
      <c r="AK364" s="769"/>
      <c r="AL364" s="769"/>
      <c r="AM364" s="769"/>
      <c r="AN364" s="769"/>
      <c r="AO364" s="769"/>
      <c r="AP364" s="769"/>
      <c r="AQ364" s="769"/>
      <c r="AR364" s="769"/>
      <c r="AS364" s="769"/>
      <c r="AT364" s="769"/>
      <c r="AU364" s="769"/>
      <c r="AV364" s="769"/>
      <c r="AW364" s="769"/>
      <c r="AX364" s="769"/>
      <c r="AY364" s="769"/>
      <c r="AZ364" s="775"/>
      <c r="BA364" s="769"/>
      <c r="BB364" s="298">
        <f t="shared" si="65"/>
        <v>0</v>
      </c>
      <c r="BC364" s="769"/>
      <c r="BD364" s="769"/>
      <c r="BE364" s="769"/>
      <c r="BF364" s="298">
        <f t="shared" si="66"/>
        <v>0</v>
      </c>
      <c r="BG364" s="702" t="s">
        <v>1752</v>
      </c>
      <c r="BH364" s="702"/>
      <c r="BI364" s="298"/>
      <c r="BJ364" s="774"/>
      <c r="BK364" s="702"/>
      <c r="BL364" s="303">
        <v>2002</v>
      </c>
      <c r="BM364" s="775"/>
      <c r="BN364" s="769"/>
      <c r="BO364" s="775"/>
      <c r="BP364" s="776"/>
      <c r="BQ364" s="775"/>
      <c r="BR364" s="769"/>
      <c r="BS364" s="769"/>
      <c r="BT364" s="288" t="s">
        <v>362</v>
      </c>
      <c r="BU364" s="288" t="s">
        <v>362</v>
      </c>
      <c r="BV364" s="777"/>
      <c r="BW364" s="769"/>
      <c r="BX364" s="800" t="s">
        <v>2160</v>
      </c>
      <c r="BY364" s="449" t="s">
        <v>2210</v>
      </c>
      <c r="BZ364" s="771"/>
      <c r="CA364" s="771"/>
      <c r="CB364" s="771"/>
      <c r="CC364" s="771"/>
      <c r="CD364" s="771"/>
      <c r="CE364" s="771"/>
      <c r="CF364" s="771"/>
      <c r="CG364" s="771"/>
      <c r="CH364" s="771"/>
    </row>
    <row r="365" spans="1:86" s="770" customFormat="1" ht="50.25" customHeight="1">
      <c r="A365" s="277" t="s">
        <v>2133</v>
      </c>
      <c r="B365" s="288">
        <v>278</v>
      </c>
      <c r="C365" s="911"/>
      <c r="D365" s="734" t="s">
        <v>1391</v>
      </c>
      <c r="E365" s="287">
        <v>40947</v>
      </c>
      <c r="F365" s="288">
        <v>2012</v>
      </c>
      <c r="G365" s="288">
        <v>12</v>
      </c>
      <c r="H365" s="288" t="s">
        <v>379</v>
      </c>
      <c r="I365" s="288">
        <v>2012</v>
      </c>
      <c r="J365" s="288">
        <v>1</v>
      </c>
      <c r="K365" s="288" t="s">
        <v>1210</v>
      </c>
      <c r="L365" s="288" t="s">
        <v>1902</v>
      </c>
      <c r="M365" s="627" t="s">
        <v>1271</v>
      </c>
      <c r="N365" s="290" t="s">
        <v>2023</v>
      </c>
      <c r="O365" s="280"/>
      <c r="P365" s="280"/>
      <c r="Q365" s="293"/>
      <c r="R365" s="451" t="s">
        <v>362</v>
      </c>
      <c r="S365" s="296" t="s">
        <v>363</v>
      </c>
      <c r="T365" s="1068">
        <f>3765905*1.0865</f>
        <v>4091655.7825000002</v>
      </c>
      <c r="U365" s="451"/>
      <c r="V365" s="451"/>
      <c r="W365" s="769"/>
      <c r="X365" s="769"/>
      <c r="Y365" s="877">
        <v>258000</v>
      </c>
      <c r="Z365" s="294"/>
      <c r="AA365" s="769"/>
      <c r="AB365" s="365">
        <f t="shared" si="64"/>
        <v>0</v>
      </c>
      <c r="AC365" s="298"/>
      <c r="AD365" s="1037"/>
      <c r="AE365" s="775"/>
      <c r="AF365" s="769"/>
      <c r="AG365" s="427"/>
      <c r="AH365" s="769"/>
      <c r="AI365" s="773"/>
      <c r="AJ365" s="773"/>
      <c r="AK365" s="769"/>
      <c r="AL365" s="769"/>
      <c r="AM365" s="769"/>
      <c r="AN365" s="769"/>
      <c r="AO365" s="769"/>
      <c r="AP365" s="769"/>
      <c r="AQ365" s="769"/>
      <c r="AR365" s="769"/>
      <c r="AS365" s="769"/>
      <c r="AT365" s="769"/>
      <c r="AU365" s="769"/>
      <c r="AV365" s="769"/>
      <c r="AW365" s="769"/>
      <c r="AX365" s="769"/>
      <c r="AY365" s="769"/>
      <c r="AZ365" s="775"/>
      <c r="BA365" s="769"/>
      <c r="BB365" s="298"/>
      <c r="BC365" s="769"/>
      <c r="BD365" s="769"/>
      <c r="BE365" s="769"/>
      <c r="BF365" s="298"/>
      <c r="BG365" s="702"/>
      <c r="BH365" s="702"/>
      <c r="BI365" s="298"/>
      <c r="BJ365" s="774"/>
      <c r="BK365" s="702"/>
      <c r="BL365" s="303"/>
      <c r="BM365" s="775"/>
      <c r="BN365" s="769"/>
      <c r="BO365" s="775"/>
      <c r="BP365" s="776"/>
      <c r="BQ365" s="775"/>
      <c r="BR365" s="769"/>
      <c r="BS365" s="769"/>
      <c r="BT365" s="288"/>
      <c r="BU365" s="288"/>
      <c r="BV365" s="777"/>
      <c r="BW365" s="769"/>
      <c r="BX365" s="800"/>
      <c r="BY365" s="449"/>
      <c r="BZ365" s="771"/>
      <c r="CA365" s="771"/>
      <c r="CB365" s="771"/>
      <c r="CC365" s="771"/>
      <c r="CD365" s="771"/>
      <c r="CE365" s="771"/>
      <c r="CF365" s="771"/>
      <c r="CG365" s="771"/>
      <c r="CH365" s="771"/>
    </row>
    <row r="366" spans="1:86" s="770" customFormat="1" ht="50.25" customHeight="1">
      <c r="A366" s="277" t="s">
        <v>2133</v>
      </c>
      <c r="B366" s="288">
        <v>278</v>
      </c>
      <c r="C366" s="911"/>
      <c r="D366" s="734" t="s">
        <v>1391</v>
      </c>
      <c r="E366" s="287">
        <v>40947</v>
      </c>
      <c r="F366" s="288">
        <v>2012</v>
      </c>
      <c r="G366" s="288">
        <v>12</v>
      </c>
      <c r="H366" s="288" t="s">
        <v>379</v>
      </c>
      <c r="I366" s="288">
        <v>2012</v>
      </c>
      <c r="J366" s="288">
        <v>1</v>
      </c>
      <c r="K366" s="288" t="s">
        <v>1210</v>
      </c>
      <c r="L366" s="288" t="s">
        <v>1420</v>
      </c>
      <c r="M366" s="627" t="s">
        <v>1271</v>
      </c>
      <c r="N366" s="290" t="s">
        <v>2023</v>
      </c>
      <c r="O366" s="280"/>
      <c r="P366" s="280"/>
      <c r="Q366" s="293"/>
      <c r="R366" s="451" t="s">
        <v>362</v>
      </c>
      <c r="S366" s="296" t="s">
        <v>363</v>
      </c>
      <c r="T366" s="1068">
        <f>3952739*1.0865</f>
        <v>4294650.9235000005</v>
      </c>
      <c r="U366" s="451"/>
      <c r="V366" s="451"/>
      <c r="W366" s="769"/>
      <c r="X366" s="769"/>
      <c r="Y366" s="877">
        <v>120000</v>
      </c>
      <c r="Z366" s="294"/>
      <c r="AA366" s="769"/>
      <c r="AB366" s="365">
        <f t="shared" si="64"/>
        <v>0</v>
      </c>
      <c r="AC366" s="298"/>
      <c r="AD366" s="1037"/>
      <c r="AE366" s="775"/>
      <c r="AF366" s="769"/>
      <c r="AG366" s="427"/>
      <c r="AH366" s="769"/>
      <c r="AI366" s="773"/>
      <c r="AJ366" s="773"/>
      <c r="AK366" s="769"/>
      <c r="AL366" s="769"/>
      <c r="AM366" s="769"/>
      <c r="AN366" s="769"/>
      <c r="AO366" s="769"/>
      <c r="AP366" s="769"/>
      <c r="AQ366" s="769"/>
      <c r="AR366" s="769"/>
      <c r="AS366" s="769"/>
      <c r="AT366" s="769"/>
      <c r="AU366" s="769"/>
      <c r="AV366" s="769"/>
      <c r="AW366" s="769"/>
      <c r="AX366" s="769"/>
      <c r="AY366" s="769"/>
      <c r="AZ366" s="775"/>
      <c r="BA366" s="769"/>
      <c r="BB366" s="298"/>
      <c r="BC366" s="769"/>
      <c r="BD366" s="769"/>
      <c r="BE366" s="769"/>
      <c r="BF366" s="298"/>
      <c r="BG366" s="702"/>
      <c r="BH366" s="702"/>
      <c r="BI366" s="298"/>
      <c r="BJ366" s="774"/>
      <c r="BK366" s="702"/>
      <c r="BL366" s="303"/>
      <c r="BM366" s="775"/>
      <c r="BN366" s="769"/>
      <c r="BO366" s="775"/>
      <c r="BP366" s="776"/>
      <c r="BQ366" s="775"/>
      <c r="BR366" s="769"/>
      <c r="BS366" s="769"/>
      <c r="BT366" s="288"/>
      <c r="BU366" s="288"/>
      <c r="BV366" s="777"/>
      <c r="BW366" s="769"/>
      <c r="BX366" s="800"/>
      <c r="BY366" s="449"/>
      <c r="BZ366" s="771"/>
      <c r="CA366" s="771"/>
      <c r="CB366" s="771"/>
      <c r="CC366" s="771"/>
      <c r="CD366" s="771"/>
      <c r="CE366" s="771"/>
      <c r="CF366" s="771"/>
      <c r="CG366" s="771"/>
      <c r="CH366" s="771"/>
    </row>
    <row r="367" spans="1:86" s="770" customFormat="1" ht="50.25" customHeight="1">
      <c r="A367" s="277" t="s">
        <v>2133</v>
      </c>
      <c r="B367" s="288">
        <v>278</v>
      </c>
      <c r="C367" s="911"/>
      <c r="D367" s="734" t="s">
        <v>1391</v>
      </c>
      <c r="E367" s="287">
        <v>40947</v>
      </c>
      <c r="F367" s="288">
        <v>2012</v>
      </c>
      <c r="G367" s="288">
        <v>12</v>
      </c>
      <c r="H367" s="288" t="s">
        <v>379</v>
      </c>
      <c r="I367" s="288">
        <v>2012</v>
      </c>
      <c r="J367" s="288">
        <v>1</v>
      </c>
      <c r="K367" s="288" t="s">
        <v>1210</v>
      </c>
      <c r="L367" s="288" t="s">
        <v>687</v>
      </c>
      <c r="M367" s="627" t="s">
        <v>1271</v>
      </c>
      <c r="N367" s="290" t="s">
        <v>2023</v>
      </c>
      <c r="O367" s="280"/>
      <c r="P367" s="280"/>
      <c r="Q367" s="293"/>
      <c r="R367" s="451" t="s">
        <v>362</v>
      </c>
      <c r="S367" s="296" t="s">
        <v>363</v>
      </c>
      <c r="T367" s="1068">
        <f>2200000*1.0865</f>
        <v>2390300</v>
      </c>
      <c r="U367" s="451"/>
      <c r="V367" s="451"/>
      <c r="W367" s="769"/>
      <c r="X367" s="769"/>
      <c r="Y367" s="877">
        <v>123000</v>
      </c>
      <c r="Z367" s="294"/>
      <c r="AA367" s="769"/>
      <c r="AB367" s="365">
        <f t="shared" si="64"/>
        <v>0</v>
      </c>
      <c r="AC367" s="298"/>
      <c r="AD367" s="1037"/>
      <c r="AE367" s="775"/>
      <c r="AF367" s="769"/>
      <c r="AG367" s="427"/>
      <c r="AH367" s="769"/>
      <c r="AI367" s="773"/>
      <c r="AJ367" s="773"/>
      <c r="AK367" s="769"/>
      <c r="AL367" s="769"/>
      <c r="AM367" s="769"/>
      <c r="AN367" s="769"/>
      <c r="AO367" s="769"/>
      <c r="AP367" s="769"/>
      <c r="AQ367" s="769"/>
      <c r="AR367" s="769"/>
      <c r="AS367" s="769"/>
      <c r="AT367" s="769"/>
      <c r="AU367" s="769"/>
      <c r="AV367" s="769"/>
      <c r="AW367" s="769"/>
      <c r="AX367" s="769"/>
      <c r="AY367" s="769"/>
      <c r="AZ367" s="775"/>
      <c r="BA367" s="769"/>
      <c r="BB367" s="298"/>
      <c r="BC367" s="769"/>
      <c r="BD367" s="769"/>
      <c r="BE367" s="769"/>
      <c r="BF367" s="298"/>
      <c r="BG367" s="702"/>
      <c r="BH367" s="702"/>
      <c r="BI367" s="298"/>
      <c r="BJ367" s="774"/>
      <c r="BK367" s="702"/>
      <c r="BL367" s="303"/>
      <c r="BM367" s="775"/>
      <c r="BN367" s="769"/>
      <c r="BO367" s="775"/>
      <c r="BP367" s="776"/>
      <c r="BQ367" s="775"/>
      <c r="BR367" s="769"/>
      <c r="BS367" s="769"/>
      <c r="BT367" s="288"/>
      <c r="BU367" s="288"/>
      <c r="BV367" s="777"/>
      <c r="BW367" s="769"/>
      <c r="BX367" s="800"/>
      <c r="BY367" s="449"/>
      <c r="BZ367" s="771"/>
      <c r="CA367" s="771"/>
      <c r="CB367" s="771"/>
      <c r="CC367" s="771"/>
      <c r="CD367" s="771"/>
      <c r="CE367" s="771"/>
      <c r="CF367" s="771"/>
      <c r="CG367" s="771"/>
      <c r="CH367" s="771"/>
    </row>
    <row r="368" spans="1:86" s="770" customFormat="1" ht="50.25" customHeight="1">
      <c r="A368" s="277" t="s">
        <v>2133</v>
      </c>
      <c r="B368" s="288">
        <v>278</v>
      </c>
      <c r="C368" s="911"/>
      <c r="D368" s="734" t="s">
        <v>1391</v>
      </c>
      <c r="E368" s="287">
        <v>40947</v>
      </c>
      <c r="F368" s="288">
        <v>2012</v>
      </c>
      <c r="G368" s="288">
        <v>12</v>
      </c>
      <c r="H368" s="288" t="s">
        <v>379</v>
      </c>
      <c r="I368" s="288">
        <v>2012</v>
      </c>
      <c r="J368" s="288">
        <v>1</v>
      </c>
      <c r="K368" s="288" t="s">
        <v>1210</v>
      </c>
      <c r="L368" s="288" t="s">
        <v>2022</v>
      </c>
      <c r="M368" s="627" t="s">
        <v>1271</v>
      </c>
      <c r="N368" s="290" t="s">
        <v>2023</v>
      </c>
      <c r="O368" s="280"/>
      <c r="P368" s="280"/>
      <c r="Q368" s="293"/>
      <c r="R368" s="451" t="s">
        <v>362</v>
      </c>
      <c r="S368" s="296" t="s">
        <v>363</v>
      </c>
      <c r="T368" s="1068">
        <f>3700000*1.0865</f>
        <v>4020050</v>
      </c>
      <c r="U368" s="451"/>
      <c r="V368" s="451"/>
      <c r="W368" s="769"/>
      <c r="X368" s="769"/>
      <c r="Y368" s="877">
        <v>350000</v>
      </c>
      <c r="Z368" s="294"/>
      <c r="AA368" s="769"/>
      <c r="AB368" s="365">
        <f t="shared" si="64"/>
        <v>0</v>
      </c>
      <c r="AC368" s="298"/>
      <c r="AD368" s="1037"/>
      <c r="AE368" s="775"/>
      <c r="AF368" s="769"/>
      <c r="AG368" s="427"/>
      <c r="AH368" s="769"/>
      <c r="AI368" s="773"/>
      <c r="AJ368" s="773"/>
      <c r="AK368" s="769"/>
      <c r="AL368" s="769"/>
      <c r="AM368" s="769"/>
      <c r="AN368" s="769"/>
      <c r="AO368" s="769"/>
      <c r="AP368" s="769"/>
      <c r="AQ368" s="769"/>
      <c r="AR368" s="769"/>
      <c r="AS368" s="769"/>
      <c r="AT368" s="769"/>
      <c r="AU368" s="769"/>
      <c r="AV368" s="769"/>
      <c r="AW368" s="769"/>
      <c r="AX368" s="769"/>
      <c r="AY368" s="769"/>
      <c r="AZ368" s="775"/>
      <c r="BA368" s="769"/>
      <c r="BB368" s="298"/>
      <c r="BC368" s="769"/>
      <c r="BD368" s="769"/>
      <c r="BE368" s="769"/>
      <c r="BF368" s="298"/>
      <c r="BG368" s="702"/>
      <c r="BH368" s="702"/>
      <c r="BI368" s="298"/>
      <c r="BJ368" s="774"/>
      <c r="BK368" s="702"/>
      <c r="BL368" s="303"/>
      <c r="BM368" s="775"/>
      <c r="BN368" s="769"/>
      <c r="BO368" s="775"/>
      <c r="BP368" s="776"/>
      <c r="BQ368" s="775"/>
      <c r="BR368" s="769"/>
      <c r="BS368" s="769"/>
      <c r="BT368" s="288"/>
      <c r="BU368" s="288"/>
      <c r="BV368" s="777"/>
      <c r="BW368" s="769"/>
      <c r="BX368" s="800"/>
      <c r="BY368" s="449"/>
      <c r="BZ368" s="771"/>
      <c r="CA368" s="771"/>
      <c r="CB368" s="771"/>
      <c r="CC368" s="771"/>
      <c r="CD368" s="771"/>
      <c r="CE368" s="771"/>
      <c r="CF368" s="771"/>
      <c r="CG368" s="771"/>
      <c r="CH368" s="771"/>
    </row>
    <row r="369" spans="1:86" s="770" customFormat="1" ht="50.25" customHeight="1">
      <c r="A369" s="277" t="s">
        <v>2133</v>
      </c>
      <c r="B369" s="288">
        <v>278</v>
      </c>
      <c r="C369" s="911"/>
      <c r="D369" s="734" t="s">
        <v>1391</v>
      </c>
      <c r="E369" s="287">
        <v>40947</v>
      </c>
      <c r="F369" s="288">
        <v>2012</v>
      </c>
      <c r="G369" s="288">
        <v>12</v>
      </c>
      <c r="H369" s="288" t="s">
        <v>379</v>
      </c>
      <c r="I369" s="288">
        <v>2012</v>
      </c>
      <c r="J369" s="288">
        <v>1</v>
      </c>
      <c r="K369" s="288" t="s">
        <v>1210</v>
      </c>
      <c r="L369" s="288" t="s">
        <v>2213</v>
      </c>
      <c r="M369" s="627" t="s">
        <v>1271</v>
      </c>
      <c r="N369" s="290" t="s">
        <v>2023</v>
      </c>
      <c r="O369" s="280"/>
      <c r="P369" s="280"/>
      <c r="Q369" s="293"/>
      <c r="R369" s="451" t="s">
        <v>362</v>
      </c>
      <c r="S369" s="296" t="s">
        <v>363</v>
      </c>
      <c r="T369" s="1068">
        <f>1794192*1.0865</f>
        <v>1949389.608</v>
      </c>
      <c r="U369" s="451"/>
      <c r="V369" s="451"/>
      <c r="W369" s="769"/>
      <c r="X369" s="769"/>
      <c r="Y369" s="877">
        <v>42000</v>
      </c>
      <c r="Z369" s="294"/>
      <c r="AA369" s="769"/>
      <c r="AB369" s="365">
        <f t="shared" si="64"/>
        <v>0</v>
      </c>
      <c r="AC369" s="298"/>
      <c r="AD369" s="1037"/>
      <c r="AE369" s="775"/>
      <c r="AF369" s="769"/>
      <c r="AG369" s="427"/>
      <c r="AH369" s="769"/>
      <c r="AI369" s="773"/>
      <c r="AJ369" s="773"/>
      <c r="AK369" s="769"/>
      <c r="AL369" s="769"/>
      <c r="AM369" s="769"/>
      <c r="AN369" s="769"/>
      <c r="AO369" s="769"/>
      <c r="AP369" s="769"/>
      <c r="AQ369" s="769"/>
      <c r="AR369" s="769"/>
      <c r="AS369" s="769"/>
      <c r="AT369" s="769"/>
      <c r="AU369" s="769"/>
      <c r="AV369" s="769"/>
      <c r="AW369" s="769"/>
      <c r="AX369" s="769"/>
      <c r="AY369" s="769"/>
      <c r="AZ369" s="775"/>
      <c r="BA369" s="769"/>
      <c r="BB369" s="298"/>
      <c r="BC369" s="769"/>
      <c r="BD369" s="769"/>
      <c r="BE369" s="769"/>
      <c r="BF369" s="298"/>
      <c r="BG369" s="702"/>
      <c r="BH369" s="702"/>
      <c r="BI369" s="298"/>
      <c r="BJ369" s="774"/>
      <c r="BK369" s="702"/>
      <c r="BL369" s="303"/>
      <c r="BM369" s="775"/>
      <c r="BN369" s="769"/>
      <c r="BO369" s="775"/>
      <c r="BP369" s="776"/>
      <c r="BQ369" s="775"/>
      <c r="BR369" s="769"/>
      <c r="BS369" s="769"/>
      <c r="BT369" s="288"/>
      <c r="BU369" s="288"/>
      <c r="BV369" s="777"/>
      <c r="BW369" s="769"/>
      <c r="BX369" s="800"/>
      <c r="BY369" s="449"/>
      <c r="BZ369" s="771"/>
      <c r="CA369" s="771"/>
      <c r="CB369" s="771"/>
      <c r="CC369" s="771"/>
      <c r="CD369" s="771"/>
      <c r="CE369" s="771"/>
      <c r="CF369" s="771"/>
      <c r="CG369" s="771"/>
      <c r="CH369" s="771"/>
    </row>
    <row r="370" spans="1:86" s="770" customFormat="1" ht="50.25" customHeight="1">
      <c r="A370" s="277" t="s">
        <v>2133</v>
      </c>
      <c r="B370" s="288">
        <v>278</v>
      </c>
      <c r="C370" s="911"/>
      <c r="D370" s="734" t="s">
        <v>1391</v>
      </c>
      <c r="E370" s="287">
        <v>40947</v>
      </c>
      <c r="F370" s="288">
        <v>2012</v>
      </c>
      <c r="G370" s="288">
        <v>12</v>
      </c>
      <c r="H370" s="288" t="s">
        <v>379</v>
      </c>
      <c r="I370" s="288">
        <v>2012</v>
      </c>
      <c r="J370" s="288">
        <v>1</v>
      </c>
      <c r="K370" s="288" t="s">
        <v>1210</v>
      </c>
      <c r="L370" s="288" t="s">
        <v>2212</v>
      </c>
      <c r="M370" s="627" t="s">
        <v>1271</v>
      </c>
      <c r="N370" s="290" t="s">
        <v>2023</v>
      </c>
      <c r="O370" s="280"/>
      <c r="P370" s="280"/>
      <c r="Q370" s="293"/>
      <c r="R370" s="451" t="s">
        <v>362</v>
      </c>
      <c r="S370" s="296" t="s">
        <v>363</v>
      </c>
      <c r="T370" s="1068">
        <v>0</v>
      </c>
      <c r="U370" s="451"/>
      <c r="V370" s="451"/>
      <c r="W370" s="769"/>
      <c r="X370" s="769"/>
      <c r="Y370" s="877">
        <v>8200</v>
      </c>
      <c r="Z370" s="294"/>
      <c r="AA370" s="769"/>
      <c r="AB370" s="365">
        <f t="shared" si="64"/>
        <v>0</v>
      </c>
      <c r="AC370" s="298"/>
      <c r="AD370" s="1037"/>
      <c r="AE370" s="775"/>
      <c r="AF370" s="769"/>
      <c r="AG370" s="427"/>
      <c r="AH370" s="769"/>
      <c r="AI370" s="773"/>
      <c r="AJ370" s="773"/>
      <c r="AK370" s="769"/>
      <c r="AL370" s="769"/>
      <c r="AM370" s="769"/>
      <c r="AN370" s="769"/>
      <c r="AO370" s="769"/>
      <c r="AP370" s="769"/>
      <c r="AQ370" s="769"/>
      <c r="AR370" s="769"/>
      <c r="AS370" s="769"/>
      <c r="AT370" s="769"/>
      <c r="AU370" s="769"/>
      <c r="AV370" s="769"/>
      <c r="AW370" s="769"/>
      <c r="AX370" s="769"/>
      <c r="AY370" s="769"/>
      <c r="AZ370" s="775"/>
      <c r="BA370" s="769"/>
      <c r="BB370" s="298"/>
      <c r="BC370" s="769"/>
      <c r="BD370" s="769"/>
      <c r="BE370" s="769"/>
      <c r="BF370" s="298"/>
      <c r="BG370" s="702"/>
      <c r="BH370" s="702"/>
      <c r="BI370" s="298"/>
      <c r="BJ370" s="774"/>
      <c r="BK370" s="702"/>
      <c r="BL370" s="303"/>
      <c r="BM370" s="775"/>
      <c r="BN370" s="769"/>
      <c r="BO370" s="775"/>
      <c r="BP370" s="776"/>
      <c r="BQ370" s="775"/>
      <c r="BR370" s="769"/>
      <c r="BS370" s="769"/>
      <c r="BT370" s="288"/>
      <c r="BU370" s="288"/>
      <c r="BV370" s="777"/>
      <c r="BW370" s="769"/>
      <c r="BX370" s="800"/>
      <c r="BY370" s="449" t="s">
        <v>3069</v>
      </c>
      <c r="BZ370" s="771"/>
      <c r="CA370" s="771"/>
      <c r="CB370" s="771"/>
      <c r="CC370" s="771"/>
      <c r="CD370" s="771"/>
      <c r="CE370" s="771"/>
      <c r="CF370" s="771"/>
      <c r="CG370" s="771"/>
      <c r="CH370" s="771"/>
    </row>
    <row r="371" spans="1:86" s="770" customFormat="1" ht="121.5" customHeight="1">
      <c r="A371" s="277" t="s">
        <v>2158</v>
      </c>
      <c r="B371" s="288">
        <v>279</v>
      </c>
      <c r="C371" s="911"/>
      <c r="D371" s="734" t="s">
        <v>1506</v>
      </c>
      <c r="E371" s="287">
        <v>40973</v>
      </c>
      <c r="F371" s="288">
        <v>2012</v>
      </c>
      <c r="G371" s="288">
        <v>13</v>
      </c>
      <c r="H371" s="288" t="s">
        <v>379</v>
      </c>
      <c r="I371" s="288">
        <v>2012</v>
      </c>
      <c r="J371" s="288">
        <v>2</v>
      </c>
      <c r="K371" s="288" t="s">
        <v>1211</v>
      </c>
      <c r="L371" s="288" t="s">
        <v>398</v>
      </c>
      <c r="M371" s="627" t="s">
        <v>1271</v>
      </c>
      <c r="N371" s="290" t="s">
        <v>1874</v>
      </c>
      <c r="O371" s="280"/>
      <c r="P371" s="280"/>
      <c r="Q371" s="293">
        <v>1300000</v>
      </c>
      <c r="R371" s="451" t="s">
        <v>1752</v>
      </c>
      <c r="S371" s="296"/>
      <c r="T371" s="1068"/>
      <c r="U371" s="451"/>
      <c r="V371" s="451"/>
      <c r="W371" s="769"/>
      <c r="X371" s="769"/>
      <c r="Y371" s="877">
        <v>3065</v>
      </c>
      <c r="Z371" s="294" t="s">
        <v>362</v>
      </c>
      <c r="AA371" s="293">
        <v>3065</v>
      </c>
      <c r="AB371" s="365">
        <f t="shared" si="64"/>
        <v>0</v>
      </c>
      <c r="AC371" s="298"/>
      <c r="AD371" s="1037"/>
      <c r="AE371" s="775">
        <v>45000</v>
      </c>
      <c r="AF371" s="769"/>
      <c r="AG371" s="427">
        <f t="shared" si="61"/>
        <v>45000</v>
      </c>
      <c r="AH371" s="769"/>
      <c r="AI371" s="773"/>
      <c r="AJ371" s="773"/>
      <c r="AK371" s="769"/>
      <c r="AL371" s="769"/>
      <c r="AM371" s="769"/>
      <c r="AN371" s="769"/>
      <c r="AO371" s="769"/>
      <c r="AP371" s="769"/>
      <c r="AQ371" s="769"/>
      <c r="AR371" s="769"/>
      <c r="AS371" s="769"/>
      <c r="AT371" s="769"/>
      <c r="AU371" s="769"/>
      <c r="AV371" s="769"/>
      <c r="AW371" s="769"/>
      <c r="AX371" s="769"/>
      <c r="AY371" s="769"/>
      <c r="AZ371" s="775"/>
      <c r="BA371" s="769"/>
      <c r="BB371" s="298">
        <f t="shared" si="65"/>
        <v>45000</v>
      </c>
      <c r="BC371" s="769"/>
      <c r="BD371" s="769"/>
      <c r="BE371" s="769"/>
      <c r="BF371" s="298">
        <f t="shared" si="66"/>
        <v>45000</v>
      </c>
      <c r="BG371" s="702" t="s">
        <v>1752</v>
      </c>
      <c r="BH371" s="702"/>
      <c r="BI371" s="298"/>
      <c r="BJ371" s="774"/>
      <c r="BK371" s="702"/>
      <c r="BL371" s="303">
        <v>2799</v>
      </c>
      <c r="BM371" s="775">
        <v>45000</v>
      </c>
      <c r="BN371" s="769"/>
      <c r="BO371" s="775"/>
      <c r="BP371" s="776"/>
      <c r="BQ371" s="775"/>
      <c r="BR371" s="769"/>
      <c r="BS371" s="769"/>
      <c r="BT371" s="288" t="s">
        <v>362</v>
      </c>
      <c r="BU371" s="288" t="s">
        <v>362</v>
      </c>
      <c r="BV371" s="449" t="s">
        <v>2112</v>
      </c>
      <c r="BW371" s="769"/>
      <c r="BX371" s="800" t="s">
        <v>2161</v>
      </c>
      <c r="BY371" s="449" t="s">
        <v>2159</v>
      </c>
      <c r="BZ371" s="771"/>
      <c r="CA371" s="771"/>
      <c r="CB371" s="771"/>
      <c r="CC371" s="771"/>
      <c r="CD371" s="771"/>
      <c r="CE371" s="771"/>
      <c r="CF371" s="771"/>
      <c r="CG371" s="771"/>
      <c r="CH371" s="771"/>
    </row>
    <row r="372" spans="1:86" s="770" customFormat="1" ht="111.75" customHeight="1">
      <c r="A372" s="277" t="s">
        <v>2206</v>
      </c>
      <c r="B372" s="288">
        <v>280</v>
      </c>
      <c r="C372" s="911"/>
      <c r="D372" s="734" t="s">
        <v>1803</v>
      </c>
      <c r="E372" s="287">
        <v>40984</v>
      </c>
      <c r="F372" s="288">
        <v>2012</v>
      </c>
      <c r="G372" s="288">
        <v>15</v>
      </c>
      <c r="H372" s="288" t="s">
        <v>379</v>
      </c>
      <c r="I372" s="288">
        <v>2012</v>
      </c>
      <c r="J372" s="288">
        <v>3</v>
      </c>
      <c r="K372" s="288" t="s">
        <v>1211</v>
      </c>
      <c r="L372" s="288" t="s">
        <v>1653</v>
      </c>
      <c r="M372" s="627" t="s">
        <v>1271</v>
      </c>
      <c r="N372" s="290" t="s">
        <v>1877</v>
      </c>
      <c r="O372" s="280"/>
      <c r="P372" s="280"/>
      <c r="Q372" s="293">
        <v>65000</v>
      </c>
      <c r="R372" s="451" t="s">
        <v>362</v>
      </c>
      <c r="S372" s="296" t="s">
        <v>363</v>
      </c>
      <c r="T372" s="1068">
        <v>540000</v>
      </c>
      <c r="U372" s="451"/>
      <c r="V372" s="451" t="s">
        <v>2207</v>
      </c>
      <c r="W372" s="769"/>
      <c r="X372" s="769"/>
      <c r="Y372" s="293">
        <v>10000</v>
      </c>
      <c r="Z372" s="294"/>
      <c r="AA372" s="293"/>
      <c r="AB372" s="946">
        <f t="shared" si="64"/>
        <v>1</v>
      </c>
      <c r="AC372" s="298">
        <v>75000</v>
      </c>
      <c r="AD372" s="1037"/>
      <c r="AE372" s="775"/>
      <c r="AF372" s="769"/>
      <c r="AG372" s="427">
        <f t="shared" si="61"/>
        <v>75000</v>
      </c>
      <c r="AH372" s="769"/>
      <c r="AI372" s="773"/>
      <c r="AJ372" s="773"/>
      <c r="AK372" s="769"/>
      <c r="AL372" s="769"/>
      <c r="AM372" s="769"/>
      <c r="AN372" s="769"/>
      <c r="AO372" s="769"/>
      <c r="AP372" s="769"/>
      <c r="AQ372" s="769"/>
      <c r="AR372" s="769"/>
      <c r="AS372" s="769"/>
      <c r="AT372" s="769"/>
      <c r="AU372" s="769"/>
      <c r="AV372" s="769"/>
      <c r="AW372" s="769"/>
      <c r="AX372" s="769"/>
      <c r="AY372" s="769"/>
      <c r="AZ372" s="775"/>
      <c r="BA372" s="769"/>
      <c r="BB372" s="298">
        <f t="shared" si="65"/>
        <v>75000</v>
      </c>
      <c r="BC372" s="769"/>
      <c r="BD372" s="769"/>
      <c r="BE372" s="769"/>
      <c r="BF372" s="298">
        <f t="shared" si="66"/>
        <v>75000</v>
      </c>
      <c r="BG372" s="702" t="s">
        <v>1752</v>
      </c>
      <c r="BH372" s="702"/>
      <c r="BI372" s="298"/>
      <c r="BJ372" s="774"/>
      <c r="BK372" s="702"/>
      <c r="BL372" s="303">
        <v>2799</v>
      </c>
      <c r="BM372" s="775">
        <v>75000</v>
      </c>
      <c r="BN372" s="769"/>
      <c r="BO372" s="775"/>
      <c r="BP372" s="776"/>
      <c r="BQ372" s="775"/>
      <c r="BR372" s="769"/>
      <c r="BS372" s="769"/>
      <c r="BT372" s="288" t="s">
        <v>362</v>
      </c>
      <c r="BU372" s="288" t="s">
        <v>362</v>
      </c>
      <c r="BV372" s="449" t="s">
        <v>2112</v>
      </c>
      <c r="BW372" s="769"/>
      <c r="BX372" s="800" t="s">
        <v>2209</v>
      </c>
      <c r="BY372" s="449" t="s">
        <v>2208</v>
      </c>
      <c r="BZ372" s="771"/>
      <c r="CA372" s="771"/>
      <c r="CB372" s="771"/>
      <c r="CC372" s="771"/>
      <c r="CD372" s="771"/>
      <c r="CE372" s="771"/>
      <c r="CF372" s="771"/>
      <c r="CG372" s="771"/>
      <c r="CH372" s="771"/>
    </row>
    <row r="373" spans="1:86" s="770" customFormat="1" ht="161.25" customHeight="1">
      <c r="A373" s="277" t="s">
        <v>3067</v>
      </c>
      <c r="B373" s="288">
        <v>281</v>
      </c>
      <c r="C373" s="911"/>
      <c r="D373" s="734" t="s">
        <v>1463</v>
      </c>
      <c r="E373" s="287">
        <v>41016</v>
      </c>
      <c r="F373" s="288">
        <v>2012</v>
      </c>
      <c r="G373" s="288">
        <v>16</v>
      </c>
      <c r="H373" s="288" t="s">
        <v>380</v>
      </c>
      <c r="I373" s="288">
        <v>2012</v>
      </c>
      <c r="J373" s="288">
        <v>4</v>
      </c>
      <c r="K373" s="288" t="s">
        <v>1211</v>
      </c>
      <c r="L373" s="288" t="s">
        <v>1655</v>
      </c>
      <c r="M373" s="627" t="s">
        <v>1271</v>
      </c>
      <c r="N373" s="290" t="s">
        <v>1877</v>
      </c>
      <c r="O373" s="280"/>
      <c r="P373" s="280"/>
      <c r="Q373" s="293">
        <v>650000</v>
      </c>
      <c r="R373" s="451" t="s">
        <v>1752</v>
      </c>
      <c r="S373" s="296"/>
      <c r="T373" s="1058"/>
      <c r="U373" s="295"/>
      <c r="V373" s="451"/>
      <c r="W373" s="769" t="s">
        <v>362</v>
      </c>
      <c r="X373" s="295">
        <v>281342</v>
      </c>
      <c r="Y373" s="293">
        <v>4000</v>
      </c>
      <c r="Z373" s="294"/>
      <c r="AA373" s="769"/>
      <c r="AB373" s="772">
        <v>0</v>
      </c>
      <c r="AC373" s="298"/>
      <c r="AD373" s="1037"/>
      <c r="AE373" s="775">
        <v>100000</v>
      </c>
      <c r="AF373" s="769"/>
      <c r="AG373" s="427">
        <f t="shared" si="61"/>
        <v>100000</v>
      </c>
      <c r="AH373" s="769"/>
      <c r="AI373" s="773"/>
      <c r="AJ373" s="773"/>
      <c r="AK373" s="769"/>
      <c r="AL373" s="769"/>
      <c r="AM373" s="769"/>
      <c r="AN373" s="769"/>
      <c r="AO373" s="769"/>
      <c r="AP373" s="769"/>
      <c r="AQ373" s="769"/>
      <c r="AR373" s="769"/>
      <c r="AS373" s="769"/>
      <c r="AT373" s="769"/>
      <c r="AU373" s="769"/>
      <c r="AV373" s="769"/>
      <c r="AW373" s="769"/>
      <c r="AX373" s="769"/>
      <c r="AY373" s="769"/>
      <c r="AZ373" s="775"/>
      <c r="BA373" s="769"/>
      <c r="BB373" s="298">
        <f t="shared" si="65"/>
        <v>100000</v>
      </c>
      <c r="BC373" s="769"/>
      <c r="BD373" s="769"/>
      <c r="BE373" s="769"/>
      <c r="BF373" s="298">
        <f t="shared" si="66"/>
        <v>100000</v>
      </c>
      <c r="BG373" s="702"/>
      <c r="BH373" s="702"/>
      <c r="BI373" s="298"/>
      <c r="BJ373" s="774"/>
      <c r="BK373" s="702"/>
      <c r="BL373" s="303">
        <v>2799</v>
      </c>
      <c r="BM373" s="775">
        <v>100000</v>
      </c>
      <c r="BN373" s="769"/>
      <c r="BO373" s="775"/>
      <c r="BP373" s="776"/>
      <c r="BQ373" s="775"/>
      <c r="BR373" s="769"/>
      <c r="BS373" s="769"/>
      <c r="BT373" s="772" t="s">
        <v>362</v>
      </c>
      <c r="BU373" s="772" t="s">
        <v>362</v>
      </c>
      <c r="BV373" s="290" t="s">
        <v>2112</v>
      </c>
      <c r="BW373" s="769"/>
      <c r="BX373" s="800" t="s">
        <v>3072</v>
      </c>
      <c r="BY373" s="449" t="s">
        <v>3068</v>
      </c>
      <c r="BZ373" s="771"/>
      <c r="CA373" s="771"/>
      <c r="CB373" s="771"/>
      <c r="CC373" s="771"/>
      <c r="CD373" s="771"/>
      <c r="CE373" s="771"/>
      <c r="CF373" s="771"/>
      <c r="CG373" s="771"/>
      <c r="CH373" s="771"/>
    </row>
    <row r="374" spans="1:86" s="770" customFormat="1" ht="152.25" customHeight="1">
      <c r="A374" s="879" t="s">
        <v>3070</v>
      </c>
      <c r="B374" s="288">
        <v>282</v>
      </c>
      <c r="C374" s="911"/>
      <c r="D374" s="734" t="s">
        <v>3071</v>
      </c>
      <c r="E374" s="287">
        <v>41072</v>
      </c>
      <c r="F374" s="288">
        <v>2012</v>
      </c>
      <c r="G374" s="288">
        <v>17</v>
      </c>
      <c r="H374" s="288" t="s">
        <v>380</v>
      </c>
      <c r="I374" s="288">
        <v>2012</v>
      </c>
      <c r="J374" s="288">
        <v>5</v>
      </c>
      <c r="K374" s="288" t="s">
        <v>570</v>
      </c>
      <c r="L374" s="288" t="s">
        <v>1667</v>
      </c>
      <c r="M374" s="627" t="s">
        <v>1271</v>
      </c>
      <c r="N374" s="290" t="s">
        <v>1877</v>
      </c>
      <c r="O374" s="280"/>
      <c r="P374" s="280"/>
      <c r="Q374" s="293">
        <v>27469</v>
      </c>
      <c r="R374" s="451" t="s">
        <v>362</v>
      </c>
      <c r="S374" s="296" t="s">
        <v>363</v>
      </c>
      <c r="T374" s="1055">
        <v>1255850</v>
      </c>
      <c r="U374" s="295"/>
      <c r="V374" s="451" t="s">
        <v>3089</v>
      </c>
      <c r="W374" s="769"/>
      <c r="X374" s="769"/>
      <c r="Y374" s="293">
        <v>14000</v>
      </c>
      <c r="Z374" s="294"/>
      <c r="AA374" s="769"/>
      <c r="AB374" s="947">
        <v>1</v>
      </c>
      <c r="AC374" s="298">
        <v>50000</v>
      </c>
      <c r="AD374" s="1037"/>
      <c r="AE374" s="775"/>
      <c r="AF374" s="769"/>
      <c r="AG374" s="427">
        <f t="shared" si="61"/>
        <v>50000</v>
      </c>
      <c r="AH374" s="769"/>
      <c r="AI374" s="773"/>
      <c r="AJ374" s="773"/>
      <c r="AK374" s="769"/>
      <c r="AL374" s="769"/>
      <c r="AM374" s="769"/>
      <c r="AN374" s="769"/>
      <c r="AO374" s="769"/>
      <c r="AP374" s="769"/>
      <c r="AQ374" s="769"/>
      <c r="AR374" s="769"/>
      <c r="AS374" s="769"/>
      <c r="AT374" s="769"/>
      <c r="AU374" s="769"/>
      <c r="AV374" s="769"/>
      <c r="AW374" s="769"/>
      <c r="AX374" s="769"/>
      <c r="AY374" s="769"/>
      <c r="AZ374" s="775"/>
      <c r="BA374" s="769"/>
      <c r="BB374" s="298">
        <f t="shared" si="65"/>
        <v>50000</v>
      </c>
      <c r="BC374" s="769"/>
      <c r="BD374" s="769"/>
      <c r="BE374" s="769"/>
      <c r="BF374" s="298">
        <f t="shared" si="66"/>
        <v>50000</v>
      </c>
      <c r="BG374" s="702"/>
      <c r="BH374" s="702"/>
      <c r="BI374" s="298"/>
      <c r="BJ374" s="774"/>
      <c r="BK374" s="702"/>
      <c r="BL374" s="303">
        <v>2799</v>
      </c>
      <c r="BM374" s="775">
        <v>50000</v>
      </c>
      <c r="BN374" s="769"/>
      <c r="BO374" s="775"/>
      <c r="BP374" s="776"/>
      <c r="BQ374" s="775"/>
      <c r="BR374" s="769"/>
      <c r="BS374" s="769"/>
      <c r="BT374" s="772" t="s">
        <v>362</v>
      </c>
      <c r="BU374" s="772" t="s">
        <v>362</v>
      </c>
      <c r="BV374" s="449" t="s">
        <v>2112</v>
      </c>
      <c r="BW374" s="769"/>
      <c r="BX374" s="880" t="s">
        <v>3074</v>
      </c>
      <c r="BY374" s="449" t="s">
        <v>3073</v>
      </c>
      <c r="BZ374" s="771"/>
      <c r="CA374" s="771"/>
      <c r="CB374" s="771"/>
      <c r="CC374" s="771"/>
      <c r="CD374" s="771"/>
      <c r="CE374" s="771"/>
      <c r="CF374" s="771"/>
      <c r="CG374" s="771"/>
      <c r="CH374" s="771"/>
    </row>
    <row r="375" spans="1:86" s="955" customFormat="1" ht="98.25" customHeight="1">
      <c r="A375" s="598" t="s">
        <v>3087</v>
      </c>
      <c r="B375" s="772">
        <v>283</v>
      </c>
      <c r="C375" s="948">
        <v>41136</v>
      </c>
      <c r="D375" s="734" t="s">
        <v>3085</v>
      </c>
      <c r="E375" s="287">
        <v>41117</v>
      </c>
      <c r="F375" s="288">
        <v>2013</v>
      </c>
      <c r="G375" s="772">
        <v>1</v>
      </c>
      <c r="H375" s="772" t="s">
        <v>376</v>
      </c>
      <c r="I375" s="772">
        <v>2012</v>
      </c>
      <c r="J375" s="772">
        <v>6</v>
      </c>
      <c r="K375" s="288" t="s">
        <v>570</v>
      </c>
      <c r="L375" s="772" t="s">
        <v>3086</v>
      </c>
      <c r="M375" s="288" t="s">
        <v>1273</v>
      </c>
      <c r="N375" s="288" t="s">
        <v>900</v>
      </c>
      <c r="O375" s="674"/>
      <c r="P375" s="674"/>
      <c r="Q375" s="294">
        <v>1500000</v>
      </c>
      <c r="R375" s="451" t="s">
        <v>362</v>
      </c>
      <c r="S375" s="950" t="s">
        <v>1237</v>
      </c>
      <c r="T375" s="1068">
        <v>27800000</v>
      </c>
      <c r="U375" s="451"/>
      <c r="V375" s="451" t="s">
        <v>3088</v>
      </c>
      <c r="W375" s="772"/>
      <c r="X375" s="772"/>
      <c r="Y375" s="294">
        <v>200000</v>
      </c>
      <c r="Z375" s="294"/>
      <c r="AA375" s="772"/>
      <c r="AB375" s="772">
        <v>1</v>
      </c>
      <c r="AC375" s="576" t="s">
        <v>3090</v>
      </c>
      <c r="AD375" s="1053"/>
      <c r="AE375" s="951"/>
      <c r="AF375" s="772"/>
      <c r="AG375" s="1036">
        <v>200000</v>
      </c>
      <c r="AH375" s="772"/>
      <c r="AI375" s="952"/>
      <c r="AJ375" s="952"/>
      <c r="AK375" s="772"/>
      <c r="AL375" s="772"/>
      <c r="AM375" s="772"/>
      <c r="AN375" s="772"/>
      <c r="AO375" s="772"/>
      <c r="AP375" s="772"/>
      <c r="AQ375" s="772"/>
      <c r="AR375" s="772"/>
      <c r="AS375" s="772"/>
      <c r="AT375" s="772"/>
      <c r="AU375" s="772"/>
      <c r="AV375" s="772"/>
      <c r="AW375" s="772"/>
      <c r="AX375" s="772"/>
      <c r="AY375" s="772"/>
      <c r="AZ375" s="951"/>
      <c r="BA375" s="772"/>
      <c r="BB375" s="576">
        <f t="shared" si="65"/>
        <v>200000</v>
      </c>
      <c r="BC375" s="772"/>
      <c r="BD375" s="772"/>
      <c r="BE375" s="772"/>
      <c r="BF375" s="576">
        <f t="shared" si="66"/>
        <v>200000</v>
      </c>
      <c r="BG375" s="702"/>
      <c r="BH375" s="702"/>
      <c r="BI375" s="576"/>
      <c r="BJ375" s="774"/>
      <c r="BK375" s="702"/>
      <c r="BL375" s="303">
        <v>2799</v>
      </c>
      <c r="BM375" s="951">
        <v>200000</v>
      </c>
      <c r="BN375" s="772"/>
      <c r="BO375" s="951"/>
      <c r="BP375" s="953"/>
      <c r="BQ375" s="951"/>
      <c r="BR375" s="772"/>
      <c r="BS375" s="772"/>
      <c r="BT375" s="772" t="s">
        <v>362</v>
      </c>
      <c r="BU375" s="772" t="s">
        <v>362</v>
      </c>
      <c r="BV375" s="300" t="s">
        <v>2112</v>
      </c>
      <c r="BW375" s="772"/>
      <c r="BX375" s="959" t="s">
        <v>3091</v>
      </c>
      <c r="BY375" s="286" t="s">
        <v>3092</v>
      </c>
      <c r="BZ375" s="954"/>
      <c r="CA375" s="954"/>
      <c r="CB375" s="954"/>
      <c r="CC375" s="954"/>
      <c r="CD375" s="954"/>
      <c r="CE375" s="954"/>
      <c r="CF375" s="954"/>
      <c r="CG375" s="954"/>
      <c r="CH375" s="954"/>
    </row>
    <row r="376" spans="1:86" s="955" customFormat="1" ht="33" customHeight="1">
      <c r="A376" s="598" t="s">
        <v>3096</v>
      </c>
      <c r="B376" s="772">
        <v>284</v>
      </c>
      <c r="C376" s="948">
        <v>41136</v>
      </c>
      <c r="D376" s="734" t="s">
        <v>3093</v>
      </c>
      <c r="E376" s="287">
        <v>41131</v>
      </c>
      <c r="F376" s="288">
        <v>2013</v>
      </c>
      <c r="G376" s="772">
        <v>2</v>
      </c>
      <c r="H376" s="772" t="s">
        <v>376</v>
      </c>
      <c r="I376" s="772">
        <v>2012</v>
      </c>
      <c r="J376" s="772">
        <v>7</v>
      </c>
      <c r="K376" s="288" t="s">
        <v>570</v>
      </c>
      <c r="L376" s="772" t="s">
        <v>2026</v>
      </c>
      <c r="M376" s="627" t="s">
        <v>1271</v>
      </c>
      <c r="N376" s="288" t="s">
        <v>1877</v>
      </c>
      <c r="O376" s="674"/>
      <c r="P376" s="674"/>
      <c r="Q376" s="294">
        <v>2000000</v>
      </c>
      <c r="R376" s="451" t="s">
        <v>362</v>
      </c>
      <c r="S376" s="950" t="s">
        <v>363</v>
      </c>
      <c r="T376" s="1068">
        <v>943000</v>
      </c>
      <c r="U376" s="451"/>
      <c r="V376" s="451" t="s">
        <v>3094</v>
      </c>
      <c r="W376" s="772"/>
      <c r="X376" s="772"/>
      <c r="Y376" s="294">
        <v>75000</v>
      </c>
      <c r="Z376" s="294"/>
      <c r="AA376" s="772"/>
      <c r="AB376" s="772">
        <v>1</v>
      </c>
      <c r="AC376" s="576">
        <v>50000</v>
      </c>
      <c r="AD376" s="1053"/>
      <c r="AE376" s="951"/>
      <c r="AF376" s="772"/>
      <c r="AG376" s="1036">
        <v>50000</v>
      </c>
      <c r="AH376" s="772"/>
      <c r="AI376" s="952"/>
      <c r="AJ376" s="952"/>
      <c r="AK376" s="772"/>
      <c r="AL376" s="772"/>
      <c r="AM376" s="772"/>
      <c r="AN376" s="772"/>
      <c r="AO376" s="772"/>
      <c r="AP376" s="772"/>
      <c r="AQ376" s="772"/>
      <c r="AR376" s="772"/>
      <c r="AS376" s="772"/>
      <c r="AT376" s="772"/>
      <c r="AU376" s="772"/>
      <c r="AV376" s="772"/>
      <c r="AW376" s="772"/>
      <c r="AX376" s="772"/>
      <c r="AY376" s="772"/>
      <c r="AZ376" s="951"/>
      <c r="BA376" s="772"/>
      <c r="BB376" s="576">
        <f t="shared" si="65"/>
        <v>50000</v>
      </c>
      <c r="BC376" s="772"/>
      <c r="BD376" s="772"/>
      <c r="BE376" s="772"/>
      <c r="BF376" s="576">
        <f t="shared" si="66"/>
        <v>50000</v>
      </c>
      <c r="BG376" s="772"/>
      <c r="BH376" s="772"/>
      <c r="BI376" s="576"/>
      <c r="BJ376" s="774"/>
      <c r="BK376" s="702"/>
      <c r="BL376" s="303">
        <v>2799</v>
      </c>
      <c r="BM376" s="775">
        <v>50000</v>
      </c>
      <c r="BN376" s="772"/>
      <c r="BO376" s="951"/>
      <c r="BP376" s="953"/>
      <c r="BQ376" s="951"/>
      <c r="BR376" s="772"/>
      <c r="BS376" s="772"/>
      <c r="BT376" s="772" t="s">
        <v>362</v>
      </c>
      <c r="BU376" s="772" t="s">
        <v>362</v>
      </c>
      <c r="BV376" s="300" t="s">
        <v>2112</v>
      </c>
      <c r="BW376" s="772"/>
      <c r="BX376" s="959" t="s">
        <v>3095</v>
      </c>
      <c r="BY376" s="286" t="s">
        <v>3073</v>
      </c>
      <c r="BZ376" s="954"/>
      <c r="CA376" s="954"/>
      <c r="CB376" s="954"/>
      <c r="CC376" s="954"/>
      <c r="CD376" s="954"/>
      <c r="CE376" s="954"/>
      <c r="CF376" s="954"/>
      <c r="CG376" s="954"/>
      <c r="CH376" s="954"/>
    </row>
    <row r="377" spans="1:86" s="955" customFormat="1" ht="33" customHeight="1">
      <c r="A377" s="963" t="s">
        <v>3100</v>
      </c>
      <c r="B377" s="772">
        <v>285</v>
      </c>
      <c r="C377" s="948">
        <v>41156</v>
      </c>
      <c r="D377" s="734" t="s">
        <v>3098</v>
      </c>
      <c r="E377" s="949">
        <v>41134</v>
      </c>
      <c r="F377" s="772">
        <v>2013</v>
      </c>
      <c r="G377" s="772">
        <v>3</v>
      </c>
      <c r="H377" s="772" t="s">
        <v>376</v>
      </c>
      <c r="I377" s="772">
        <v>2012</v>
      </c>
      <c r="J377" s="772">
        <v>8</v>
      </c>
      <c r="K377" s="772" t="s">
        <v>1210</v>
      </c>
      <c r="L377" s="772" t="s">
        <v>3097</v>
      </c>
      <c r="M377" s="674" t="s">
        <v>1963</v>
      </c>
      <c r="N377" s="288" t="s">
        <v>1639</v>
      </c>
      <c r="O377" s="674"/>
      <c r="P377" s="674"/>
      <c r="Q377" s="960">
        <v>4893</v>
      </c>
      <c r="R377" s="451" t="s">
        <v>362</v>
      </c>
      <c r="S377" s="950" t="s">
        <v>363</v>
      </c>
      <c r="T377" s="1068">
        <v>1204514</v>
      </c>
      <c r="U377" s="451"/>
      <c r="V377" s="451" t="s">
        <v>3101</v>
      </c>
      <c r="W377" s="772"/>
      <c r="X377" s="961">
        <v>117822</v>
      </c>
      <c r="Y377" s="294">
        <v>1449000</v>
      </c>
      <c r="Z377" s="294"/>
      <c r="AA377" s="772"/>
      <c r="AB377" s="772"/>
      <c r="AC377" s="576"/>
      <c r="AD377" s="1053"/>
      <c r="AE377" s="951"/>
      <c r="AF377" s="772"/>
      <c r="AG377" s="1036">
        <f t="shared" si="61"/>
        <v>0</v>
      </c>
      <c r="AH377" s="772">
        <v>2</v>
      </c>
      <c r="AI377" s="952"/>
      <c r="AJ377" s="952">
        <v>2</v>
      </c>
      <c r="AK377" s="772"/>
      <c r="AL377" s="772"/>
      <c r="AM377" s="772"/>
      <c r="AN377" s="772"/>
      <c r="AO377" s="772"/>
      <c r="AP377" s="772"/>
      <c r="AQ377" s="772"/>
      <c r="AR377" s="772"/>
      <c r="AS377" s="772"/>
      <c r="AT377" s="772"/>
      <c r="AU377" s="772"/>
      <c r="AV377" s="772"/>
      <c r="AW377" s="772"/>
      <c r="AX377" s="772"/>
      <c r="AY377" s="772"/>
      <c r="AZ377" s="951"/>
      <c r="BA377" s="772"/>
      <c r="BB377" s="576">
        <f t="shared" si="65"/>
        <v>0</v>
      </c>
      <c r="BC377" s="772"/>
      <c r="BD377" s="772"/>
      <c r="BE377" s="772"/>
      <c r="BF377" s="576">
        <f t="shared" si="66"/>
        <v>0</v>
      </c>
      <c r="BG377" s="772"/>
      <c r="BH377" s="772"/>
      <c r="BI377" s="576"/>
      <c r="BJ377" s="774"/>
      <c r="BK377" s="702"/>
      <c r="BL377" s="303">
        <v>2799</v>
      </c>
      <c r="BM377" s="951"/>
      <c r="BN377" s="772"/>
      <c r="BO377" s="951"/>
      <c r="BP377" s="953"/>
      <c r="BQ377" s="951"/>
      <c r="BR377" s="772"/>
      <c r="BS377" s="772"/>
      <c r="BT377" s="772" t="s">
        <v>362</v>
      </c>
      <c r="BU377" s="772" t="s">
        <v>362</v>
      </c>
      <c r="BV377" s="300" t="s">
        <v>2112</v>
      </c>
      <c r="BW377" s="772"/>
      <c r="BX377" s="962" t="s">
        <v>3099</v>
      </c>
      <c r="BY377" s="286" t="s">
        <v>3102</v>
      </c>
      <c r="BZ377" s="954"/>
      <c r="CA377" s="954"/>
      <c r="CB377" s="954"/>
      <c r="CC377" s="954"/>
      <c r="CD377" s="954"/>
      <c r="CE377" s="954"/>
      <c r="CF377" s="954"/>
      <c r="CG377" s="954"/>
      <c r="CH377" s="954"/>
    </row>
    <row r="378" spans="1:86" s="955" customFormat="1" ht="33" customHeight="1">
      <c r="A378" s="956" t="s">
        <v>3103</v>
      </c>
      <c r="B378" s="772">
        <v>286</v>
      </c>
      <c r="C378" s="948">
        <v>41156</v>
      </c>
      <c r="D378" s="734" t="s">
        <v>88</v>
      </c>
      <c r="E378" s="949">
        <v>41133</v>
      </c>
      <c r="F378" s="772">
        <v>2013</v>
      </c>
      <c r="G378" s="772">
        <v>4</v>
      </c>
      <c r="H378" s="772" t="s">
        <v>376</v>
      </c>
      <c r="I378" s="772">
        <v>2012</v>
      </c>
      <c r="J378" s="772">
        <v>9</v>
      </c>
      <c r="K378" s="772" t="s">
        <v>570</v>
      </c>
      <c r="L378" s="772" t="s">
        <v>1943</v>
      </c>
      <c r="M378" s="674" t="s">
        <v>1271</v>
      </c>
      <c r="N378" s="288" t="s">
        <v>1877</v>
      </c>
      <c r="O378" s="674"/>
      <c r="P378" s="674"/>
      <c r="Q378" s="294">
        <v>5000000</v>
      </c>
      <c r="R378" s="451" t="s">
        <v>362</v>
      </c>
      <c r="S378" s="950" t="s">
        <v>363</v>
      </c>
      <c r="T378" s="1068">
        <v>1833643</v>
      </c>
      <c r="U378" s="451"/>
      <c r="V378" s="451" t="s">
        <v>3104</v>
      </c>
      <c r="W378" s="772"/>
      <c r="X378" s="993">
        <v>270850</v>
      </c>
      <c r="Y378" s="294">
        <v>47500</v>
      </c>
      <c r="Z378" s="294"/>
      <c r="AA378" s="772"/>
      <c r="AB378" s="772">
        <v>1</v>
      </c>
      <c r="AC378" s="576">
        <v>100000</v>
      </c>
      <c r="AD378" s="1053"/>
      <c r="AE378" s="951"/>
      <c r="AF378" s="772"/>
      <c r="AG378" s="1036">
        <f t="shared" si="61"/>
        <v>100000</v>
      </c>
      <c r="AH378" s="772"/>
      <c r="AI378" s="952"/>
      <c r="AJ378" s="952"/>
      <c r="AK378" s="772"/>
      <c r="AL378" s="772"/>
      <c r="AM378" s="772"/>
      <c r="AN378" s="772"/>
      <c r="AO378" s="772"/>
      <c r="AP378" s="772"/>
      <c r="AQ378" s="772"/>
      <c r="AR378" s="772"/>
      <c r="AS378" s="772"/>
      <c r="AT378" s="772"/>
      <c r="AU378" s="772"/>
      <c r="AV378" s="772"/>
      <c r="AW378" s="772"/>
      <c r="AX378" s="772"/>
      <c r="AY378" s="772"/>
      <c r="AZ378" s="951"/>
      <c r="BA378" s="772"/>
      <c r="BB378" s="576">
        <f t="shared" si="65"/>
        <v>100000</v>
      </c>
      <c r="BC378" s="772"/>
      <c r="BD378" s="772"/>
      <c r="BE378" s="772"/>
      <c r="BF378" s="576">
        <f t="shared" si="66"/>
        <v>100000</v>
      </c>
      <c r="BG378" s="772"/>
      <c r="BH378" s="772"/>
      <c r="BI378" s="576"/>
      <c r="BJ378" s="774"/>
      <c r="BK378" s="702"/>
      <c r="BL378" s="772">
        <v>2799</v>
      </c>
      <c r="BM378" s="951">
        <v>100000</v>
      </c>
      <c r="BN378" s="772"/>
      <c r="BO378" s="951"/>
      <c r="BP378" s="953"/>
      <c r="BQ378" s="951"/>
      <c r="BR378" s="772"/>
      <c r="BS378" s="772"/>
      <c r="BT378" s="772" t="s">
        <v>362</v>
      </c>
      <c r="BU378" s="772" t="s">
        <v>362</v>
      </c>
      <c r="BV378" s="957" t="s">
        <v>2112</v>
      </c>
      <c r="BW378" s="772"/>
      <c r="BX378" s="995" t="s">
        <v>3105</v>
      </c>
      <c r="BY378" s="286" t="s">
        <v>3106</v>
      </c>
      <c r="BZ378" s="954"/>
      <c r="CA378" s="954"/>
      <c r="CB378" s="954"/>
      <c r="CC378" s="954"/>
      <c r="CD378" s="954"/>
      <c r="CE378" s="954"/>
      <c r="CF378" s="954"/>
      <c r="CG378" s="954"/>
      <c r="CH378" s="954"/>
    </row>
    <row r="379" spans="1:86" s="955" customFormat="1" ht="33" customHeight="1">
      <c r="A379" s="956"/>
      <c r="B379" s="772">
        <v>287</v>
      </c>
      <c r="C379" s="958"/>
      <c r="D379" s="734" t="s">
        <v>3107</v>
      </c>
      <c r="E379" s="949">
        <v>41153</v>
      </c>
      <c r="F379" s="772">
        <v>2013</v>
      </c>
      <c r="G379" s="772">
        <v>5</v>
      </c>
      <c r="H379" s="772" t="s">
        <v>376</v>
      </c>
      <c r="I379" s="772">
        <v>2012</v>
      </c>
      <c r="J379" s="772">
        <v>10</v>
      </c>
      <c r="K379" s="772" t="s">
        <v>1210</v>
      </c>
      <c r="L379" s="772" t="s">
        <v>1598</v>
      </c>
      <c r="M379" s="674" t="s">
        <v>1271</v>
      </c>
      <c r="N379" s="288"/>
      <c r="O379" s="674"/>
      <c r="P379" s="674"/>
      <c r="Q379" s="294">
        <v>20000</v>
      </c>
      <c r="R379" s="451" t="s">
        <v>362</v>
      </c>
      <c r="S379" s="950" t="s">
        <v>363</v>
      </c>
      <c r="T379" s="1068">
        <v>977382.61</v>
      </c>
      <c r="U379" s="451"/>
      <c r="V379" s="451" t="s">
        <v>3118</v>
      </c>
      <c r="W379" s="772"/>
      <c r="X379" s="772"/>
      <c r="Y379" s="772"/>
      <c r="Z379" s="294"/>
      <c r="AA379" s="772"/>
      <c r="AB379" s="772">
        <v>1</v>
      </c>
      <c r="AC379" s="576">
        <v>100000</v>
      </c>
      <c r="AD379" s="1053"/>
      <c r="AE379" s="951"/>
      <c r="AF379" s="772"/>
      <c r="AG379" s="1036">
        <f t="shared" si="61"/>
        <v>100000</v>
      </c>
      <c r="AH379" s="772">
        <v>1</v>
      </c>
      <c r="AI379" s="952"/>
      <c r="AJ379" s="952"/>
      <c r="AK379" s="772">
        <v>0</v>
      </c>
      <c r="AL379" s="772"/>
      <c r="AM379" s="772"/>
      <c r="AN379" s="772"/>
      <c r="AO379" s="772"/>
      <c r="AP379" s="772"/>
      <c r="AQ379" s="772"/>
      <c r="AR379" s="772"/>
      <c r="AS379" s="772"/>
      <c r="AT379" s="772"/>
      <c r="AU379" s="772"/>
      <c r="AV379" s="772"/>
      <c r="AW379" s="772"/>
      <c r="AX379" s="772"/>
      <c r="AY379" s="772"/>
      <c r="AZ379" s="951"/>
      <c r="BA379" s="772"/>
      <c r="BB379" s="576">
        <f>AG379+AZ379+BA379</f>
        <v>100000</v>
      </c>
      <c r="BC379" s="772"/>
      <c r="BD379" s="772"/>
      <c r="BE379" s="772"/>
      <c r="BF379" s="576">
        <f>SUM(BF7:BF378)</f>
        <v>1202424120.0619423</v>
      </c>
      <c r="BG379" s="772"/>
      <c r="BH379" s="772"/>
      <c r="BI379" s="576"/>
      <c r="BJ379" s="774"/>
      <c r="BK379" s="774"/>
      <c r="BL379" s="772">
        <v>2799</v>
      </c>
      <c r="BM379" s="951"/>
      <c r="BN379" s="772"/>
      <c r="BO379" s="951"/>
      <c r="BP379" s="953"/>
      <c r="BQ379" s="951"/>
      <c r="BR379" s="772"/>
      <c r="BS379" s="772"/>
      <c r="BT379" s="772"/>
      <c r="BU379" s="772"/>
      <c r="BV379" s="957">
        <v>2799</v>
      </c>
      <c r="BW379" s="772"/>
      <c r="BX379" s="994"/>
      <c r="BY379" s="772" t="s">
        <v>3119</v>
      </c>
      <c r="BZ379" s="954"/>
      <c r="CA379" s="954"/>
      <c r="CB379" s="954"/>
      <c r="CC379" s="954"/>
      <c r="CD379" s="954"/>
      <c r="CE379" s="954"/>
      <c r="CF379" s="954"/>
      <c r="CG379" s="954"/>
      <c r="CH379" s="954"/>
    </row>
    <row r="380" spans="1:86" s="770" customFormat="1" ht="33" customHeight="1">
      <c r="A380" s="277"/>
      <c r="B380" s="769">
        <v>288</v>
      </c>
      <c r="C380" s="918"/>
      <c r="D380" s="734" t="s">
        <v>3108</v>
      </c>
      <c r="E380" s="287">
        <v>41214</v>
      </c>
      <c r="F380" s="772">
        <v>2013</v>
      </c>
      <c r="G380" s="772">
        <v>6</v>
      </c>
      <c r="H380" s="772"/>
      <c r="I380" s="772">
        <v>2012</v>
      </c>
      <c r="J380" s="772">
        <v>11</v>
      </c>
      <c r="K380" s="288" t="s">
        <v>1211</v>
      </c>
      <c r="L380" s="769" t="s">
        <v>3115</v>
      </c>
      <c r="M380" s="674" t="s">
        <v>1271</v>
      </c>
      <c r="N380" s="290"/>
      <c r="O380" s="280"/>
      <c r="P380" s="280"/>
      <c r="Q380" s="293">
        <v>2525000</v>
      </c>
      <c r="R380" s="451" t="s">
        <v>362</v>
      </c>
      <c r="S380" s="950" t="s">
        <v>363</v>
      </c>
      <c r="T380" s="1058">
        <v>1327155</v>
      </c>
      <c r="U380" s="295"/>
      <c r="V380" s="769" t="s">
        <v>3120</v>
      </c>
      <c r="W380" s="769"/>
      <c r="X380" s="769"/>
      <c r="Y380" s="769"/>
      <c r="Z380" s="294"/>
      <c r="AA380" s="769"/>
      <c r="AB380" s="769"/>
      <c r="AC380" s="298">
        <v>22000</v>
      </c>
      <c r="AD380" s="1037"/>
      <c r="AE380" s="775"/>
      <c r="AF380" s="769"/>
      <c r="AG380" s="1037"/>
      <c r="AH380" s="769"/>
      <c r="AI380" s="773"/>
      <c r="AJ380" s="773"/>
      <c r="AK380" s="769">
        <v>8500</v>
      </c>
      <c r="AL380" s="769"/>
      <c r="AM380" s="769"/>
      <c r="AN380" s="769"/>
      <c r="AO380" s="769" t="s">
        <v>3121</v>
      </c>
      <c r="AP380" s="769"/>
      <c r="AQ380" s="769"/>
      <c r="AR380" s="769"/>
      <c r="AS380" s="769"/>
      <c r="AT380" s="769" t="s">
        <v>3121</v>
      </c>
      <c r="AU380" s="769"/>
      <c r="AV380" s="769" t="s">
        <v>3121</v>
      </c>
      <c r="AW380" s="769"/>
      <c r="AX380" s="769"/>
      <c r="AY380" s="769"/>
      <c r="AZ380" s="775">
        <v>51000</v>
      </c>
      <c r="BA380" s="769"/>
      <c r="BB380" s="298">
        <f t="shared" si="65"/>
        <v>51000</v>
      </c>
      <c r="BC380" s="769"/>
      <c r="BD380" s="769"/>
      <c r="BE380" s="769"/>
      <c r="BF380" s="298">
        <f t="shared" si="66"/>
        <v>51000</v>
      </c>
      <c r="BG380" s="772"/>
      <c r="BH380" s="772"/>
      <c r="BI380" s="298"/>
      <c r="BJ380" s="774"/>
      <c r="BK380" s="774"/>
      <c r="BL380" s="769">
        <v>2598</v>
      </c>
      <c r="BM380" s="775"/>
      <c r="BN380" s="769"/>
      <c r="BO380" s="775"/>
      <c r="BP380" s="776"/>
      <c r="BQ380" s="775"/>
      <c r="BR380" s="769"/>
      <c r="BS380" s="769"/>
      <c r="BT380" s="769"/>
      <c r="BU380" s="769"/>
      <c r="BV380" s="777"/>
      <c r="BW380" s="769"/>
      <c r="BX380" s="994"/>
      <c r="BY380" s="769" t="s">
        <v>3122</v>
      </c>
      <c r="BZ380" s="771"/>
      <c r="CA380" s="771"/>
      <c r="CB380" s="771"/>
      <c r="CC380" s="771"/>
      <c r="CD380" s="771"/>
      <c r="CE380" s="771"/>
      <c r="CF380" s="771"/>
      <c r="CG380" s="771"/>
      <c r="CH380" s="771"/>
    </row>
    <row r="381" spans="1:86" s="770" customFormat="1" ht="33" customHeight="1">
      <c r="A381" s="277"/>
      <c r="B381" s="769">
        <v>288</v>
      </c>
      <c r="C381" s="918"/>
      <c r="D381" s="734" t="s">
        <v>3108</v>
      </c>
      <c r="E381" s="287">
        <v>41214</v>
      </c>
      <c r="F381" s="772">
        <v>2013</v>
      </c>
      <c r="G381" s="772">
        <v>6</v>
      </c>
      <c r="H381" s="772"/>
      <c r="I381" s="772">
        <v>2012</v>
      </c>
      <c r="J381" s="772">
        <v>11</v>
      </c>
      <c r="K381" s="288" t="s">
        <v>1211</v>
      </c>
      <c r="L381" s="769" t="s">
        <v>3115</v>
      </c>
      <c r="M381" s="674" t="s">
        <v>1271</v>
      </c>
      <c r="N381" s="290"/>
      <c r="O381" s="280"/>
      <c r="P381" s="280"/>
      <c r="Q381" s="293">
        <v>2525000</v>
      </c>
      <c r="R381" s="451" t="s">
        <v>362</v>
      </c>
      <c r="S381" s="950" t="s">
        <v>363</v>
      </c>
      <c r="T381" s="1058">
        <v>8092219</v>
      </c>
      <c r="U381" s="295"/>
      <c r="V381" s="769" t="s">
        <v>3123</v>
      </c>
      <c r="W381" s="769"/>
      <c r="X381" s="769"/>
      <c r="Y381" s="769"/>
      <c r="Z381" s="294"/>
      <c r="AA381" s="769"/>
      <c r="AB381" s="769">
        <v>1</v>
      </c>
      <c r="AC381" s="298">
        <v>100000</v>
      </c>
      <c r="AD381" s="1037"/>
      <c r="AE381" s="775"/>
      <c r="AF381" s="769"/>
      <c r="AG381" s="1037">
        <v>100000</v>
      </c>
      <c r="AH381" s="769"/>
      <c r="AI381" s="773"/>
      <c r="AJ381" s="773"/>
      <c r="AK381" s="769"/>
      <c r="AL381" s="769"/>
      <c r="AM381" s="769"/>
      <c r="AN381" s="769"/>
      <c r="AO381" s="769"/>
      <c r="AP381" s="769"/>
      <c r="AQ381" s="769"/>
      <c r="AR381" s="769"/>
      <c r="AS381" s="769"/>
      <c r="AT381" s="769"/>
      <c r="AU381" s="769"/>
      <c r="AV381" s="769"/>
      <c r="AW381" s="769"/>
      <c r="AX381" s="769"/>
      <c r="AY381" s="769"/>
      <c r="AZ381" s="775"/>
      <c r="BA381" s="769"/>
      <c r="BB381" s="298"/>
      <c r="BC381" s="769"/>
      <c r="BD381" s="769"/>
      <c r="BE381" s="769"/>
      <c r="BF381" s="298">
        <f t="shared" ref="BF381" si="67">BB381+BD381+BC381</f>
        <v>0</v>
      </c>
      <c r="BG381" s="772"/>
      <c r="BH381" s="772"/>
      <c r="BI381" s="298"/>
      <c r="BJ381" s="774"/>
      <c r="BK381" s="774"/>
      <c r="BL381" s="769" t="s">
        <v>3124</v>
      </c>
      <c r="BM381" s="775"/>
      <c r="BN381" s="769"/>
      <c r="BO381" s="775"/>
      <c r="BP381" s="776"/>
      <c r="BQ381" s="775"/>
      <c r="BR381" s="769"/>
      <c r="BS381" s="769"/>
      <c r="BT381" s="769"/>
      <c r="BU381" s="769"/>
      <c r="BV381" s="777" t="s">
        <v>3125</v>
      </c>
      <c r="BW381" s="769"/>
      <c r="BX381" s="994"/>
      <c r="BY381" s="769" t="s">
        <v>3126</v>
      </c>
      <c r="BZ381" s="771"/>
      <c r="CA381" s="771"/>
      <c r="CB381" s="771"/>
      <c r="CC381" s="771"/>
      <c r="CD381" s="771"/>
      <c r="CE381" s="771"/>
      <c r="CF381" s="771"/>
      <c r="CG381" s="771"/>
      <c r="CH381" s="771"/>
    </row>
    <row r="382" spans="1:86" s="770" customFormat="1" ht="33" customHeight="1">
      <c r="A382" s="277"/>
      <c r="B382" s="769">
        <v>288</v>
      </c>
      <c r="C382" s="918"/>
      <c r="D382" s="734" t="s">
        <v>3108</v>
      </c>
      <c r="E382" s="287">
        <v>41214</v>
      </c>
      <c r="F382" s="772">
        <v>2013</v>
      </c>
      <c r="G382" s="772">
        <v>6</v>
      </c>
      <c r="H382" s="772"/>
      <c r="I382" s="772">
        <v>2012</v>
      </c>
      <c r="J382" s="772">
        <v>11</v>
      </c>
      <c r="K382" s="288" t="s">
        <v>1211</v>
      </c>
      <c r="L382" s="769" t="s">
        <v>3115</v>
      </c>
      <c r="M382" s="674" t="s">
        <v>1271</v>
      </c>
      <c r="N382" s="290"/>
      <c r="O382" s="280"/>
      <c r="P382" s="280"/>
      <c r="Q382" s="293">
        <v>2525000</v>
      </c>
      <c r="R382" s="451" t="s">
        <v>362</v>
      </c>
      <c r="S382" s="950" t="s">
        <v>363</v>
      </c>
      <c r="T382" s="1058">
        <v>12223402</v>
      </c>
      <c r="U382" s="295"/>
      <c r="V382" s="769" t="s">
        <v>3127</v>
      </c>
      <c r="W382" s="769"/>
      <c r="X382" s="769"/>
      <c r="Y382" s="769"/>
      <c r="Z382" s="294"/>
      <c r="AA382" s="769"/>
      <c r="AB382" s="769">
        <v>1</v>
      </c>
      <c r="AC382" s="298">
        <v>500000</v>
      </c>
      <c r="AD382" s="1037"/>
      <c r="AE382" s="775"/>
      <c r="AF382" s="769"/>
      <c r="AG382" s="1037">
        <v>500000</v>
      </c>
      <c r="AH382" s="769"/>
      <c r="AI382" s="773"/>
      <c r="AJ382" s="773"/>
      <c r="AK382" s="769"/>
      <c r="AL382" s="769"/>
      <c r="AM382" s="769"/>
      <c r="AN382" s="769"/>
      <c r="AO382" s="769"/>
      <c r="AP382" s="769"/>
      <c r="AQ382" s="769"/>
      <c r="AR382" s="769"/>
      <c r="AS382" s="769"/>
      <c r="AT382" s="769"/>
      <c r="AU382" s="769"/>
      <c r="AV382" s="769"/>
      <c r="AW382" s="769"/>
      <c r="AX382" s="769"/>
      <c r="AY382" s="769"/>
      <c r="AZ382" s="775"/>
      <c r="BA382" s="769"/>
      <c r="BB382" s="298"/>
      <c r="BC382" s="769"/>
      <c r="BD382" s="769"/>
      <c r="BE382" s="769"/>
      <c r="BF382" s="298">
        <f t="shared" ref="BF382" si="68">BB382+BD382+BC382</f>
        <v>0</v>
      </c>
      <c r="BG382" s="772"/>
      <c r="BH382" s="772"/>
      <c r="BI382" s="298"/>
      <c r="BJ382" s="774"/>
      <c r="BK382" s="774"/>
      <c r="BL382" s="769">
        <v>2598</v>
      </c>
      <c r="BM382" s="775"/>
      <c r="BN382" s="769"/>
      <c r="BO382" s="775"/>
      <c r="BP382" s="776"/>
      <c r="BQ382" s="775"/>
      <c r="BR382" s="769"/>
      <c r="BS382" s="769"/>
      <c r="BT382" s="769"/>
      <c r="BU382" s="769"/>
      <c r="BV382" s="777">
        <v>2598</v>
      </c>
      <c r="BW382" s="769"/>
      <c r="BX382" s="994"/>
      <c r="BY382" s="769" t="s">
        <v>3128</v>
      </c>
      <c r="BZ382" s="771"/>
      <c r="CA382" s="771"/>
      <c r="CB382" s="771"/>
      <c r="CC382" s="771"/>
      <c r="CD382" s="771"/>
      <c r="CE382" s="771"/>
      <c r="CF382" s="771"/>
      <c r="CG382" s="771"/>
      <c r="CH382" s="771"/>
    </row>
    <row r="383" spans="1:86" s="980" customFormat="1" ht="102.75" customHeight="1">
      <c r="A383" s="964"/>
      <c r="B383" s="965">
        <v>289</v>
      </c>
      <c r="C383" s="965"/>
      <c r="D383" s="966" t="s">
        <v>1808</v>
      </c>
      <c r="E383" s="967">
        <v>41214</v>
      </c>
      <c r="F383" s="772">
        <v>2013</v>
      </c>
      <c r="G383" s="772">
        <v>7</v>
      </c>
      <c r="H383" s="968"/>
      <c r="I383" s="772">
        <v>2012</v>
      </c>
      <c r="J383" s="772">
        <v>12</v>
      </c>
      <c r="K383" s="288" t="s">
        <v>1211</v>
      </c>
      <c r="L383" s="965" t="s">
        <v>1604</v>
      </c>
      <c r="M383" s="674" t="s">
        <v>1271</v>
      </c>
      <c r="N383" s="969"/>
      <c r="O383" s="280"/>
      <c r="P383" s="280"/>
      <c r="Q383" s="970">
        <v>5118</v>
      </c>
      <c r="R383" s="451" t="s">
        <v>362</v>
      </c>
      <c r="S383" s="971" t="s">
        <v>1832</v>
      </c>
      <c r="T383" s="1069"/>
      <c r="U383" s="972"/>
      <c r="V383" s="965" t="s">
        <v>3137</v>
      </c>
      <c r="W383" s="965"/>
      <c r="X383" s="965"/>
      <c r="Y383" s="965"/>
      <c r="Z383" s="973"/>
      <c r="AA383" s="965"/>
      <c r="AB383" s="965"/>
      <c r="AC383" s="974"/>
      <c r="AD383" s="1038"/>
      <c r="AE383" s="975">
        <v>21400</v>
      </c>
      <c r="AF383" s="965"/>
      <c r="AG383" s="1038">
        <v>21400</v>
      </c>
      <c r="AH383" s="965"/>
      <c r="AI383" s="976"/>
      <c r="AJ383" s="976"/>
      <c r="AK383" s="965">
        <v>3000</v>
      </c>
      <c r="AL383" s="965"/>
      <c r="AM383" s="965">
        <v>500</v>
      </c>
      <c r="AN383" s="965">
        <v>2500</v>
      </c>
      <c r="AO383" s="965"/>
      <c r="AP383" s="965"/>
      <c r="AQ383" s="965"/>
      <c r="AR383" s="965"/>
      <c r="AS383" s="965"/>
      <c r="AT383" s="965"/>
      <c r="AU383" s="965"/>
      <c r="AV383" s="965"/>
      <c r="AW383" s="965"/>
      <c r="AX383" s="965"/>
      <c r="AY383" s="965"/>
      <c r="AZ383" s="975">
        <v>35000</v>
      </c>
      <c r="BA383" s="965"/>
      <c r="BB383" s="974">
        <f t="shared" si="65"/>
        <v>56400</v>
      </c>
      <c r="BC383" s="965"/>
      <c r="BD383" s="965"/>
      <c r="BE383" s="965"/>
      <c r="BF383" s="974">
        <f t="shared" si="66"/>
        <v>56400</v>
      </c>
      <c r="BG383" s="968"/>
      <c r="BH383" s="968"/>
      <c r="BI383" s="974"/>
      <c r="BJ383" s="977"/>
      <c r="BK383" s="977"/>
      <c r="BL383" s="976" t="s">
        <v>3138</v>
      </c>
      <c r="BM383" s="975"/>
      <c r="BN383" s="965"/>
      <c r="BO383" s="975"/>
      <c r="BP383" s="978"/>
      <c r="BQ383" s="975"/>
      <c r="BR383" s="965"/>
      <c r="BS383" s="965"/>
      <c r="BT383" s="965"/>
      <c r="BU383" s="965"/>
      <c r="BV383" s="976" t="s">
        <v>3138</v>
      </c>
      <c r="BW383" s="965"/>
      <c r="BX383" s="994"/>
      <c r="BY383" s="965" t="s">
        <v>3139</v>
      </c>
      <c r="BZ383" s="979"/>
      <c r="CA383" s="979"/>
      <c r="CB383" s="979"/>
      <c r="CC383" s="979"/>
      <c r="CD383" s="979"/>
      <c r="CE383" s="979"/>
      <c r="CF383" s="979"/>
      <c r="CG383" s="979"/>
      <c r="CH383" s="979"/>
    </row>
    <row r="384" spans="1:86" s="1023" customFormat="1" ht="33" customHeight="1">
      <c r="A384" s="996"/>
      <c r="B384" s="918">
        <v>290</v>
      </c>
      <c r="C384" s="918"/>
      <c r="D384" s="919" t="s">
        <v>3110</v>
      </c>
      <c r="E384" s="920">
        <v>41214</v>
      </c>
      <c r="F384" s="772">
        <v>2013</v>
      </c>
      <c r="G384" s="772">
        <v>8</v>
      </c>
      <c r="H384" s="958"/>
      <c r="I384" s="772">
        <v>2012</v>
      </c>
      <c r="J384" s="772">
        <v>13</v>
      </c>
      <c r="K384" s="772" t="s">
        <v>1210</v>
      </c>
      <c r="L384" s="918" t="s">
        <v>1651</v>
      </c>
      <c r="M384" s="674" t="s">
        <v>1271</v>
      </c>
      <c r="N384" s="921"/>
      <c r="O384" s="918"/>
      <c r="P384" s="918"/>
      <c r="Q384" s="924">
        <v>1900000</v>
      </c>
      <c r="R384" s="451" t="s">
        <v>362</v>
      </c>
      <c r="S384" s="950" t="s">
        <v>363</v>
      </c>
      <c r="T384" s="1067">
        <v>1105930</v>
      </c>
      <c r="U384" s="926"/>
      <c r="V384" s="918" t="s">
        <v>3129</v>
      </c>
      <c r="W384" s="918"/>
      <c r="X384" s="918"/>
      <c r="Y384" s="918"/>
      <c r="Z384" s="925"/>
      <c r="AA384" s="918"/>
      <c r="AB384" s="918">
        <v>1</v>
      </c>
      <c r="AC384" s="930">
        <v>150000</v>
      </c>
      <c r="AD384" s="1039"/>
      <c r="AE384" s="998"/>
      <c r="AF384" s="918"/>
      <c r="AG384" s="1039">
        <v>150000</v>
      </c>
      <c r="AH384" s="918"/>
      <c r="AI384" s="999"/>
      <c r="AJ384" s="999"/>
      <c r="AK384" s="918"/>
      <c r="AL384" s="918"/>
      <c r="AM384" s="918"/>
      <c r="AN384" s="918"/>
      <c r="AO384" s="918"/>
      <c r="AP384" s="918"/>
      <c r="AQ384" s="918"/>
      <c r="AR384" s="918"/>
      <c r="AS384" s="918"/>
      <c r="AT384" s="918"/>
      <c r="AU384" s="918"/>
      <c r="AV384" s="918"/>
      <c r="AW384" s="918"/>
      <c r="AX384" s="918"/>
      <c r="AY384" s="918"/>
      <c r="AZ384" s="998"/>
      <c r="BA384" s="918"/>
      <c r="BB384" s="918"/>
      <c r="BC384" s="918"/>
      <c r="BD384" s="918"/>
      <c r="BE384" s="918"/>
      <c r="BF384" s="930">
        <f t="shared" si="66"/>
        <v>0</v>
      </c>
      <c r="BG384" s="958"/>
      <c r="BH384" s="958"/>
      <c r="BI384" s="930"/>
      <c r="BJ384" s="948"/>
      <c r="BK384" s="948"/>
      <c r="BL384" s="918">
        <v>2598</v>
      </c>
      <c r="BM384" s="998"/>
      <c r="BN384" s="918"/>
      <c r="BO384" s="998"/>
      <c r="BP384" s="1000"/>
      <c r="BQ384" s="998"/>
      <c r="BR384" s="918"/>
      <c r="BS384" s="918"/>
      <c r="BT384" s="918"/>
      <c r="BU384" s="918"/>
      <c r="BV384" s="1001">
        <v>2598</v>
      </c>
      <c r="BW384" s="918"/>
      <c r="BX384" s="1021"/>
      <c r="BY384" s="918" t="s">
        <v>3130</v>
      </c>
      <c r="BZ384" s="1022"/>
      <c r="CA384" s="1022"/>
      <c r="CB384" s="1022"/>
      <c r="CC384" s="1022"/>
      <c r="CD384" s="1022"/>
      <c r="CE384" s="1022"/>
      <c r="CF384" s="1022"/>
      <c r="CG384" s="1022"/>
      <c r="CH384" s="1022"/>
    </row>
    <row r="385" spans="1:86" s="1023" customFormat="1" ht="32.25">
      <c r="A385" s="996"/>
      <c r="B385" s="918">
        <v>291</v>
      </c>
      <c r="C385" s="918"/>
      <c r="D385" s="919" t="s">
        <v>3109</v>
      </c>
      <c r="E385" s="920">
        <v>41244</v>
      </c>
      <c r="F385" s="772">
        <v>2013</v>
      </c>
      <c r="G385" s="772">
        <v>9</v>
      </c>
      <c r="H385" s="958"/>
      <c r="I385" s="772">
        <v>2012</v>
      </c>
      <c r="J385" s="918">
        <v>1</v>
      </c>
      <c r="K385" s="288" t="s">
        <v>570</v>
      </c>
      <c r="L385" s="918" t="s">
        <v>2026</v>
      </c>
      <c r="M385" s="674" t="s">
        <v>1271</v>
      </c>
      <c r="N385" s="921"/>
      <c r="O385" s="918"/>
      <c r="P385" s="918"/>
      <c r="Q385" s="924">
        <v>6400000</v>
      </c>
      <c r="R385" s="451" t="s">
        <v>362</v>
      </c>
      <c r="S385" s="950" t="s">
        <v>1237</v>
      </c>
      <c r="T385" s="1067">
        <v>4879041</v>
      </c>
      <c r="U385" s="926">
        <v>11000000</v>
      </c>
      <c r="V385" s="999" t="s">
        <v>3131</v>
      </c>
      <c r="W385" s="918"/>
      <c r="X385" s="918"/>
      <c r="Y385" s="918"/>
      <c r="Z385" s="925"/>
      <c r="AA385" s="918"/>
      <c r="AB385" s="918">
        <v>2</v>
      </c>
      <c r="AC385" s="930">
        <v>50000</v>
      </c>
      <c r="AD385" s="1039">
        <v>50000</v>
      </c>
      <c r="AE385" s="998"/>
      <c r="AF385" s="918"/>
      <c r="AG385" s="1039">
        <v>100000</v>
      </c>
      <c r="AH385" s="918"/>
      <c r="AI385" s="999"/>
      <c r="AJ385" s="999"/>
      <c r="AK385" s="918"/>
      <c r="AL385" s="918"/>
      <c r="AM385" s="918"/>
      <c r="AN385" s="918"/>
      <c r="AO385" s="918"/>
      <c r="AP385" s="918"/>
      <c r="AQ385" s="918"/>
      <c r="AR385" s="918"/>
      <c r="AS385" s="918"/>
      <c r="AT385" s="918"/>
      <c r="AU385" s="918"/>
      <c r="AV385" s="918"/>
      <c r="AW385" s="918"/>
      <c r="AX385" s="918"/>
      <c r="AY385" s="918"/>
      <c r="AZ385" s="998"/>
      <c r="BA385" s="918"/>
      <c r="BB385" s="918"/>
      <c r="BC385" s="918"/>
      <c r="BD385" s="918"/>
      <c r="BE385" s="918"/>
      <c r="BF385" s="930">
        <f t="shared" si="66"/>
        <v>0</v>
      </c>
      <c r="BG385" s="958"/>
      <c r="BH385" s="958"/>
      <c r="BI385" s="930"/>
      <c r="BJ385" s="948"/>
      <c r="BK385" s="948"/>
      <c r="BL385" s="918">
        <v>2799</v>
      </c>
      <c r="BM385" s="998"/>
      <c r="BN385" s="918"/>
      <c r="BO385" s="998"/>
      <c r="BP385" s="1000"/>
      <c r="BQ385" s="998"/>
      <c r="BR385" s="918"/>
      <c r="BS385" s="918"/>
      <c r="BT385" s="918"/>
      <c r="BU385" s="918"/>
      <c r="BV385" s="1001">
        <v>2799</v>
      </c>
      <c r="BW385" s="918"/>
      <c r="BX385" s="997"/>
      <c r="BY385" s="918" t="s">
        <v>3132</v>
      </c>
      <c r="BZ385" s="1022"/>
      <c r="CA385" s="1022"/>
      <c r="CB385" s="1022"/>
      <c r="CC385" s="1022"/>
      <c r="CD385" s="1022"/>
      <c r="CE385" s="1022"/>
      <c r="CF385" s="1022"/>
      <c r="CG385" s="1022"/>
      <c r="CH385" s="1022"/>
    </row>
    <row r="386" spans="1:86" s="1023" customFormat="1" ht="17.25">
      <c r="A386" s="996"/>
      <c r="B386" s="918">
        <v>292</v>
      </c>
      <c r="C386" s="918"/>
      <c r="D386" s="919" t="s">
        <v>3111</v>
      </c>
      <c r="E386" s="920">
        <v>41275</v>
      </c>
      <c r="F386" s="772">
        <v>2013</v>
      </c>
      <c r="G386" s="772">
        <v>10</v>
      </c>
      <c r="H386" s="958"/>
      <c r="I386" s="918">
        <v>2013</v>
      </c>
      <c r="J386" s="918">
        <v>2</v>
      </c>
      <c r="K386" s="288" t="s">
        <v>570</v>
      </c>
      <c r="L386" s="918" t="s">
        <v>974</v>
      </c>
      <c r="M386" s="288" t="s">
        <v>1273</v>
      </c>
      <c r="N386" s="921"/>
      <c r="O386" s="918"/>
      <c r="P386" s="918"/>
      <c r="Q386" s="924">
        <v>12000</v>
      </c>
      <c r="R386" s="451" t="s">
        <v>362</v>
      </c>
      <c r="S386" s="950" t="s">
        <v>1832</v>
      </c>
      <c r="T386" s="1067"/>
      <c r="U386" s="926"/>
      <c r="V386" s="918" t="s">
        <v>3133</v>
      </c>
      <c r="W386" s="918"/>
      <c r="X386" s="918"/>
      <c r="Y386" s="918"/>
      <c r="Z386" s="925"/>
      <c r="AA386" s="918"/>
      <c r="AB386" s="918">
        <v>1</v>
      </c>
      <c r="AC386" s="930"/>
      <c r="AD386" s="1039"/>
      <c r="AE386" s="998">
        <v>100000</v>
      </c>
      <c r="AF386" s="918"/>
      <c r="AG386" s="1039">
        <v>100000</v>
      </c>
      <c r="AH386" s="918"/>
      <c r="AI386" s="999"/>
      <c r="AJ386" s="999"/>
      <c r="AK386" s="918"/>
      <c r="AL386" s="918"/>
      <c r="AM386" s="918"/>
      <c r="AN386" s="918"/>
      <c r="AO386" s="918"/>
      <c r="AP386" s="918"/>
      <c r="AQ386" s="918"/>
      <c r="AR386" s="918"/>
      <c r="AS386" s="918"/>
      <c r="AT386" s="918"/>
      <c r="AU386" s="918"/>
      <c r="AV386" s="918"/>
      <c r="AW386" s="918"/>
      <c r="AX386" s="918"/>
      <c r="AY386" s="918"/>
      <c r="AZ386" s="998"/>
      <c r="BA386" s="918"/>
      <c r="BB386" s="918"/>
      <c r="BC386" s="918"/>
      <c r="BD386" s="918"/>
      <c r="BE386" s="918"/>
      <c r="BF386" s="930">
        <f t="shared" si="66"/>
        <v>0</v>
      </c>
      <c r="BG386" s="958"/>
      <c r="BH386" s="958"/>
      <c r="BI386" s="930"/>
      <c r="BJ386" s="948"/>
      <c r="BK386" s="948"/>
      <c r="BL386" s="918">
        <v>2799</v>
      </c>
      <c r="BM386" s="998"/>
      <c r="BN386" s="918"/>
      <c r="BO386" s="998"/>
      <c r="BP386" s="1000"/>
      <c r="BQ386" s="998"/>
      <c r="BR386" s="918"/>
      <c r="BS386" s="918"/>
      <c r="BT386" s="918"/>
      <c r="BU386" s="918"/>
      <c r="BV386" s="1001">
        <v>2799</v>
      </c>
      <c r="BW386" s="918"/>
      <c r="BX386" s="997"/>
      <c r="BY386" s="918" t="s">
        <v>3134</v>
      </c>
      <c r="BZ386" s="1022"/>
      <c r="CA386" s="1022"/>
      <c r="CB386" s="1022"/>
      <c r="CC386" s="1022"/>
      <c r="CD386" s="1022"/>
      <c r="CE386" s="1022"/>
      <c r="CF386" s="1022"/>
      <c r="CG386" s="1022"/>
      <c r="CH386" s="1022"/>
    </row>
    <row r="387" spans="1:86" s="1023" customFormat="1" ht="17.25">
      <c r="A387" s="996"/>
      <c r="B387" s="918">
        <v>293</v>
      </c>
      <c r="C387" s="918"/>
      <c r="D387" s="919" t="s">
        <v>3112</v>
      </c>
      <c r="E387" s="920">
        <v>41275</v>
      </c>
      <c r="F387" s="772">
        <v>2013</v>
      </c>
      <c r="G387" s="772">
        <v>11</v>
      </c>
      <c r="H387" s="958"/>
      <c r="I387" s="918">
        <v>2013</v>
      </c>
      <c r="J387" s="918">
        <v>3</v>
      </c>
      <c r="K387" s="772" t="s">
        <v>1210</v>
      </c>
      <c r="L387" s="918" t="s">
        <v>1562</v>
      </c>
      <c r="M387" s="674" t="s">
        <v>1271</v>
      </c>
      <c r="N387" s="921"/>
      <c r="O387" s="918"/>
      <c r="P387" s="918"/>
      <c r="Q387" s="924">
        <v>1600000</v>
      </c>
      <c r="R387" s="451" t="s">
        <v>362</v>
      </c>
      <c r="S387" s="950" t="s">
        <v>363</v>
      </c>
      <c r="T387" s="1070">
        <v>1388511</v>
      </c>
      <c r="U387" s="926"/>
      <c r="V387" s="279" t="s">
        <v>3135</v>
      </c>
      <c r="W387" s="918"/>
      <c r="X387" s="918"/>
      <c r="Y387" s="918"/>
      <c r="Z387" s="925"/>
      <c r="AA387" s="918"/>
      <c r="AB387" s="918">
        <v>1</v>
      </c>
      <c r="AC387" s="930">
        <v>50000</v>
      </c>
      <c r="AD387" s="1039"/>
      <c r="AE387" s="998"/>
      <c r="AF387" s="918"/>
      <c r="AG387" s="1039">
        <v>50000</v>
      </c>
      <c r="AH387" s="918"/>
      <c r="AI387" s="999"/>
      <c r="AJ387" s="999"/>
      <c r="AK387" s="918"/>
      <c r="AL387" s="918"/>
      <c r="AM387" s="918"/>
      <c r="AN387" s="918"/>
      <c r="AO387" s="918"/>
      <c r="AP387" s="918"/>
      <c r="AQ387" s="918"/>
      <c r="AR387" s="918"/>
      <c r="AS387" s="918"/>
      <c r="AT387" s="918"/>
      <c r="AU387" s="918"/>
      <c r="AV387" s="918"/>
      <c r="AW387" s="918"/>
      <c r="AX387" s="918"/>
      <c r="AY387" s="918"/>
      <c r="AZ387" s="998"/>
      <c r="BA387" s="918"/>
      <c r="BB387" s="918"/>
      <c r="BC387" s="918"/>
      <c r="BD387" s="918"/>
      <c r="BE387" s="918"/>
      <c r="BF387" s="930">
        <f t="shared" si="66"/>
        <v>0</v>
      </c>
      <c r="BG387" s="958"/>
      <c r="BH387" s="958"/>
      <c r="BI387" s="930"/>
      <c r="BJ387" s="948"/>
      <c r="BK387" s="948"/>
      <c r="BL387" s="918">
        <v>2598</v>
      </c>
      <c r="BM387" s="998"/>
      <c r="BN387" s="918"/>
      <c r="BO387" s="998"/>
      <c r="BP387" s="1000"/>
      <c r="BQ387" s="998"/>
      <c r="BR387" s="918"/>
      <c r="BS387" s="918"/>
      <c r="BT387" s="918"/>
      <c r="BU387" s="918"/>
      <c r="BV387" s="1001">
        <v>2598</v>
      </c>
      <c r="BW387" s="918"/>
      <c r="BX387" s="997"/>
      <c r="BY387" s="279" t="s">
        <v>3136</v>
      </c>
      <c r="BZ387" s="1022"/>
      <c r="CA387" s="1022"/>
      <c r="CB387" s="1022"/>
      <c r="CC387" s="1022"/>
      <c r="CD387" s="1022"/>
      <c r="CE387" s="1022"/>
      <c r="CF387" s="1022"/>
      <c r="CG387" s="1022"/>
      <c r="CH387" s="1022"/>
    </row>
    <row r="388" spans="1:86" s="1023" customFormat="1" ht="17.25">
      <c r="A388" s="996"/>
      <c r="B388" s="918">
        <v>294</v>
      </c>
      <c r="C388" s="918"/>
      <c r="D388" s="919" t="s">
        <v>1804</v>
      </c>
      <c r="E388" s="920">
        <v>41306</v>
      </c>
      <c r="F388" s="772">
        <v>2013</v>
      </c>
      <c r="G388" s="772">
        <v>12</v>
      </c>
      <c r="H388" s="958"/>
      <c r="I388" s="918">
        <v>2013</v>
      </c>
      <c r="J388" s="918">
        <v>4</v>
      </c>
      <c r="K388" s="772" t="s">
        <v>1210</v>
      </c>
      <c r="L388" s="918" t="s">
        <v>1563</v>
      </c>
      <c r="M388" s="674" t="s">
        <v>1271</v>
      </c>
      <c r="N388" s="997"/>
      <c r="O388" s="918"/>
      <c r="P388" s="918"/>
      <c r="Q388" s="924">
        <v>243671</v>
      </c>
      <c r="R388" s="451" t="s">
        <v>362</v>
      </c>
      <c r="S388" s="950" t="s">
        <v>363</v>
      </c>
      <c r="T388" s="1067">
        <v>2154070</v>
      </c>
      <c r="U388" s="926"/>
      <c r="V388" s="918" t="s">
        <v>3140</v>
      </c>
      <c r="W388" s="918"/>
      <c r="X388" s="918"/>
      <c r="Y388" s="918"/>
      <c r="Z388" s="925"/>
      <c r="AA388" s="918"/>
      <c r="AB388" s="918">
        <v>1</v>
      </c>
      <c r="AC388" s="930">
        <v>100000</v>
      </c>
      <c r="AD388" s="1039"/>
      <c r="AE388" s="998"/>
      <c r="AF388" s="918"/>
      <c r="AG388" s="1039">
        <v>100000</v>
      </c>
      <c r="AH388" s="918"/>
      <c r="AI388" s="999"/>
      <c r="AJ388" s="999"/>
      <c r="AK388" s="918"/>
      <c r="AL388" s="918"/>
      <c r="AM388" s="918"/>
      <c r="AN388" s="918"/>
      <c r="AO388" s="918"/>
      <c r="AP388" s="918"/>
      <c r="AQ388" s="918"/>
      <c r="AR388" s="918"/>
      <c r="AS388" s="918"/>
      <c r="AT388" s="918"/>
      <c r="AU388" s="918"/>
      <c r="AV388" s="918"/>
      <c r="AW388" s="918"/>
      <c r="AX388" s="918"/>
      <c r="AY388" s="918"/>
      <c r="AZ388" s="998"/>
      <c r="BA388" s="918"/>
      <c r="BB388" s="918"/>
      <c r="BC388" s="918"/>
      <c r="BD388" s="918"/>
      <c r="BE388" s="918"/>
      <c r="BF388" s="930">
        <f t="shared" si="66"/>
        <v>0</v>
      </c>
      <c r="BG388" s="958"/>
      <c r="BH388" s="958"/>
      <c r="BI388" s="930"/>
      <c r="BJ388" s="948"/>
      <c r="BK388" s="948"/>
      <c r="BL388" s="918" t="s">
        <v>3141</v>
      </c>
      <c r="BM388" s="998"/>
      <c r="BN388" s="918"/>
      <c r="BO388" s="998"/>
      <c r="BP388" s="1000"/>
      <c r="BQ388" s="998"/>
      <c r="BR388" s="918"/>
      <c r="BS388" s="918"/>
      <c r="BT388" s="918"/>
      <c r="BU388" s="918"/>
      <c r="BV388" s="1001" t="s">
        <v>3141</v>
      </c>
      <c r="BW388" s="918"/>
      <c r="BX388" s="997"/>
      <c r="BY388" s="918" t="s">
        <v>3142</v>
      </c>
      <c r="BZ388" s="1022"/>
      <c r="CA388" s="1022"/>
      <c r="CB388" s="1022"/>
      <c r="CC388" s="1022"/>
      <c r="CD388" s="1022"/>
      <c r="CE388" s="1022"/>
      <c r="CF388" s="1022"/>
      <c r="CG388" s="1022"/>
      <c r="CH388" s="1022"/>
    </row>
    <row r="389" spans="1:86" s="1023" customFormat="1" ht="17.25">
      <c r="A389" s="996"/>
      <c r="B389" s="918">
        <v>295</v>
      </c>
      <c r="C389" s="918"/>
      <c r="D389" s="919" t="s">
        <v>3113</v>
      </c>
      <c r="E389" s="1073">
        <v>41365</v>
      </c>
      <c r="F389" s="772">
        <v>2013</v>
      </c>
      <c r="G389" s="772">
        <v>13</v>
      </c>
      <c r="H389" s="958"/>
      <c r="I389" s="918">
        <v>2013</v>
      </c>
      <c r="J389" s="918">
        <v>5</v>
      </c>
      <c r="K389" s="772" t="s">
        <v>1210</v>
      </c>
      <c r="L389" s="918" t="s">
        <v>3116</v>
      </c>
      <c r="M389" s="288" t="s">
        <v>1273</v>
      </c>
      <c r="N389" s="997"/>
      <c r="O389" s="918"/>
      <c r="P389" s="918"/>
      <c r="Q389" s="924"/>
      <c r="R389" s="451" t="s">
        <v>362</v>
      </c>
      <c r="S389" s="950" t="s">
        <v>363</v>
      </c>
      <c r="T389" s="1067">
        <v>1177797</v>
      </c>
      <c r="U389" s="926"/>
      <c r="V389" s="918" t="s">
        <v>3143</v>
      </c>
      <c r="W389" s="918"/>
      <c r="X389" s="918"/>
      <c r="Y389" s="918"/>
      <c r="Z389" s="925"/>
      <c r="AA389" s="918"/>
      <c r="AB389" s="918">
        <v>1</v>
      </c>
      <c r="AC389" s="930">
        <v>150000</v>
      </c>
      <c r="AD389" s="1039"/>
      <c r="AE389" s="998"/>
      <c r="AF389" s="918"/>
      <c r="AG389" s="1039">
        <v>150000</v>
      </c>
      <c r="AH389" s="918">
        <v>1</v>
      </c>
      <c r="AI389" s="999"/>
      <c r="AJ389" s="999">
        <v>1</v>
      </c>
      <c r="AK389" s="918"/>
      <c r="AL389" s="918"/>
      <c r="AM389" s="918"/>
      <c r="AN389" s="918"/>
      <c r="AO389" s="918"/>
      <c r="AP389" s="918"/>
      <c r="AQ389" s="918"/>
      <c r="AR389" s="918"/>
      <c r="AS389" s="918"/>
      <c r="AT389" s="918"/>
      <c r="AU389" s="918"/>
      <c r="AV389" s="918"/>
      <c r="AW389" s="918"/>
      <c r="AX389" s="918"/>
      <c r="AY389" s="918"/>
      <c r="AZ389" s="998"/>
      <c r="BA389" s="918"/>
      <c r="BB389" s="918"/>
      <c r="BC389" s="918"/>
      <c r="BD389" s="918"/>
      <c r="BE389" s="918"/>
      <c r="BF389" s="930">
        <f t="shared" ref="BF389" si="69">BB389+BD389+BC389</f>
        <v>0</v>
      </c>
      <c r="BG389" s="958"/>
      <c r="BH389" s="958"/>
      <c r="BI389" s="930"/>
      <c r="BJ389" s="948"/>
      <c r="BK389" s="948"/>
      <c r="BL389" s="918">
        <v>2799</v>
      </c>
      <c r="BM389" s="998"/>
      <c r="BN389" s="918"/>
      <c r="BO389" s="998"/>
      <c r="BP389" s="1000"/>
      <c r="BQ389" s="998"/>
      <c r="BR389" s="918"/>
      <c r="BS389" s="918"/>
      <c r="BT389" s="918"/>
      <c r="BU389" s="918"/>
      <c r="BV389" s="1001">
        <v>2799</v>
      </c>
      <c r="BW389" s="918"/>
      <c r="BX389" s="997"/>
      <c r="BY389" s="918" t="s">
        <v>3144</v>
      </c>
      <c r="BZ389" s="1022"/>
      <c r="CA389" s="1022"/>
      <c r="CB389" s="1022"/>
      <c r="CC389" s="1022"/>
      <c r="CD389" s="1022"/>
      <c r="CE389" s="1022"/>
      <c r="CF389" s="1022"/>
      <c r="CG389" s="1022"/>
      <c r="CH389" s="1022"/>
    </row>
    <row r="390" spans="1:86" s="1023" customFormat="1" ht="16.5" customHeight="1">
      <c r="A390" s="996"/>
      <c r="B390" s="918">
        <v>296</v>
      </c>
      <c r="C390" s="918"/>
      <c r="D390" s="919" t="s">
        <v>1517</v>
      </c>
      <c r="E390" s="1073">
        <v>41365</v>
      </c>
      <c r="F390" s="772">
        <v>2013</v>
      </c>
      <c r="G390" s="772">
        <v>14</v>
      </c>
      <c r="H390" s="958"/>
      <c r="I390" s="918">
        <v>2013</v>
      </c>
      <c r="J390" s="918">
        <v>6</v>
      </c>
      <c r="K390" s="288" t="s">
        <v>1211</v>
      </c>
      <c r="L390" s="918" t="s">
        <v>1009</v>
      </c>
      <c r="M390" s="674" t="s">
        <v>1271</v>
      </c>
      <c r="N390" s="997"/>
      <c r="O390" s="918"/>
      <c r="P390" s="918"/>
      <c r="Q390" s="924">
        <v>350000</v>
      </c>
      <c r="R390" s="451" t="s">
        <v>1752</v>
      </c>
      <c r="S390" s="950" t="s">
        <v>3117</v>
      </c>
      <c r="T390" s="1067"/>
      <c r="U390" s="926"/>
      <c r="V390" s="918"/>
      <c r="W390" s="918"/>
      <c r="X390" s="918"/>
      <c r="Y390" s="918"/>
      <c r="Z390" s="925"/>
      <c r="AA390" s="918"/>
      <c r="AB390" s="918"/>
      <c r="AC390" s="930"/>
      <c r="AD390" s="1039"/>
      <c r="AE390" s="998"/>
      <c r="AF390" s="918"/>
      <c r="AG390" s="1039"/>
      <c r="AH390" s="918">
        <v>1</v>
      </c>
      <c r="AI390" s="999"/>
      <c r="AJ390" s="999">
        <v>1</v>
      </c>
      <c r="AK390" s="918"/>
      <c r="AL390" s="918"/>
      <c r="AM390" s="918"/>
      <c r="AN390" s="918"/>
      <c r="AO390" s="918"/>
      <c r="AP390" s="918"/>
      <c r="AQ390" s="918"/>
      <c r="AR390" s="918"/>
      <c r="AS390" s="918"/>
      <c r="AT390" s="918"/>
      <c r="AU390" s="918"/>
      <c r="AV390" s="918"/>
      <c r="AW390" s="918"/>
      <c r="AX390" s="918"/>
      <c r="AY390" s="918"/>
      <c r="AZ390" s="998"/>
      <c r="BA390" s="918"/>
      <c r="BB390" s="918"/>
      <c r="BC390" s="918"/>
      <c r="BD390" s="918"/>
      <c r="BE390" s="918"/>
      <c r="BF390" s="930">
        <f t="shared" si="66"/>
        <v>0</v>
      </c>
      <c r="BG390" s="958"/>
      <c r="BH390" s="958"/>
      <c r="BI390" s="930"/>
      <c r="BJ390" s="948"/>
      <c r="BK390" s="948"/>
      <c r="BL390" s="918" t="s">
        <v>3145</v>
      </c>
      <c r="BM390" s="998"/>
      <c r="BN390" s="918"/>
      <c r="BO390" s="998"/>
      <c r="BP390" s="1000"/>
      <c r="BQ390" s="998"/>
      <c r="BR390" s="918"/>
      <c r="BS390" s="918"/>
      <c r="BT390" s="918"/>
      <c r="BU390" s="918"/>
      <c r="BV390" s="918" t="s">
        <v>3145</v>
      </c>
      <c r="BW390" s="918"/>
      <c r="BX390" s="997"/>
      <c r="BY390" s="1074" t="s">
        <v>3146</v>
      </c>
      <c r="BZ390" s="1022"/>
      <c r="CA390" s="1022"/>
      <c r="CB390" s="1022"/>
      <c r="CC390" s="1022"/>
      <c r="CD390" s="1022"/>
      <c r="CE390" s="1022"/>
      <c r="CF390" s="1022"/>
      <c r="CG390" s="1022"/>
      <c r="CH390" s="1022"/>
    </row>
    <row r="391" spans="1:86" s="1023" customFormat="1" ht="17.25">
      <c r="A391" s="996"/>
      <c r="B391" s="918">
        <v>297</v>
      </c>
      <c r="C391" s="918"/>
      <c r="D391" s="919" t="s">
        <v>1806</v>
      </c>
      <c r="E391" s="1073">
        <v>41365</v>
      </c>
      <c r="F391" s="772">
        <v>2013</v>
      </c>
      <c r="G391" s="772">
        <v>15</v>
      </c>
      <c r="H391" s="958"/>
      <c r="I391" s="918">
        <v>2013</v>
      </c>
      <c r="J391" s="918">
        <v>7</v>
      </c>
      <c r="K391" s="772" t="s">
        <v>1210</v>
      </c>
      <c r="L391" s="918" t="s">
        <v>1605</v>
      </c>
      <c r="M391" s="674" t="s">
        <v>1271</v>
      </c>
      <c r="N391" s="997"/>
      <c r="O391" s="918"/>
      <c r="P391" s="918"/>
      <c r="Q391" s="924">
        <v>20000</v>
      </c>
      <c r="R391" s="451" t="s">
        <v>362</v>
      </c>
      <c r="S391" s="950" t="s">
        <v>363</v>
      </c>
      <c r="T391" s="1067">
        <v>3700000</v>
      </c>
      <c r="U391" s="926"/>
      <c r="V391" s="1074" t="s">
        <v>3147</v>
      </c>
      <c r="W391" s="918"/>
      <c r="X391" s="1075"/>
      <c r="Y391" s="918"/>
      <c r="Z391" s="925"/>
      <c r="AA391" s="918"/>
      <c r="AB391" s="918">
        <v>1</v>
      </c>
      <c r="AC391" s="930">
        <v>200000</v>
      </c>
      <c r="AD391" s="1039"/>
      <c r="AE391" s="998"/>
      <c r="AF391" s="918"/>
      <c r="AG391" s="1039">
        <v>200000</v>
      </c>
      <c r="AH391" s="918"/>
      <c r="AI391" s="999"/>
      <c r="AJ391" s="999"/>
      <c r="AK391" s="918"/>
      <c r="AL391" s="918"/>
      <c r="AM391" s="918"/>
      <c r="AN391" s="918"/>
      <c r="AO391" s="918"/>
      <c r="AP391" s="918"/>
      <c r="AQ391" s="918"/>
      <c r="AR391" s="918"/>
      <c r="AS391" s="918"/>
      <c r="AT391" s="918"/>
      <c r="AU391" s="918"/>
      <c r="AV391" s="918"/>
      <c r="AW391" s="918"/>
      <c r="AX391" s="918"/>
      <c r="AY391" s="918"/>
      <c r="AZ391" s="998"/>
      <c r="BA391" s="918"/>
      <c r="BB391" s="918"/>
      <c r="BC391" s="918"/>
      <c r="BD391" s="918"/>
      <c r="BE391" s="918"/>
      <c r="BF391" s="930">
        <f t="shared" si="66"/>
        <v>0</v>
      </c>
      <c r="BG391" s="958"/>
      <c r="BH391" s="958"/>
      <c r="BI391" s="930"/>
      <c r="BJ391" s="948"/>
      <c r="BK391" s="948"/>
      <c r="BL391" s="918">
        <v>2598</v>
      </c>
      <c r="BM391" s="998"/>
      <c r="BN391" s="918"/>
      <c r="BO391" s="998"/>
      <c r="BP391" s="1000"/>
      <c r="BQ391" s="998"/>
      <c r="BR391" s="918"/>
      <c r="BS391" s="918"/>
      <c r="BT391" s="918"/>
      <c r="BU391" s="918"/>
      <c r="BV391" s="1001">
        <v>2598</v>
      </c>
      <c r="BW391" s="918"/>
      <c r="BX391" s="997"/>
      <c r="BY391" s="918" t="s">
        <v>3148</v>
      </c>
      <c r="BZ391" s="1022"/>
      <c r="CA391" s="1022"/>
      <c r="CB391" s="1022"/>
      <c r="CC391" s="1022"/>
      <c r="CD391" s="1022"/>
      <c r="CE391" s="1022"/>
      <c r="CF391" s="1022"/>
      <c r="CG391" s="1022"/>
      <c r="CH391" s="1022"/>
    </row>
    <row r="392" spans="1:86" s="990" customFormat="1" ht="17.25">
      <c r="A392" s="1006"/>
      <c r="B392" s="748">
        <v>298</v>
      </c>
      <c r="C392" s="1007"/>
      <c r="D392" s="1008" t="s">
        <v>3114</v>
      </c>
      <c r="E392" s="1076">
        <v>41395</v>
      </c>
      <c r="F392" s="772">
        <v>2013</v>
      </c>
      <c r="G392" s="772">
        <v>16</v>
      </c>
      <c r="H392" s="1009"/>
      <c r="I392" s="918">
        <v>2013</v>
      </c>
      <c r="J392" s="918">
        <v>8</v>
      </c>
      <c r="K392" s="288" t="s">
        <v>570</v>
      </c>
      <c r="L392" s="1007" t="s">
        <v>1943</v>
      </c>
      <c r="M392" s="674" t="s">
        <v>1271</v>
      </c>
      <c r="N392" s="1010"/>
      <c r="O392" s="1007"/>
      <c r="P392" s="1007"/>
      <c r="Q392" s="1011">
        <v>1500000</v>
      </c>
      <c r="R392" s="451" t="s">
        <v>362</v>
      </c>
      <c r="S392" s="950" t="s">
        <v>363</v>
      </c>
      <c r="T392" s="1071">
        <v>3032321</v>
      </c>
      <c r="U392" s="1012"/>
      <c r="V392" s="1007" t="s">
        <v>3149</v>
      </c>
      <c r="W392" s="1007"/>
      <c r="X392" s="1007"/>
      <c r="Y392" s="1013">
        <f>Y372+Y371+Y364</f>
        <v>914265</v>
      </c>
      <c r="Z392" s="1014"/>
      <c r="AA392" s="1007"/>
      <c r="AB392" s="1007">
        <v>1</v>
      </c>
      <c r="AC392" s="1015">
        <v>100000</v>
      </c>
      <c r="AD392" s="1040"/>
      <c r="AE392" s="1016"/>
      <c r="AF392" s="1007"/>
      <c r="AG392" s="1040">
        <v>100000</v>
      </c>
      <c r="AH392" s="1007"/>
      <c r="AI392" s="1017"/>
      <c r="AJ392" s="1017"/>
      <c r="AK392" s="1007"/>
      <c r="AL392" s="1007"/>
      <c r="AM392" s="1007"/>
      <c r="AN392" s="1007"/>
      <c r="AO392" s="1007"/>
      <c r="AP392" s="1007"/>
      <c r="AQ392" s="1007"/>
      <c r="AR392" s="1007"/>
      <c r="AS392" s="1007"/>
      <c r="AT392" s="1007"/>
      <c r="AU392" s="1007"/>
      <c r="AV392" s="1007"/>
      <c r="AW392" s="1007"/>
      <c r="AX392" s="1007"/>
      <c r="AY392" s="1007"/>
      <c r="AZ392" s="1016"/>
      <c r="BA392" s="1007"/>
      <c r="BB392" s="1007"/>
      <c r="BC392" s="1007"/>
      <c r="BD392" s="1007"/>
      <c r="BE392" s="1007"/>
      <c r="BF392" s="1016">
        <f>SUM(BF364:BF372)</f>
        <v>120000</v>
      </c>
      <c r="BG392" s="1009"/>
      <c r="BH392" s="1009"/>
      <c r="BI392" s="1007"/>
      <c r="BJ392" s="1018"/>
      <c r="BK392" s="1018"/>
      <c r="BL392" s="1007">
        <v>2598</v>
      </c>
      <c r="BM392" s="1016"/>
      <c r="BN392" s="1007"/>
      <c r="BO392" s="1016"/>
      <c r="BP392" s="1019"/>
      <c r="BQ392" s="1016"/>
      <c r="BR392" s="1016"/>
      <c r="BS392" s="1007"/>
      <c r="BT392" s="1007"/>
      <c r="BU392" s="1007"/>
      <c r="BV392" s="1020">
        <v>2598</v>
      </c>
      <c r="BW392" s="1007"/>
      <c r="BX392" s="1010"/>
      <c r="BY392" s="1007" t="s">
        <v>3150</v>
      </c>
      <c r="BZ392" s="989"/>
      <c r="CA392" s="989"/>
      <c r="CB392" s="989"/>
      <c r="CC392" s="989"/>
      <c r="CD392" s="989"/>
      <c r="CE392" s="989"/>
      <c r="CF392" s="989"/>
      <c r="CG392" s="989"/>
      <c r="CH392" s="989"/>
    </row>
    <row r="393" spans="1:86" s="990" customFormat="1" ht="17.25">
      <c r="A393" s="996"/>
      <c r="B393" s="918"/>
      <c r="C393" s="918"/>
      <c r="D393" s="919"/>
      <c r="E393" s="918"/>
      <c r="F393" s="918"/>
      <c r="G393" s="918"/>
      <c r="H393" s="958"/>
      <c r="I393" s="918"/>
      <c r="J393" s="918"/>
      <c r="K393" s="918"/>
      <c r="L393" s="918"/>
      <c r="M393" s="918"/>
      <c r="N393" s="997"/>
      <c r="O393" s="918"/>
      <c r="P393" s="918"/>
      <c r="Q393" s="924"/>
      <c r="R393" s="927"/>
      <c r="S393" s="928"/>
      <c r="T393" s="1067"/>
      <c r="U393" s="926"/>
      <c r="V393" s="918"/>
      <c r="W393" s="918"/>
      <c r="X393" s="918"/>
      <c r="Y393" s="918"/>
      <c r="Z393" s="925"/>
      <c r="AA393" s="918"/>
      <c r="AB393" s="918"/>
      <c r="AC393" s="930"/>
      <c r="AD393" s="1039"/>
      <c r="AE393" s="998"/>
      <c r="AF393" s="918"/>
      <c r="AG393" s="1039"/>
      <c r="AH393" s="918"/>
      <c r="AI393" s="999"/>
      <c r="AJ393" s="999"/>
      <c r="AK393" s="918"/>
      <c r="AL393" s="918"/>
      <c r="AM393" s="918"/>
      <c r="AN393" s="918"/>
      <c r="AO393" s="918"/>
      <c r="AP393" s="918"/>
      <c r="AQ393" s="918"/>
      <c r="AR393" s="918"/>
      <c r="AS393" s="918"/>
      <c r="AT393" s="918"/>
      <c r="AU393" s="918"/>
      <c r="AV393" s="918"/>
      <c r="AW393" s="918"/>
      <c r="AX393" s="918"/>
      <c r="AY393" s="918"/>
      <c r="AZ393" s="998"/>
      <c r="BA393" s="918"/>
      <c r="BB393" s="918"/>
      <c r="BC393" s="918"/>
      <c r="BD393" s="918"/>
      <c r="BE393" s="918"/>
      <c r="BF393" s="918"/>
      <c r="BG393" s="958"/>
      <c r="BH393" s="958"/>
      <c r="BI393" s="918"/>
      <c r="BJ393" s="948"/>
      <c r="BK393" s="948"/>
      <c r="BL393" s="918"/>
      <c r="BM393" s="998"/>
      <c r="BN393" s="918"/>
      <c r="BO393" s="998"/>
      <c r="BP393" s="1000"/>
      <c r="BQ393" s="998"/>
      <c r="BR393" s="998"/>
      <c r="BS393" s="918"/>
      <c r="BT393" s="918"/>
      <c r="BU393" s="918"/>
      <c r="BV393" s="1001"/>
      <c r="BW393" s="918"/>
      <c r="BX393" s="997"/>
      <c r="BY393" s="918"/>
      <c r="BZ393" s="989"/>
      <c r="CA393" s="989"/>
      <c r="CB393" s="989"/>
      <c r="CC393" s="989"/>
      <c r="CD393" s="989"/>
      <c r="CE393" s="989"/>
      <c r="CF393" s="989"/>
      <c r="CG393" s="989"/>
      <c r="CH393" s="989"/>
    </row>
    <row r="394" spans="1:86" s="990" customFormat="1" ht="17.25">
      <c r="A394" s="996"/>
      <c r="B394" s="918"/>
      <c r="C394" s="918"/>
      <c r="D394" s="919"/>
      <c r="E394" s="918"/>
      <c r="F394" s="918"/>
      <c r="G394" s="918"/>
      <c r="H394" s="958"/>
      <c r="I394" s="918"/>
      <c r="J394" s="918"/>
      <c r="K394" s="918"/>
      <c r="L394" s="918"/>
      <c r="M394" s="918"/>
      <c r="N394" s="997"/>
      <c r="O394" s="918"/>
      <c r="P394" s="918"/>
      <c r="Q394" s="924"/>
      <c r="R394" s="927"/>
      <c r="S394" s="928"/>
      <c r="T394" s="1067"/>
      <c r="U394" s="926"/>
      <c r="V394" s="918"/>
      <c r="W394" s="918"/>
      <c r="X394" s="918"/>
      <c r="Y394" s="918"/>
      <c r="Z394" s="925"/>
      <c r="AA394" s="918"/>
      <c r="AB394" s="918"/>
      <c r="AC394" s="930"/>
      <c r="AD394" s="1039"/>
      <c r="AE394" s="998"/>
      <c r="AF394" s="918"/>
      <c r="AG394" s="1039"/>
      <c r="AH394" s="918"/>
      <c r="AI394" s="999"/>
      <c r="AJ394" s="999"/>
      <c r="AK394" s="918"/>
      <c r="AL394" s="918"/>
      <c r="AM394" s="918"/>
      <c r="AN394" s="918"/>
      <c r="AO394" s="918"/>
      <c r="AP394" s="918"/>
      <c r="AQ394" s="918"/>
      <c r="AR394" s="918"/>
      <c r="AS394" s="918"/>
      <c r="AT394" s="918"/>
      <c r="AU394" s="918"/>
      <c r="AV394" s="918"/>
      <c r="AW394" s="918"/>
      <c r="AX394" s="918"/>
      <c r="AY394" s="918"/>
      <c r="AZ394" s="998"/>
      <c r="BA394" s="918"/>
      <c r="BB394" s="918"/>
      <c r="BC394" s="918"/>
      <c r="BD394" s="918"/>
      <c r="BE394" s="918"/>
      <c r="BF394" s="918"/>
      <c r="BG394" s="958"/>
      <c r="BH394" s="958"/>
      <c r="BI394" s="918"/>
      <c r="BJ394" s="948"/>
      <c r="BK394" s="948"/>
      <c r="BL394" s="918"/>
      <c r="BM394" s="998"/>
      <c r="BN394" s="918"/>
      <c r="BO394" s="998"/>
      <c r="BP394" s="1000"/>
      <c r="BQ394" s="998"/>
      <c r="BR394" s="998"/>
      <c r="BS394" s="918"/>
      <c r="BT394" s="918"/>
      <c r="BU394" s="918"/>
      <c r="BV394" s="1001"/>
      <c r="BW394" s="918"/>
      <c r="BX394" s="997"/>
      <c r="BY394" s="918"/>
      <c r="BZ394" s="989"/>
      <c r="CA394" s="989"/>
      <c r="CB394" s="989"/>
      <c r="CC394" s="989"/>
      <c r="CD394" s="989"/>
      <c r="CE394" s="989"/>
      <c r="CF394" s="989"/>
      <c r="CG394" s="989"/>
      <c r="CH394" s="989"/>
    </row>
    <row r="395" spans="1:86" s="990" customFormat="1" ht="17.25">
      <c r="A395" s="996"/>
      <c r="B395" s="918"/>
      <c r="C395" s="918"/>
      <c r="D395" s="919"/>
      <c r="E395" s="918"/>
      <c r="F395" s="918"/>
      <c r="G395" s="918"/>
      <c r="H395" s="958"/>
      <c r="I395" s="918"/>
      <c r="J395" s="918"/>
      <c r="K395" s="918"/>
      <c r="L395" s="918"/>
      <c r="M395" s="918"/>
      <c r="N395" s="997"/>
      <c r="O395" s="918"/>
      <c r="P395" s="918"/>
      <c r="Q395" s="924"/>
      <c r="R395" s="927"/>
      <c r="S395" s="928"/>
      <c r="T395" s="1067"/>
      <c r="U395" s="926"/>
      <c r="V395" s="918"/>
      <c r="W395" s="918"/>
      <c r="X395" s="918"/>
      <c r="Y395" s="918"/>
      <c r="Z395" s="925"/>
      <c r="AA395" s="918"/>
      <c r="AB395" s="918"/>
      <c r="AC395" s="930"/>
      <c r="AD395" s="1039"/>
      <c r="AE395" s="998"/>
      <c r="AF395" s="918"/>
      <c r="AG395" s="1039"/>
      <c r="AH395" s="918"/>
      <c r="AI395" s="999"/>
      <c r="AJ395" s="999"/>
      <c r="AK395" s="918"/>
      <c r="AL395" s="918"/>
      <c r="AM395" s="918"/>
      <c r="AN395" s="918"/>
      <c r="AO395" s="918"/>
      <c r="AP395" s="918"/>
      <c r="AQ395" s="918"/>
      <c r="AR395" s="918"/>
      <c r="AS395" s="918"/>
      <c r="AT395" s="918"/>
      <c r="AU395" s="918"/>
      <c r="AV395" s="918"/>
      <c r="AW395" s="918"/>
      <c r="AX395" s="918"/>
      <c r="AY395" s="918"/>
      <c r="AZ395" s="998"/>
      <c r="BA395" s="918"/>
      <c r="BB395" s="918"/>
      <c r="BC395" s="918"/>
      <c r="BD395" s="918"/>
      <c r="BE395" s="918"/>
      <c r="BF395" s="918"/>
      <c r="BG395" s="958"/>
      <c r="BH395" s="958"/>
      <c r="BI395" s="918"/>
      <c r="BJ395" s="948"/>
      <c r="BK395" s="948"/>
      <c r="BL395" s="918"/>
      <c r="BM395" s="998"/>
      <c r="BN395" s="918"/>
      <c r="BO395" s="998"/>
      <c r="BP395" s="1000"/>
      <c r="BQ395" s="998"/>
      <c r="BR395" s="998"/>
      <c r="BS395" s="918"/>
      <c r="BT395" s="918"/>
      <c r="BU395" s="918"/>
      <c r="BV395" s="1001"/>
      <c r="BW395" s="918"/>
      <c r="BX395" s="997"/>
      <c r="BY395" s="918"/>
      <c r="BZ395" s="989"/>
      <c r="CA395" s="989"/>
      <c r="CB395" s="989"/>
      <c r="CC395" s="989"/>
      <c r="CD395" s="989"/>
      <c r="CE395" s="989"/>
      <c r="CF395" s="989"/>
      <c r="CG395" s="989"/>
      <c r="CH395" s="989"/>
    </row>
    <row r="396" spans="1:86" s="990" customFormat="1" ht="17.25">
      <c r="A396" s="996"/>
      <c r="B396" s="918"/>
      <c r="C396" s="918"/>
      <c r="D396" s="919"/>
      <c r="E396" s="918"/>
      <c r="F396" s="918"/>
      <c r="G396" s="918"/>
      <c r="H396" s="958"/>
      <c r="I396" s="918"/>
      <c r="J396" s="918"/>
      <c r="K396" s="918"/>
      <c r="L396" s="918"/>
      <c r="M396" s="918"/>
      <c r="N396" s="997"/>
      <c r="O396" s="918"/>
      <c r="P396" s="918"/>
      <c r="Q396" s="924"/>
      <c r="R396" s="927"/>
      <c r="S396" s="928"/>
      <c r="T396" s="1067"/>
      <c r="U396" s="926"/>
      <c r="V396" s="918"/>
      <c r="W396" s="918"/>
      <c r="X396" s="918"/>
      <c r="Y396" s="918"/>
      <c r="Z396" s="925"/>
      <c r="AA396" s="918"/>
      <c r="AB396" s="918"/>
      <c r="AC396" s="930"/>
      <c r="AD396" s="1039"/>
      <c r="AE396" s="998"/>
      <c r="AF396" s="918"/>
      <c r="AG396" s="1039"/>
      <c r="AH396" s="918"/>
      <c r="AI396" s="999"/>
      <c r="AJ396" s="999"/>
      <c r="AK396" s="918"/>
      <c r="AL396" s="918"/>
      <c r="AM396" s="918"/>
      <c r="AN396" s="918"/>
      <c r="AO396" s="918"/>
      <c r="AP396" s="918"/>
      <c r="AQ396" s="918"/>
      <c r="AR396" s="918"/>
      <c r="AS396" s="918"/>
      <c r="AT396" s="918"/>
      <c r="AU396" s="918"/>
      <c r="AV396" s="918"/>
      <c r="AW396" s="918"/>
      <c r="AX396" s="918"/>
      <c r="AY396" s="918"/>
      <c r="AZ396" s="998"/>
      <c r="BA396" s="918"/>
      <c r="BB396" s="918"/>
      <c r="BC396" s="918"/>
      <c r="BD396" s="918"/>
      <c r="BE396" s="918"/>
      <c r="BF396" s="918"/>
      <c r="BG396" s="958"/>
      <c r="BH396" s="958"/>
      <c r="BI396" s="918"/>
      <c r="BJ396" s="948"/>
      <c r="BK396" s="948"/>
      <c r="BL396" s="918"/>
      <c r="BM396" s="998"/>
      <c r="BN396" s="918"/>
      <c r="BO396" s="998"/>
      <c r="BP396" s="1000"/>
      <c r="BQ396" s="998"/>
      <c r="BR396" s="998"/>
      <c r="BS396" s="918"/>
      <c r="BT396" s="918"/>
      <c r="BU396" s="918"/>
      <c r="BV396" s="1001"/>
      <c r="BW396" s="918"/>
      <c r="BX396" s="1002"/>
      <c r="BY396" s="918"/>
      <c r="BZ396" s="989"/>
      <c r="CA396" s="989"/>
      <c r="CB396" s="989"/>
      <c r="CC396" s="989"/>
      <c r="CD396" s="989"/>
      <c r="CE396" s="989"/>
      <c r="CF396" s="989"/>
      <c r="CG396" s="989"/>
      <c r="CH396" s="989"/>
    </row>
    <row r="397" spans="1:86" s="990" customFormat="1" ht="17.25">
      <c r="A397" s="996"/>
      <c r="B397" s="918"/>
      <c r="C397" s="918"/>
      <c r="D397" s="919"/>
      <c r="E397" s="918"/>
      <c r="F397" s="918"/>
      <c r="G397" s="918"/>
      <c r="H397" s="958"/>
      <c r="I397" s="918"/>
      <c r="J397" s="918"/>
      <c r="K397" s="918"/>
      <c r="L397" s="918"/>
      <c r="M397" s="918"/>
      <c r="N397" s="997"/>
      <c r="O397" s="918"/>
      <c r="P397" s="918"/>
      <c r="Q397" s="924"/>
      <c r="R397" s="927"/>
      <c r="S397" s="928"/>
      <c r="T397" s="1039"/>
      <c r="U397" s="918"/>
      <c r="V397" s="918"/>
      <c r="W397" s="918"/>
      <c r="X397" s="918"/>
      <c r="Y397" s="918"/>
      <c r="Z397" s="925"/>
      <c r="AA397" s="918"/>
      <c r="AB397" s="918"/>
      <c r="AC397" s="930"/>
      <c r="AD397" s="1039"/>
      <c r="AE397" s="998"/>
      <c r="AF397" s="918"/>
      <c r="AG397" s="1039"/>
      <c r="AH397" s="918"/>
      <c r="AI397" s="999"/>
      <c r="AJ397" s="999"/>
      <c r="AK397" s="918"/>
      <c r="AL397" s="918"/>
      <c r="AM397" s="918"/>
      <c r="AN397" s="918"/>
      <c r="AO397" s="918"/>
      <c r="AP397" s="918"/>
      <c r="AQ397" s="918"/>
      <c r="AR397" s="918"/>
      <c r="AS397" s="918"/>
      <c r="AT397" s="918"/>
      <c r="AU397" s="918"/>
      <c r="AV397" s="918"/>
      <c r="AW397" s="918"/>
      <c r="AX397" s="918"/>
      <c r="AY397" s="918"/>
      <c r="AZ397" s="998"/>
      <c r="BA397" s="918"/>
      <c r="BB397" s="918"/>
      <c r="BC397" s="918"/>
      <c r="BD397" s="918"/>
      <c r="BE397" s="918"/>
      <c r="BF397" s="918"/>
      <c r="BG397" s="958"/>
      <c r="BH397" s="958"/>
      <c r="BI397" s="918"/>
      <c r="BJ397" s="948"/>
      <c r="BK397" s="948"/>
      <c r="BL397" s="918"/>
      <c r="BM397" s="998"/>
      <c r="BN397" s="918"/>
      <c r="BO397" s="998"/>
      <c r="BP397" s="1000"/>
      <c r="BQ397" s="998"/>
      <c r="BR397" s="998"/>
      <c r="BS397" s="918"/>
      <c r="BT397" s="918"/>
      <c r="BU397" s="918"/>
      <c r="BV397" s="1001"/>
      <c r="BW397" s="918"/>
      <c r="BX397" s="1003"/>
      <c r="BY397" s="918"/>
      <c r="BZ397" s="989"/>
      <c r="CA397" s="989"/>
      <c r="CB397" s="989"/>
      <c r="CC397" s="989"/>
      <c r="CD397" s="989"/>
      <c r="CE397" s="989"/>
      <c r="CF397" s="989"/>
      <c r="CG397" s="989"/>
      <c r="CH397" s="989"/>
    </row>
    <row r="398" spans="1:86" s="990" customFormat="1" ht="17.25">
      <c r="A398" s="996"/>
      <c r="B398" s="918"/>
      <c r="C398" s="918"/>
      <c r="D398" s="919"/>
      <c r="E398" s="918"/>
      <c r="F398" s="918"/>
      <c r="G398" s="918"/>
      <c r="H398" s="958"/>
      <c r="I398" s="918"/>
      <c r="J398" s="918"/>
      <c r="K398" s="918"/>
      <c r="L398" s="918"/>
      <c r="M398" s="918"/>
      <c r="N398" s="997"/>
      <c r="O398" s="918"/>
      <c r="P398" s="918"/>
      <c r="Q398" s="926"/>
      <c r="R398" s="927"/>
      <c r="S398" s="928"/>
      <c r="T398" s="1039"/>
      <c r="U398" s="918"/>
      <c r="V398" s="918"/>
      <c r="W398" s="918"/>
      <c r="X398" s="918"/>
      <c r="Y398" s="918"/>
      <c r="Z398" s="925"/>
      <c r="AA398" s="918"/>
      <c r="AB398" s="918"/>
      <c r="AC398" s="930"/>
      <c r="AD398" s="1039"/>
      <c r="AE398" s="998"/>
      <c r="AF398" s="918"/>
      <c r="AG398" s="1039"/>
      <c r="AH398" s="918"/>
      <c r="AI398" s="999"/>
      <c r="AJ398" s="999"/>
      <c r="AK398" s="918"/>
      <c r="AL398" s="918"/>
      <c r="AM398" s="918"/>
      <c r="AN398" s="918"/>
      <c r="AO398" s="918"/>
      <c r="AP398" s="918"/>
      <c r="AQ398" s="918"/>
      <c r="AR398" s="918"/>
      <c r="AS398" s="918"/>
      <c r="AT398" s="918"/>
      <c r="AU398" s="918"/>
      <c r="AV398" s="918"/>
      <c r="AW398" s="918"/>
      <c r="AX398" s="918"/>
      <c r="AY398" s="918"/>
      <c r="AZ398" s="998"/>
      <c r="BA398" s="918"/>
      <c r="BB398" s="918"/>
      <c r="BC398" s="918"/>
      <c r="BD398" s="918"/>
      <c r="BE398" s="918"/>
      <c r="BF398" s="918"/>
      <c r="BG398" s="958"/>
      <c r="BH398" s="958"/>
      <c r="BI398" s="918"/>
      <c r="BJ398" s="948"/>
      <c r="BK398" s="948"/>
      <c r="BL398" s="918"/>
      <c r="BM398" s="998"/>
      <c r="BN398" s="918"/>
      <c r="BO398" s="998"/>
      <c r="BP398" s="1000"/>
      <c r="BQ398" s="998"/>
      <c r="BR398" s="998"/>
      <c r="BS398" s="918"/>
      <c r="BT398" s="918"/>
      <c r="BU398" s="918"/>
      <c r="BV398" s="1001"/>
      <c r="BW398" s="918"/>
      <c r="BX398" s="997"/>
      <c r="BY398" s="918"/>
      <c r="BZ398" s="989"/>
      <c r="CA398" s="989"/>
      <c r="CB398" s="989"/>
      <c r="CC398" s="989"/>
      <c r="CD398" s="989"/>
      <c r="CE398" s="989"/>
      <c r="CF398" s="989"/>
      <c r="CG398" s="989"/>
      <c r="CH398" s="989"/>
    </row>
    <row r="399" spans="1:86" s="990" customFormat="1" ht="17.25">
      <c r="A399" s="996"/>
      <c r="B399" s="918"/>
      <c r="C399" s="918"/>
      <c r="D399" s="1004"/>
      <c r="E399" s="918"/>
      <c r="F399" s="918"/>
      <c r="G399" s="918"/>
      <c r="H399" s="958"/>
      <c r="I399" s="918"/>
      <c r="J399" s="918"/>
      <c r="K399" s="918"/>
      <c r="L399" s="918"/>
      <c r="M399" s="918"/>
      <c r="N399" s="997"/>
      <c r="O399" s="918"/>
      <c r="P399" s="918"/>
      <c r="Q399" s="926"/>
      <c r="R399" s="927"/>
      <c r="S399" s="928"/>
      <c r="T399" s="1039"/>
      <c r="U399" s="918"/>
      <c r="V399" s="918"/>
      <c r="W399" s="918"/>
      <c r="X399" s="918"/>
      <c r="Y399" s="918"/>
      <c r="Z399" s="925"/>
      <c r="AA399" s="918"/>
      <c r="AB399" s="918"/>
      <c r="AC399" s="930"/>
      <c r="AD399" s="1039"/>
      <c r="AE399" s="998"/>
      <c r="AF399" s="918"/>
      <c r="AG399" s="1039"/>
      <c r="AH399" s="918"/>
      <c r="AI399" s="999"/>
      <c r="AJ399" s="999"/>
      <c r="AK399" s="918"/>
      <c r="AL399" s="918"/>
      <c r="AM399" s="918"/>
      <c r="AN399" s="918"/>
      <c r="AO399" s="918"/>
      <c r="AP399" s="918"/>
      <c r="AQ399" s="918"/>
      <c r="AR399" s="918"/>
      <c r="AS399" s="918"/>
      <c r="AT399" s="918"/>
      <c r="AU399" s="918"/>
      <c r="AV399" s="918"/>
      <c r="AW399" s="918"/>
      <c r="AX399" s="918"/>
      <c r="AY399" s="918"/>
      <c r="AZ399" s="998"/>
      <c r="BA399" s="918"/>
      <c r="BB399" s="918"/>
      <c r="BC399" s="918"/>
      <c r="BD399" s="918"/>
      <c r="BE399" s="918"/>
      <c r="BF399" s="918"/>
      <c r="BG399" s="958"/>
      <c r="BH399" s="958"/>
      <c r="BI399" s="918"/>
      <c r="BJ399" s="948"/>
      <c r="BK399" s="948"/>
      <c r="BL399" s="918"/>
      <c r="BM399" s="998"/>
      <c r="BN399" s="918"/>
      <c r="BO399" s="998"/>
      <c r="BP399" s="1000"/>
      <c r="BQ399" s="998"/>
      <c r="BR399" s="998"/>
      <c r="BS399" s="918"/>
      <c r="BT399" s="918"/>
      <c r="BU399" s="918"/>
      <c r="BV399" s="1001"/>
      <c r="BW399" s="918"/>
      <c r="BX399" s="997"/>
      <c r="BY399" s="918"/>
      <c r="BZ399" s="989"/>
      <c r="CA399" s="989"/>
      <c r="CB399" s="989"/>
      <c r="CC399" s="989"/>
      <c r="CD399" s="989"/>
      <c r="CE399" s="989"/>
      <c r="CF399" s="989"/>
      <c r="CG399" s="989"/>
      <c r="CH399" s="989"/>
    </row>
    <row r="400" spans="1:86" s="990" customFormat="1" ht="17.25">
      <c r="A400" s="996"/>
      <c r="B400" s="918"/>
      <c r="C400" s="918"/>
      <c r="D400" s="1004"/>
      <c r="E400" s="918"/>
      <c r="F400" s="918"/>
      <c r="G400" s="918"/>
      <c r="H400" s="958"/>
      <c r="I400" s="918"/>
      <c r="J400" s="918"/>
      <c r="K400" s="918"/>
      <c r="L400" s="918"/>
      <c r="M400" s="918"/>
      <c r="N400" s="997"/>
      <c r="O400" s="918"/>
      <c r="P400" s="918"/>
      <c r="Q400" s="926"/>
      <c r="R400" s="927"/>
      <c r="S400" s="928"/>
      <c r="T400" s="1039"/>
      <c r="U400" s="918"/>
      <c r="V400" s="918"/>
      <c r="W400" s="918"/>
      <c r="X400" s="918"/>
      <c r="Y400" s="918"/>
      <c r="Z400" s="925"/>
      <c r="AA400" s="918"/>
      <c r="AB400" s="918"/>
      <c r="AC400" s="930"/>
      <c r="AD400" s="1039"/>
      <c r="AE400" s="998"/>
      <c r="AF400" s="918"/>
      <c r="AG400" s="1039"/>
      <c r="AH400" s="918"/>
      <c r="AI400" s="999"/>
      <c r="AJ400" s="999"/>
      <c r="AK400" s="918"/>
      <c r="AL400" s="918"/>
      <c r="AM400" s="918"/>
      <c r="AN400" s="918"/>
      <c r="AO400" s="918"/>
      <c r="AP400" s="918"/>
      <c r="AQ400" s="918"/>
      <c r="AR400" s="918"/>
      <c r="AS400" s="918"/>
      <c r="AT400" s="918"/>
      <c r="AU400" s="918"/>
      <c r="AV400" s="918"/>
      <c r="AW400" s="918"/>
      <c r="AX400" s="918"/>
      <c r="AY400" s="918"/>
      <c r="AZ400" s="998"/>
      <c r="BA400" s="918"/>
      <c r="BB400" s="918"/>
      <c r="BC400" s="918"/>
      <c r="BD400" s="918"/>
      <c r="BE400" s="918"/>
      <c r="BF400" s="918"/>
      <c r="BG400" s="958"/>
      <c r="BH400" s="958"/>
      <c r="BI400" s="918"/>
      <c r="BJ400" s="948"/>
      <c r="BK400" s="948"/>
      <c r="BL400" s="918"/>
      <c r="BM400" s="998"/>
      <c r="BN400" s="918"/>
      <c r="BO400" s="998"/>
      <c r="BP400" s="1000"/>
      <c r="BQ400" s="998"/>
      <c r="BR400" s="998"/>
      <c r="BS400" s="918"/>
      <c r="BT400" s="918"/>
      <c r="BU400" s="918"/>
      <c r="BV400" s="1001"/>
      <c r="BW400" s="918"/>
      <c r="BX400" s="997"/>
      <c r="BY400" s="918"/>
      <c r="BZ400" s="989"/>
      <c r="CA400" s="989"/>
      <c r="CB400" s="989"/>
      <c r="CC400" s="989"/>
      <c r="CD400" s="989"/>
      <c r="CE400" s="989"/>
      <c r="CF400" s="989"/>
      <c r="CG400" s="989"/>
      <c r="CH400" s="989"/>
    </row>
    <row r="401" spans="1:86" s="990" customFormat="1" ht="17.25">
      <c r="A401" s="996"/>
      <c r="B401" s="918"/>
      <c r="C401" s="918"/>
      <c r="D401" s="1004"/>
      <c r="E401" s="918"/>
      <c r="F401" s="918"/>
      <c r="G401" s="918"/>
      <c r="H401" s="958"/>
      <c r="I401" s="918"/>
      <c r="J401" s="918"/>
      <c r="K401" s="918"/>
      <c r="L401" s="918"/>
      <c r="M401" s="918"/>
      <c r="N401" s="997"/>
      <c r="O401" s="918"/>
      <c r="P401" s="918"/>
      <c r="Q401" s="926"/>
      <c r="R401" s="927"/>
      <c r="S401" s="928"/>
      <c r="T401" s="1039"/>
      <c r="U401" s="918"/>
      <c r="V401" s="918"/>
      <c r="W401" s="918"/>
      <c r="X401" s="918"/>
      <c r="Y401" s="918"/>
      <c r="Z401" s="925"/>
      <c r="AA401" s="918"/>
      <c r="AB401" s="918"/>
      <c r="AC401" s="930"/>
      <c r="AD401" s="1039"/>
      <c r="AE401" s="998"/>
      <c r="AF401" s="918"/>
      <c r="AG401" s="1039"/>
      <c r="AH401" s="918"/>
      <c r="AI401" s="999"/>
      <c r="AJ401" s="999"/>
      <c r="AK401" s="918"/>
      <c r="AL401" s="918"/>
      <c r="AM401" s="918"/>
      <c r="AN401" s="918"/>
      <c r="AO401" s="918"/>
      <c r="AP401" s="918"/>
      <c r="AQ401" s="918"/>
      <c r="AR401" s="918"/>
      <c r="AS401" s="918"/>
      <c r="AT401" s="918"/>
      <c r="AU401" s="918"/>
      <c r="AV401" s="918"/>
      <c r="AW401" s="918"/>
      <c r="AX401" s="918"/>
      <c r="AY401" s="918"/>
      <c r="AZ401" s="998"/>
      <c r="BA401" s="918"/>
      <c r="BB401" s="918"/>
      <c r="BC401" s="918"/>
      <c r="BD401" s="918"/>
      <c r="BE401" s="918"/>
      <c r="BF401" s="918"/>
      <c r="BG401" s="958"/>
      <c r="BH401" s="958"/>
      <c r="BI401" s="918"/>
      <c r="BJ401" s="948"/>
      <c r="BK401" s="948"/>
      <c r="BL401" s="918"/>
      <c r="BM401" s="998"/>
      <c r="BN401" s="918"/>
      <c r="BO401" s="998"/>
      <c r="BP401" s="1000"/>
      <c r="BQ401" s="998"/>
      <c r="BR401" s="998"/>
      <c r="BS401" s="918"/>
      <c r="BT401" s="918"/>
      <c r="BU401" s="918"/>
      <c r="BV401" s="1001"/>
      <c r="BW401" s="918"/>
      <c r="BX401" s="997"/>
      <c r="BY401" s="918"/>
      <c r="BZ401" s="989"/>
      <c r="CA401" s="989"/>
      <c r="CB401" s="989"/>
      <c r="CC401" s="989"/>
      <c r="CD401" s="989"/>
      <c r="CE401" s="989"/>
      <c r="CF401" s="989"/>
      <c r="CG401" s="989"/>
      <c r="CH401" s="989"/>
    </row>
    <row r="402" spans="1:86" s="990" customFormat="1" ht="17.25">
      <c r="A402" s="996"/>
      <c r="B402" s="918"/>
      <c r="C402" s="918"/>
      <c r="D402" s="1004"/>
      <c r="E402" s="918"/>
      <c r="F402" s="918"/>
      <c r="G402" s="918"/>
      <c r="H402" s="958"/>
      <c r="I402" s="918"/>
      <c r="J402" s="918"/>
      <c r="K402" s="918"/>
      <c r="L402" s="918"/>
      <c r="M402" s="918"/>
      <c r="N402" s="997"/>
      <c r="O402" s="918"/>
      <c r="P402" s="918"/>
      <c r="Q402" s="926"/>
      <c r="R402" s="927"/>
      <c r="S402" s="928"/>
      <c r="T402" s="1039"/>
      <c r="U402" s="918"/>
      <c r="V402" s="918"/>
      <c r="W402" s="918"/>
      <c r="X402" s="918"/>
      <c r="Y402" s="918"/>
      <c r="Z402" s="925"/>
      <c r="AA402" s="918"/>
      <c r="AB402" s="918"/>
      <c r="AC402" s="930"/>
      <c r="AD402" s="1039"/>
      <c r="AE402" s="998"/>
      <c r="AF402" s="918"/>
      <c r="AG402" s="1039"/>
      <c r="AH402" s="918"/>
      <c r="AI402" s="999"/>
      <c r="AJ402" s="999"/>
      <c r="AK402" s="918"/>
      <c r="AL402" s="918"/>
      <c r="AM402" s="918"/>
      <c r="AN402" s="918"/>
      <c r="AO402" s="918"/>
      <c r="AP402" s="918"/>
      <c r="AQ402" s="918"/>
      <c r="AR402" s="918"/>
      <c r="AS402" s="918"/>
      <c r="AT402" s="918"/>
      <c r="AU402" s="918"/>
      <c r="AV402" s="918"/>
      <c r="AW402" s="918"/>
      <c r="AX402" s="918"/>
      <c r="AY402" s="918"/>
      <c r="AZ402" s="998"/>
      <c r="BA402" s="918"/>
      <c r="BB402" s="918"/>
      <c r="BC402" s="918"/>
      <c r="BD402" s="918"/>
      <c r="BE402" s="918"/>
      <c r="BF402" s="918"/>
      <c r="BG402" s="958"/>
      <c r="BH402" s="958"/>
      <c r="BI402" s="918"/>
      <c r="BJ402" s="948"/>
      <c r="BK402" s="948"/>
      <c r="BL402" s="918"/>
      <c r="BM402" s="998"/>
      <c r="BN402" s="918"/>
      <c r="BO402" s="998"/>
      <c r="BP402" s="1000"/>
      <c r="BQ402" s="998"/>
      <c r="BR402" s="998"/>
      <c r="BS402" s="918"/>
      <c r="BT402" s="918"/>
      <c r="BU402" s="918"/>
      <c r="BV402" s="1001"/>
      <c r="BW402" s="918"/>
      <c r="BX402" s="997"/>
      <c r="BY402" s="918"/>
      <c r="BZ402" s="989"/>
      <c r="CA402" s="989"/>
      <c r="CB402" s="989"/>
      <c r="CC402" s="989"/>
      <c r="CD402" s="989"/>
      <c r="CE402" s="989"/>
      <c r="CF402" s="989"/>
      <c r="CG402" s="989"/>
      <c r="CH402" s="989"/>
    </row>
    <row r="403" spans="1:86" s="990" customFormat="1" ht="17.25">
      <c r="A403" s="996"/>
      <c r="B403" s="918"/>
      <c r="C403" s="918"/>
      <c r="D403" s="1004"/>
      <c r="E403" s="918"/>
      <c r="F403" s="918"/>
      <c r="G403" s="918"/>
      <c r="H403" s="958"/>
      <c r="I403" s="918"/>
      <c r="J403" s="918"/>
      <c r="K403" s="918"/>
      <c r="L403" s="918"/>
      <c r="M403" s="918"/>
      <c r="N403" s="997"/>
      <c r="O403" s="918"/>
      <c r="P403" s="918"/>
      <c r="Q403" s="926"/>
      <c r="R403" s="927"/>
      <c r="S403" s="928"/>
      <c r="T403" s="1039"/>
      <c r="U403" s="918"/>
      <c r="V403" s="918"/>
      <c r="W403" s="918"/>
      <c r="X403" s="918"/>
      <c r="Y403" s="918"/>
      <c r="Z403" s="925"/>
      <c r="AA403" s="918"/>
      <c r="AB403" s="918"/>
      <c r="AC403" s="930"/>
      <c r="AD403" s="1039"/>
      <c r="AE403" s="998"/>
      <c r="AF403" s="918"/>
      <c r="AG403" s="1039"/>
      <c r="AH403" s="918"/>
      <c r="AI403" s="999"/>
      <c r="AJ403" s="999"/>
      <c r="AK403" s="918"/>
      <c r="AL403" s="918"/>
      <c r="AM403" s="918"/>
      <c r="AN403" s="918"/>
      <c r="AO403" s="918"/>
      <c r="AP403" s="918"/>
      <c r="AQ403" s="918"/>
      <c r="AR403" s="918"/>
      <c r="AS403" s="918"/>
      <c r="AT403" s="918"/>
      <c r="AU403" s="918"/>
      <c r="AV403" s="918"/>
      <c r="AW403" s="918"/>
      <c r="AX403" s="918"/>
      <c r="AY403" s="918"/>
      <c r="AZ403" s="998"/>
      <c r="BA403" s="918"/>
      <c r="BB403" s="918"/>
      <c r="BC403" s="918"/>
      <c r="BD403" s="918"/>
      <c r="BE403" s="918"/>
      <c r="BF403" s="918"/>
      <c r="BG403" s="958"/>
      <c r="BH403" s="958"/>
      <c r="BI403" s="918"/>
      <c r="BJ403" s="948"/>
      <c r="BK403" s="948"/>
      <c r="BL403" s="918"/>
      <c r="BM403" s="998"/>
      <c r="BN403" s="918"/>
      <c r="BO403" s="998"/>
      <c r="BP403" s="1000"/>
      <c r="BQ403" s="998"/>
      <c r="BR403" s="998"/>
      <c r="BS403" s="918"/>
      <c r="BT403" s="918"/>
      <c r="BU403" s="918"/>
      <c r="BV403" s="1001"/>
      <c r="BW403" s="918"/>
      <c r="BX403" s="997"/>
      <c r="BY403" s="918"/>
      <c r="BZ403" s="989"/>
      <c r="CA403" s="989"/>
      <c r="CB403" s="989"/>
      <c r="CC403" s="989"/>
      <c r="CD403" s="989"/>
      <c r="CE403" s="989"/>
      <c r="CF403" s="989"/>
      <c r="CG403" s="989"/>
      <c r="CH403" s="989"/>
    </row>
    <row r="404" spans="1:86" s="990" customFormat="1" ht="17.25">
      <c r="A404" s="996"/>
      <c r="B404" s="918"/>
      <c r="C404" s="918"/>
      <c r="D404" s="1004"/>
      <c r="E404" s="918"/>
      <c r="F404" s="918"/>
      <c r="G404" s="918"/>
      <c r="H404" s="958"/>
      <c r="I404" s="918"/>
      <c r="J404" s="918"/>
      <c r="K404" s="918"/>
      <c r="L404" s="918"/>
      <c r="M404" s="918"/>
      <c r="N404" s="997"/>
      <c r="O404" s="918"/>
      <c r="P404" s="918"/>
      <c r="Q404" s="926"/>
      <c r="R404" s="927"/>
      <c r="S404" s="928"/>
      <c r="T404" s="1039"/>
      <c r="U404" s="918"/>
      <c r="V404" s="918"/>
      <c r="W404" s="918"/>
      <c r="X404" s="918"/>
      <c r="Y404" s="918"/>
      <c r="Z404" s="925"/>
      <c r="AA404" s="918"/>
      <c r="AB404" s="918"/>
      <c r="AC404" s="930"/>
      <c r="AD404" s="1039"/>
      <c r="AE404" s="998"/>
      <c r="AF404" s="918"/>
      <c r="AG404" s="1039"/>
      <c r="AH404" s="918"/>
      <c r="AI404" s="999"/>
      <c r="AJ404" s="999"/>
      <c r="AK404" s="918"/>
      <c r="AL404" s="918"/>
      <c r="AM404" s="918"/>
      <c r="AN404" s="918"/>
      <c r="AO404" s="918"/>
      <c r="AP404" s="918"/>
      <c r="AQ404" s="918"/>
      <c r="AR404" s="918"/>
      <c r="AS404" s="918"/>
      <c r="AT404" s="918"/>
      <c r="AU404" s="918"/>
      <c r="AV404" s="918"/>
      <c r="AW404" s="918"/>
      <c r="AX404" s="918"/>
      <c r="AY404" s="918"/>
      <c r="AZ404" s="998"/>
      <c r="BA404" s="918"/>
      <c r="BB404" s="918"/>
      <c r="BC404" s="918"/>
      <c r="BD404" s="918"/>
      <c r="BE404" s="918"/>
      <c r="BF404" s="918"/>
      <c r="BG404" s="958"/>
      <c r="BH404" s="958"/>
      <c r="BI404" s="918"/>
      <c r="BJ404" s="948"/>
      <c r="BK404" s="948"/>
      <c r="BL404" s="918"/>
      <c r="BM404" s="998"/>
      <c r="BN404" s="918"/>
      <c r="BO404" s="998"/>
      <c r="BP404" s="1000"/>
      <c r="BQ404" s="998"/>
      <c r="BR404" s="998"/>
      <c r="BS404" s="918"/>
      <c r="BT404" s="918"/>
      <c r="BU404" s="918"/>
      <c r="BV404" s="1001"/>
      <c r="BW404" s="918"/>
      <c r="BX404" s="997"/>
      <c r="BY404" s="918"/>
      <c r="BZ404" s="989"/>
      <c r="CA404" s="989"/>
      <c r="CB404" s="989"/>
      <c r="CC404" s="989"/>
      <c r="CD404" s="989"/>
      <c r="CE404" s="989"/>
      <c r="CF404" s="989"/>
      <c r="CG404" s="989"/>
      <c r="CH404" s="989"/>
    </row>
    <row r="405" spans="1:86" s="990" customFormat="1" ht="17.25">
      <c r="A405" s="996"/>
      <c r="B405" s="918"/>
      <c r="C405" s="918"/>
      <c r="D405" s="1004"/>
      <c r="E405" s="918"/>
      <c r="F405" s="918"/>
      <c r="G405" s="918"/>
      <c r="H405" s="958"/>
      <c r="I405" s="918"/>
      <c r="J405" s="918"/>
      <c r="K405" s="918"/>
      <c r="L405" s="918"/>
      <c r="M405" s="918"/>
      <c r="N405" s="997"/>
      <c r="O405" s="918"/>
      <c r="P405" s="918"/>
      <c r="Q405" s="926"/>
      <c r="R405" s="927"/>
      <c r="S405" s="928"/>
      <c r="T405" s="1039"/>
      <c r="U405" s="918"/>
      <c r="V405" s="918"/>
      <c r="W405" s="918"/>
      <c r="X405" s="918"/>
      <c r="Y405" s="918"/>
      <c r="Z405" s="925"/>
      <c r="AA405" s="918"/>
      <c r="AB405" s="918"/>
      <c r="AC405" s="930"/>
      <c r="AD405" s="1039"/>
      <c r="AE405" s="998"/>
      <c r="AF405" s="918"/>
      <c r="AG405" s="1039"/>
      <c r="AH405" s="918"/>
      <c r="AI405" s="999"/>
      <c r="AJ405" s="999"/>
      <c r="AK405" s="918"/>
      <c r="AL405" s="918"/>
      <c r="AM405" s="918"/>
      <c r="AN405" s="918"/>
      <c r="AO405" s="918"/>
      <c r="AP405" s="918"/>
      <c r="AQ405" s="918"/>
      <c r="AR405" s="918"/>
      <c r="AS405" s="918"/>
      <c r="AT405" s="918"/>
      <c r="AU405" s="918"/>
      <c r="AV405" s="918"/>
      <c r="AW405" s="918"/>
      <c r="AX405" s="918"/>
      <c r="AY405" s="918"/>
      <c r="AZ405" s="998"/>
      <c r="BA405" s="918"/>
      <c r="BB405" s="918"/>
      <c r="BC405" s="918"/>
      <c r="BD405" s="918"/>
      <c r="BE405" s="918"/>
      <c r="BF405" s="918"/>
      <c r="BG405" s="958"/>
      <c r="BH405" s="958"/>
      <c r="BI405" s="918"/>
      <c r="BJ405" s="948"/>
      <c r="BK405" s="948"/>
      <c r="BL405" s="918"/>
      <c r="BM405" s="998"/>
      <c r="BN405" s="918"/>
      <c r="BO405" s="998"/>
      <c r="BP405" s="1000"/>
      <c r="BQ405" s="998"/>
      <c r="BR405" s="998"/>
      <c r="BS405" s="918"/>
      <c r="BT405" s="918"/>
      <c r="BU405" s="918"/>
      <c r="BV405" s="1001"/>
      <c r="BW405" s="918"/>
      <c r="BX405" s="997"/>
      <c r="BY405" s="918"/>
      <c r="BZ405" s="989"/>
      <c r="CA405" s="989"/>
      <c r="CB405" s="989"/>
      <c r="CC405" s="989"/>
      <c r="CD405" s="989"/>
      <c r="CE405" s="989"/>
      <c r="CF405" s="989"/>
      <c r="CG405" s="989"/>
      <c r="CH405" s="989"/>
    </row>
    <row r="406" spans="1:86" s="990" customFormat="1" ht="17.25">
      <c r="A406" s="996"/>
      <c r="B406" s="918"/>
      <c r="C406" s="918"/>
      <c r="D406" s="1004"/>
      <c r="E406" s="918"/>
      <c r="F406" s="918"/>
      <c r="G406" s="918"/>
      <c r="H406" s="958"/>
      <c r="I406" s="918"/>
      <c r="J406" s="918"/>
      <c r="K406" s="918"/>
      <c r="L406" s="918"/>
      <c r="M406" s="918"/>
      <c r="N406" s="997"/>
      <c r="O406" s="918"/>
      <c r="P406" s="918"/>
      <c r="Q406" s="926"/>
      <c r="R406" s="927"/>
      <c r="S406" s="928"/>
      <c r="T406" s="1039"/>
      <c r="U406" s="918"/>
      <c r="V406" s="918"/>
      <c r="W406" s="918"/>
      <c r="X406" s="918"/>
      <c r="Y406" s="918"/>
      <c r="Z406" s="925"/>
      <c r="AA406" s="918"/>
      <c r="AB406" s="918"/>
      <c r="AC406" s="930"/>
      <c r="AD406" s="1039"/>
      <c r="AE406" s="998"/>
      <c r="AF406" s="918"/>
      <c r="AG406" s="1039"/>
      <c r="AH406" s="918"/>
      <c r="AI406" s="999"/>
      <c r="AJ406" s="999"/>
      <c r="AK406" s="918"/>
      <c r="AL406" s="918"/>
      <c r="AM406" s="918"/>
      <c r="AN406" s="918"/>
      <c r="AO406" s="918"/>
      <c r="AP406" s="918"/>
      <c r="AQ406" s="918"/>
      <c r="AR406" s="918"/>
      <c r="AS406" s="918"/>
      <c r="AT406" s="918"/>
      <c r="AU406" s="918"/>
      <c r="AV406" s="918"/>
      <c r="AW406" s="918"/>
      <c r="AX406" s="918"/>
      <c r="AY406" s="918"/>
      <c r="AZ406" s="998"/>
      <c r="BA406" s="918"/>
      <c r="BB406" s="918"/>
      <c r="BC406" s="918"/>
      <c r="BD406" s="918"/>
      <c r="BE406" s="918"/>
      <c r="BF406" s="918"/>
      <c r="BG406" s="958"/>
      <c r="BH406" s="958"/>
      <c r="BI406" s="918"/>
      <c r="BJ406" s="948"/>
      <c r="BK406" s="948"/>
      <c r="BL406" s="918"/>
      <c r="BM406" s="998"/>
      <c r="BN406" s="918"/>
      <c r="BO406" s="998"/>
      <c r="BP406" s="1000"/>
      <c r="BQ406" s="998"/>
      <c r="BR406" s="998"/>
      <c r="BS406" s="918"/>
      <c r="BT406" s="918"/>
      <c r="BU406" s="918"/>
      <c r="BV406" s="1001"/>
      <c r="BW406" s="918"/>
      <c r="BX406" s="997"/>
      <c r="BY406" s="918"/>
      <c r="BZ406" s="989"/>
      <c r="CA406" s="989"/>
      <c r="CB406" s="989"/>
      <c r="CC406" s="989"/>
      <c r="CD406" s="989"/>
      <c r="CE406" s="989"/>
      <c r="CF406" s="989"/>
      <c r="CG406" s="989"/>
      <c r="CH406" s="989"/>
    </row>
    <row r="407" spans="1:86" s="990" customFormat="1" ht="17.25">
      <c r="A407" s="996"/>
      <c r="B407" s="918"/>
      <c r="C407" s="918"/>
      <c r="D407" s="1004"/>
      <c r="E407" s="918"/>
      <c r="F407" s="918"/>
      <c r="G407" s="918"/>
      <c r="H407" s="958"/>
      <c r="I407" s="918"/>
      <c r="J407" s="918"/>
      <c r="K407" s="918"/>
      <c r="L407" s="918"/>
      <c r="M407" s="918"/>
      <c r="N407" s="997"/>
      <c r="O407" s="918"/>
      <c r="P407" s="918"/>
      <c r="Q407" s="926"/>
      <c r="R407" s="927"/>
      <c r="S407" s="928"/>
      <c r="T407" s="1039"/>
      <c r="U407" s="918"/>
      <c r="V407" s="918"/>
      <c r="W407" s="918"/>
      <c r="X407" s="918"/>
      <c r="Y407" s="918"/>
      <c r="Z407" s="925"/>
      <c r="AA407" s="918"/>
      <c r="AB407" s="918"/>
      <c r="AC407" s="930"/>
      <c r="AD407" s="1039"/>
      <c r="AE407" s="998"/>
      <c r="AF407" s="918"/>
      <c r="AG407" s="1039"/>
      <c r="AH407" s="918"/>
      <c r="AI407" s="999"/>
      <c r="AJ407" s="999"/>
      <c r="AK407" s="918"/>
      <c r="AL407" s="918"/>
      <c r="AM407" s="918"/>
      <c r="AN407" s="918"/>
      <c r="AO407" s="918"/>
      <c r="AP407" s="918"/>
      <c r="AQ407" s="918"/>
      <c r="AR407" s="918"/>
      <c r="AS407" s="918"/>
      <c r="AT407" s="918"/>
      <c r="AU407" s="918"/>
      <c r="AV407" s="918"/>
      <c r="AW407" s="918"/>
      <c r="AX407" s="918"/>
      <c r="AY407" s="918"/>
      <c r="AZ407" s="998"/>
      <c r="BA407" s="918"/>
      <c r="BB407" s="918"/>
      <c r="BC407" s="918"/>
      <c r="BD407" s="918"/>
      <c r="BE407" s="918"/>
      <c r="BF407" s="918"/>
      <c r="BG407" s="958"/>
      <c r="BH407" s="958"/>
      <c r="BI407" s="918"/>
      <c r="BJ407" s="948"/>
      <c r="BK407" s="948"/>
      <c r="BL407" s="918"/>
      <c r="BM407" s="998"/>
      <c r="BN407" s="918"/>
      <c r="BO407" s="998"/>
      <c r="BP407" s="1000"/>
      <c r="BQ407" s="998"/>
      <c r="BR407" s="998"/>
      <c r="BS407" s="918"/>
      <c r="BT407" s="918"/>
      <c r="BU407" s="918"/>
      <c r="BV407" s="1001"/>
      <c r="BW407" s="918"/>
      <c r="BX407" s="997"/>
      <c r="BY407" s="918"/>
      <c r="BZ407" s="989"/>
      <c r="CA407" s="989"/>
      <c r="CB407" s="989"/>
      <c r="CC407" s="989"/>
      <c r="CD407" s="989"/>
      <c r="CE407" s="989"/>
      <c r="CF407" s="989"/>
      <c r="CG407" s="989"/>
      <c r="CH407" s="989"/>
    </row>
    <row r="408" spans="1:86" s="990" customFormat="1" ht="17.25">
      <c r="A408" s="996"/>
      <c r="B408" s="918"/>
      <c r="C408" s="918"/>
      <c r="D408" s="1004"/>
      <c r="E408" s="918"/>
      <c r="F408" s="918"/>
      <c r="G408" s="918"/>
      <c r="H408" s="958"/>
      <c r="I408" s="918"/>
      <c r="J408" s="918"/>
      <c r="K408" s="918"/>
      <c r="L408" s="918"/>
      <c r="M408" s="918"/>
      <c r="N408" s="997"/>
      <c r="O408" s="918"/>
      <c r="P408" s="918"/>
      <c r="Q408" s="926"/>
      <c r="R408" s="927"/>
      <c r="S408" s="928"/>
      <c r="T408" s="1039"/>
      <c r="U408" s="918"/>
      <c r="V408" s="918"/>
      <c r="W408" s="918"/>
      <c r="X408" s="918"/>
      <c r="Y408" s="918"/>
      <c r="Z408" s="925"/>
      <c r="AA408" s="918"/>
      <c r="AB408" s="918"/>
      <c r="AC408" s="930"/>
      <c r="AD408" s="1039"/>
      <c r="AE408" s="998"/>
      <c r="AF408" s="918"/>
      <c r="AG408" s="1039"/>
      <c r="AH408" s="918"/>
      <c r="AI408" s="999"/>
      <c r="AJ408" s="999"/>
      <c r="AK408" s="918"/>
      <c r="AL408" s="918"/>
      <c r="AM408" s="918"/>
      <c r="AN408" s="918"/>
      <c r="AO408" s="918"/>
      <c r="AP408" s="918"/>
      <c r="AQ408" s="918"/>
      <c r="AR408" s="918"/>
      <c r="AS408" s="918"/>
      <c r="AT408" s="918"/>
      <c r="AU408" s="918"/>
      <c r="AV408" s="918"/>
      <c r="AW408" s="918"/>
      <c r="AX408" s="918"/>
      <c r="AY408" s="918"/>
      <c r="AZ408" s="998"/>
      <c r="BA408" s="918"/>
      <c r="BB408" s="918"/>
      <c r="BC408" s="918"/>
      <c r="BD408" s="918"/>
      <c r="BE408" s="918"/>
      <c r="BF408" s="918"/>
      <c r="BG408" s="958"/>
      <c r="BH408" s="958"/>
      <c r="BI408" s="918"/>
      <c r="BJ408" s="948"/>
      <c r="BK408" s="948"/>
      <c r="BL408" s="918"/>
      <c r="BM408" s="998"/>
      <c r="BN408" s="918"/>
      <c r="BO408" s="998"/>
      <c r="BP408" s="1000"/>
      <c r="BQ408" s="998"/>
      <c r="BR408" s="998"/>
      <c r="BS408" s="918"/>
      <c r="BT408" s="918"/>
      <c r="BU408" s="918"/>
      <c r="BV408" s="1001"/>
      <c r="BW408" s="918"/>
      <c r="BX408" s="997"/>
      <c r="BY408" s="918"/>
      <c r="BZ408" s="989"/>
      <c r="CA408" s="989"/>
      <c r="CB408" s="989"/>
      <c r="CC408" s="989"/>
      <c r="CD408" s="989"/>
      <c r="CE408" s="989"/>
      <c r="CF408" s="989"/>
      <c r="CG408" s="989"/>
      <c r="CH408" s="989"/>
    </row>
    <row r="409" spans="1:86" s="990" customFormat="1" ht="17.25">
      <c r="A409" s="996"/>
      <c r="B409" s="918"/>
      <c r="C409" s="918"/>
      <c r="D409" s="1004"/>
      <c r="E409" s="918"/>
      <c r="F409" s="918"/>
      <c r="G409" s="918"/>
      <c r="H409" s="958"/>
      <c r="I409" s="918"/>
      <c r="J409" s="918"/>
      <c r="K409" s="918"/>
      <c r="L409" s="918"/>
      <c r="M409" s="918"/>
      <c r="N409" s="997"/>
      <c r="O409" s="918"/>
      <c r="P409" s="918"/>
      <c r="Q409" s="918"/>
      <c r="R409" s="927"/>
      <c r="S409" s="928"/>
      <c r="T409" s="1039"/>
      <c r="U409" s="918"/>
      <c r="V409" s="918"/>
      <c r="W409" s="918"/>
      <c r="X409" s="918"/>
      <c r="Y409" s="918"/>
      <c r="Z409" s="925"/>
      <c r="AA409" s="918"/>
      <c r="AB409" s="918"/>
      <c r="AC409" s="930"/>
      <c r="AD409" s="1039"/>
      <c r="AE409" s="998"/>
      <c r="AF409" s="918"/>
      <c r="AG409" s="1039"/>
      <c r="AH409" s="918"/>
      <c r="AI409" s="999"/>
      <c r="AJ409" s="999"/>
      <c r="AK409" s="918"/>
      <c r="AL409" s="918"/>
      <c r="AM409" s="918"/>
      <c r="AN409" s="918"/>
      <c r="AO409" s="918"/>
      <c r="AP409" s="918"/>
      <c r="AQ409" s="918"/>
      <c r="AR409" s="918"/>
      <c r="AS409" s="918"/>
      <c r="AT409" s="918"/>
      <c r="AU409" s="918"/>
      <c r="AV409" s="918"/>
      <c r="AW409" s="918"/>
      <c r="AX409" s="918"/>
      <c r="AY409" s="918"/>
      <c r="AZ409" s="998"/>
      <c r="BA409" s="918"/>
      <c r="BB409" s="918"/>
      <c r="BC409" s="918"/>
      <c r="BD409" s="918"/>
      <c r="BE409" s="918"/>
      <c r="BF409" s="918"/>
      <c r="BG409" s="958"/>
      <c r="BH409" s="958"/>
      <c r="BI409" s="918"/>
      <c r="BJ409" s="948"/>
      <c r="BK409" s="948"/>
      <c r="BL409" s="918"/>
      <c r="BM409" s="998"/>
      <c r="BN409" s="918"/>
      <c r="BO409" s="998"/>
      <c r="BP409" s="1000"/>
      <c r="BQ409" s="998"/>
      <c r="BR409" s="998"/>
      <c r="BS409" s="918"/>
      <c r="BT409" s="918"/>
      <c r="BU409" s="918"/>
      <c r="BV409" s="1001"/>
      <c r="BW409" s="918"/>
      <c r="BX409" s="997"/>
      <c r="BY409" s="918"/>
      <c r="BZ409" s="989"/>
      <c r="CA409" s="989"/>
      <c r="CB409" s="989"/>
      <c r="CC409" s="989"/>
      <c r="CD409" s="989"/>
      <c r="CE409" s="989"/>
      <c r="CF409" s="989"/>
      <c r="CG409" s="989"/>
      <c r="CH409" s="989"/>
    </row>
    <row r="410" spans="1:86" s="990" customFormat="1" ht="17.25">
      <c r="A410" s="996"/>
      <c r="B410" s="918"/>
      <c r="C410" s="918"/>
      <c r="D410" s="1004"/>
      <c r="E410" s="918"/>
      <c r="F410" s="918"/>
      <c r="G410" s="918"/>
      <c r="H410" s="958"/>
      <c r="I410" s="918"/>
      <c r="J410" s="918"/>
      <c r="K410" s="918"/>
      <c r="L410" s="918"/>
      <c r="M410" s="918"/>
      <c r="N410" s="997"/>
      <c r="O410" s="918"/>
      <c r="P410" s="918"/>
      <c r="Q410" s="918"/>
      <c r="R410" s="918"/>
      <c r="S410" s="918"/>
      <c r="T410" s="1039"/>
      <c r="U410" s="918"/>
      <c r="V410" s="918"/>
      <c r="W410" s="918"/>
      <c r="X410" s="918"/>
      <c r="Y410" s="918"/>
      <c r="Z410" s="925"/>
      <c r="AA410" s="918"/>
      <c r="AB410" s="918"/>
      <c r="AC410" s="930"/>
      <c r="AD410" s="1039"/>
      <c r="AE410" s="998"/>
      <c r="AF410" s="918"/>
      <c r="AG410" s="1039"/>
      <c r="AH410" s="918"/>
      <c r="AI410" s="999"/>
      <c r="AJ410" s="999"/>
      <c r="AK410" s="918"/>
      <c r="AL410" s="918"/>
      <c r="AM410" s="918"/>
      <c r="AN410" s="918"/>
      <c r="AO410" s="918"/>
      <c r="AP410" s="918"/>
      <c r="AQ410" s="918"/>
      <c r="AR410" s="918"/>
      <c r="AS410" s="918"/>
      <c r="AT410" s="918"/>
      <c r="AU410" s="918"/>
      <c r="AV410" s="918"/>
      <c r="AW410" s="918"/>
      <c r="AX410" s="918"/>
      <c r="AY410" s="918"/>
      <c r="AZ410" s="998"/>
      <c r="BA410" s="918"/>
      <c r="BB410" s="918"/>
      <c r="BC410" s="918"/>
      <c r="BD410" s="918"/>
      <c r="BE410" s="918"/>
      <c r="BF410" s="918"/>
      <c r="BG410" s="958"/>
      <c r="BH410" s="958"/>
      <c r="BI410" s="918"/>
      <c r="BJ410" s="948"/>
      <c r="BK410" s="948"/>
      <c r="BL410" s="918"/>
      <c r="BM410" s="998"/>
      <c r="BN410" s="918"/>
      <c r="BO410" s="998"/>
      <c r="BP410" s="1000"/>
      <c r="BQ410" s="998"/>
      <c r="BR410" s="998"/>
      <c r="BS410" s="918"/>
      <c r="BT410" s="918"/>
      <c r="BU410" s="918"/>
      <c r="BV410" s="1001"/>
      <c r="BW410" s="918"/>
      <c r="BX410" s="997"/>
      <c r="BY410" s="918"/>
      <c r="BZ410" s="989"/>
      <c r="CA410" s="989"/>
      <c r="CB410" s="989"/>
      <c r="CC410" s="989"/>
      <c r="CD410" s="989"/>
      <c r="CE410" s="989"/>
      <c r="CF410" s="989"/>
      <c r="CG410" s="989"/>
      <c r="CH410" s="989"/>
    </row>
    <row r="411" spans="1:86" s="990" customFormat="1" ht="17.25">
      <c r="A411" s="996"/>
      <c r="B411" s="918"/>
      <c r="C411" s="918"/>
      <c r="D411" s="1004"/>
      <c r="E411" s="918"/>
      <c r="F411" s="918"/>
      <c r="G411" s="918"/>
      <c r="H411" s="958"/>
      <c r="I411" s="918"/>
      <c r="J411" s="918"/>
      <c r="K411" s="918"/>
      <c r="L411" s="918"/>
      <c r="M411" s="918"/>
      <c r="N411" s="997"/>
      <c r="O411" s="918"/>
      <c r="P411" s="918"/>
      <c r="Q411" s="918"/>
      <c r="R411" s="918"/>
      <c r="S411" s="918"/>
      <c r="T411" s="1039"/>
      <c r="U411" s="918"/>
      <c r="V411" s="918"/>
      <c r="W411" s="918"/>
      <c r="X411" s="918"/>
      <c r="Y411" s="918"/>
      <c r="Z411" s="925"/>
      <c r="AA411" s="918"/>
      <c r="AB411" s="918"/>
      <c r="AC411" s="930"/>
      <c r="AD411" s="1039"/>
      <c r="AE411" s="998"/>
      <c r="AF411" s="918"/>
      <c r="AG411" s="1039"/>
      <c r="AH411" s="918"/>
      <c r="AI411" s="999"/>
      <c r="AJ411" s="999"/>
      <c r="AK411" s="918"/>
      <c r="AL411" s="918"/>
      <c r="AM411" s="918"/>
      <c r="AN411" s="918"/>
      <c r="AO411" s="918"/>
      <c r="AP411" s="918"/>
      <c r="AQ411" s="918"/>
      <c r="AR411" s="918"/>
      <c r="AS411" s="918"/>
      <c r="AT411" s="918"/>
      <c r="AU411" s="918"/>
      <c r="AV411" s="918"/>
      <c r="AW411" s="918"/>
      <c r="AX411" s="918"/>
      <c r="AY411" s="918"/>
      <c r="AZ411" s="998"/>
      <c r="BA411" s="918"/>
      <c r="BB411" s="918"/>
      <c r="BC411" s="918"/>
      <c r="BD411" s="918"/>
      <c r="BE411" s="918"/>
      <c r="BF411" s="918"/>
      <c r="BG411" s="958"/>
      <c r="BH411" s="958"/>
      <c r="BI411" s="918"/>
      <c r="BJ411" s="948"/>
      <c r="BK411" s="948"/>
      <c r="BL411" s="918"/>
      <c r="BM411" s="998"/>
      <c r="BN411" s="918"/>
      <c r="BO411" s="998"/>
      <c r="BP411" s="1000"/>
      <c r="BQ411" s="998"/>
      <c r="BR411" s="998"/>
      <c r="BS411" s="918"/>
      <c r="BT411" s="918"/>
      <c r="BU411" s="918"/>
      <c r="BV411" s="1001"/>
      <c r="BW411" s="918"/>
      <c r="BX411" s="997"/>
      <c r="BY411" s="918"/>
      <c r="BZ411" s="989"/>
      <c r="CA411" s="989"/>
      <c r="CB411" s="989"/>
      <c r="CC411" s="989"/>
      <c r="CD411" s="989"/>
      <c r="CE411" s="989"/>
      <c r="CF411" s="989"/>
      <c r="CG411" s="989"/>
      <c r="CH411" s="989"/>
    </row>
    <row r="412" spans="1:86" s="990" customFormat="1" ht="17.25">
      <c r="A412" s="996"/>
      <c r="B412" s="918"/>
      <c r="C412" s="918"/>
      <c r="D412" s="1004"/>
      <c r="E412" s="918"/>
      <c r="F412" s="918"/>
      <c r="G412" s="918"/>
      <c r="H412" s="958"/>
      <c r="I412" s="918"/>
      <c r="J412" s="918"/>
      <c r="K412" s="918"/>
      <c r="L412" s="918"/>
      <c r="M412" s="918"/>
      <c r="N412" s="997"/>
      <c r="O412" s="918"/>
      <c r="P412" s="918"/>
      <c r="Q412" s="918"/>
      <c r="R412" s="918"/>
      <c r="S412" s="918"/>
      <c r="T412" s="1039"/>
      <c r="U412" s="918"/>
      <c r="V412" s="918"/>
      <c r="W412" s="918"/>
      <c r="X412" s="918"/>
      <c r="Y412" s="918"/>
      <c r="Z412" s="925"/>
      <c r="AA412" s="918"/>
      <c r="AB412" s="918"/>
      <c r="AC412" s="930"/>
      <c r="AD412" s="1039"/>
      <c r="AE412" s="998"/>
      <c r="AF412" s="918"/>
      <c r="AG412" s="1039"/>
      <c r="AH412" s="918"/>
      <c r="AI412" s="999"/>
      <c r="AJ412" s="999"/>
      <c r="AK412" s="918"/>
      <c r="AL412" s="918"/>
      <c r="AM412" s="918"/>
      <c r="AN412" s="918"/>
      <c r="AO412" s="918"/>
      <c r="AP412" s="918"/>
      <c r="AQ412" s="918"/>
      <c r="AR412" s="918"/>
      <c r="AS412" s="918"/>
      <c r="AT412" s="918"/>
      <c r="AU412" s="918"/>
      <c r="AV412" s="918"/>
      <c r="AW412" s="918"/>
      <c r="AX412" s="918"/>
      <c r="AY412" s="918"/>
      <c r="AZ412" s="998"/>
      <c r="BA412" s="918"/>
      <c r="BB412" s="918"/>
      <c r="BC412" s="918"/>
      <c r="BD412" s="918"/>
      <c r="BE412" s="918"/>
      <c r="BF412" s="918"/>
      <c r="BG412" s="958"/>
      <c r="BH412" s="958"/>
      <c r="BI412" s="918"/>
      <c r="BJ412" s="948"/>
      <c r="BK412" s="948"/>
      <c r="BL412" s="918"/>
      <c r="BM412" s="998"/>
      <c r="BN412" s="918"/>
      <c r="BO412" s="998"/>
      <c r="BP412" s="1000"/>
      <c r="BQ412" s="998"/>
      <c r="BR412" s="998"/>
      <c r="BS412" s="918"/>
      <c r="BT412" s="918"/>
      <c r="BU412" s="918"/>
      <c r="BV412" s="1001"/>
      <c r="BW412" s="918"/>
      <c r="BX412" s="997"/>
      <c r="BY412" s="918"/>
      <c r="BZ412" s="989"/>
      <c r="CA412" s="989"/>
      <c r="CB412" s="989"/>
      <c r="CC412" s="989"/>
      <c r="CD412" s="989"/>
      <c r="CE412" s="989"/>
      <c r="CF412" s="989"/>
      <c r="CG412" s="989"/>
      <c r="CH412" s="989"/>
    </row>
    <row r="413" spans="1:86" s="990" customFormat="1" ht="17.25">
      <c r="A413" s="996"/>
      <c r="B413" s="918"/>
      <c r="C413" s="918"/>
      <c r="D413" s="1004"/>
      <c r="E413" s="918"/>
      <c r="F413" s="918"/>
      <c r="G413" s="918"/>
      <c r="H413" s="958"/>
      <c r="I413" s="918"/>
      <c r="J413" s="918"/>
      <c r="K413" s="918"/>
      <c r="L413" s="918"/>
      <c r="M413" s="918"/>
      <c r="N413" s="997"/>
      <c r="O413" s="918"/>
      <c r="P413" s="918"/>
      <c r="Q413" s="918"/>
      <c r="R413" s="918"/>
      <c r="S413" s="918"/>
      <c r="T413" s="1039"/>
      <c r="U413" s="918"/>
      <c r="V413" s="918"/>
      <c r="W413" s="918"/>
      <c r="X413" s="918"/>
      <c r="Y413" s="918"/>
      <c r="Z413" s="1005"/>
      <c r="AA413" s="918"/>
      <c r="AB413" s="918"/>
      <c r="AC413" s="930"/>
      <c r="AD413" s="1039"/>
      <c r="AE413" s="998"/>
      <c r="AF413" s="918"/>
      <c r="AG413" s="1039"/>
      <c r="AH413" s="918"/>
      <c r="AI413" s="999"/>
      <c r="AJ413" s="999"/>
      <c r="AK413" s="918"/>
      <c r="AL413" s="918"/>
      <c r="AM413" s="918"/>
      <c r="AN413" s="918"/>
      <c r="AO413" s="918"/>
      <c r="AP413" s="918"/>
      <c r="AQ413" s="918"/>
      <c r="AR413" s="918"/>
      <c r="AS413" s="918"/>
      <c r="AT413" s="918"/>
      <c r="AU413" s="918"/>
      <c r="AV413" s="918"/>
      <c r="AW413" s="918"/>
      <c r="AX413" s="918"/>
      <c r="AY413" s="918"/>
      <c r="AZ413" s="998"/>
      <c r="BA413" s="918"/>
      <c r="BB413" s="918"/>
      <c r="BC413" s="918"/>
      <c r="BD413" s="918"/>
      <c r="BE413" s="918"/>
      <c r="BF413" s="918"/>
      <c r="BG413" s="958"/>
      <c r="BH413" s="958"/>
      <c r="BI413" s="918"/>
      <c r="BJ413" s="948"/>
      <c r="BK413" s="948"/>
      <c r="BL413" s="918"/>
      <c r="BM413" s="998"/>
      <c r="BN413" s="918"/>
      <c r="BO413" s="998"/>
      <c r="BP413" s="1000"/>
      <c r="BQ413" s="998"/>
      <c r="BR413" s="998"/>
      <c r="BS413" s="918"/>
      <c r="BT413" s="918"/>
      <c r="BU413" s="918"/>
      <c r="BV413" s="1001"/>
      <c r="BW413" s="918"/>
      <c r="BX413" s="997"/>
      <c r="BY413" s="918"/>
      <c r="BZ413" s="989"/>
      <c r="CA413" s="989"/>
      <c r="CB413" s="989"/>
      <c r="CC413" s="989"/>
      <c r="CD413" s="989"/>
      <c r="CE413" s="989"/>
      <c r="CF413" s="989"/>
      <c r="CG413" s="989"/>
      <c r="CH413" s="989"/>
    </row>
    <row r="414" spans="1:86" s="990" customFormat="1" ht="17.25">
      <c r="A414" s="996"/>
      <c r="B414" s="918"/>
      <c r="C414" s="918"/>
      <c r="D414" s="1004"/>
      <c r="E414" s="918"/>
      <c r="F414" s="918"/>
      <c r="G414" s="918"/>
      <c r="H414" s="958"/>
      <c r="I414" s="918"/>
      <c r="J414" s="918"/>
      <c r="K414" s="918"/>
      <c r="L414" s="918"/>
      <c r="M414" s="918"/>
      <c r="N414" s="997"/>
      <c r="O414" s="918"/>
      <c r="P414" s="918"/>
      <c r="Q414" s="918"/>
      <c r="R414" s="918"/>
      <c r="S414" s="918"/>
      <c r="T414" s="1039"/>
      <c r="U414" s="918"/>
      <c r="V414" s="918"/>
      <c r="W414" s="918"/>
      <c r="X414" s="918"/>
      <c r="Y414" s="918"/>
      <c r="Z414" s="1005"/>
      <c r="AA414" s="918"/>
      <c r="AB414" s="918"/>
      <c r="AC414" s="930"/>
      <c r="AD414" s="1039"/>
      <c r="AE414" s="998"/>
      <c r="AF414" s="918"/>
      <c r="AG414" s="1039"/>
      <c r="AH414" s="918"/>
      <c r="AI414" s="999"/>
      <c r="AJ414" s="999"/>
      <c r="AK414" s="918"/>
      <c r="AL414" s="918"/>
      <c r="AM414" s="918"/>
      <c r="AN414" s="918"/>
      <c r="AO414" s="918"/>
      <c r="AP414" s="918"/>
      <c r="AQ414" s="918"/>
      <c r="AR414" s="918"/>
      <c r="AS414" s="918"/>
      <c r="AT414" s="918"/>
      <c r="AU414" s="918"/>
      <c r="AV414" s="918"/>
      <c r="AW414" s="918"/>
      <c r="AX414" s="918"/>
      <c r="AY414" s="918"/>
      <c r="AZ414" s="998"/>
      <c r="BA414" s="918"/>
      <c r="BB414" s="918"/>
      <c r="BC414" s="918"/>
      <c r="BD414" s="918"/>
      <c r="BE414" s="918"/>
      <c r="BF414" s="918"/>
      <c r="BG414" s="958"/>
      <c r="BH414" s="958"/>
      <c r="BI414" s="918"/>
      <c r="BJ414" s="948"/>
      <c r="BK414" s="948"/>
      <c r="BL414" s="918"/>
      <c r="BM414" s="998"/>
      <c r="BN414" s="918"/>
      <c r="BO414" s="998"/>
      <c r="BP414" s="1000"/>
      <c r="BQ414" s="998"/>
      <c r="BR414" s="998"/>
      <c r="BS414" s="918"/>
      <c r="BT414" s="918"/>
      <c r="BU414" s="918"/>
      <c r="BV414" s="1001"/>
      <c r="BW414" s="918"/>
      <c r="BX414" s="997"/>
      <c r="BY414" s="918"/>
      <c r="BZ414" s="989"/>
      <c r="CA414" s="989"/>
      <c r="CB414" s="989"/>
      <c r="CC414" s="989"/>
      <c r="CD414" s="989"/>
      <c r="CE414" s="989"/>
      <c r="CF414" s="989"/>
      <c r="CG414" s="989"/>
      <c r="CH414" s="989"/>
    </row>
    <row r="415" spans="1:86" s="990" customFormat="1" ht="17.25">
      <c r="A415" s="996"/>
      <c r="B415" s="918"/>
      <c r="C415" s="918"/>
      <c r="D415" s="1004"/>
      <c r="E415" s="918"/>
      <c r="F415" s="918"/>
      <c r="G415" s="918"/>
      <c r="H415" s="958"/>
      <c r="I415" s="918"/>
      <c r="J415" s="918"/>
      <c r="K415" s="918"/>
      <c r="L415" s="918"/>
      <c r="M415" s="918"/>
      <c r="N415" s="997"/>
      <c r="O415" s="918"/>
      <c r="P415" s="918"/>
      <c r="Q415" s="918"/>
      <c r="R415" s="918"/>
      <c r="S415" s="918"/>
      <c r="T415" s="1039"/>
      <c r="U415" s="918"/>
      <c r="V415" s="918"/>
      <c r="W415" s="918"/>
      <c r="X415" s="918"/>
      <c r="Y415" s="918"/>
      <c r="Z415" s="1005"/>
      <c r="AA415" s="918"/>
      <c r="AB415" s="918"/>
      <c r="AC415" s="930"/>
      <c r="AD415" s="1039"/>
      <c r="AE415" s="998"/>
      <c r="AF415" s="918"/>
      <c r="AG415" s="1039"/>
      <c r="AH415" s="918"/>
      <c r="AI415" s="999"/>
      <c r="AJ415" s="999"/>
      <c r="AK415" s="918"/>
      <c r="AL415" s="918"/>
      <c r="AM415" s="918"/>
      <c r="AN415" s="918"/>
      <c r="AO415" s="918"/>
      <c r="AP415" s="918"/>
      <c r="AQ415" s="918"/>
      <c r="AR415" s="918"/>
      <c r="AS415" s="918"/>
      <c r="AT415" s="918"/>
      <c r="AU415" s="918"/>
      <c r="AV415" s="918"/>
      <c r="AW415" s="918"/>
      <c r="AX415" s="918"/>
      <c r="AY415" s="918"/>
      <c r="AZ415" s="998"/>
      <c r="BA415" s="918"/>
      <c r="BB415" s="918"/>
      <c r="BC415" s="918"/>
      <c r="BD415" s="918"/>
      <c r="BE415" s="918"/>
      <c r="BF415" s="918"/>
      <c r="BG415" s="958"/>
      <c r="BH415" s="958"/>
      <c r="BI415" s="918"/>
      <c r="BJ415" s="948"/>
      <c r="BK415" s="948"/>
      <c r="BL415" s="918"/>
      <c r="BM415" s="998"/>
      <c r="BN415" s="918"/>
      <c r="BO415" s="998"/>
      <c r="BP415" s="1000"/>
      <c r="BQ415" s="998"/>
      <c r="BR415" s="998"/>
      <c r="BS415" s="918"/>
      <c r="BT415" s="918"/>
      <c r="BU415" s="918"/>
      <c r="BV415" s="1001"/>
      <c r="BW415" s="918"/>
      <c r="BX415" s="997"/>
      <c r="BY415" s="918"/>
      <c r="BZ415" s="989"/>
      <c r="CA415" s="989"/>
      <c r="CB415" s="989"/>
      <c r="CC415" s="989"/>
      <c r="CD415" s="989"/>
      <c r="CE415" s="989"/>
      <c r="CF415" s="989"/>
      <c r="CG415" s="989"/>
      <c r="CH415" s="989"/>
    </row>
    <row r="416" spans="1:86" s="990" customFormat="1" ht="17.25">
      <c r="A416" s="996"/>
      <c r="B416" s="918"/>
      <c r="C416" s="918"/>
      <c r="D416" s="1004"/>
      <c r="E416" s="918"/>
      <c r="F416" s="918"/>
      <c r="G416" s="918"/>
      <c r="H416" s="958"/>
      <c r="I416" s="918"/>
      <c r="J416" s="918"/>
      <c r="K416" s="918"/>
      <c r="L416" s="918"/>
      <c r="M416" s="918"/>
      <c r="N416" s="997"/>
      <c r="O416" s="918"/>
      <c r="P416" s="918"/>
      <c r="Q416" s="918"/>
      <c r="R416" s="918"/>
      <c r="S416" s="918"/>
      <c r="T416" s="1039"/>
      <c r="U416" s="918"/>
      <c r="V416" s="918"/>
      <c r="W416" s="918"/>
      <c r="X416" s="918"/>
      <c r="Y416" s="918"/>
      <c r="Z416" s="1005"/>
      <c r="AA416" s="918"/>
      <c r="AB416" s="918"/>
      <c r="AC416" s="930"/>
      <c r="AD416" s="1039"/>
      <c r="AE416" s="998"/>
      <c r="AF416" s="918"/>
      <c r="AG416" s="1039"/>
      <c r="AH416" s="918"/>
      <c r="AI416" s="999"/>
      <c r="AJ416" s="999"/>
      <c r="AK416" s="918"/>
      <c r="AL416" s="918"/>
      <c r="AM416" s="918"/>
      <c r="AN416" s="918"/>
      <c r="AO416" s="918"/>
      <c r="AP416" s="918"/>
      <c r="AQ416" s="918"/>
      <c r="AR416" s="918"/>
      <c r="AS416" s="918"/>
      <c r="AT416" s="918"/>
      <c r="AU416" s="918"/>
      <c r="AV416" s="918"/>
      <c r="AW416" s="918"/>
      <c r="AX416" s="918"/>
      <c r="AY416" s="918"/>
      <c r="AZ416" s="998"/>
      <c r="BA416" s="918"/>
      <c r="BB416" s="918"/>
      <c r="BC416" s="918"/>
      <c r="BD416" s="918"/>
      <c r="BE416" s="918"/>
      <c r="BF416" s="918"/>
      <c r="BG416" s="958"/>
      <c r="BH416" s="958"/>
      <c r="BI416" s="918"/>
      <c r="BJ416" s="948"/>
      <c r="BK416" s="948"/>
      <c r="BL416" s="918"/>
      <c r="BM416" s="998"/>
      <c r="BN416" s="918"/>
      <c r="BO416" s="998"/>
      <c r="BP416" s="1000"/>
      <c r="BQ416" s="998"/>
      <c r="BR416" s="998"/>
      <c r="BS416" s="918"/>
      <c r="BT416" s="918"/>
      <c r="BU416" s="918"/>
      <c r="BV416" s="1001"/>
      <c r="BW416" s="918"/>
      <c r="BX416" s="997"/>
      <c r="BY416" s="918"/>
      <c r="BZ416" s="989"/>
      <c r="CA416" s="989"/>
      <c r="CB416" s="989"/>
      <c r="CC416" s="989"/>
      <c r="CD416" s="989"/>
      <c r="CE416" s="989"/>
      <c r="CF416" s="989"/>
      <c r="CG416" s="989"/>
      <c r="CH416" s="989"/>
    </row>
    <row r="417" spans="1:86" s="990" customFormat="1" ht="17.25">
      <c r="A417" s="996"/>
      <c r="B417" s="918"/>
      <c r="C417" s="918"/>
      <c r="D417" s="1004"/>
      <c r="E417" s="918"/>
      <c r="F417" s="918"/>
      <c r="G417" s="918"/>
      <c r="H417" s="958"/>
      <c r="I417" s="918"/>
      <c r="J417" s="918"/>
      <c r="K417" s="918"/>
      <c r="L417" s="918"/>
      <c r="M417" s="918"/>
      <c r="N417" s="997"/>
      <c r="O417" s="918"/>
      <c r="P417" s="918"/>
      <c r="Q417" s="918"/>
      <c r="R417" s="918"/>
      <c r="S417" s="918"/>
      <c r="T417" s="1039"/>
      <c r="U417" s="918"/>
      <c r="V417" s="918"/>
      <c r="W417" s="918"/>
      <c r="X417" s="918"/>
      <c r="Y417" s="918"/>
      <c r="Z417" s="1005"/>
      <c r="AA417" s="918"/>
      <c r="AB417" s="918"/>
      <c r="AC417" s="930"/>
      <c r="AD417" s="1039"/>
      <c r="AE417" s="998"/>
      <c r="AF417" s="918"/>
      <c r="AG417" s="1039"/>
      <c r="AH417" s="918"/>
      <c r="AI417" s="999"/>
      <c r="AJ417" s="999"/>
      <c r="AK417" s="918"/>
      <c r="AL417" s="918"/>
      <c r="AM417" s="918"/>
      <c r="AN417" s="918"/>
      <c r="AO417" s="918"/>
      <c r="AP417" s="918"/>
      <c r="AQ417" s="918"/>
      <c r="AR417" s="918"/>
      <c r="AS417" s="918"/>
      <c r="AT417" s="918"/>
      <c r="AU417" s="918"/>
      <c r="AV417" s="918"/>
      <c r="AW417" s="918"/>
      <c r="AX417" s="918"/>
      <c r="AY417" s="918"/>
      <c r="AZ417" s="998"/>
      <c r="BA417" s="918"/>
      <c r="BB417" s="918"/>
      <c r="BC417" s="918"/>
      <c r="BD417" s="918"/>
      <c r="BE417" s="918"/>
      <c r="BF417" s="918"/>
      <c r="BG417" s="958"/>
      <c r="BH417" s="958"/>
      <c r="BI417" s="918"/>
      <c r="BJ417" s="948"/>
      <c r="BK417" s="948"/>
      <c r="BL417" s="918"/>
      <c r="BM417" s="998"/>
      <c r="BN417" s="918"/>
      <c r="BO417" s="998"/>
      <c r="BP417" s="1000"/>
      <c r="BQ417" s="998"/>
      <c r="BR417" s="998"/>
      <c r="BS417" s="918"/>
      <c r="BT417" s="918"/>
      <c r="BU417" s="918"/>
      <c r="BV417" s="1001"/>
      <c r="BW417" s="918"/>
      <c r="BX417" s="997"/>
      <c r="BY417" s="918"/>
      <c r="BZ417" s="989"/>
      <c r="CA417" s="989"/>
      <c r="CB417" s="989"/>
      <c r="CC417" s="989"/>
      <c r="CD417" s="989"/>
      <c r="CE417" s="989"/>
      <c r="CF417" s="989"/>
      <c r="CG417" s="989"/>
      <c r="CH417" s="989"/>
    </row>
    <row r="418" spans="1:86" s="990" customFormat="1" ht="17.25">
      <c r="A418" s="996"/>
      <c r="B418" s="918"/>
      <c r="C418" s="918"/>
      <c r="D418" s="1004"/>
      <c r="E418" s="918"/>
      <c r="F418" s="918"/>
      <c r="G418" s="918"/>
      <c r="H418" s="958"/>
      <c r="I418" s="918"/>
      <c r="J418" s="918"/>
      <c r="K418" s="918"/>
      <c r="L418" s="918"/>
      <c r="M418" s="918"/>
      <c r="N418" s="997"/>
      <c r="O418" s="918"/>
      <c r="P418" s="918"/>
      <c r="Q418" s="918"/>
      <c r="R418" s="918"/>
      <c r="S418" s="918"/>
      <c r="T418" s="1039"/>
      <c r="U418" s="918"/>
      <c r="V418" s="918"/>
      <c r="W418" s="918"/>
      <c r="X418" s="918"/>
      <c r="Y418" s="918"/>
      <c r="Z418" s="1005"/>
      <c r="AA418" s="918"/>
      <c r="AB418" s="918"/>
      <c r="AC418" s="930"/>
      <c r="AD418" s="1039"/>
      <c r="AE418" s="998"/>
      <c r="AF418" s="918"/>
      <c r="AG418" s="1039"/>
      <c r="AH418" s="918"/>
      <c r="AI418" s="999"/>
      <c r="AJ418" s="999"/>
      <c r="AK418" s="918"/>
      <c r="AL418" s="918"/>
      <c r="AM418" s="918"/>
      <c r="AN418" s="918"/>
      <c r="AO418" s="918"/>
      <c r="AP418" s="918"/>
      <c r="AQ418" s="918"/>
      <c r="AR418" s="918"/>
      <c r="AS418" s="918"/>
      <c r="AT418" s="918"/>
      <c r="AU418" s="918"/>
      <c r="AV418" s="918"/>
      <c r="AW418" s="918"/>
      <c r="AX418" s="918"/>
      <c r="AY418" s="918"/>
      <c r="AZ418" s="998"/>
      <c r="BA418" s="918"/>
      <c r="BB418" s="918"/>
      <c r="BC418" s="918"/>
      <c r="BD418" s="918"/>
      <c r="BE418" s="918"/>
      <c r="BF418" s="918"/>
      <c r="BG418" s="958"/>
      <c r="BH418" s="958"/>
      <c r="BI418" s="918"/>
      <c r="BJ418" s="948"/>
      <c r="BK418" s="948"/>
      <c r="BL418" s="918"/>
      <c r="BM418" s="998"/>
      <c r="BN418" s="918"/>
      <c r="BO418" s="998"/>
      <c r="BP418" s="1000"/>
      <c r="BQ418" s="998"/>
      <c r="BR418" s="998"/>
      <c r="BS418" s="918"/>
      <c r="BT418" s="918"/>
      <c r="BU418" s="918"/>
      <c r="BV418" s="1001"/>
      <c r="BW418" s="918"/>
      <c r="BX418" s="997"/>
      <c r="BY418" s="918"/>
      <c r="BZ418" s="989"/>
      <c r="CA418" s="989"/>
      <c r="CB418" s="989"/>
      <c r="CC418" s="989"/>
      <c r="CD418" s="989"/>
      <c r="CE418" s="989"/>
      <c r="CF418" s="989"/>
      <c r="CG418" s="989"/>
      <c r="CH418" s="989"/>
    </row>
    <row r="419" spans="1:86" s="990" customFormat="1" ht="17.25">
      <c r="A419" s="996"/>
      <c r="B419" s="918"/>
      <c r="C419" s="918"/>
      <c r="D419" s="1004"/>
      <c r="E419" s="918"/>
      <c r="F419" s="918"/>
      <c r="G419" s="918"/>
      <c r="H419" s="958"/>
      <c r="I419" s="918"/>
      <c r="J419" s="918"/>
      <c r="K419" s="918"/>
      <c r="L419" s="918"/>
      <c r="M419" s="918"/>
      <c r="N419" s="997"/>
      <c r="O419" s="918"/>
      <c r="P419" s="918"/>
      <c r="Q419" s="918"/>
      <c r="R419" s="918"/>
      <c r="S419" s="918"/>
      <c r="T419" s="1039"/>
      <c r="U419" s="918"/>
      <c r="V419" s="918"/>
      <c r="W419" s="918"/>
      <c r="X419" s="918"/>
      <c r="Y419" s="918"/>
      <c r="Z419" s="1005"/>
      <c r="AA419" s="918"/>
      <c r="AB419" s="918"/>
      <c r="AC419" s="930"/>
      <c r="AD419" s="1039"/>
      <c r="AE419" s="998"/>
      <c r="AF419" s="918"/>
      <c r="AG419" s="1039"/>
      <c r="AH419" s="918"/>
      <c r="AI419" s="999"/>
      <c r="AJ419" s="999"/>
      <c r="AK419" s="918"/>
      <c r="AL419" s="918"/>
      <c r="AM419" s="918"/>
      <c r="AN419" s="918"/>
      <c r="AO419" s="918"/>
      <c r="AP419" s="918"/>
      <c r="AQ419" s="918"/>
      <c r="AR419" s="918"/>
      <c r="AS419" s="918"/>
      <c r="AT419" s="918"/>
      <c r="AU419" s="918"/>
      <c r="AV419" s="918"/>
      <c r="AW419" s="918"/>
      <c r="AX419" s="918"/>
      <c r="AY419" s="918"/>
      <c r="AZ419" s="998"/>
      <c r="BA419" s="918"/>
      <c r="BB419" s="918"/>
      <c r="BC419" s="918"/>
      <c r="BD419" s="918"/>
      <c r="BE419" s="918"/>
      <c r="BF419" s="918"/>
      <c r="BG419" s="958"/>
      <c r="BH419" s="958"/>
      <c r="BI419" s="918"/>
      <c r="BJ419" s="948"/>
      <c r="BK419" s="948"/>
      <c r="BL419" s="918"/>
      <c r="BM419" s="998"/>
      <c r="BN419" s="918"/>
      <c r="BO419" s="998"/>
      <c r="BP419" s="1000"/>
      <c r="BQ419" s="998"/>
      <c r="BR419" s="998"/>
      <c r="BS419" s="918"/>
      <c r="BT419" s="918"/>
      <c r="BU419" s="918"/>
      <c r="BV419" s="1001"/>
      <c r="BW419" s="918"/>
      <c r="BX419" s="997"/>
      <c r="BY419" s="918"/>
      <c r="BZ419" s="989"/>
      <c r="CA419" s="989"/>
      <c r="CB419" s="989"/>
      <c r="CC419" s="989"/>
      <c r="CD419" s="989"/>
      <c r="CE419" s="989"/>
      <c r="CF419" s="989"/>
      <c r="CG419" s="989"/>
      <c r="CH419" s="989"/>
    </row>
    <row r="420" spans="1:86" s="990" customFormat="1" ht="17.25">
      <c r="A420" s="996"/>
      <c r="B420" s="918"/>
      <c r="C420" s="918"/>
      <c r="D420" s="1004"/>
      <c r="E420" s="918"/>
      <c r="F420" s="918"/>
      <c r="G420" s="918"/>
      <c r="H420" s="958"/>
      <c r="I420" s="918"/>
      <c r="J420" s="918"/>
      <c r="K420" s="918"/>
      <c r="L420" s="918"/>
      <c r="M420" s="918"/>
      <c r="N420" s="997"/>
      <c r="O420" s="918"/>
      <c r="P420" s="918"/>
      <c r="Q420" s="918"/>
      <c r="R420" s="918"/>
      <c r="S420" s="918"/>
      <c r="T420" s="1039"/>
      <c r="U420" s="918"/>
      <c r="V420" s="918"/>
      <c r="W420" s="918"/>
      <c r="X420" s="918"/>
      <c r="Y420" s="918"/>
      <c r="Z420" s="1005"/>
      <c r="AA420" s="918"/>
      <c r="AB420" s="918"/>
      <c r="AC420" s="930"/>
      <c r="AD420" s="1039"/>
      <c r="AE420" s="998"/>
      <c r="AF420" s="918"/>
      <c r="AG420" s="1039"/>
      <c r="AH420" s="918"/>
      <c r="AI420" s="999"/>
      <c r="AJ420" s="999"/>
      <c r="AK420" s="918"/>
      <c r="AL420" s="918"/>
      <c r="AM420" s="918"/>
      <c r="AN420" s="918"/>
      <c r="AO420" s="918"/>
      <c r="AP420" s="918"/>
      <c r="AQ420" s="918"/>
      <c r="AR420" s="918"/>
      <c r="AS420" s="918"/>
      <c r="AT420" s="918"/>
      <c r="AU420" s="918"/>
      <c r="AV420" s="918"/>
      <c r="AW420" s="918"/>
      <c r="AX420" s="918"/>
      <c r="AY420" s="918"/>
      <c r="AZ420" s="998"/>
      <c r="BA420" s="918"/>
      <c r="BB420" s="918"/>
      <c r="BC420" s="918"/>
      <c r="BD420" s="918"/>
      <c r="BE420" s="918"/>
      <c r="BF420" s="918"/>
      <c r="BG420" s="958"/>
      <c r="BH420" s="958"/>
      <c r="BI420" s="918"/>
      <c r="BJ420" s="948"/>
      <c r="BK420" s="948"/>
      <c r="BL420" s="918"/>
      <c r="BM420" s="998"/>
      <c r="BN420" s="918"/>
      <c r="BO420" s="998"/>
      <c r="BP420" s="1000"/>
      <c r="BQ420" s="998"/>
      <c r="BR420" s="998"/>
      <c r="BS420" s="918"/>
      <c r="BT420" s="918"/>
      <c r="BU420" s="918"/>
      <c r="BV420" s="1001"/>
      <c r="BW420" s="918"/>
      <c r="BX420" s="997"/>
      <c r="BY420" s="918"/>
      <c r="BZ420" s="989"/>
      <c r="CA420" s="989"/>
      <c r="CB420" s="989"/>
      <c r="CC420" s="989"/>
      <c r="CD420" s="989"/>
      <c r="CE420" s="989"/>
      <c r="CF420" s="989"/>
      <c r="CG420" s="989"/>
      <c r="CH420" s="989"/>
    </row>
    <row r="421" spans="1:86" s="990" customFormat="1" ht="17.25">
      <c r="A421" s="596"/>
      <c r="B421" s="748"/>
      <c r="C421" s="748"/>
      <c r="D421" s="991"/>
      <c r="E421" s="748"/>
      <c r="F421" s="748"/>
      <c r="G421" s="748"/>
      <c r="H421" s="981"/>
      <c r="I421" s="748"/>
      <c r="J421" s="748"/>
      <c r="K421" s="748"/>
      <c r="L421" s="748"/>
      <c r="M421" s="748"/>
      <c r="N421" s="988"/>
      <c r="O421" s="748"/>
      <c r="P421" s="748"/>
      <c r="Q421" s="748"/>
      <c r="R421" s="748"/>
      <c r="S421" s="748"/>
      <c r="T421" s="1041"/>
      <c r="U421" s="748"/>
      <c r="V421" s="748"/>
      <c r="W421" s="748"/>
      <c r="X421" s="748"/>
      <c r="Y421" s="748"/>
      <c r="Z421" s="992"/>
      <c r="AA421" s="748"/>
      <c r="AB421" s="748"/>
      <c r="AC421" s="982"/>
      <c r="AD421" s="1041"/>
      <c r="AE421" s="983"/>
      <c r="AF421" s="748"/>
      <c r="AG421" s="1041"/>
      <c r="AH421" s="748"/>
      <c r="AI421" s="984"/>
      <c r="AJ421" s="984"/>
      <c r="AK421" s="748"/>
      <c r="AL421" s="748"/>
      <c r="AM421" s="748"/>
      <c r="AN421" s="748"/>
      <c r="AO421" s="748"/>
      <c r="AP421" s="748"/>
      <c r="AQ421" s="748"/>
      <c r="AR421" s="748"/>
      <c r="AS421" s="748"/>
      <c r="AT421" s="748"/>
      <c r="AU421" s="748"/>
      <c r="AV421" s="748"/>
      <c r="AW421" s="748"/>
      <c r="AX421" s="748"/>
      <c r="AY421" s="748"/>
      <c r="AZ421" s="983"/>
      <c r="BA421" s="748"/>
      <c r="BB421" s="748"/>
      <c r="BC421" s="748"/>
      <c r="BD421" s="748"/>
      <c r="BE421" s="748"/>
      <c r="BF421" s="748"/>
      <c r="BG421" s="981"/>
      <c r="BH421" s="981"/>
      <c r="BI421" s="748"/>
      <c r="BJ421" s="985"/>
      <c r="BK421" s="985"/>
      <c r="BL421" s="748"/>
      <c r="BM421" s="983"/>
      <c r="BN421" s="748"/>
      <c r="BO421" s="983"/>
      <c r="BP421" s="986"/>
      <c r="BQ421" s="983"/>
      <c r="BR421" s="983"/>
      <c r="BS421" s="748"/>
      <c r="BT421" s="748"/>
      <c r="BU421" s="748"/>
      <c r="BV421" s="987"/>
      <c r="BW421" s="748"/>
      <c r="BX421" s="988"/>
      <c r="BY421" s="748"/>
      <c r="BZ421" s="989"/>
      <c r="CA421" s="989"/>
      <c r="CB421" s="989"/>
      <c r="CC421" s="989"/>
      <c r="CD421" s="989"/>
      <c r="CE421" s="989"/>
      <c r="CF421" s="989"/>
      <c r="CG421" s="989"/>
      <c r="CH421" s="989"/>
    </row>
    <row r="422" spans="1:86" s="990" customFormat="1" ht="17.25">
      <c r="A422" s="596"/>
      <c r="B422" s="748"/>
      <c r="C422" s="748"/>
      <c r="D422" s="991"/>
      <c r="E422" s="748"/>
      <c r="F422" s="748"/>
      <c r="G422" s="748"/>
      <c r="H422" s="981"/>
      <c r="I422" s="748"/>
      <c r="J422" s="748"/>
      <c r="K422" s="748"/>
      <c r="L422" s="748"/>
      <c r="M422" s="748"/>
      <c r="N422" s="988"/>
      <c r="O422" s="748"/>
      <c r="P422" s="748"/>
      <c r="Q422" s="748"/>
      <c r="R422" s="748"/>
      <c r="S422" s="748"/>
      <c r="T422" s="1041"/>
      <c r="U422" s="748"/>
      <c r="V422" s="748"/>
      <c r="W422" s="748"/>
      <c r="X422" s="748"/>
      <c r="Y422" s="748"/>
      <c r="Z422" s="992"/>
      <c r="AA422" s="748"/>
      <c r="AB422" s="748"/>
      <c r="AC422" s="982"/>
      <c r="AD422" s="1041"/>
      <c r="AE422" s="983"/>
      <c r="AF422" s="748"/>
      <c r="AG422" s="1041"/>
      <c r="AH422" s="748"/>
      <c r="AI422" s="984"/>
      <c r="AJ422" s="984"/>
      <c r="AK422" s="748"/>
      <c r="AL422" s="748"/>
      <c r="AM422" s="748"/>
      <c r="AN422" s="748"/>
      <c r="AO422" s="748"/>
      <c r="AP422" s="748"/>
      <c r="AQ422" s="748"/>
      <c r="AR422" s="748"/>
      <c r="AS422" s="748"/>
      <c r="AT422" s="748"/>
      <c r="AU422" s="748"/>
      <c r="AV422" s="748"/>
      <c r="AW422" s="748"/>
      <c r="AX422" s="748"/>
      <c r="AY422" s="748"/>
      <c r="AZ422" s="983"/>
      <c r="BA422" s="748"/>
      <c r="BB422" s="748"/>
      <c r="BC422" s="748"/>
      <c r="BD422" s="748"/>
      <c r="BE422" s="748"/>
      <c r="BF422" s="748"/>
      <c r="BG422" s="981"/>
      <c r="BH422" s="981"/>
      <c r="BI422" s="748"/>
      <c r="BJ422" s="985"/>
      <c r="BK422" s="985"/>
      <c r="BL422" s="748"/>
      <c r="BM422" s="983"/>
      <c r="BN422" s="748"/>
      <c r="BO422" s="983"/>
      <c r="BP422" s="986"/>
      <c r="BQ422" s="983"/>
      <c r="BR422" s="983"/>
      <c r="BS422" s="748"/>
      <c r="BT422" s="748"/>
      <c r="BU422" s="748"/>
      <c r="BV422" s="987"/>
      <c r="BW422" s="748"/>
      <c r="BX422" s="988"/>
      <c r="BY422" s="748"/>
      <c r="BZ422" s="989"/>
      <c r="CA422" s="989"/>
      <c r="CB422" s="989"/>
      <c r="CC422" s="989"/>
      <c r="CD422" s="989"/>
      <c r="CE422" s="989"/>
      <c r="CF422" s="989"/>
      <c r="CG422" s="989"/>
      <c r="CH422" s="989"/>
    </row>
    <row r="423" spans="1:86" s="990" customFormat="1" ht="17.25">
      <c r="A423" s="596"/>
      <c r="B423" s="748"/>
      <c r="C423" s="748"/>
      <c r="D423" s="991"/>
      <c r="E423" s="748"/>
      <c r="F423" s="748"/>
      <c r="G423" s="748"/>
      <c r="H423" s="981"/>
      <c r="I423" s="748"/>
      <c r="J423" s="748"/>
      <c r="K423" s="748"/>
      <c r="L423" s="748"/>
      <c r="M423" s="748"/>
      <c r="N423" s="988"/>
      <c r="O423" s="748"/>
      <c r="P423" s="748"/>
      <c r="Q423" s="748"/>
      <c r="R423" s="748"/>
      <c r="S423" s="748"/>
      <c r="T423" s="1041"/>
      <c r="U423" s="748"/>
      <c r="V423" s="748"/>
      <c r="W423" s="748"/>
      <c r="X423" s="748"/>
      <c r="Y423" s="748"/>
      <c r="Z423" s="992"/>
      <c r="AA423" s="748"/>
      <c r="AB423" s="748"/>
      <c r="AC423" s="982"/>
      <c r="AD423" s="1041"/>
      <c r="AE423" s="983"/>
      <c r="AF423" s="748"/>
      <c r="AG423" s="1041"/>
      <c r="AH423" s="748"/>
      <c r="AI423" s="984"/>
      <c r="AJ423" s="984"/>
      <c r="AK423" s="748"/>
      <c r="AL423" s="748"/>
      <c r="AM423" s="748"/>
      <c r="AN423" s="748"/>
      <c r="AO423" s="748"/>
      <c r="AP423" s="748"/>
      <c r="AQ423" s="748"/>
      <c r="AR423" s="748"/>
      <c r="AS423" s="748"/>
      <c r="AT423" s="748"/>
      <c r="AU423" s="748"/>
      <c r="AV423" s="748"/>
      <c r="AW423" s="748"/>
      <c r="AX423" s="748"/>
      <c r="AY423" s="748"/>
      <c r="AZ423" s="983"/>
      <c r="BA423" s="748"/>
      <c r="BB423" s="748"/>
      <c r="BC423" s="748"/>
      <c r="BD423" s="748"/>
      <c r="BE423" s="748"/>
      <c r="BF423" s="748"/>
      <c r="BG423" s="981"/>
      <c r="BH423" s="981"/>
      <c r="BI423" s="748"/>
      <c r="BJ423" s="985"/>
      <c r="BK423" s="985"/>
      <c r="BL423" s="748"/>
      <c r="BM423" s="983"/>
      <c r="BN423" s="748"/>
      <c r="BO423" s="983"/>
      <c r="BP423" s="986"/>
      <c r="BQ423" s="983"/>
      <c r="BR423" s="983"/>
      <c r="BS423" s="748"/>
      <c r="BT423" s="748"/>
      <c r="BU423" s="748"/>
      <c r="BV423" s="987"/>
      <c r="BW423" s="748"/>
      <c r="BX423" s="988"/>
      <c r="BY423" s="748"/>
      <c r="BZ423" s="989"/>
      <c r="CA423" s="989"/>
      <c r="CB423" s="989"/>
      <c r="CC423" s="989"/>
      <c r="CD423" s="989"/>
      <c r="CE423" s="989"/>
      <c r="CF423" s="989"/>
      <c r="CG423" s="989"/>
      <c r="CH423" s="989"/>
    </row>
    <row r="424" spans="1:86" s="990" customFormat="1" ht="17.25">
      <c r="A424" s="596"/>
      <c r="B424" s="748"/>
      <c r="C424" s="748"/>
      <c r="D424" s="991"/>
      <c r="E424" s="748"/>
      <c r="F424" s="748"/>
      <c r="G424" s="748"/>
      <c r="H424" s="981"/>
      <c r="I424" s="748"/>
      <c r="J424" s="748"/>
      <c r="K424" s="748"/>
      <c r="L424" s="748"/>
      <c r="M424" s="748"/>
      <c r="N424" s="988"/>
      <c r="O424" s="748"/>
      <c r="P424" s="748"/>
      <c r="Q424" s="748"/>
      <c r="R424" s="748"/>
      <c r="S424" s="748"/>
      <c r="T424" s="1041"/>
      <c r="U424" s="748"/>
      <c r="V424" s="748"/>
      <c r="W424" s="748"/>
      <c r="X424" s="748"/>
      <c r="Y424" s="748"/>
      <c r="Z424" s="992"/>
      <c r="AA424" s="748"/>
      <c r="AB424" s="748"/>
      <c r="AC424" s="982"/>
      <c r="AD424" s="1041"/>
      <c r="AE424" s="983"/>
      <c r="AF424" s="748"/>
      <c r="AG424" s="1041"/>
      <c r="AH424" s="748"/>
      <c r="AI424" s="984"/>
      <c r="AJ424" s="984"/>
      <c r="AK424" s="748"/>
      <c r="AL424" s="748"/>
      <c r="AM424" s="748"/>
      <c r="AN424" s="748"/>
      <c r="AO424" s="748"/>
      <c r="AP424" s="748"/>
      <c r="AQ424" s="748"/>
      <c r="AR424" s="748"/>
      <c r="AS424" s="748"/>
      <c r="AT424" s="748"/>
      <c r="AU424" s="748"/>
      <c r="AV424" s="748"/>
      <c r="AW424" s="748"/>
      <c r="AX424" s="748"/>
      <c r="AY424" s="748"/>
      <c r="AZ424" s="983"/>
      <c r="BA424" s="748"/>
      <c r="BB424" s="748"/>
      <c r="BC424" s="748"/>
      <c r="BD424" s="748"/>
      <c r="BE424" s="748"/>
      <c r="BF424" s="748"/>
      <c r="BG424" s="981"/>
      <c r="BH424" s="981"/>
      <c r="BI424" s="748"/>
      <c r="BJ424" s="985"/>
      <c r="BK424" s="985"/>
      <c r="BL424" s="748"/>
      <c r="BM424" s="983"/>
      <c r="BN424" s="748"/>
      <c r="BO424" s="983"/>
      <c r="BP424" s="986"/>
      <c r="BQ424" s="983"/>
      <c r="BR424" s="983"/>
      <c r="BS424" s="748"/>
      <c r="BT424" s="748"/>
      <c r="BU424" s="748"/>
      <c r="BV424" s="987"/>
      <c r="BW424" s="748"/>
      <c r="BX424" s="988"/>
      <c r="BY424" s="748"/>
      <c r="BZ424" s="989"/>
      <c r="CA424" s="989"/>
      <c r="CB424" s="989"/>
      <c r="CC424" s="989"/>
      <c r="CD424" s="989"/>
      <c r="CE424" s="989"/>
      <c r="CF424" s="989"/>
      <c r="CG424" s="989"/>
      <c r="CH424" s="989"/>
    </row>
    <row r="425" spans="1:86" s="990" customFormat="1" ht="17.25">
      <c r="A425" s="596"/>
      <c r="B425" s="748"/>
      <c r="C425" s="748"/>
      <c r="D425" s="991"/>
      <c r="E425" s="748"/>
      <c r="F425" s="748"/>
      <c r="G425" s="748"/>
      <c r="H425" s="981"/>
      <c r="I425" s="748"/>
      <c r="J425" s="748"/>
      <c r="K425" s="748"/>
      <c r="L425" s="748"/>
      <c r="M425" s="748"/>
      <c r="N425" s="988"/>
      <c r="O425" s="748"/>
      <c r="P425" s="748"/>
      <c r="Q425" s="748"/>
      <c r="R425" s="748"/>
      <c r="S425" s="748"/>
      <c r="T425" s="1041"/>
      <c r="U425" s="748"/>
      <c r="V425" s="748"/>
      <c r="W425" s="748"/>
      <c r="X425" s="748"/>
      <c r="Y425" s="748"/>
      <c r="Z425" s="992"/>
      <c r="AA425" s="748"/>
      <c r="AB425" s="748"/>
      <c r="AC425" s="982"/>
      <c r="AD425" s="1041"/>
      <c r="AE425" s="983"/>
      <c r="AF425" s="748"/>
      <c r="AG425" s="1041"/>
      <c r="AH425" s="748"/>
      <c r="AI425" s="984"/>
      <c r="AJ425" s="984"/>
      <c r="AK425" s="748"/>
      <c r="AL425" s="748"/>
      <c r="AM425" s="748"/>
      <c r="AN425" s="748"/>
      <c r="AO425" s="748"/>
      <c r="AP425" s="748"/>
      <c r="AQ425" s="748"/>
      <c r="AR425" s="748"/>
      <c r="AS425" s="748"/>
      <c r="AT425" s="748"/>
      <c r="AU425" s="748"/>
      <c r="AV425" s="748"/>
      <c r="AW425" s="748"/>
      <c r="AX425" s="748"/>
      <c r="AY425" s="748"/>
      <c r="AZ425" s="983"/>
      <c r="BA425" s="748"/>
      <c r="BB425" s="748"/>
      <c r="BC425" s="748"/>
      <c r="BD425" s="748"/>
      <c r="BE425" s="748"/>
      <c r="BF425" s="748"/>
      <c r="BG425" s="981"/>
      <c r="BH425" s="981"/>
      <c r="BI425" s="748"/>
      <c r="BJ425" s="985"/>
      <c r="BK425" s="985"/>
      <c r="BL425" s="748"/>
      <c r="BM425" s="983"/>
      <c r="BN425" s="748"/>
      <c r="BO425" s="983"/>
      <c r="BP425" s="986"/>
      <c r="BQ425" s="983"/>
      <c r="BR425" s="983"/>
      <c r="BS425" s="748"/>
      <c r="BT425" s="748"/>
      <c r="BU425" s="748"/>
      <c r="BV425" s="987"/>
      <c r="BW425" s="748"/>
      <c r="BX425" s="988"/>
      <c r="BY425" s="748"/>
      <c r="BZ425" s="989"/>
      <c r="CA425" s="989"/>
      <c r="CB425" s="989"/>
      <c r="CC425" s="989"/>
      <c r="CD425" s="989"/>
      <c r="CE425" s="989"/>
      <c r="CF425" s="989"/>
      <c r="CG425" s="989"/>
      <c r="CH425" s="989"/>
    </row>
    <row r="426" spans="1:86" s="990" customFormat="1" ht="17.25">
      <c r="A426" s="596"/>
      <c r="B426" s="748"/>
      <c r="C426" s="748"/>
      <c r="D426" s="991"/>
      <c r="E426" s="748"/>
      <c r="F426" s="748"/>
      <c r="G426" s="748"/>
      <c r="H426" s="981"/>
      <c r="I426" s="748"/>
      <c r="J426" s="748"/>
      <c r="K426" s="748"/>
      <c r="L426" s="748"/>
      <c r="M426" s="748"/>
      <c r="N426" s="988"/>
      <c r="O426" s="748"/>
      <c r="P426" s="748"/>
      <c r="Q426" s="748"/>
      <c r="R426" s="748"/>
      <c r="S426" s="748"/>
      <c r="T426" s="1041"/>
      <c r="U426" s="748"/>
      <c r="V426" s="748"/>
      <c r="W426" s="748"/>
      <c r="X426" s="748"/>
      <c r="Y426" s="748"/>
      <c r="Z426" s="992"/>
      <c r="AA426" s="748"/>
      <c r="AB426" s="748"/>
      <c r="AC426" s="982"/>
      <c r="AD426" s="1041"/>
      <c r="AE426" s="983"/>
      <c r="AF426" s="748"/>
      <c r="AG426" s="1041"/>
      <c r="AH426" s="748"/>
      <c r="AI426" s="984"/>
      <c r="AJ426" s="984"/>
      <c r="AK426" s="748"/>
      <c r="AL426" s="748"/>
      <c r="AM426" s="748"/>
      <c r="AN426" s="748"/>
      <c r="AO426" s="748"/>
      <c r="AP426" s="748"/>
      <c r="AQ426" s="748"/>
      <c r="AR426" s="748"/>
      <c r="AS426" s="748"/>
      <c r="AT426" s="748"/>
      <c r="AU426" s="748"/>
      <c r="AV426" s="748"/>
      <c r="AW426" s="748"/>
      <c r="AX426" s="748"/>
      <c r="AY426" s="748"/>
      <c r="AZ426" s="983"/>
      <c r="BA426" s="748"/>
      <c r="BB426" s="748"/>
      <c r="BC426" s="748"/>
      <c r="BD426" s="748"/>
      <c r="BE426" s="748"/>
      <c r="BF426" s="748"/>
      <c r="BG426" s="981"/>
      <c r="BH426" s="981"/>
      <c r="BI426" s="748"/>
      <c r="BJ426" s="985"/>
      <c r="BK426" s="985"/>
      <c r="BL426" s="748"/>
      <c r="BM426" s="983"/>
      <c r="BN426" s="748"/>
      <c r="BO426" s="983"/>
      <c r="BP426" s="986"/>
      <c r="BQ426" s="983"/>
      <c r="BR426" s="983"/>
      <c r="BS426" s="748"/>
      <c r="BT426" s="748"/>
      <c r="BU426" s="748"/>
      <c r="BV426" s="987"/>
      <c r="BW426" s="748"/>
      <c r="BX426" s="988"/>
      <c r="BY426" s="748"/>
      <c r="BZ426" s="989"/>
      <c r="CA426" s="989"/>
      <c r="CB426" s="989"/>
      <c r="CC426" s="989"/>
      <c r="CD426" s="989"/>
      <c r="CE426" s="989"/>
      <c r="CF426" s="989"/>
      <c r="CG426" s="989"/>
      <c r="CH426" s="989"/>
    </row>
    <row r="427" spans="1:86" s="990" customFormat="1" ht="17.25">
      <c r="A427" s="596"/>
      <c r="B427" s="748"/>
      <c r="C427" s="748"/>
      <c r="D427" s="991"/>
      <c r="E427" s="748"/>
      <c r="F427" s="748"/>
      <c r="G427" s="748"/>
      <c r="H427" s="981"/>
      <c r="I427" s="748"/>
      <c r="J427" s="748"/>
      <c r="K427" s="748"/>
      <c r="L427" s="748"/>
      <c r="M427" s="748"/>
      <c r="N427" s="988"/>
      <c r="O427" s="748"/>
      <c r="P427" s="748"/>
      <c r="Q427" s="748"/>
      <c r="R427" s="748"/>
      <c r="S427" s="748"/>
      <c r="T427" s="1041"/>
      <c r="U427" s="748"/>
      <c r="V427" s="748"/>
      <c r="W427" s="748"/>
      <c r="X427" s="748"/>
      <c r="Y427" s="748"/>
      <c r="Z427" s="992"/>
      <c r="AA427" s="748"/>
      <c r="AB427" s="748"/>
      <c r="AC427" s="982"/>
      <c r="AD427" s="1041"/>
      <c r="AE427" s="983"/>
      <c r="AF427" s="748"/>
      <c r="AG427" s="1041"/>
      <c r="AH427" s="748"/>
      <c r="AI427" s="984"/>
      <c r="AJ427" s="984"/>
      <c r="AK427" s="748"/>
      <c r="AL427" s="748"/>
      <c r="AM427" s="748"/>
      <c r="AN427" s="748"/>
      <c r="AO427" s="748"/>
      <c r="AP427" s="748"/>
      <c r="AQ427" s="748"/>
      <c r="AR427" s="748"/>
      <c r="AS427" s="748"/>
      <c r="AT427" s="748"/>
      <c r="AU427" s="748"/>
      <c r="AV427" s="748"/>
      <c r="AW427" s="748"/>
      <c r="AX427" s="748"/>
      <c r="AY427" s="748"/>
      <c r="AZ427" s="983"/>
      <c r="BA427" s="748"/>
      <c r="BB427" s="748"/>
      <c r="BC427" s="748"/>
      <c r="BD427" s="748"/>
      <c r="BE427" s="748"/>
      <c r="BF427" s="748"/>
      <c r="BG427" s="981"/>
      <c r="BH427" s="981"/>
      <c r="BI427" s="748"/>
      <c r="BJ427" s="985"/>
      <c r="BK427" s="985"/>
      <c r="BL427" s="748"/>
      <c r="BM427" s="983"/>
      <c r="BN427" s="748"/>
      <c r="BO427" s="983"/>
      <c r="BP427" s="986"/>
      <c r="BQ427" s="983"/>
      <c r="BR427" s="983"/>
      <c r="BS427" s="748"/>
      <c r="BT427" s="748"/>
      <c r="BU427" s="748"/>
      <c r="BV427" s="987"/>
      <c r="BW427" s="748"/>
      <c r="BX427" s="988"/>
      <c r="BY427" s="748"/>
      <c r="BZ427" s="989"/>
      <c r="CA427" s="989"/>
      <c r="CB427" s="989"/>
      <c r="CC427" s="989"/>
      <c r="CD427" s="989"/>
      <c r="CE427" s="989"/>
      <c r="CF427" s="989"/>
      <c r="CG427" s="989"/>
      <c r="CH427" s="989"/>
    </row>
    <row r="428" spans="1:86" s="990" customFormat="1" ht="17.25">
      <c r="A428" s="596"/>
      <c r="B428" s="748"/>
      <c r="C428" s="748"/>
      <c r="D428" s="991"/>
      <c r="E428" s="748"/>
      <c r="F428" s="748"/>
      <c r="G428" s="748"/>
      <c r="H428" s="981"/>
      <c r="I428" s="748"/>
      <c r="J428" s="748"/>
      <c r="K428" s="748"/>
      <c r="L428" s="748"/>
      <c r="M428" s="748"/>
      <c r="N428" s="988"/>
      <c r="O428" s="748"/>
      <c r="P428" s="748"/>
      <c r="Q428" s="748"/>
      <c r="R428" s="748"/>
      <c r="S428" s="748"/>
      <c r="T428" s="1041"/>
      <c r="U428" s="748"/>
      <c r="V428" s="748"/>
      <c r="W428" s="748"/>
      <c r="X428" s="748"/>
      <c r="Y428" s="748"/>
      <c r="Z428" s="992"/>
      <c r="AA428" s="748"/>
      <c r="AB428" s="748"/>
      <c r="AC428" s="982"/>
      <c r="AD428" s="1041"/>
      <c r="AE428" s="983"/>
      <c r="AF428" s="748"/>
      <c r="AG428" s="1041"/>
      <c r="AH428" s="748"/>
      <c r="AI428" s="984"/>
      <c r="AJ428" s="984"/>
      <c r="AK428" s="748"/>
      <c r="AL428" s="748"/>
      <c r="AM428" s="748"/>
      <c r="AN428" s="748"/>
      <c r="AO428" s="748"/>
      <c r="AP428" s="748"/>
      <c r="AQ428" s="748"/>
      <c r="AR428" s="748"/>
      <c r="AS428" s="748"/>
      <c r="AT428" s="748"/>
      <c r="AU428" s="748"/>
      <c r="AV428" s="748"/>
      <c r="AW428" s="748"/>
      <c r="AX428" s="748"/>
      <c r="AY428" s="748"/>
      <c r="AZ428" s="983"/>
      <c r="BA428" s="748"/>
      <c r="BB428" s="748"/>
      <c r="BC428" s="748"/>
      <c r="BD428" s="748"/>
      <c r="BE428" s="748"/>
      <c r="BF428" s="748"/>
      <c r="BG428" s="981"/>
      <c r="BH428" s="981"/>
      <c r="BI428" s="748"/>
      <c r="BJ428" s="985"/>
      <c r="BK428" s="985"/>
      <c r="BL428" s="748"/>
      <c r="BM428" s="983"/>
      <c r="BN428" s="748"/>
      <c r="BO428" s="983"/>
      <c r="BP428" s="986"/>
      <c r="BQ428" s="983"/>
      <c r="BR428" s="983"/>
      <c r="BS428" s="748"/>
      <c r="BT428" s="748"/>
      <c r="BU428" s="748"/>
      <c r="BV428" s="987"/>
      <c r="BW428" s="748"/>
      <c r="BX428" s="988"/>
      <c r="BY428" s="748"/>
      <c r="BZ428" s="989"/>
      <c r="CA428" s="989"/>
      <c r="CB428" s="989"/>
      <c r="CC428" s="989"/>
      <c r="CD428" s="989"/>
      <c r="CE428" s="989"/>
      <c r="CF428" s="989"/>
      <c r="CG428" s="989"/>
      <c r="CH428" s="989"/>
    </row>
    <row r="429" spans="1:86" s="281" customFormat="1" ht="17.25">
      <c r="A429" s="278"/>
      <c r="B429" s="280"/>
      <c r="C429" s="280"/>
      <c r="D429" s="738"/>
      <c r="E429" s="280"/>
      <c r="F429" s="280"/>
      <c r="G429" s="280"/>
      <c r="H429" s="674"/>
      <c r="I429" s="280"/>
      <c r="J429" s="280"/>
      <c r="K429" s="280"/>
      <c r="L429" s="280"/>
      <c r="M429" s="280"/>
      <c r="N429" s="282"/>
      <c r="O429" s="280"/>
      <c r="P429" s="280"/>
      <c r="Q429" s="280"/>
      <c r="R429" s="280"/>
      <c r="S429" s="280"/>
      <c r="T429" s="1042"/>
      <c r="U429" s="280"/>
      <c r="V429" s="280"/>
      <c r="W429" s="280"/>
      <c r="X429" s="280"/>
      <c r="Y429" s="280"/>
      <c r="Z429" s="784"/>
      <c r="AA429" s="280"/>
      <c r="AB429" s="280"/>
      <c r="AC429" s="434"/>
      <c r="AD429" s="1042"/>
      <c r="AE429" s="714"/>
      <c r="AF429" s="280"/>
      <c r="AG429" s="1042"/>
      <c r="AH429" s="280"/>
      <c r="AI429" s="283"/>
      <c r="AJ429" s="283"/>
      <c r="AK429" s="280"/>
      <c r="AL429" s="280"/>
      <c r="AM429" s="280"/>
      <c r="AN429" s="280"/>
      <c r="AO429" s="280"/>
      <c r="AP429" s="280"/>
      <c r="AQ429" s="280"/>
      <c r="AR429" s="280"/>
      <c r="AS429" s="280"/>
      <c r="AT429" s="280"/>
      <c r="AU429" s="280"/>
      <c r="AV429" s="280"/>
      <c r="AW429" s="280"/>
      <c r="AX429" s="280"/>
      <c r="AY429" s="280"/>
      <c r="AZ429" s="714"/>
      <c r="BA429" s="280"/>
      <c r="BB429" s="280"/>
      <c r="BC429" s="280"/>
      <c r="BD429" s="280"/>
      <c r="BE429" s="280"/>
      <c r="BF429" s="280"/>
      <c r="BG429" s="674"/>
      <c r="BH429" s="674"/>
      <c r="BI429" s="280"/>
      <c r="BJ429" s="703"/>
      <c r="BK429" s="703"/>
      <c r="BL429" s="280"/>
      <c r="BM429" s="714"/>
      <c r="BN429" s="280"/>
      <c r="BO429" s="714"/>
      <c r="BP429" s="723"/>
      <c r="BQ429" s="714"/>
      <c r="BR429" s="714"/>
      <c r="BS429" s="280"/>
      <c r="BT429" s="280"/>
      <c r="BU429" s="280"/>
      <c r="BV429" s="284"/>
      <c r="BW429" s="280"/>
      <c r="BX429" s="282"/>
      <c r="BY429" s="280"/>
      <c r="BZ429" s="666"/>
      <c r="CA429" s="666"/>
      <c r="CB429" s="666"/>
      <c r="CC429" s="666"/>
      <c r="CD429" s="666"/>
      <c r="CE429" s="666"/>
      <c r="CF429" s="666"/>
      <c r="CG429" s="666"/>
      <c r="CH429" s="666"/>
    </row>
    <row r="430" spans="1:86" s="281" customFormat="1" ht="17.25">
      <c r="A430" s="278"/>
      <c r="B430" s="280"/>
      <c r="C430" s="280"/>
      <c r="D430" s="738"/>
      <c r="E430" s="280"/>
      <c r="F430" s="280"/>
      <c r="G430" s="280"/>
      <c r="H430" s="674"/>
      <c r="I430" s="280"/>
      <c r="J430" s="280"/>
      <c r="K430" s="280"/>
      <c r="L430" s="280"/>
      <c r="M430" s="280"/>
      <c r="N430" s="282"/>
      <c r="O430" s="280"/>
      <c r="P430" s="280"/>
      <c r="Q430" s="280"/>
      <c r="R430" s="280"/>
      <c r="S430" s="280"/>
      <c r="T430" s="1042"/>
      <c r="U430" s="280"/>
      <c r="V430" s="280"/>
      <c r="W430" s="280"/>
      <c r="X430" s="280"/>
      <c r="Y430" s="280"/>
      <c r="Z430" s="784"/>
      <c r="AA430" s="280"/>
      <c r="AB430" s="280"/>
      <c r="AC430" s="298"/>
      <c r="AD430" s="1042"/>
      <c r="AE430" s="714"/>
      <c r="AF430" s="280"/>
      <c r="AG430" s="1042"/>
      <c r="AH430" s="280"/>
      <c r="AI430" s="283"/>
      <c r="AJ430" s="283"/>
      <c r="AK430" s="280"/>
      <c r="AL430" s="280"/>
      <c r="AM430" s="280"/>
      <c r="AN430" s="280"/>
      <c r="AO430" s="280"/>
      <c r="AP430" s="280"/>
      <c r="AQ430" s="280"/>
      <c r="AR430" s="280"/>
      <c r="AS430" s="280"/>
      <c r="AT430" s="280"/>
      <c r="AU430" s="280"/>
      <c r="AV430" s="280"/>
      <c r="AW430" s="280"/>
      <c r="AX430" s="280"/>
      <c r="AY430" s="280"/>
      <c r="AZ430" s="714"/>
      <c r="BA430" s="280"/>
      <c r="BB430" s="280"/>
      <c r="BC430" s="280"/>
      <c r="BD430" s="280"/>
      <c r="BE430" s="280"/>
      <c r="BF430" s="280"/>
      <c r="BG430" s="674"/>
      <c r="BH430" s="674"/>
      <c r="BI430" s="280"/>
      <c r="BJ430" s="703"/>
      <c r="BK430" s="703"/>
      <c r="BL430" s="280"/>
      <c r="BM430" s="714"/>
      <c r="BN430" s="280"/>
      <c r="BO430" s="714"/>
      <c r="BP430" s="723"/>
      <c r="BQ430" s="714"/>
      <c r="BR430" s="714"/>
      <c r="BS430" s="280"/>
      <c r="BT430" s="280"/>
      <c r="BU430" s="280"/>
      <c r="BV430" s="284"/>
      <c r="BW430" s="280"/>
      <c r="BX430" s="282"/>
      <c r="BY430" s="280"/>
      <c r="BZ430" s="666"/>
      <c r="CA430" s="666"/>
      <c r="CB430" s="666"/>
      <c r="CC430" s="666"/>
      <c r="CD430" s="666"/>
      <c r="CE430" s="666"/>
      <c r="CF430" s="666"/>
      <c r="CG430" s="666"/>
      <c r="CH430" s="666"/>
    </row>
    <row r="431" spans="1:86" s="281" customFormat="1" ht="17.25">
      <c r="A431" s="278"/>
      <c r="B431" s="280"/>
      <c r="C431" s="280"/>
      <c r="D431" s="738"/>
      <c r="E431" s="280"/>
      <c r="F431" s="280"/>
      <c r="G431" s="280"/>
      <c r="H431" s="674"/>
      <c r="I431" s="280"/>
      <c r="J431" s="280"/>
      <c r="K431" s="280"/>
      <c r="L431" s="280"/>
      <c r="M431" s="280"/>
      <c r="N431" s="282"/>
      <c r="O431" s="280"/>
      <c r="P431" s="280"/>
      <c r="Q431" s="280"/>
      <c r="R431" s="280"/>
      <c r="S431" s="280"/>
      <c r="T431" s="1042"/>
      <c r="U431" s="280"/>
      <c r="V431" s="280"/>
      <c r="W431" s="280"/>
      <c r="X431" s="280"/>
      <c r="Y431" s="280"/>
      <c r="Z431" s="784"/>
      <c r="AA431" s="280"/>
      <c r="AB431" s="280"/>
      <c r="AC431" s="298"/>
      <c r="AD431" s="1042"/>
      <c r="AE431" s="714"/>
      <c r="AF431" s="280"/>
      <c r="AG431" s="1042"/>
      <c r="AH431" s="280"/>
      <c r="AI431" s="283"/>
      <c r="AJ431" s="283"/>
      <c r="AK431" s="280"/>
      <c r="AL431" s="280"/>
      <c r="AM431" s="280"/>
      <c r="AN431" s="280"/>
      <c r="AO431" s="280"/>
      <c r="AP431" s="280"/>
      <c r="AQ431" s="280"/>
      <c r="AR431" s="280"/>
      <c r="AS431" s="280"/>
      <c r="AT431" s="280"/>
      <c r="AU431" s="280"/>
      <c r="AV431" s="280"/>
      <c r="AW431" s="280"/>
      <c r="AX431" s="280"/>
      <c r="AY431" s="280"/>
      <c r="AZ431" s="714"/>
      <c r="BA431" s="280"/>
      <c r="BB431" s="280"/>
      <c r="BC431" s="280"/>
      <c r="BD431" s="280"/>
      <c r="BE431" s="280"/>
      <c r="BF431" s="280"/>
      <c r="BG431" s="674"/>
      <c r="BH431" s="674"/>
      <c r="BI431" s="280"/>
      <c r="BJ431" s="703"/>
      <c r="BK431" s="703"/>
      <c r="BL431" s="280"/>
      <c r="BM431" s="714"/>
      <c r="BN431" s="280"/>
      <c r="BO431" s="714"/>
      <c r="BP431" s="723"/>
      <c r="BQ431" s="714"/>
      <c r="BR431" s="714"/>
      <c r="BS431" s="280"/>
      <c r="BT431" s="280"/>
      <c r="BU431" s="280"/>
      <c r="BV431" s="284"/>
      <c r="BW431" s="280"/>
      <c r="BX431" s="282"/>
      <c r="BY431" s="280"/>
      <c r="BZ431" s="666"/>
      <c r="CA431" s="666"/>
      <c r="CB431" s="666"/>
      <c r="CC431" s="666"/>
      <c r="CD431" s="666"/>
      <c r="CE431" s="666"/>
      <c r="CF431" s="666"/>
      <c r="CG431" s="666"/>
      <c r="CH431" s="666"/>
    </row>
    <row r="432" spans="1:86" s="281" customFormat="1" ht="17.25">
      <c r="A432" s="278"/>
      <c r="B432" s="280"/>
      <c r="C432" s="280"/>
      <c r="D432" s="738"/>
      <c r="E432" s="280"/>
      <c r="F432" s="280"/>
      <c r="G432" s="280"/>
      <c r="H432" s="674"/>
      <c r="I432" s="280"/>
      <c r="J432" s="280"/>
      <c r="K432" s="280"/>
      <c r="L432" s="280"/>
      <c r="M432" s="280"/>
      <c r="N432" s="282"/>
      <c r="O432" s="280"/>
      <c r="P432" s="280"/>
      <c r="Q432" s="280"/>
      <c r="R432" s="280"/>
      <c r="S432" s="280"/>
      <c r="T432" s="1042"/>
      <c r="U432" s="280"/>
      <c r="V432" s="280"/>
      <c r="W432" s="280"/>
      <c r="X432" s="280"/>
      <c r="Y432" s="280"/>
      <c r="Z432" s="784"/>
      <c r="AA432" s="280"/>
      <c r="AB432" s="280"/>
      <c r="AC432" s="298"/>
      <c r="AD432" s="1042"/>
      <c r="AE432" s="714"/>
      <c r="AF432" s="280"/>
      <c r="AG432" s="1042"/>
      <c r="AH432" s="280"/>
      <c r="AI432" s="283"/>
      <c r="AJ432" s="283"/>
      <c r="AK432" s="280"/>
      <c r="AL432" s="280"/>
      <c r="AM432" s="280"/>
      <c r="AN432" s="280"/>
      <c r="AO432" s="280"/>
      <c r="AP432" s="280"/>
      <c r="AQ432" s="280"/>
      <c r="AR432" s="280"/>
      <c r="AS432" s="280"/>
      <c r="AT432" s="280"/>
      <c r="AU432" s="280"/>
      <c r="AV432" s="280"/>
      <c r="AW432" s="280"/>
      <c r="AX432" s="280"/>
      <c r="AY432" s="280"/>
      <c r="AZ432" s="714"/>
      <c r="BA432" s="280"/>
      <c r="BB432" s="280"/>
      <c r="BC432" s="280"/>
      <c r="BD432" s="280"/>
      <c r="BE432" s="280"/>
      <c r="BF432" s="280"/>
      <c r="BG432" s="674"/>
      <c r="BH432" s="674"/>
      <c r="BI432" s="280"/>
      <c r="BJ432" s="703"/>
      <c r="BK432" s="703"/>
      <c r="BL432" s="280"/>
      <c r="BM432" s="714"/>
      <c r="BN432" s="280"/>
      <c r="BO432" s="714"/>
      <c r="BP432" s="723"/>
      <c r="BQ432" s="714"/>
      <c r="BR432" s="714"/>
      <c r="BS432" s="280"/>
      <c r="BT432" s="280"/>
      <c r="BU432" s="280"/>
      <c r="BV432" s="284"/>
      <c r="BW432" s="280"/>
      <c r="BX432" s="282"/>
      <c r="BY432" s="280"/>
      <c r="BZ432" s="666"/>
      <c r="CA432" s="666"/>
      <c r="CB432" s="666"/>
      <c r="CC432" s="666"/>
      <c r="CD432" s="666"/>
      <c r="CE432" s="666"/>
      <c r="CF432" s="666"/>
      <c r="CG432" s="666"/>
      <c r="CH432" s="666"/>
    </row>
    <row r="433" spans="1:86" s="281" customFormat="1" ht="17.25">
      <c r="A433" s="278"/>
      <c r="B433" s="280"/>
      <c r="C433" s="280"/>
      <c r="D433" s="738"/>
      <c r="E433" s="280"/>
      <c r="F433" s="280"/>
      <c r="G433" s="280"/>
      <c r="H433" s="674"/>
      <c r="I433" s="280"/>
      <c r="J433" s="280"/>
      <c r="K433" s="280"/>
      <c r="L433" s="280"/>
      <c r="M433" s="280"/>
      <c r="N433" s="282"/>
      <c r="O433" s="280"/>
      <c r="P433" s="280"/>
      <c r="Q433" s="280"/>
      <c r="R433" s="280"/>
      <c r="S433" s="280"/>
      <c r="T433" s="1042"/>
      <c r="U433" s="280"/>
      <c r="V433" s="280"/>
      <c r="W433" s="280"/>
      <c r="X433" s="280"/>
      <c r="Y433" s="280"/>
      <c r="Z433" s="784"/>
      <c r="AA433" s="280"/>
      <c r="AB433" s="280"/>
      <c r="AC433" s="298"/>
      <c r="AD433" s="1042"/>
      <c r="AE433" s="714"/>
      <c r="AF433" s="280"/>
      <c r="AG433" s="1042"/>
      <c r="AH433" s="280"/>
      <c r="AI433" s="283"/>
      <c r="AJ433" s="283"/>
      <c r="AK433" s="280"/>
      <c r="AL433" s="280"/>
      <c r="AM433" s="280"/>
      <c r="AN433" s="280"/>
      <c r="AO433" s="280"/>
      <c r="AP433" s="280"/>
      <c r="AQ433" s="280"/>
      <c r="AR433" s="280"/>
      <c r="AS433" s="280"/>
      <c r="AT433" s="280"/>
      <c r="AU433" s="280"/>
      <c r="AV433" s="280"/>
      <c r="AW433" s="280"/>
      <c r="AX433" s="280"/>
      <c r="AY433" s="280"/>
      <c r="AZ433" s="714"/>
      <c r="BA433" s="280"/>
      <c r="BB433" s="280"/>
      <c r="BC433" s="280"/>
      <c r="BD433" s="280"/>
      <c r="BE433" s="280"/>
      <c r="BF433" s="280"/>
      <c r="BG433" s="674"/>
      <c r="BH433" s="674"/>
      <c r="BI433" s="280"/>
      <c r="BJ433" s="703"/>
      <c r="BK433" s="703"/>
      <c r="BL433" s="280"/>
      <c r="BM433" s="714"/>
      <c r="BN433" s="280"/>
      <c r="BO433" s="714"/>
      <c r="BP433" s="723"/>
      <c r="BQ433" s="714"/>
      <c r="BR433" s="714"/>
      <c r="BS433" s="280"/>
      <c r="BT433" s="280"/>
      <c r="BU433" s="280"/>
      <c r="BV433" s="284"/>
      <c r="BW433" s="280"/>
      <c r="BX433" s="282"/>
      <c r="BY433" s="280"/>
      <c r="BZ433" s="666"/>
      <c r="CA433" s="666"/>
      <c r="CB433" s="666"/>
      <c r="CC433" s="666"/>
      <c r="CD433" s="666"/>
      <c r="CE433" s="666"/>
      <c r="CF433" s="666"/>
      <c r="CG433" s="666"/>
      <c r="CH433" s="666"/>
    </row>
    <row r="434" spans="1:86" s="281" customFormat="1" ht="17.25">
      <c r="A434" s="278"/>
      <c r="B434" s="280"/>
      <c r="C434" s="280"/>
      <c r="D434" s="738"/>
      <c r="E434" s="280"/>
      <c r="F434" s="280"/>
      <c r="G434" s="280"/>
      <c r="H434" s="674"/>
      <c r="I434" s="280"/>
      <c r="J434" s="280"/>
      <c r="K434" s="280"/>
      <c r="L434" s="280"/>
      <c r="M434" s="280"/>
      <c r="N434" s="282"/>
      <c r="O434" s="280"/>
      <c r="P434" s="280"/>
      <c r="Q434" s="280"/>
      <c r="R434" s="280"/>
      <c r="S434" s="280"/>
      <c r="T434" s="1042"/>
      <c r="U434" s="280"/>
      <c r="V434" s="280"/>
      <c r="W434" s="280"/>
      <c r="X434" s="280"/>
      <c r="Y434" s="280"/>
      <c r="Z434" s="784"/>
      <c r="AA434" s="280"/>
      <c r="AB434" s="280"/>
      <c r="AC434" s="298"/>
      <c r="AD434" s="1042"/>
      <c r="AE434" s="714"/>
      <c r="AF434" s="280"/>
      <c r="AG434" s="1042"/>
      <c r="AH434" s="280"/>
      <c r="AI434" s="283"/>
      <c r="AJ434" s="283"/>
      <c r="AK434" s="280"/>
      <c r="AL434" s="280"/>
      <c r="AM434" s="280"/>
      <c r="AN434" s="280"/>
      <c r="AO434" s="280"/>
      <c r="AP434" s="280"/>
      <c r="AQ434" s="280"/>
      <c r="AR434" s="280"/>
      <c r="AS434" s="280"/>
      <c r="AT434" s="280"/>
      <c r="AU434" s="280"/>
      <c r="AV434" s="280"/>
      <c r="AW434" s="280"/>
      <c r="AX434" s="280"/>
      <c r="AY434" s="280"/>
      <c r="AZ434" s="714"/>
      <c r="BA434" s="280"/>
      <c r="BB434" s="280"/>
      <c r="BC434" s="280"/>
      <c r="BD434" s="280"/>
      <c r="BE434" s="280"/>
      <c r="BF434" s="280"/>
      <c r="BG434" s="674"/>
      <c r="BH434" s="674"/>
      <c r="BI434" s="280"/>
      <c r="BJ434" s="703"/>
      <c r="BK434" s="703"/>
      <c r="BL434" s="280"/>
      <c r="BM434" s="714"/>
      <c r="BN434" s="280"/>
      <c r="BO434" s="714"/>
      <c r="BP434" s="723"/>
      <c r="BQ434" s="714"/>
      <c r="BR434" s="714"/>
      <c r="BS434" s="280"/>
      <c r="BT434" s="280"/>
      <c r="BU434" s="280"/>
      <c r="BV434" s="284"/>
      <c r="BW434" s="280"/>
      <c r="BX434" s="282"/>
      <c r="BY434" s="280"/>
      <c r="BZ434" s="666"/>
      <c r="CA434" s="666"/>
      <c r="CB434" s="666"/>
      <c r="CC434" s="666"/>
      <c r="CD434" s="666"/>
      <c r="CE434" s="666"/>
      <c r="CF434" s="666"/>
      <c r="CG434" s="666"/>
      <c r="CH434" s="666"/>
    </row>
    <row r="435" spans="1:86" s="281" customFormat="1" ht="17.25">
      <c r="A435" s="278"/>
      <c r="B435" s="280"/>
      <c r="C435" s="280"/>
      <c r="D435" s="738"/>
      <c r="E435" s="280"/>
      <c r="F435" s="280"/>
      <c r="G435" s="280"/>
      <c r="H435" s="674"/>
      <c r="I435" s="280"/>
      <c r="J435" s="280"/>
      <c r="K435" s="280"/>
      <c r="L435" s="280"/>
      <c r="M435" s="280"/>
      <c r="N435" s="282"/>
      <c r="O435" s="280"/>
      <c r="P435" s="280"/>
      <c r="Q435" s="280"/>
      <c r="R435" s="280"/>
      <c r="S435" s="280"/>
      <c r="T435" s="1042"/>
      <c r="U435" s="280"/>
      <c r="V435" s="280"/>
      <c r="W435" s="280"/>
      <c r="X435" s="280"/>
      <c r="Y435" s="280"/>
      <c r="Z435" s="784"/>
      <c r="AA435" s="280"/>
      <c r="AB435" s="280"/>
      <c r="AC435" s="298"/>
      <c r="AD435" s="1042"/>
      <c r="AE435" s="714"/>
      <c r="AF435" s="280"/>
      <c r="AG435" s="1042"/>
      <c r="AH435" s="280"/>
      <c r="AI435" s="283"/>
      <c r="AJ435" s="283"/>
      <c r="AK435" s="280"/>
      <c r="AL435" s="280"/>
      <c r="AM435" s="280"/>
      <c r="AN435" s="280"/>
      <c r="AO435" s="280"/>
      <c r="AP435" s="280"/>
      <c r="AQ435" s="280"/>
      <c r="AR435" s="280"/>
      <c r="AS435" s="280"/>
      <c r="AT435" s="280"/>
      <c r="AU435" s="280"/>
      <c r="AV435" s="280"/>
      <c r="AW435" s="280"/>
      <c r="AX435" s="280"/>
      <c r="AY435" s="280"/>
      <c r="AZ435" s="714"/>
      <c r="BA435" s="280"/>
      <c r="BB435" s="280"/>
      <c r="BC435" s="280"/>
      <c r="BD435" s="280"/>
      <c r="BE435" s="280"/>
      <c r="BF435" s="280"/>
      <c r="BG435" s="674"/>
      <c r="BH435" s="674"/>
      <c r="BI435" s="280"/>
      <c r="BJ435" s="703"/>
      <c r="BK435" s="703"/>
      <c r="BL435" s="280"/>
      <c r="BM435" s="714"/>
      <c r="BN435" s="280"/>
      <c r="BO435" s="714"/>
      <c r="BP435" s="723"/>
      <c r="BQ435" s="714"/>
      <c r="BR435" s="714"/>
      <c r="BS435" s="280"/>
      <c r="BT435" s="280"/>
      <c r="BU435" s="280"/>
      <c r="BV435" s="284"/>
      <c r="BW435" s="280"/>
      <c r="BX435" s="282"/>
      <c r="BY435" s="280"/>
      <c r="BZ435" s="666"/>
      <c r="CA435" s="666"/>
      <c r="CB435" s="666"/>
      <c r="CC435" s="666"/>
      <c r="CD435" s="666"/>
      <c r="CE435" s="666"/>
      <c r="CF435" s="666"/>
      <c r="CG435" s="666"/>
      <c r="CH435" s="666"/>
    </row>
    <row r="436" spans="1:86" s="281" customFormat="1" ht="17.25">
      <c r="A436" s="278"/>
      <c r="B436" s="280"/>
      <c r="C436" s="280"/>
      <c r="D436" s="738"/>
      <c r="E436" s="280"/>
      <c r="F436" s="280"/>
      <c r="G436" s="280"/>
      <c r="H436" s="674"/>
      <c r="I436" s="280"/>
      <c r="J436" s="280"/>
      <c r="K436" s="280"/>
      <c r="L436" s="280"/>
      <c r="M436" s="280"/>
      <c r="N436" s="282"/>
      <c r="O436" s="280"/>
      <c r="P436" s="280"/>
      <c r="Q436" s="280"/>
      <c r="R436" s="280"/>
      <c r="S436" s="280"/>
      <c r="T436" s="1042"/>
      <c r="U436" s="280"/>
      <c r="V436" s="280"/>
      <c r="W436" s="280"/>
      <c r="X436" s="280"/>
      <c r="Y436" s="280"/>
      <c r="Z436" s="784"/>
      <c r="AA436" s="280"/>
      <c r="AB436" s="280"/>
      <c r="AC436" s="298"/>
      <c r="AD436" s="1042"/>
      <c r="AE436" s="714"/>
      <c r="AF436" s="280"/>
      <c r="AG436" s="1042"/>
      <c r="AH436" s="280"/>
      <c r="AI436" s="283"/>
      <c r="AJ436" s="283"/>
      <c r="AK436" s="280"/>
      <c r="AL436" s="280"/>
      <c r="AM436" s="280"/>
      <c r="AN436" s="280"/>
      <c r="AO436" s="280"/>
      <c r="AP436" s="280"/>
      <c r="AQ436" s="280"/>
      <c r="AR436" s="280"/>
      <c r="AS436" s="280"/>
      <c r="AT436" s="280"/>
      <c r="AU436" s="280"/>
      <c r="AV436" s="280"/>
      <c r="AW436" s="280"/>
      <c r="AX436" s="280"/>
      <c r="AY436" s="280"/>
      <c r="AZ436" s="714"/>
      <c r="BA436" s="280"/>
      <c r="BB436" s="280"/>
      <c r="BC436" s="280"/>
      <c r="BD436" s="280"/>
      <c r="BE436" s="280"/>
      <c r="BF436" s="280"/>
      <c r="BG436" s="674"/>
      <c r="BH436" s="674"/>
      <c r="BI436" s="280"/>
      <c r="BJ436" s="703"/>
      <c r="BK436" s="703"/>
      <c r="BL436" s="280"/>
      <c r="BM436" s="714"/>
      <c r="BN436" s="280"/>
      <c r="BO436" s="714"/>
      <c r="BP436" s="723"/>
      <c r="BQ436" s="714"/>
      <c r="BR436" s="714"/>
      <c r="BS436" s="280"/>
      <c r="BT436" s="280"/>
      <c r="BU436" s="280"/>
      <c r="BV436" s="284"/>
      <c r="BW436" s="280"/>
      <c r="BX436" s="282"/>
      <c r="BY436" s="280"/>
      <c r="BZ436" s="666"/>
      <c r="CA436" s="666"/>
      <c r="CB436" s="666"/>
      <c r="CC436" s="666"/>
      <c r="CD436" s="666"/>
      <c r="CE436" s="666"/>
      <c r="CF436" s="666"/>
      <c r="CG436" s="666"/>
      <c r="CH436" s="666"/>
    </row>
    <row r="437" spans="1:86" s="281" customFormat="1" ht="17.25">
      <c r="A437" s="278"/>
      <c r="B437" s="280"/>
      <c r="C437" s="280"/>
      <c r="D437" s="738"/>
      <c r="E437" s="280"/>
      <c r="F437" s="280"/>
      <c r="G437" s="280"/>
      <c r="H437" s="674"/>
      <c r="I437" s="280"/>
      <c r="J437" s="280"/>
      <c r="K437" s="280"/>
      <c r="L437" s="280"/>
      <c r="M437" s="280"/>
      <c r="N437" s="282"/>
      <c r="O437" s="280"/>
      <c r="P437" s="280"/>
      <c r="Q437" s="280"/>
      <c r="R437" s="280"/>
      <c r="S437" s="280"/>
      <c r="T437" s="1042"/>
      <c r="U437" s="280"/>
      <c r="V437" s="280"/>
      <c r="W437" s="280"/>
      <c r="X437" s="280"/>
      <c r="Y437" s="280"/>
      <c r="Z437" s="784"/>
      <c r="AA437" s="280"/>
      <c r="AB437" s="280"/>
      <c r="AC437" s="298"/>
      <c r="AD437" s="1042"/>
      <c r="AE437" s="714"/>
      <c r="AF437" s="280"/>
      <c r="AG437" s="1042"/>
      <c r="AH437" s="280"/>
      <c r="AI437" s="283"/>
      <c r="AJ437" s="283"/>
      <c r="AK437" s="280"/>
      <c r="AL437" s="280"/>
      <c r="AM437" s="280"/>
      <c r="AN437" s="280"/>
      <c r="AO437" s="280"/>
      <c r="AP437" s="280"/>
      <c r="AQ437" s="280"/>
      <c r="AR437" s="280"/>
      <c r="AS437" s="280"/>
      <c r="AT437" s="280"/>
      <c r="AU437" s="280"/>
      <c r="AV437" s="280"/>
      <c r="AW437" s="280"/>
      <c r="AX437" s="280"/>
      <c r="AY437" s="280"/>
      <c r="AZ437" s="714"/>
      <c r="BA437" s="280"/>
      <c r="BB437" s="280"/>
      <c r="BC437" s="280"/>
      <c r="BD437" s="280"/>
      <c r="BE437" s="280"/>
      <c r="BF437" s="280"/>
      <c r="BG437" s="674"/>
      <c r="BH437" s="674"/>
      <c r="BI437" s="280"/>
      <c r="BJ437" s="703"/>
      <c r="BK437" s="703"/>
      <c r="BL437" s="280"/>
      <c r="BM437" s="714"/>
      <c r="BN437" s="280"/>
      <c r="BO437" s="714"/>
      <c r="BP437" s="723"/>
      <c r="BQ437" s="714"/>
      <c r="BR437" s="714"/>
      <c r="BS437" s="280"/>
      <c r="BT437" s="280"/>
      <c r="BU437" s="280"/>
      <c r="BV437" s="284"/>
      <c r="BW437" s="280"/>
      <c r="BX437" s="282"/>
      <c r="BY437" s="280"/>
      <c r="BZ437" s="666"/>
      <c r="CA437" s="666"/>
      <c r="CB437" s="666"/>
      <c r="CC437" s="666"/>
      <c r="CD437" s="666"/>
      <c r="CE437" s="666"/>
      <c r="CF437" s="666"/>
      <c r="CG437" s="666"/>
      <c r="CH437" s="666"/>
    </row>
    <row r="438" spans="1:86" s="281" customFormat="1" ht="17.25">
      <c r="A438" s="278"/>
      <c r="B438" s="280"/>
      <c r="C438" s="280"/>
      <c r="D438" s="738"/>
      <c r="E438" s="280"/>
      <c r="F438" s="280"/>
      <c r="G438" s="280"/>
      <c r="H438" s="674"/>
      <c r="I438" s="280"/>
      <c r="J438" s="280"/>
      <c r="K438" s="280"/>
      <c r="L438" s="280"/>
      <c r="M438" s="280"/>
      <c r="N438" s="282"/>
      <c r="O438" s="280"/>
      <c r="P438" s="280"/>
      <c r="Q438" s="280"/>
      <c r="R438" s="280"/>
      <c r="S438" s="280"/>
      <c r="T438" s="1042"/>
      <c r="U438" s="280"/>
      <c r="V438" s="280"/>
      <c r="W438" s="280"/>
      <c r="X438" s="280"/>
      <c r="Y438" s="280"/>
      <c r="Z438" s="784"/>
      <c r="AA438" s="280"/>
      <c r="AB438" s="280"/>
      <c r="AC438" s="298"/>
      <c r="AD438" s="1042"/>
      <c r="AE438" s="714"/>
      <c r="AF438" s="280"/>
      <c r="AG438" s="1042"/>
      <c r="AH438" s="280"/>
      <c r="AI438" s="283"/>
      <c r="AJ438" s="283"/>
      <c r="AK438" s="280"/>
      <c r="AL438" s="280"/>
      <c r="AM438" s="280"/>
      <c r="AN438" s="280"/>
      <c r="AO438" s="280"/>
      <c r="AP438" s="280"/>
      <c r="AQ438" s="280"/>
      <c r="AR438" s="280"/>
      <c r="AS438" s="280"/>
      <c r="AT438" s="280"/>
      <c r="AU438" s="280"/>
      <c r="AV438" s="280"/>
      <c r="AW438" s="280"/>
      <c r="AX438" s="280"/>
      <c r="AY438" s="280"/>
      <c r="AZ438" s="714"/>
      <c r="BA438" s="280"/>
      <c r="BB438" s="280"/>
      <c r="BC438" s="280"/>
      <c r="BD438" s="280"/>
      <c r="BE438" s="280"/>
      <c r="BF438" s="280"/>
      <c r="BG438" s="674"/>
      <c r="BH438" s="674"/>
      <c r="BI438" s="280"/>
      <c r="BJ438" s="703"/>
      <c r="BK438" s="703"/>
      <c r="BL438" s="280"/>
      <c r="BM438" s="714"/>
      <c r="BN438" s="280"/>
      <c r="BO438" s="714"/>
      <c r="BP438" s="723"/>
      <c r="BQ438" s="714"/>
      <c r="BR438" s="714"/>
      <c r="BS438" s="280"/>
      <c r="BT438" s="280"/>
      <c r="BU438" s="280"/>
      <c r="BV438" s="284"/>
      <c r="BW438" s="280"/>
      <c r="BX438" s="282"/>
      <c r="BY438" s="280"/>
      <c r="BZ438" s="666"/>
      <c r="CA438" s="666"/>
      <c r="CB438" s="666"/>
      <c r="CC438" s="666"/>
      <c r="CD438" s="666"/>
      <c r="CE438" s="666"/>
      <c r="CF438" s="666"/>
      <c r="CG438" s="666"/>
      <c r="CH438" s="666"/>
    </row>
    <row r="439" spans="1:86" s="281" customFormat="1" ht="17.25">
      <c r="A439" s="278"/>
      <c r="B439" s="280"/>
      <c r="C439" s="280"/>
      <c r="D439" s="738"/>
      <c r="E439" s="280"/>
      <c r="F439" s="280"/>
      <c r="G439" s="280"/>
      <c r="H439" s="674"/>
      <c r="I439" s="280"/>
      <c r="J439" s="280"/>
      <c r="K439" s="280"/>
      <c r="L439" s="280"/>
      <c r="M439" s="280"/>
      <c r="N439" s="282"/>
      <c r="O439" s="280"/>
      <c r="P439" s="280"/>
      <c r="Q439" s="280"/>
      <c r="R439" s="280"/>
      <c r="S439" s="280"/>
      <c r="T439" s="1042"/>
      <c r="U439" s="280"/>
      <c r="V439" s="280"/>
      <c r="W439" s="280"/>
      <c r="X439" s="280"/>
      <c r="Y439" s="280"/>
      <c r="Z439" s="784"/>
      <c r="AA439" s="280"/>
      <c r="AB439" s="280"/>
      <c r="AC439" s="298"/>
      <c r="AD439" s="1042"/>
      <c r="AE439" s="714"/>
      <c r="AF439" s="280"/>
      <c r="AG439" s="1042"/>
      <c r="AH439" s="280"/>
      <c r="AI439" s="283"/>
      <c r="AJ439" s="283"/>
      <c r="AK439" s="280"/>
      <c r="AL439" s="280"/>
      <c r="AM439" s="280"/>
      <c r="AN439" s="280"/>
      <c r="AO439" s="280"/>
      <c r="AP439" s="280"/>
      <c r="AQ439" s="280"/>
      <c r="AR439" s="280"/>
      <c r="AS439" s="280"/>
      <c r="AT439" s="280"/>
      <c r="AU439" s="280"/>
      <c r="AV439" s="280"/>
      <c r="AW439" s="280"/>
      <c r="AX439" s="280"/>
      <c r="AY439" s="280"/>
      <c r="AZ439" s="714"/>
      <c r="BA439" s="280"/>
      <c r="BB439" s="280"/>
      <c r="BC439" s="280"/>
      <c r="BD439" s="280"/>
      <c r="BE439" s="280"/>
      <c r="BF439" s="280"/>
      <c r="BG439" s="674"/>
      <c r="BH439" s="674"/>
      <c r="BI439" s="280"/>
      <c r="BJ439" s="703"/>
      <c r="BK439" s="703"/>
      <c r="BL439" s="280"/>
      <c r="BM439" s="714"/>
      <c r="BN439" s="280"/>
      <c r="BO439" s="714"/>
      <c r="BP439" s="723"/>
      <c r="BQ439" s="714"/>
      <c r="BR439" s="714"/>
      <c r="BS439" s="280"/>
      <c r="BT439" s="280"/>
      <c r="BU439" s="280"/>
      <c r="BV439" s="284"/>
      <c r="BW439" s="280"/>
      <c r="BX439" s="282"/>
      <c r="BY439" s="280"/>
      <c r="BZ439" s="666"/>
      <c r="CA439" s="666"/>
      <c r="CB439" s="666"/>
      <c r="CC439" s="666"/>
      <c r="CD439" s="666"/>
      <c r="CE439" s="666"/>
      <c r="CF439" s="666"/>
      <c r="CG439" s="666"/>
      <c r="CH439" s="666"/>
    </row>
    <row r="440" spans="1:86" s="281" customFormat="1" ht="17.25">
      <c r="A440" s="278"/>
      <c r="B440" s="280"/>
      <c r="C440" s="280"/>
      <c r="D440" s="738"/>
      <c r="E440" s="280"/>
      <c r="F440" s="280"/>
      <c r="G440" s="280"/>
      <c r="H440" s="674"/>
      <c r="I440" s="280"/>
      <c r="J440" s="280"/>
      <c r="K440" s="280"/>
      <c r="L440" s="280"/>
      <c r="M440" s="280"/>
      <c r="N440" s="282"/>
      <c r="O440" s="280"/>
      <c r="P440" s="280"/>
      <c r="Q440" s="280"/>
      <c r="R440" s="280"/>
      <c r="S440" s="280"/>
      <c r="T440" s="1042"/>
      <c r="U440" s="280"/>
      <c r="V440" s="280"/>
      <c r="W440" s="280"/>
      <c r="X440" s="280"/>
      <c r="Y440" s="280"/>
      <c r="Z440" s="784"/>
      <c r="AA440" s="280"/>
      <c r="AB440" s="280"/>
      <c r="AC440" s="298"/>
      <c r="AD440" s="1042"/>
      <c r="AE440" s="714"/>
      <c r="AF440" s="280"/>
      <c r="AG440" s="1042"/>
      <c r="AH440" s="280"/>
      <c r="AI440" s="283"/>
      <c r="AJ440" s="283"/>
      <c r="AK440" s="280"/>
      <c r="AL440" s="280"/>
      <c r="AM440" s="280"/>
      <c r="AN440" s="280"/>
      <c r="AO440" s="280"/>
      <c r="AP440" s="280"/>
      <c r="AQ440" s="280"/>
      <c r="AR440" s="280"/>
      <c r="AS440" s="280"/>
      <c r="AT440" s="280"/>
      <c r="AU440" s="280"/>
      <c r="AV440" s="280"/>
      <c r="AW440" s="280"/>
      <c r="AX440" s="280"/>
      <c r="AY440" s="280"/>
      <c r="AZ440" s="714"/>
      <c r="BA440" s="280"/>
      <c r="BB440" s="280"/>
      <c r="BC440" s="280"/>
      <c r="BD440" s="280"/>
      <c r="BE440" s="280"/>
      <c r="BF440" s="280"/>
      <c r="BG440" s="674"/>
      <c r="BH440" s="674"/>
      <c r="BI440" s="280"/>
      <c r="BJ440" s="703"/>
      <c r="BK440" s="703"/>
      <c r="BL440" s="280"/>
      <c r="BM440" s="714"/>
      <c r="BN440" s="280"/>
      <c r="BO440" s="714"/>
      <c r="BP440" s="723"/>
      <c r="BQ440" s="714"/>
      <c r="BR440" s="714"/>
      <c r="BS440" s="280"/>
      <c r="BT440" s="280"/>
      <c r="BU440" s="280"/>
      <c r="BV440" s="284"/>
      <c r="BW440" s="280"/>
      <c r="BX440" s="282"/>
      <c r="BY440" s="280"/>
      <c r="BZ440" s="666"/>
      <c r="CA440" s="666"/>
      <c r="CB440" s="666"/>
      <c r="CC440" s="666"/>
      <c r="CD440" s="666"/>
      <c r="CE440" s="666"/>
      <c r="CF440" s="666"/>
      <c r="CG440" s="666"/>
      <c r="CH440" s="666"/>
    </row>
    <row r="441" spans="1:86" s="281" customFormat="1" ht="17.25">
      <c r="A441" s="278"/>
      <c r="B441" s="280"/>
      <c r="C441" s="280"/>
      <c r="D441" s="738"/>
      <c r="E441" s="280"/>
      <c r="F441" s="280"/>
      <c r="G441" s="280"/>
      <c r="H441" s="674"/>
      <c r="I441" s="280"/>
      <c r="J441" s="280"/>
      <c r="K441" s="280"/>
      <c r="L441" s="280"/>
      <c r="M441" s="280"/>
      <c r="N441" s="282"/>
      <c r="O441" s="280"/>
      <c r="P441" s="280"/>
      <c r="Q441" s="280"/>
      <c r="R441" s="280"/>
      <c r="S441" s="280"/>
      <c r="T441" s="1042"/>
      <c r="U441" s="280"/>
      <c r="V441" s="280"/>
      <c r="W441" s="280"/>
      <c r="X441" s="280"/>
      <c r="Y441" s="280"/>
      <c r="Z441" s="784"/>
      <c r="AA441" s="280"/>
      <c r="AB441" s="280"/>
      <c r="AC441" s="298"/>
      <c r="AD441" s="1042"/>
      <c r="AE441" s="714"/>
      <c r="AF441" s="280"/>
      <c r="AG441" s="1042"/>
      <c r="AH441" s="280"/>
      <c r="AI441" s="283"/>
      <c r="AJ441" s="283"/>
      <c r="AK441" s="280"/>
      <c r="AL441" s="280"/>
      <c r="AM441" s="280"/>
      <c r="AN441" s="280"/>
      <c r="AO441" s="280"/>
      <c r="AP441" s="280"/>
      <c r="AQ441" s="280"/>
      <c r="AR441" s="280"/>
      <c r="AS441" s="280"/>
      <c r="AT441" s="280"/>
      <c r="AU441" s="280"/>
      <c r="AV441" s="280"/>
      <c r="AW441" s="280"/>
      <c r="AX441" s="280"/>
      <c r="AY441" s="280"/>
      <c r="AZ441" s="714"/>
      <c r="BA441" s="280"/>
      <c r="BB441" s="280"/>
      <c r="BC441" s="280"/>
      <c r="BD441" s="280"/>
      <c r="BE441" s="280"/>
      <c r="BF441" s="280"/>
      <c r="BG441" s="674"/>
      <c r="BH441" s="674"/>
      <c r="BI441" s="280"/>
      <c r="BJ441" s="703"/>
      <c r="BK441" s="703"/>
      <c r="BL441" s="280"/>
      <c r="BM441" s="714"/>
      <c r="BN441" s="280"/>
      <c r="BO441" s="714"/>
      <c r="BP441" s="723"/>
      <c r="BQ441" s="714"/>
      <c r="BR441" s="714"/>
      <c r="BS441" s="280"/>
      <c r="BT441" s="280"/>
      <c r="BU441" s="280"/>
      <c r="BV441" s="284"/>
      <c r="BW441" s="280"/>
      <c r="BX441" s="282"/>
      <c r="BY441" s="280"/>
      <c r="BZ441" s="666"/>
      <c r="CA441" s="666"/>
      <c r="CB441" s="666"/>
      <c r="CC441" s="666"/>
      <c r="CD441" s="666"/>
      <c r="CE441" s="666"/>
      <c r="CF441" s="666"/>
      <c r="CG441" s="666"/>
      <c r="CH441" s="666"/>
    </row>
    <row r="442" spans="1:86" s="281" customFormat="1" ht="17.25">
      <c r="A442" s="278"/>
      <c r="B442" s="280"/>
      <c r="C442" s="280"/>
      <c r="D442" s="738"/>
      <c r="E442" s="280"/>
      <c r="F442" s="280"/>
      <c r="G442" s="280"/>
      <c r="H442" s="674"/>
      <c r="I442" s="280"/>
      <c r="J442" s="280"/>
      <c r="K442" s="280"/>
      <c r="L442" s="280"/>
      <c r="M442" s="280"/>
      <c r="N442" s="282"/>
      <c r="O442" s="280"/>
      <c r="P442" s="280"/>
      <c r="Q442" s="280"/>
      <c r="R442" s="280"/>
      <c r="S442" s="280"/>
      <c r="T442" s="1042"/>
      <c r="U442" s="280"/>
      <c r="V442" s="280"/>
      <c r="W442" s="280"/>
      <c r="X442" s="280"/>
      <c r="Y442" s="280"/>
      <c r="Z442" s="784"/>
      <c r="AA442" s="280"/>
      <c r="AB442" s="280"/>
      <c r="AC442" s="298"/>
      <c r="AD442" s="1042"/>
      <c r="AE442" s="714"/>
      <c r="AF442" s="280"/>
      <c r="AG442" s="1042"/>
      <c r="AH442" s="280"/>
      <c r="AI442" s="283"/>
      <c r="AJ442" s="283"/>
      <c r="AK442" s="280"/>
      <c r="AL442" s="280"/>
      <c r="AM442" s="280"/>
      <c r="AN442" s="280"/>
      <c r="AO442" s="280"/>
      <c r="AP442" s="280"/>
      <c r="AQ442" s="280"/>
      <c r="AR442" s="280"/>
      <c r="AS442" s="280"/>
      <c r="AT442" s="280"/>
      <c r="AU442" s="280"/>
      <c r="AV442" s="280"/>
      <c r="AW442" s="280"/>
      <c r="AX442" s="280"/>
      <c r="AY442" s="280"/>
      <c r="AZ442" s="714"/>
      <c r="BA442" s="280"/>
      <c r="BB442" s="280"/>
      <c r="BC442" s="280"/>
      <c r="BD442" s="280"/>
      <c r="BE442" s="280"/>
      <c r="BF442" s="280"/>
      <c r="BG442" s="674"/>
      <c r="BH442" s="674"/>
      <c r="BI442" s="280"/>
      <c r="BJ442" s="703"/>
      <c r="BK442" s="703"/>
      <c r="BL442" s="280"/>
      <c r="BM442" s="714"/>
      <c r="BN442" s="280"/>
      <c r="BO442" s="714"/>
      <c r="BP442" s="723"/>
      <c r="BQ442" s="714"/>
      <c r="BR442" s="714"/>
      <c r="BS442" s="280"/>
      <c r="BT442" s="280"/>
      <c r="BU442" s="280"/>
      <c r="BV442" s="284"/>
      <c r="BW442" s="280"/>
      <c r="BX442" s="282"/>
      <c r="BY442" s="280"/>
      <c r="BZ442" s="666"/>
      <c r="CA442" s="666"/>
      <c r="CB442" s="666"/>
      <c r="CC442" s="666"/>
      <c r="CD442" s="666"/>
      <c r="CE442" s="666"/>
      <c r="CF442" s="666"/>
      <c r="CG442" s="666"/>
      <c r="CH442" s="666"/>
    </row>
    <row r="443" spans="1:86" s="281" customFormat="1" ht="17.25">
      <c r="A443" s="278"/>
      <c r="B443" s="280"/>
      <c r="C443" s="280"/>
      <c r="D443" s="738"/>
      <c r="E443" s="280"/>
      <c r="F443" s="280"/>
      <c r="G443" s="280"/>
      <c r="H443" s="674"/>
      <c r="I443" s="280"/>
      <c r="J443" s="280"/>
      <c r="K443" s="280"/>
      <c r="L443" s="280"/>
      <c r="M443" s="280"/>
      <c r="N443" s="282"/>
      <c r="O443" s="280"/>
      <c r="P443" s="280"/>
      <c r="Q443" s="280"/>
      <c r="R443" s="280"/>
      <c r="S443" s="280"/>
      <c r="T443" s="1042"/>
      <c r="U443" s="280"/>
      <c r="V443" s="280"/>
      <c r="W443" s="280"/>
      <c r="X443" s="280"/>
      <c r="Y443" s="280"/>
      <c r="Z443" s="784"/>
      <c r="AA443" s="280"/>
      <c r="AB443" s="280"/>
      <c r="AC443" s="298"/>
      <c r="AD443" s="1042"/>
      <c r="AE443" s="714"/>
      <c r="AF443" s="280"/>
      <c r="AG443" s="1042"/>
      <c r="AH443" s="280"/>
      <c r="AI443" s="283"/>
      <c r="AJ443" s="283"/>
      <c r="AK443" s="280"/>
      <c r="AL443" s="280"/>
      <c r="AM443" s="280"/>
      <c r="AN443" s="280"/>
      <c r="AO443" s="280"/>
      <c r="AP443" s="280"/>
      <c r="AQ443" s="280"/>
      <c r="AR443" s="280"/>
      <c r="AS443" s="280"/>
      <c r="AT443" s="280"/>
      <c r="AU443" s="280"/>
      <c r="AV443" s="280"/>
      <c r="AW443" s="280"/>
      <c r="AX443" s="280"/>
      <c r="AY443" s="280"/>
      <c r="AZ443" s="714"/>
      <c r="BA443" s="280"/>
      <c r="BB443" s="280"/>
      <c r="BC443" s="280"/>
      <c r="BD443" s="280"/>
      <c r="BE443" s="280"/>
      <c r="BF443" s="280"/>
      <c r="BG443" s="674"/>
      <c r="BH443" s="674"/>
      <c r="BI443" s="280"/>
      <c r="BJ443" s="703"/>
      <c r="BK443" s="703"/>
      <c r="BL443" s="280"/>
      <c r="BM443" s="714"/>
      <c r="BN443" s="280"/>
      <c r="BO443" s="714"/>
      <c r="BP443" s="723"/>
      <c r="BQ443" s="714"/>
      <c r="BR443" s="714"/>
      <c r="BS443" s="280"/>
      <c r="BT443" s="280"/>
      <c r="BU443" s="280"/>
      <c r="BV443" s="284"/>
      <c r="BW443" s="280"/>
      <c r="BX443" s="282"/>
      <c r="BY443" s="280"/>
      <c r="BZ443" s="666"/>
      <c r="CA443" s="666"/>
      <c r="CB443" s="666"/>
      <c r="CC443" s="666"/>
      <c r="CD443" s="666"/>
      <c r="CE443" s="666"/>
      <c r="CF443" s="666"/>
      <c r="CG443" s="666"/>
      <c r="CH443" s="666"/>
    </row>
    <row r="444" spans="1:86" s="281" customFormat="1" ht="17.25">
      <c r="A444" s="278"/>
      <c r="B444" s="280"/>
      <c r="C444" s="280"/>
      <c r="D444" s="738"/>
      <c r="E444" s="280"/>
      <c r="F444" s="280"/>
      <c r="G444" s="280"/>
      <c r="H444" s="674"/>
      <c r="I444" s="280"/>
      <c r="J444" s="280"/>
      <c r="K444" s="280"/>
      <c r="L444" s="280"/>
      <c r="M444" s="280"/>
      <c r="N444" s="282"/>
      <c r="O444" s="280"/>
      <c r="P444" s="280"/>
      <c r="Q444" s="280"/>
      <c r="R444" s="280"/>
      <c r="S444" s="280"/>
      <c r="T444" s="1042"/>
      <c r="U444" s="280"/>
      <c r="V444" s="280"/>
      <c r="W444" s="280"/>
      <c r="X444" s="280"/>
      <c r="Y444" s="280"/>
      <c r="Z444" s="784"/>
      <c r="AA444" s="280"/>
      <c r="AB444" s="280"/>
      <c r="AC444" s="298"/>
      <c r="AD444" s="1042"/>
      <c r="AE444" s="714"/>
      <c r="AF444" s="280"/>
      <c r="AG444" s="1042"/>
      <c r="AH444" s="280"/>
      <c r="AI444" s="283"/>
      <c r="AJ444" s="283"/>
      <c r="AK444" s="280"/>
      <c r="AL444" s="280"/>
      <c r="AM444" s="280"/>
      <c r="AN444" s="280"/>
      <c r="AO444" s="280"/>
      <c r="AP444" s="280"/>
      <c r="AQ444" s="280"/>
      <c r="AR444" s="280"/>
      <c r="AS444" s="280"/>
      <c r="AT444" s="280"/>
      <c r="AU444" s="280"/>
      <c r="AV444" s="280"/>
      <c r="AW444" s="280"/>
      <c r="AX444" s="280"/>
      <c r="AY444" s="280"/>
      <c r="AZ444" s="714"/>
      <c r="BA444" s="280"/>
      <c r="BB444" s="280"/>
      <c r="BC444" s="280"/>
      <c r="BD444" s="280"/>
      <c r="BE444" s="280"/>
      <c r="BF444" s="280"/>
      <c r="BG444" s="674"/>
      <c r="BH444" s="674"/>
      <c r="BI444" s="280"/>
      <c r="BJ444" s="703"/>
      <c r="BK444" s="703"/>
      <c r="BL444" s="280"/>
      <c r="BM444" s="714"/>
      <c r="BN444" s="280"/>
      <c r="BO444" s="714"/>
      <c r="BP444" s="723"/>
      <c r="BQ444" s="714"/>
      <c r="BR444" s="714"/>
      <c r="BS444" s="280"/>
      <c r="BT444" s="280"/>
      <c r="BU444" s="280"/>
      <c r="BV444" s="284"/>
      <c r="BW444" s="280"/>
      <c r="BX444" s="282"/>
      <c r="BY444" s="280"/>
      <c r="BZ444" s="666"/>
      <c r="CA444" s="666"/>
      <c r="CB444" s="666"/>
      <c r="CC444" s="666"/>
      <c r="CD444" s="666"/>
      <c r="CE444" s="666"/>
      <c r="CF444" s="666"/>
      <c r="CG444" s="666"/>
      <c r="CH444" s="666"/>
    </row>
    <row r="445" spans="1:86" s="281" customFormat="1" ht="17.25">
      <c r="A445" s="278"/>
      <c r="B445" s="280"/>
      <c r="C445" s="280"/>
      <c r="D445" s="738"/>
      <c r="E445" s="280"/>
      <c r="F445" s="280"/>
      <c r="G445" s="280"/>
      <c r="H445" s="674"/>
      <c r="I445" s="280"/>
      <c r="J445" s="280"/>
      <c r="K445" s="280"/>
      <c r="L445" s="280"/>
      <c r="M445" s="280"/>
      <c r="N445" s="282"/>
      <c r="O445" s="280"/>
      <c r="P445" s="280"/>
      <c r="Q445" s="280"/>
      <c r="R445" s="280"/>
      <c r="S445" s="280"/>
      <c r="T445" s="1042"/>
      <c r="U445" s="280"/>
      <c r="V445" s="280"/>
      <c r="W445" s="280"/>
      <c r="X445" s="280"/>
      <c r="Y445" s="280"/>
      <c r="Z445" s="784"/>
      <c r="AA445" s="280"/>
      <c r="AB445" s="280"/>
      <c r="AC445" s="298"/>
      <c r="AD445" s="1042"/>
      <c r="AE445" s="714"/>
      <c r="AF445" s="280"/>
      <c r="AG445" s="1042"/>
      <c r="AH445" s="280"/>
      <c r="AI445" s="283"/>
      <c r="AJ445" s="283"/>
      <c r="AK445" s="280"/>
      <c r="AL445" s="280"/>
      <c r="AM445" s="280"/>
      <c r="AN445" s="280"/>
      <c r="AO445" s="280"/>
      <c r="AP445" s="280"/>
      <c r="AQ445" s="280"/>
      <c r="AR445" s="280"/>
      <c r="AS445" s="280"/>
      <c r="AT445" s="280"/>
      <c r="AU445" s="280"/>
      <c r="AV445" s="280"/>
      <c r="AW445" s="280"/>
      <c r="AX445" s="280"/>
      <c r="AY445" s="280"/>
      <c r="AZ445" s="714"/>
      <c r="BA445" s="280"/>
      <c r="BB445" s="280"/>
      <c r="BC445" s="280"/>
      <c r="BD445" s="280"/>
      <c r="BE445" s="280"/>
      <c r="BF445" s="280"/>
      <c r="BG445" s="674"/>
      <c r="BH445" s="674"/>
      <c r="BI445" s="280"/>
      <c r="BJ445" s="703"/>
      <c r="BK445" s="703"/>
      <c r="BL445" s="280"/>
      <c r="BM445" s="714"/>
      <c r="BN445" s="280"/>
      <c r="BO445" s="714"/>
      <c r="BP445" s="723"/>
      <c r="BQ445" s="714"/>
      <c r="BR445" s="714"/>
      <c r="BS445" s="280"/>
      <c r="BT445" s="280"/>
      <c r="BU445" s="280"/>
      <c r="BV445" s="284"/>
      <c r="BW445" s="280"/>
      <c r="BX445" s="282"/>
      <c r="BY445" s="280"/>
      <c r="BZ445" s="666"/>
      <c r="CA445" s="666"/>
      <c r="CB445" s="666"/>
      <c r="CC445" s="666"/>
      <c r="CD445" s="666"/>
      <c r="CE445" s="666"/>
      <c r="CF445" s="666"/>
      <c r="CG445" s="666"/>
      <c r="CH445" s="666"/>
    </row>
    <row r="446" spans="1:86" s="281" customFormat="1" ht="15.75">
      <c r="A446" s="278"/>
      <c r="B446" s="280"/>
      <c r="C446" s="280"/>
      <c r="D446" s="738"/>
      <c r="E446" s="280"/>
      <c r="F446" s="280"/>
      <c r="G446" s="280"/>
      <c r="H446" s="674"/>
      <c r="I446" s="280"/>
      <c r="J446" s="280"/>
      <c r="K446" s="280"/>
      <c r="L446" s="280"/>
      <c r="M446" s="280"/>
      <c r="N446" s="282"/>
      <c r="O446" s="280"/>
      <c r="P446" s="280"/>
      <c r="Q446" s="280"/>
      <c r="R446" s="280"/>
      <c r="S446" s="280"/>
      <c r="T446" s="1042"/>
      <c r="U446" s="280"/>
      <c r="V446" s="280"/>
      <c r="W446" s="280"/>
      <c r="X446" s="280"/>
      <c r="Y446" s="280"/>
      <c r="Z446" s="784"/>
      <c r="AA446" s="280"/>
      <c r="AB446" s="280"/>
      <c r="AC446" s="280"/>
      <c r="AD446" s="1042"/>
      <c r="AE446" s="714"/>
      <c r="AF446" s="280"/>
      <c r="AG446" s="1042"/>
      <c r="AH446" s="280"/>
      <c r="AI446" s="283"/>
      <c r="AJ446" s="283"/>
      <c r="AK446" s="280"/>
      <c r="AL446" s="280"/>
      <c r="AM446" s="280"/>
      <c r="AN446" s="280"/>
      <c r="AO446" s="280"/>
      <c r="AP446" s="280"/>
      <c r="AQ446" s="280"/>
      <c r="AR446" s="280"/>
      <c r="AS446" s="280"/>
      <c r="AT446" s="280"/>
      <c r="AU446" s="280"/>
      <c r="AV446" s="280"/>
      <c r="AW446" s="280"/>
      <c r="AX446" s="280"/>
      <c r="AY446" s="280"/>
      <c r="AZ446" s="714"/>
      <c r="BA446" s="280"/>
      <c r="BB446" s="280"/>
      <c r="BC446" s="280"/>
      <c r="BD446" s="280"/>
      <c r="BE446" s="280"/>
      <c r="BF446" s="280"/>
      <c r="BG446" s="674"/>
      <c r="BH446" s="674"/>
      <c r="BI446" s="280"/>
      <c r="BJ446" s="703"/>
      <c r="BK446" s="703"/>
      <c r="BL446" s="280"/>
      <c r="BM446" s="714"/>
      <c r="BN446" s="280"/>
      <c r="BO446" s="714"/>
      <c r="BP446" s="723"/>
      <c r="BQ446" s="714"/>
      <c r="BR446" s="714"/>
      <c r="BS446" s="280"/>
      <c r="BT446" s="280"/>
      <c r="BU446" s="280"/>
      <c r="BV446" s="284"/>
      <c r="BW446" s="280"/>
      <c r="BX446" s="282"/>
      <c r="BY446" s="280"/>
      <c r="BZ446" s="666"/>
      <c r="CA446" s="666"/>
      <c r="CB446" s="666"/>
      <c r="CC446" s="666"/>
      <c r="CD446" s="666"/>
      <c r="CE446" s="666"/>
      <c r="CF446" s="666"/>
      <c r="CG446" s="666"/>
      <c r="CH446" s="666"/>
    </row>
    <row r="447" spans="1:86" s="281" customFormat="1" ht="15.75">
      <c r="A447" s="278"/>
      <c r="B447" s="280"/>
      <c r="C447" s="280"/>
      <c r="D447" s="738"/>
      <c r="E447" s="280"/>
      <c r="F447" s="280"/>
      <c r="G447" s="280"/>
      <c r="H447" s="674"/>
      <c r="I447" s="280"/>
      <c r="J447" s="280"/>
      <c r="K447" s="280"/>
      <c r="L447" s="280"/>
      <c r="M447" s="280"/>
      <c r="N447" s="282"/>
      <c r="O447" s="280"/>
      <c r="P447" s="280"/>
      <c r="Q447" s="280"/>
      <c r="R447" s="280"/>
      <c r="S447" s="280"/>
      <c r="T447" s="1042"/>
      <c r="U447" s="280"/>
      <c r="V447" s="280"/>
      <c r="W447" s="280"/>
      <c r="X447" s="280"/>
      <c r="Y447" s="280"/>
      <c r="Z447" s="784"/>
      <c r="AA447" s="280"/>
      <c r="AB447" s="280"/>
      <c r="AC447" s="280"/>
      <c r="AD447" s="1042"/>
      <c r="AE447" s="714"/>
      <c r="AF447" s="280"/>
      <c r="AG447" s="1042"/>
      <c r="AH447" s="280"/>
      <c r="AI447" s="283"/>
      <c r="AJ447" s="283"/>
      <c r="AK447" s="280"/>
      <c r="AL447" s="280"/>
      <c r="AM447" s="280"/>
      <c r="AN447" s="280"/>
      <c r="AO447" s="280"/>
      <c r="AP447" s="280"/>
      <c r="AQ447" s="280"/>
      <c r="AR447" s="280"/>
      <c r="AS447" s="280"/>
      <c r="AT447" s="280"/>
      <c r="AU447" s="280"/>
      <c r="AV447" s="280"/>
      <c r="AW447" s="280"/>
      <c r="AX447" s="280"/>
      <c r="AY447" s="280"/>
      <c r="AZ447" s="714"/>
      <c r="BA447" s="280"/>
      <c r="BB447" s="280"/>
      <c r="BC447" s="280"/>
      <c r="BD447" s="280"/>
      <c r="BE447" s="280"/>
      <c r="BF447" s="280"/>
      <c r="BG447" s="674"/>
      <c r="BH447" s="674"/>
      <c r="BI447" s="280"/>
      <c r="BJ447" s="703"/>
      <c r="BK447" s="703"/>
      <c r="BL447" s="280"/>
      <c r="BM447" s="714"/>
      <c r="BN447" s="280"/>
      <c r="BO447" s="714"/>
      <c r="BP447" s="723"/>
      <c r="BQ447" s="714"/>
      <c r="BR447" s="714"/>
      <c r="BS447" s="280"/>
      <c r="BT447" s="280"/>
      <c r="BU447" s="280"/>
      <c r="BV447" s="284"/>
      <c r="BW447" s="280"/>
      <c r="BX447" s="282"/>
      <c r="BY447" s="280"/>
      <c r="BZ447" s="666"/>
      <c r="CA447" s="666"/>
      <c r="CB447" s="666"/>
      <c r="CC447" s="666"/>
      <c r="CD447" s="666"/>
      <c r="CE447" s="666"/>
      <c r="CF447" s="666"/>
      <c r="CG447" s="666"/>
      <c r="CH447" s="666"/>
    </row>
    <row r="448" spans="1:86" s="281" customFormat="1" ht="15.75">
      <c r="A448" s="278"/>
      <c r="B448" s="280"/>
      <c r="C448" s="280"/>
      <c r="D448" s="738"/>
      <c r="E448" s="280"/>
      <c r="F448" s="280"/>
      <c r="G448" s="280"/>
      <c r="H448" s="674"/>
      <c r="I448" s="280"/>
      <c r="J448" s="280"/>
      <c r="K448" s="280"/>
      <c r="L448" s="280"/>
      <c r="M448" s="280"/>
      <c r="N448" s="282"/>
      <c r="O448" s="280"/>
      <c r="P448" s="280"/>
      <c r="Q448" s="280"/>
      <c r="R448" s="280"/>
      <c r="S448" s="280"/>
      <c r="T448" s="1042"/>
      <c r="U448" s="280"/>
      <c r="V448" s="280"/>
      <c r="W448" s="280"/>
      <c r="X448" s="280"/>
      <c r="Y448" s="280"/>
      <c r="Z448" s="784"/>
      <c r="AA448" s="280"/>
      <c r="AB448" s="280"/>
      <c r="AC448" s="280"/>
      <c r="AD448" s="1042"/>
      <c r="AE448" s="714"/>
      <c r="AF448" s="280"/>
      <c r="AG448" s="1042"/>
      <c r="AH448" s="280"/>
      <c r="AI448" s="283"/>
      <c r="AJ448" s="283"/>
      <c r="AK448" s="280"/>
      <c r="AL448" s="280"/>
      <c r="AM448" s="280"/>
      <c r="AN448" s="280"/>
      <c r="AO448" s="280"/>
      <c r="AP448" s="280"/>
      <c r="AQ448" s="280"/>
      <c r="AR448" s="280"/>
      <c r="AS448" s="280"/>
      <c r="AT448" s="280"/>
      <c r="AU448" s="280"/>
      <c r="AV448" s="280"/>
      <c r="AW448" s="280"/>
      <c r="AX448" s="280"/>
      <c r="AY448" s="280"/>
      <c r="AZ448" s="714"/>
      <c r="BA448" s="280"/>
      <c r="BB448" s="280"/>
      <c r="BC448" s="280"/>
      <c r="BD448" s="280"/>
      <c r="BE448" s="280"/>
      <c r="BF448" s="280"/>
      <c r="BG448" s="674"/>
      <c r="BH448" s="674"/>
      <c r="BI448" s="280"/>
      <c r="BJ448" s="703"/>
      <c r="BK448" s="703"/>
      <c r="BL448" s="280"/>
      <c r="BM448" s="714"/>
      <c r="BN448" s="280"/>
      <c r="BO448" s="714"/>
      <c r="BP448" s="723"/>
      <c r="BQ448" s="714"/>
      <c r="BR448" s="714"/>
      <c r="BS448" s="280"/>
      <c r="BT448" s="280"/>
      <c r="BU448" s="280"/>
      <c r="BV448" s="284"/>
      <c r="BW448" s="280"/>
      <c r="BX448" s="282"/>
      <c r="BY448" s="280"/>
      <c r="BZ448" s="666"/>
      <c r="CA448" s="666"/>
      <c r="CB448" s="666"/>
      <c r="CC448" s="666"/>
      <c r="CD448" s="666"/>
      <c r="CE448" s="666"/>
      <c r="CF448" s="666"/>
      <c r="CG448" s="666"/>
      <c r="CH448" s="666"/>
    </row>
    <row r="449" spans="1:86" s="281" customFormat="1" ht="15.75">
      <c r="A449" s="278"/>
      <c r="B449" s="280"/>
      <c r="C449" s="280"/>
      <c r="D449" s="738"/>
      <c r="E449" s="280"/>
      <c r="F449" s="280"/>
      <c r="G449" s="280"/>
      <c r="H449" s="674"/>
      <c r="I449" s="280"/>
      <c r="J449" s="280"/>
      <c r="K449" s="280"/>
      <c r="L449" s="280"/>
      <c r="M449" s="280"/>
      <c r="N449" s="282"/>
      <c r="O449" s="280"/>
      <c r="P449" s="280"/>
      <c r="Q449" s="280"/>
      <c r="R449" s="280"/>
      <c r="S449" s="280"/>
      <c r="T449" s="1042"/>
      <c r="U449" s="280"/>
      <c r="V449" s="280"/>
      <c r="W449" s="280"/>
      <c r="X449" s="280"/>
      <c r="Y449" s="280"/>
      <c r="Z449" s="784"/>
      <c r="AA449" s="280"/>
      <c r="AB449" s="280"/>
      <c r="AC449" s="280"/>
      <c r="AD449" s="1042"/>
      <c r="AE449" s="714"/>
      <c r="AF449" s="280"/>
      <c r="AG449" s="1042"/>
      <c r="AH449" s="280"/>
      <c r="AI449" s="283"/>
      <c r="AJ449" s="283"/>
      <c r="AK449" s="280"/>
      <c r="AL449" s="280"/>
      <c r="AM449" s="280"/>
      <c r="AN449" s="280"/>
      <c r="AO449" s="280"/>
      <c r="AP449" s="280"/>
      <c r="AQ449" s="280"/>
      <c r="AR449" s="280"/>
      <c r="AS449" s="280"/>
      <c r="AT449" s="280"/>
      <c r="AU449" s="280"/>
      <c r="AV449" s="280"/>
      <c r="AW449" s="280"/>
      <c r="AX449" s="280"/>
      <c r="AY449" s="280"/>
      <c r="AZ449" s="714"/>
      <c r="BA449" s="280"/>
      <c r="BB449" s="280"/>
      <c r="BC449" s="280"/>
      <c r="BD449" s="280"/>
      <c r="BE449" s="280"/>
      <c r="BF449" s="280"/>
      <c r="BG449" s="674"/>
      <c r="BH449" s="674"/>
      <c r="BI449" s="280"/>
      <c r="BJ449" s="703"/>
      <c r="BK449" s="703"/>
      <c r="BL449" s="280"/>
      <c r="BM449" s="714"/>
      <c r="BN449" s="280"/>
      <c r="BO449" s="714"/>
      <c r="BP449" s="723"/>
      <c r="BQ449" s="714"/>
      <c r="BR449" s="714"/>
      <c r="BS449" s="280"/>
      <c r="BT449" s="280"/>
      <c r="BU449" s="280"/>
      <c r="BV449" s="284"/>
      <c r="BW449" s="280"/>
      <c r="BX449" s="282"/>
      <c r="BY449" s="280"/>
      <c r="BZ449" s="666"/>
      <c r="CA449" s="666"/>
      <c r="CB449" s="666"/>
      <c r="CC449" s="666"/>
      <c r="CD449" s="666"/>
      <c r="CE449" s="666"/>
      <c r="CF449" s="666"/>
      <c r="CG449" s="666"/>
      <c r="CH449" s="666"/>
    </row>
    <row r="450" spans="1:86" s="281" customFormat="1" ht="15.75">
      <c r="A450" s="278"/>
      <c r="B450" s="280"/>
      <c r="C450" s="280"/>
      <c r="D450" s="738"/>
      <c r="E450" s="280"/>
      <c r="F450" s="280"/>
      <c r="G450" s="280"/>
      <c r="H450" s="674"/>
      <c r="I450" s="280"/>
      <c r="J450" s="280"/>
      <c r="K450" s="280"/>
      <c r="L450" s="280"/>
      <c r="M450" s="280"/>
      <c r="N450" s="282"/>
      <c r="O450" s="280"/>
      <c r="P450" s="280"/>
      <c r="Q450" s="280"/>
      <c r="R450" s="280"/>
      <c r="S450" s="280"/>
      <c r="T450" s="1042"/>
      <c r="U450" s="280"/>
      <c r="V450" s="280"/>
      <c r="W450" s="280"/>
      <c r="X450" s="280"/>
      <c r="Y450" s="280"/>
      <c r="Z450" s="784"/>
      <c r="AA450" s="280"/>
      <c r="AB450" s="280"/>
      <c r="AC450" s="280"/>
      <c r="AD450" s="1042"/>
      <c r="AE450" s="714"/>
      <c r="AF450" s="280"/>
      <c r="AG450" s="1042"/>
      <c r="AH450" s="280"/>
      <c r="AI450" s="283"/>
      <c r="AJ450" s="283"/>
      <c r="AK450" s="280"/>
      <c r="AL450" s="280"/>
      <c r="AM450" s="280"/>
      <c r="AN450" s="280"/>
      <c r="AO450" s="280"/>
      <c r="AP450" s="280"/>
      <c r="AQ450" s="280"/>
      <c r="AR450" s="280"/>
      <c r="AS450" s="280"/>
      <c r="AT450" s="280"/>
      <c r="AU450" s="280"/>
      <c r="AV450" s="280"/>
      <c r="AW450" s="280"/>
      <c r="AX450" s="280"/>
      <c r="AY450" s="280"/>
      <c r="AZ450" s="714"/>
      <c r="BA450" s="280"/>
      <c r="BB450" s="280"/>
      <c r="BC450" s="280"/>
      <c r="BD450" s="280"/>
      <c r="BE450" s="280"/>
      <c r="BF450" s="280"/>
      <c r="BG450" s="674"/>
      <c r="BH450" s="674"/>
      <c r="BI450" s="280"/>
      <c r="BJ450" s="703"/>
      <c r="BK450" s="703"/>
      <c r="BL450" s="280"/>
      <c r="BM450" s="714"/>
      <c r="BN450" s="280"/>
      <c r="BO450" s="714"/>
      <c r="BP450" s="723"/>
      <c r="BQ450" s="714"/>
      <c r="BR450" s="714"/>
      <c r="BS450" s="280"/>
      <c r="BT450" s="280"/>
      <c r="BU450" s="280"/>
      <c r="BV450" s="284"/>
      <c r="BW450" s="280"/>
      <c r="BX450" s="282"/>
      <c r="BY450" s="280"/>
      <c r="BZ450" s="666"/>
      <c r="CA450" s="666"/>
      <c r="CB450" s="666"/>
      <c r="CC450" s="666"/>
      <c r="CD450" s="666"/>
      <c r="CE450" s="666"/>
      <c r="CF450" s="666"/>
      <c r="CG450" s="666"/>
      <c r="CH450" s="666"/>
    </row>
    <row r="451" spans="1:86" s="281" customFormat="1" ht="15.75">
      <c r="A451" s="278"/>
      <c r="B451" s="280"/>
      <c r="C451" s="280"/>
      <c r="D451" s="738"/>
      <c r="E451" s="280"/>
      <c r="F451" s="280"/>
      <c r="G451" s="280"/>
      <c r="H451" s="674"/>
      <c r="I451" s="280"/>
      <c r="J451" s="280"/>
      <c r="K451" s="280"/>
      <c r="L451" s="280"/>
      <c r="M451" s="280"/>
      <c r="N451" s="282"/>
      <c r="O451" s="280"/>
      <c r="P451" s="280"/>
      <c r="Q451" s="280"/>
      <c r="R451" s="280"/>
      <c r="S451" s="280"/>
      <c r="T451" s="1042"/>
      <c r="U451" s="280"/>
      <c r="V451" s="280"/>
      <c r="W451" s="280"/>
      <c r="X451" s="280"/>
      <c r="Y451" s="280"/>
      <c r="Z451" s="784"/>
      <c r="AA451" s="280"/>
      <c r="AB451" s="280"/>
      <c r="AC451" s="280"/>
      <c r="AD451" s="1042"/>
      <c r="AE451" s="714"/>
      <c r="AF451" s="280"/>
      <c r="AG451" s="1042"/>
      <c r="AH451" s="280"/>
      <c r="AI451" s="283"/>
      <c r="AJ451" s="283"/>
      <c r="AK451" s="280"/>
      <c r="AL451" s="280"/>
      <c r="AM451" s="280"/>
      <c r="AN451" s="280"/>
      <c r="AO451" s="280"/>
      <c r="AP451" s="280"/>
      <c r="AQ451" s="280"/>
      <c r="AR451" s="280"/>
      <c r="AS451" s="280"/>
      <c r="AT451" s="280"/>
      <c r="AU451" s="280"/>
      <c r="AV451" s="280"/>
      <c r="AW451" s="280"/>
      <c r="AX451" s="280"/>
      <c r="AY451" s="280"/>
      <c r="AZ451" s="714"/>
      <c r="BA451" s="280"/>
      <c r="BB451" s="280"/>
      <c r="BC451" s="280"/>
      <c r="BD451" s="280"/>
      <c r="BE451" s="280"/>
      <c r="BF451" s="280"/>
      <c r="BG451" s="674"/>
      <c r="BH451" s="674"/>
      <c r="BI451" s="280"/>
      <c r="BJ451" s="703"/>
      <c r="BK451" s="703"/>
      <c r="BL451" s="280"/>
      <c r="BM451" s="714"/>
      <c r="BN451" s="280"/>
      <c r="BO451" s="714"/>
      <c r="BP451" s="723"/>
      <c r="BQ451" s="714"/>
      <c r="BR451" s="714"/>
      <c r="BS451" s="280"/>
      <c r="BT451" s="280"/>
      <c r="BU451" s="280"/>
      <c r="BV451" s="284"/>
      <c r="BW451" s="280"/>
      <c r="BX451" s="282"/>
      <c r="BY451" s="280"/>
      <c r="BZ451" s="666"/>
      <c r="CA451" s="666"/>
      <c r="CB451" s="666"/>
      <c r="CC451" s="666"/>
      <c r="CD451" s="666"/>
      <c r="CE451" s="666"/>
      <c r="CF451" s="666"/>
      <c r="CG451" s="666"/>
      <c r="CH451" s="666"/>
    </row>
    <row r="452" spans="1:86" s="281" customFormat="1" ht="15.75">
      <c r="A452" s="278"/>
      <c r="B452" s="280"/>
      <c r="C452" s="280"/>
      <c r="D452" s="738"/>
      <c r="E452" s="280"/>
      <c r="F452" s="280"/>
      <c r="G452" s="280"/>
      <c r="H452" s="674"/>
      <c r="I452" s="280"/>
      <c r="J452" s="280"/>
      <c r="K452" s="280"/>
      <c r="L452" s="280"/>
      <c r="M452" s="280"/>
      <c r="N452" s="282"/>
      <c r="O452" s="280"/>
      <c r="P452" s="280"/>
      <c r="Q452" s="280"/>
      <c r="R452" s="280"/>
      <c r="S452" s="280"/>
      <c r="T452" s="1042"/>
      <c r="U452" s="280"/>
      <c r="V452" s="280"/>
      <c r="W452" s="280"/>
      <c r="X452" s="280"/>
      <c r="Y452" s="280"/>
      <c r="Z452" s="784"/>
      <c r="AA452" s="280"/>
      <c r="AB452" s="280"/>
      <c r="AC452" s="280"/>
      <c r="AD452" s="1042"/>
      <c r="AE452" s="714"/>
      <c r="AF452" s="280"/>
      <c r="AG452" s="1042"/>
      <c r="AH452" s="280"/>
      <c r="AI452" s="283"/>
      <c r="AJ452" s="283"/>
      <c r="AK452" s="280"/>
      <c r="AL452" s="280"/>
      <c r="AM452" s="280"/>
      <c r="AN452" s="280"/>
      <c r="AO452" s="280"/>
      <c r="AP452" s="280"/>
      <c r="AQ452" s="280"/>
      <c r="AR452" s="280"/>
      <c r="AS452" s="280"/>
      <c r="AT452" s="280"/>
      <c r="AU452" s="280"/>
      <c r="AV452" s="280"/>
      <c r="AW452" s="280"/>
      <c r="AX452" s="280"/>
      <c r="AY452" s="280"/>
      <c r="AZ452" s="714"/>
      <c r="BA452" s="280"/>
      <c r="BB452" s="280"/>
      <c r="BC452" s="280"/>
      <c r="BD452" s="280"/>
      <c r="BE452" s="280"/>
      <c r="BF452" s="280"/>
      <c r="BG452" s="674"/>
      <c r="BH452" s="674"/>
      <c r="BI452" s="280"/>
      <c r="BJ452" s="703"/>
      <c r="BK452" s="703"/>
      <c r="BL452" s="280"/>
      <c r="BM452" s="714"/>
      <c r="BN452" s="280"/>
      <c r="BO452" s="714"/>
      <c r="BP452" s="723"/>
      <c r="BQ452" s="714"/>
      <c r="BR452" s="714"/>
      <c r="BS452" s="280"/>
      <c r="BT452" s="280"/>
      <c r="BU452" s="280"/>
      <c r="BV452" s="284"/>
      <c r="BW452" s="280"/>
      <c r="BX452" s="282"/>
      <c r="BY452" s="280"/>
      <c r="BZ452" s="666"/>
      <c r="CA452" s="666"/>
      <c r="CB452" s="666"/>
      <c r="CC452" s="666"/>
      <c r="CD452" s="666"/>
      <c r="CE452" s="666"/>
      <c r="CF452" s="666"/>
      <c r="CG452" s="666"/>
      <c r="CH452" s="666"/>
    </row>
    <row r="453" spans="1:86" s="281" customFormat="1" ht="15.75">
      <c r="A453" s="278"/>
      <c r="B453" s="280"/>
      <c r="C453" s="280"/>
      <c r="D453" s="738"/>
      <c r="E453" s="280"/>
      <c r="F453" s="280"/>
      <c r="G453" s="280"/>
      <c r="H453" s="674"/>
      <c r="I453" s="280"/>
      <c r="J453" s="280"/>
      <c r="K453" s="280"/>
      <c r="L453" s="280"/>
      <c r="M453" s="280"/>
      <c r="N453" s="282"/>
      <c r="O453" s="280"/>
      <c r="P453" s="280"/>
      <c r="Q453" s="280"/>
      <c r="R453" s="280"/>
      <c r="S453" s="280"/>
      <c r="T453" s="1042"/>
      <c r="U453" s="280"/>
      <c r="V453" s="280"/>
      <c r="W453" s="280"/>
      <c r="X453" s="280"/>
      <c r="Y453" s="280"/>
      <c r="Z453" s="784"/>
      <c r="AA453" s="280"/>
      <c r="AB453" s="280"/>
      <c r="AC453" s="280"/>
      <c r="AD453" s="1042"/>
      <c r="AE453" s="714"/>
      <c r="AF453" s="280"/>
      <c r="AG453" s="1042"/>
      <c r="AH453" s="280"/>
      <c r="AI453" s="283"/>
      <c r="AJ453" s="283"/>
      <c r="AK453" s="280"/>
      <c r="AL453" s="280"/>
      <c r="AM453" s="280"/>
      <c r="AN453" s="280"/>
      <c r="AO453" s="280"/>
      <c r="AP453" s="280"/>
      <c r="AQ453" s="280"/>
      <c r="AR453" s="280"/>
      <c r="AS453" s="280"/>
      <c r="AT453" s="280"/>
      <c r="AU453" s="280"/>
      <c r="AV453" s="280"/>
      <c r="AW453" s="280"/>
      <c r="AX453" s="280"/>
      <c r="AY453" s="280"/>
      <c r="AZ453" s="714"/>
      <c r="BA453" s="280"/>
      <c r="BB453" s="280"/>
      <c r="BC453" s="280"/>
      <c r="BD453" s="280"/>
      <c r="BE453" s="280"/>
      <c r="BF453" s="280"/>
      <c r="BG453" s="674"/>
      <c r="BH453" s="674"/>
      <c r="BI453" s="280"/>
      <c r="BJ453" s="703"/>
      <c r="BK453" s="703"/>
      <c r="BL453" s="280"/>
      <c r="BM453" s="714"/>
      <c r="BN453" s="280"/>
      <c r="BO453" s="714"/>
      <c r="BP453" s="723"/>
      <c r="BQ453" s="714"/>
      <c r="BR453" s="714"/>
      <c r="BS453" s="280"/>
      <c r="BT453" s="280"/>
      <c r="BU453" s="280"/>
      <c r="BV453" s="284"/>
      <c r="BW453" s="280"/>
      <c r="BX453" s="282"/>
      <c r="BY453" s="280"/>
      <c r="BZ453" s="666"/>
      <c r="CA453" s="666"/>
      <c r="CB453" s="666"/>
      <c r="CC453" s="666"/>
      <c r="CD453" s="666"/>
      <c r="CE453" s="666"/>
      <c r="CF453" s="666"/>
      <c r="CG453" s="666"/>
      <c r="CH453" s="666"/>
    </row>
    <row r="454" spans="1:86" s="281" customFormat="1" ht="15.75">
      <c r="A454" s="278"/>
      <c r="B454" s="280"/>
      <c r="C454" s="280"/>
      <c r="D454" s="738"/>
      <c r="E454" s="280"/>
      <c r="F454" s="280"/>
      <c r="G454" s="280"/>
      <c r="H454" s="674"/>
      <c r="I454" s="280"/>
      <c r="J454" s="280"/>
      <c r="K454" s="280"/>
      <c r="L454" s="280"/>
      <c r="M454" s="280"/>
      <c r="N454" s="282"/>
      <c r="O454" s="280"/>
      <c r="P454" s="280"/>
      <c r="Q454" s="280"/>
      <c r="R454" s="280"/>
      <c r="S454" s="280"/>
      <c r="T454" s="1042"/>
      <c r="U454" s="280"/>
      <c r="V454" s="280"/>
      <c r="W454" s="280"/>
      <c r="X454" s="280"/>
      <c r="Y454" s="280"/>
      <c r="Z454" s="784"/>
      <c r="AA454" s="280"/>
      <c r="AB454" s="280"/>
      <c r="AC454" s="280"/>
      <c r="AD454" s="1042"/>
      <c r="AE454" s="714"/>
      <c r="AF454" s="280"/>
      <c r="AG454" s="1042"/>
      <c r="AH454" s="280"/>
      <c r="AI454" s="283"/>
      <c r="AJ454" s="283"/>
      <c r="AK454" s="280"/>
      <c r="AL454" s="280"/>
      <c r="AM454" s="280"/>
      <c r="AN454" s="280"/>
      <c r="AO454" s="280"/>
      <c r="AP454" s="280"/>
      <c r="AQ454" s="280"/>
      <c r="AR454" s="280"/>
      <c r="AS454" s="280"/>
      <c r="AT454" s="280"/>
      <c r="AU454" s="280"/>
      <c r="AV454" s="280"/>
      <c r="AW454" s="280"/>
      <c r="AX454" s="280"/>
      <c r="AY454" s="280"/>
      <c r="AZ454" s="714"/>
      <c r="BA454" s="280"/>
      <c r="BB454" s="280"/>
      <c r="BC454" s="280"/>
      <c r="BD454" s="280"/>
      <c r="BE454" s="280"/>
      <c r="BF454" s="280"/>
      <c r="BG454" s="674"/>
      <c r="BH454" s="674"/>
      <c r="BI454" s="280"/>
      <c r="BJ454" s="703"/>
      <c r="BK454" s="703"/>
      <c r="BL454" s="280"/>
      <c r="BM454" s="714"/>
      <c r="BN454" s="280"/>
      <c r="BO454" s="714"/>
      <c r="BP454" s="723"/>
      <c r="BQ454" s="714"/>
      <c r="BR454" s="714"/>
      <c r="BS454" s="280"/>
      <c r="BT454" s="280"/>
      <c r="BU454" s="280"/>
      <c r="BV454" s="284"/>
      <c r="BW454" s="280"/>
      <c r="BX454" s="282"/>
      <c r="BY454" s="280"/>
      <c r="BZ454" s="666"/>
      <c r="CA454" s="666"/>
      <c r="CB454" s="666"/>
      <c r="CC454" s="666"/>
      <c r="CD454" s="666"/>
      <c r="CE454" s="666"/>
      <c r="CF454" s="666"/>
      <c r="CG454" s="666"/>
      <c r="CH454" s="666"/>
    </row>
    <row r="455" spans="1:86" s="281" customFormat="1" ht="15.75">
      <c r="A455" s="278"/>
      <c r="B455" s="280"/>
      <c r="C455" s="280"/>
      <c r="D455" s="738"/>
      <c r="E455" s="280"/>
      <c r="F455" s="280"/>
      <c r="G455" s="280"/>
      <c r="H455" s="674"/>
      <c r="I455" s="280"/>
      <c r="J455" s="280"/>
      <c r="K455" s="280"/>
      <c r="L455" s="280"/>
      <c r="M455" s="280"/>
      <c r="N455" s="282"/>
      <c r="O455" s="280"/>
      <c r="P455" s="280"/>
      <c r="Q455" s="280"/>
      <c r="R455" s="280"/>
      <c r="S455" s="280"/>
      <c r="T455" s="1042"/>
      <c r="U455" s="280"/>
      <c r="V455" s="280"/>
      <c r="W455" s="280"/>
      <c r="X455" s="280"/>
      <c r="Y455" s="280"/>
      <c r="Z455" s="784"/>
      <c r="AA455" s="280"/>
      <c r="AB455" s="280"/>
      <c r="AC455" s="280"/>
      <c r="AD455" s="1042"/>
      <c r="AE455" s="714"/>
      <c r="AF455" s="280"/>
      <c r="AG455" s="1042"/>
      <c r="AH455" s="280"/>
      <c r="AI455" s="283"/>
      <c r="AJ455" s="283"/>
      <c r="AK455" s="280"/>
      <c r="AL455" s="280"/>
      <c r="AM455" s="280"/>
      <c r="AN455" s="280"/>
      <c r="AO455" s="280"/>
      <c r="AP455" s="280"/>
      <c r="AQ455" s="280"/>
      <c r="AR455" s="280"/>
      <c r="AS455" s="280"/>
      <c r="AT455" s="280"/>
      <c r="AU455" s="280"/>
      <c r="AV455" s="280"/>
      <c r="AW455" s="280"/>
      <c r="AX455" s="280"/>
      <c r="AY455" s="280"/>
      <c r="AZ455" s="714"/>
      <c r="BA455" s="280"/>
      <c r="BB455" s="280"/>
      <c r="BC455" s="280"/>
      <c r="BD455" s="280"/>
      <c r="BE455" s="280"/>
      <c r="BF455" s="280"/>
      <c r="BG455" s="674"/>
      <c r="BH455" s="674"/>
      <c r="BI455" s="280"/>
      <c r="BJ455" s="703"/>
      <c r="BK455" s="703"/>
      <c r="BL455" s="280"/>
      <c r="BM455" s="714"/>
      <c r="BN455" s="280"/>
      <c r="BO455" s="714"/>
      <c r="BP455" s="723"/>
      <c r="BQ455" s="714"/>
      <c r="BR455" s="714"/>
      <c r="BS455" s="280"/>
      <c r="BT455" s="280"/>
      <c r="BU455" s="280"/>
      <c r="BV455" s="284"/>
      <c r="BW455" s="280"/>
      <c r="BX455" s="282"/>
      <c r="BY455" s="280"/>
      <c r="BZ455" s="666"/>
      <c r="CA455" s="666"/>
      <c r="CB455" s="666"/>
      <c r="CC455" s="666"/>
      <c r="CD455" s="666"/>
      <c r="CE455" s="666"/>
      <c r="CF455" s="666"/>
      <c r="CG455" s="666"/>
      <c r="CH455" s="666"/>
    </row>
    <row r="456" spans="1:86" s="281" customFormat="1" ht="15.75">
      <c r="A456" s="278"/>
      <c r="B456" s="280"/>
      <c r="C456" s="280"/>
      <c r="D456" s="738"/>
      <c r="E456" s="280"/>
      <c r="F456" s="280"/>
      <c r="G456" s="280"/>
      <c r="H456" s="674"/>
      <c r="I456" s="280"/>
      <c r="J456" s="280"/>
      <c r="K456" s="280"/>
      <c r="L456" s="280"/>
      <c r="M456" s="280"/>
      <c r="N456" s="282"/>
      <c r="O456" s="280"/>
      <c r="P456" s="280"/>
      <c r="Q456" s="280"/>
      <c r="R456" s="280"/>
      <c r="S456" s="280"/>
      <c r="T456" s="1042"/>
      <c r="U456" s="280"/>
      <c r="V456" s="280"/>
      <c r="W456" s="280"/>
      <c r="X456" s="280"/>
      <c r="Y456" s="280"/>
      <c r="Z456" s="784"/>
      <c r="AA456" s="280"/>
      <c r="AB456" s="280"/>
      <c r="AC456" s="280"/>
      <c r="AD456" s="1042"/>
      <c r="AE456" s="714"/>
      <c r="AF456" s="280"/>
      <c r="AG456" s="1042"/>
      <c r="AH456" s="280"/>
      <c r="AI456" s="283"/>
      <c r="AJ456" s="283"/>
      <c r="AK456" s="280"/>
      <c r="AL456" s="280"/>
      <c r="AM456" s="280"/>
      <c r="AN456" s="280"/>
      <c r="AO456" s="280"/>
      <c r="AP456" s="280"/>
      <c r="AQ456" s="280"/>
      <c r="AR456" s="280"/>
      <c r="AS456" s="280"/>
      <c r="AT456" s="280"/>
      <c r="AU456" s="280"/>
      <c r="AV456" s="280"/>
      <c r="AW456" s="280"/>
      <c r="AX456" s="280"/>
      <c r="AY456" s="280"/>
      <c r="AZ456" s="714"/>
      <c r="BA456" s="280"/>
      <c r="BB456" s="280"/>
      <c r="BC456" s="280"/>
      <c r="BD456" s="280"/>
      <c r="BE456" s="280"/>
      <c r="BF456" s="280"/>
      <c r="BG456" s="674"/>
      <c r="BH456" s="674"/>
      <c r="BI456" s="280"/>
      <c r="BJ456" s="703"/>
      <c r="BK456" s="703"/>
      <c r="BL456" s="280"/>
      <c r="BM456" s="714"/>
      <c r="BN456" s="280"/>
      <c r="BO456" s="714"/>
      <c r="BP456" s="723"/>
      <c r="BQ456" s="714"/>
      <c r="BR456" s="714"/>
      <c r="BS456" s="280"/>
      <c r="BT456" s="280"/>
      <c r="BU456" s="280"/>
      <c r="BV456" s="284"/>
      <c r="BW456" s="280"/>
      <c r="BX456" s="282"/>
      <c r="BY456" s="280"/>
      <c r="BZ456" s="666"/>
      <c r="CA456" s="666"/>
      <c r="CB456" s="666"/>
      <c r="CC456" s="666"/>
      <c r="CD456" s="666"/>
      <c r="CE456" s="666"/>
      <c r="CF456" s="666"/>
      <c r="CG456" s="666"/>
      <c r="CH456" s="666"/>
    </row>
    <row r="457" spans="1:86" s="281" customFormat="1" ht="15.75">
      <c r="A457" s="278"/>
      <c r="B457" s="280"/>
      <c r="C457" s="280"/>
      <c r="D457" s="738"/>
      <c r="E457" s="280"/>
      <c r="F457" s="280"/>
      <c r="G457" s="280"/>
      <c r="H457" s="674"/>
      <c r="I457" s="280"/>
      <c r="J457" s="280"/>
      <c r="K457" s="280"/>
      <c r="L457" s="280"/>
      <c r="M457" s="280"/>
      <c r="N457" s="282"/>
      <c r="O457" s="280"/>
      <c r="P457" s="280"/>
      <c r="Q457" s="280"/>
      <c r="R457" s="280"/>
      <c r="S457" s="280"/>
      <c r="T457" s="1042"/>
      <c r="U457" s="280"/>
      <c r="V457" s="280"/>
      <c r="W457" s="280"/>
      <c r="X457" s="280"/>
      <c r="Y457" s="280"/>
      <c r="Z457" s="784"/>
      <c r="AA457" s="280"/>
      <c r="AB457" s="280"/>
      <c r="AC457" s="280"/>
      <c r="AD457" s="1042"/>
      <c r="AE457" s="714"/>
      <c r="AF457" s="280"/>
      <c r="AG457" s="1042"/>
      <c r="AH457" s="280"/>
      <c r="AI457" s="283"/>
      <c r="AJ457" s="283"/>
      <c r="AK457" s="280"/>
      <c r="AL457" s="280"/>
      <c r="AM457" s="280"/>
      <c r="AN457" s="280"/>
      <c r="AO457" s="280"/>
      <c r="AP457" s="280"/>
      <c r="AQ457" s="280"/>
      <c r="AR457" s="280"/>
      <c r="AS457" s="280"/>
      <c r="AT457" s="280"/>
      <c r="AU457" s="280"/>
      <c r="AV457" s="280"/>
      <c r="AW457" s="280"/>
      <c r="AX457" s="280"/>
      <c r="AY457" s="280"/>
      <c r="AZ457" s="714"/>
      <c r="BA457" s="280"/>
      <c r="BB457" s="280"/>
      <c r="BC457" s="280"/>
      <c r="BD457" s="280"/>
      <c r="BE457" s="280"/>
      <c r="BF457" s="280"/>
      <c r="BG457" s="674"/>
      <c r="BH457" s="674"/>
      <c r="BI457" s="280"/>
      <c r="BJ457" s="703"/>
      <c r="BK457" s="703"/>
      <c r="BL457" s="280"/>
      <c r="BM457" s="714"/>
      <c r="BN457" s="280"/>
      <c r="BO457" s="714"/>
      <c r="BP457" s="723"/>
      <c r="BQ457" s="714"/>
      <c r="BR457" s="714"/>
      <c r="BS457" s="280"/>
      <c r="BT457" s="280"/>
      <c r="BU457" s="280"/>
      <c r="BV457" s="284"/>
      <c r="BW457" s="280"/>
      <c r="BX457" s="282"/>
      <c r="BY457" s="280"/>
      <c r="BZ457" s="666"/>
      <c r="CA457" s="666"/>
      <c r="CB457" s="666"/>
      <c r="CC457" s="666"/>
      <c r="CD457" s="666"/>
      <c r="CE457" s="666"/>
      <c r="CF457" s="666"/>
      <c r="CG457" s="666"/>
      <c r="CH457" s="666"/>
    </row>
    <row r="458" spans="1:86" s="281" customFormat="1" ht="15.75">
      <c r="A458" s="278"/>
      <c r="B458" s="280"/>
      <c r="C458" s="280"/>
      <c r="D458" s="738"/>
      <c r="E458" s="280"/>
      <c r="F458" s="280"/>
      <c r="G458" s="280"/>
      <c r="H458" s="674"/>
      <c r="I458" s="280"/>
      <c r="J458" s="280"/>
      <c r="K458" s="280"/>
      <c r="L458" s="280"/>
      <c r="M458" s="280"/>
      <c r="N458" s="282"/>
      <c r="O458" s="280"/>
      <c r="P458" s="280"/>
      <c r="Q458" s="280"/>
      <c r="R458" s="280"/>
      <c r="S458" s="280"/>
      <c r="T458" s="1042"/>
      <c r="U458" s="280"/>
      <c r="V458" s="280"/>
      <c r="W458" s="280"/>
      <c r="X458" s="280"/>
      <c r="Y458" s="280"/>
      <c r="Z458" s="784"/>
      <c r="AA458" s="280"/>
      <c r="AB458" s="280"/>
      <c r="AC458" s="280"/>
      <c r="AD458" s="1042"/>
      <c r="AE458" s="714"/>
      <c r="AF458" s="280"/>
      <c r="AG458" s="1042"/>
      <c r="AH458" s="280"/>
      <c r="AI458" s="283"/>
      <c r="AJ458" s="283"/>
      <c r="AK458" s="280"/>
      <c r="AL458" s="280"/>
      <c r="AM458" s="280"/>
      <c r="AN458" s="280"/>
      <c r="AO458" s="280"/>
      <c r="AP458" s="280"/>
      <c r="AQ458" s="280"/>
      <c r="AR458" s="280"/>
      <c r="AS458" s="280"/>
      <c r="AT458" s="280"/>
      <c r="AU458" s="280"/>
      <c r="AV458" s="280"/>
      <c r="AW458" s="280"/>
      <c r="AX458" s="280"/>
      <c r="AY458" s="280"/>
      <c r="AZ458" s="714"/>
      <c r="BA458" s="280"/>
      <c r="BB458" s="280"/>
      <c r="BC458" s="280"/>
      <c r="BD458" s="280"/>
      <c r="BE458" s="280"/>
      <c r="BF458" s="280"/>
      <c r="BG458" s="674"/>
      <c r="BH458" s="674"/>
      <c r="BI458" s="280"/>
      <c r="BJ458" s="703"/>
      <c r="BK458" s="703"/>
      <c r="BL458" s="280"/>
      <c r="BM458" s="714"/>
      <c r="BN458" s="280"/>
      <c r="BO458" s="714"/>
      <c r="BP458" s="723"/>
      <c r="BQ458" s="714"/>
      <c r="BR458" s="714"/>
      <c r="BS458" s="280"/>
      <c r="BT458" s="280"/>
      <c r="BU458" s="280"/>
      <c r="BV458" s="284"/>
      <c r="BW458" s="280"/>
      <c r="BX458" s="282"/>
      <c r="BY458" s="280"/>
      <c r="BZ458" s="666"/>
      <c r="CA458" s="666"/>
      <c r="CB458" s="666"/>
      <c r="CC458" s="666"/>
      <c r="CD458" s="666"/>
      <c r="CE458" s="666"/>
      <c r="CF458" s="666"/>
      <c r="CG458" s="666"/>
      <c r="CH458" s="666"/>
    </row>
  </sheetData>
  <autoFilter ref="A1:CH391">
    <filterColumn colId="2"/>
    <filterColumn colId="5"/>
    <filterColumn colId="7"/>
    <filterColumn colId="10"/>
    <filterColumn colId="13"/>
    <filterColumn colId="27"/>
  </autoFilter>
  <phoneticPr fontId="12" type="noConversion"/>
  <conditionalFormatting sqref="AB259:AB261 AB222:AB223 AB214:AB219 AB228:AB257 AB195:AB212 AB20:AB193 BL228:BS257 BL266:BS281 BL286:BS298 BL214:BS219 BL259:BS261 BL264:BS264 BL211:BS212 BL303:BS316 AB263:AB372 BL12:BU189 BL191:BU193 BL197:BU201 BL203:BU203 BL206:BU209 BT211:BU211">
    <cfRule type="cellIs" dxfId="0" priority="1" stopIfTrue="1" operator="equal">
      <formula>"Unknown"</formula>
    </cfRule>
  </conditionalFormatting>
  <hyperlinks>
    <hyperlink ref="V282" r:id="rId1"/>
    <hyperlink ref="V286" r:id="rId2"/>
    <hyperlink ref="V287" r:id="rId3"/>
    <hyperlink ref="V288" r:id="rId4"/>
    <hyperlink ref="V265" r:id="rId5"/>
    <hyperlink ref="V271" r:id="rId6"/>
    <hyperlink ref="V270" r:id="rId7"/>
    <hyperlink ref="V274" r:id="rId8"/>
    <hyperlink ref="V243" r:id="rId9"/>
    <hyperlink ref="V280" r:id="rId10"/>
    <hyperlink ref="V242" r:id="rId11"/>
    <hyperlink ref="S286" r:id="rId12"/>
    <hyperlink ref="S271" r:id="rId13"/>
    <hyperlink ref="S272" r:id="rId14"/>
    <hyperlink ref="S260" r:id="rId15"/>
    <hyperlink ref="S262" r:id="rId16"/>
    <hyperlink ref="V248" r:id="rId17"/>
    <hyperlink ref="V233" r:id="rId18"/>
    <hyperlink ref="A222" r:id="rId19" display="http://www.glidenumber.net/glide/public/search/details.jsp?glide=17550&amp;record=2&amp;last=5"/>
    <hyperlink ref="A212" r:id="rId20" display="http://www.glidenumber.net/glide/public/search/details.jsp?glide=17420&amp;record=4&amp;last=10"/>
    <hyperlink ref="A206" r:id="rId21" display="http://www.glidenumber.net/glide/public/search/details.jsp?glide=17356&amp;record=4&amp;last=6"/>
    <hyperlink ref="A200" r:id="rId22" display="http://www.glidenumber.net/glide/public/search/details.jsp?glide=17479&amp;record=32&amp;last=149"/>
    <hyperlink ref="A199" r:id="rId23" display="http://www.glidenumber.net/glide/public/search/details.jsp?glide=17299&amp;record=1&amp;last=1"/>
    <hyperlink ref="A190" r:id="rId24" display="http://www.glidenumber.net/glide/public/search/details.jsp?glide=17238&amp;record=1&amp;last=2"/>
    <hyperlink ref="A189" r:id="rId25" display="http://www.glidenumber.net/glide/public/search/details.jsp?glide=17241&amp;record=1&amp;last=1"/>
    <hyperlink ref="A188" r:id="rId26" display="http://www.glidenumber.net/glide/public/search/details.jsp?glide=17228&amp;record=1&amp;last=2"/>
    <hyperlink ref="V277" r:id="rId27"/>
  </hyperlinks>
  <pageMargins left="0.25" right="0.34" top="0.41" bottom="0.16" header="0.7" footer="0.22"/>
  <pageSetup scale="56" orientation="portrait" r:id="rId28"/>
  <headerFooter alignWithMargins="0">
    <oddHeader>&amp;LMaster Response Log</oddHeader>
    <oddFooter>&amp;R&amp;P</oddFooter>
  </headerFooter>
  <drawing r:id="rId29"/>
  <legacyDrawing r:id="rId30"/>
</worksheet>
</file>

<file path=xl/worksheets/sheet7.xml><?xml version="1.0" encoding="utf-8"?>
<worksheet xmlns="http://schemas.openxmlformats.org/spreadsheetml/2006/main" xmlns:r="http://schemas.openxmlformats.org/officeDocument/2006/relationships">
  <sheetPr codeName="Sheet5"/>
  <dimension ref="A1:L99"/>
  <sheetViews>
    <sheetView topLeftCell="C1" workbookViewId="0">
      <selection activeCell="E65" sqref="E65"/>
    </sheetView>
  </sheetViews>
  <sheetFormatPr defaultRowHeight="12.75"/>
  <cols>
    <col min="1" max="1" width="39.5703125" style="4" customWidth="1"/>
    <col min="2" max="2" width="16.28515625" customWidth="1"/>
    <col min="3" max="3" width="21.7109375" customWidth="1"/>
    <col min="4" max="4" width="31.42578125" style="209" customWidth="1"/>
    <col min="5" max="5" width="26.28515625" customWidth="1"/>
    <col min="6" max="6" width="19.85546875" customWidth="1"/>
    <col min="7" max="7" width="20" customWidth="1"/>
    <col min="8" max="8" width="18.140625" customWidth="1"/>
    <col min="9" max="9" width="24.42578125" customWidth="1"/>
    <col min="10" max="10" width="28.5703125" customWidth="1"/>
    <col min="11" max="11" width="7.5703125" customWidth="1"/>
    <col min="12" max="12" width="8.5703125" customWidth="1"/>
    <col min="13" max="13" width="12.85546875" bestFit="1" customWidth="1"/>
    <col min="14" max="14" width="8.7109375" customWidth="1"/>
    <col min="15" max="15" width="8.5703125" customWidth="1"/>
    <col min="16" max="16" width="9.7109375" bestFit="1" customWidth="1"/>
    <col min="17" max="17" width="11.140625" bestFit="1" customWidth="1"/>
    <col min="18" max="18" width="54.85546875" bestFit="1" customWidth="1"/>
    <col min="19" max="19" width="7.5703125" customWidth="1"/>
    <col min="20" max="20" width="8.5703125" customWidth="1"/>
    <col min="21" max="21" width="11.7109375" bestFit="1" customWidth="1"/>
  </cols>
  <sheetData>
    <row r="1" spans="1:12">
      <c r="A1"/>
    </row>
    <row r="2" spans="1:12">
      <c r="A2" s="759" t="s">
        <v>2064</v>
      </c>
      <c r="B2" s="82" t="s">
        <v>1752</v>
      </c>
    </row>
    <row r="3" spans="1:12">
      <c r="A3" s="759" t="s">
        <v>1209</v>
      </c>
      <c r="B3" s="82" t="s">
        <v>1101</v>
      </c>
    </row>
    <row r="4" spans="1:12">
      <c r="A4" s="759" t="s">
        <v>2059</v>
      </c>
      <c r="B4" s="82" t="s">
        <v>1101</v>
      </c>
    </row>
    <row r="5" spans="1:12" s="4" customFormat="1">
      <c r="A5"/>
      <c r="B5"/>
      <c r="C5"/>
      <c r="D5"/>
      <c r="E5"/>
      <c r="F5"/>
      <c r="G5"/>
      <c r="H5"/>
      <c r="I5"/>
      <c r="J5"/>
      <c r="K5"/>
      <c r="L5"/>
    </row>
    <row r="6" spans="1:12">
      <c r="A6" s="742"/>
      <c r="B6" s="749"/>
      <c r="C6" s="749"/>
      <c r="D6" s="749"/>
      <c r="E6" s="749"/>
      <c r="F6" s="6" t="s">
        <v>292</v>
      </c>
      <c r="G6" s="12"/>
      <c r="H6" s="12"/>
      <c r="I6" s="12"/>
      <c r="J6" s="12"/>
      <c r="K6" s="60"/>
    </row>
    <row r="7" spans="1:12">
      <c r="A7" s="6" t="s">
        <v>210</v>
      </c>
      <c r="B7" s="741" t="s">
        <v>1960</v>
      </c>
      <c r="C7" s="741" t="s">
        <v>358</v>
      </c>
      <c r="D7" s="763" t="s">
        <v>212</v>
      </c>
      <c r="E7" s="741" t="s">
        <v>477</v>
      </c>
      <c r="F7" s="742" t="s">
        <v>1348</v>
      </c>
      <c r="G7" s="761" t="s">
        <v>2102</v>
      </c>
      <c r="H7" s="761" t="s">
        <v>2103</v>
      </c>
      <c r="I7" s="761" t="s">
        <v>2104</v>
      </c>
      <c r="J7" s="761" t="s">
        <v>1349</v>
      </c>
      <c r="K7" s="758" t="s">
        <v>291</v>
      </c>
    </row>
    <row r="8" spans="1:12">
      <c r="A8" s="5">
        <v>2007</v>
      </c>
      <c r="B8" s="5" t="s">
        <v>1877</v>
      </c>
      <c r="C8" s="5" t="s">
        <v>452</v>
      </c>
      <c r="D8" s="5" t="s">
        <v>288</v>
      </c>
      <c r="E8" s="5" t="s">
        <v>288</v>
      </c>
      <c r="F8" s="234">
        <v>5000</v>
      </c>
      <c r="G8" s="754">
        <v>5000</v>
      </c>
      <c r="H8" s="754">
        <v>5000</v>
      </c>
      <c r="I8" s="754">
        <v>5000</v>
      </c>
      <c r="J8" s="754"/>
      <c r="K8" s="756">
        <v>5000</v>
      </c>
    </row>
    <row r="9" spans="1:12">
      <c r="A9" s="13"/>
      <c r="B9" s="13"/>
      <c r="C9" s="5" t="s">
        <v>1145</v>
      </c>
      <c r="D9" s="5">
        <v>645000</v>
      </c>
      <c r="E9" s="5" t="s">
        <v>362</v>
      </c>
      <c r="F9" s="234">
        <v>50000</v>
      </c>
      <c r="G9" s="754">
        <v>50000</v>
      </c>
      <c r="H9" s="754">
        <v>50000</v>
      </c>
      <c r="I9" s="754">
        <v>50000</v>
      </c>
      <c r="J9" s="754"/>
      <c r="K9" s="756">
        <v>50000</v>
      </c>
    </row>
    <row r="10" spans="1:12">
      <c r="A10" s="13"/>
      <c r="B10" s="13"/>
      <c r="C10" s="5" t="s">
        <v>103</v>
      </c>
      <c r="D10" s="5">
        <v>185000</v>
      </c>
      <c r="E10" s="5" t="s">
        <v>362</v>
      </c>
      <c r="F10" s="234">
        <v>19970</v>
      </c>
      <c r="G10" s="754">
        <v>19970</v>
      </c>
      <c r="H10" s="754">
        <v>19970</v>
      </c>
      <c r="I10" s="754">
        <v>19970</v>
      </c>
      <c r="J10" s="754"/>
      <c r="K10" s="756">
        <v>19970</v>
      </c>
    </row>
    <row r="11" spans="1:12">
      <c r="A11" s="13"/>
      <c r="B11" s="13"/>
      <c r="C11" s="5" t="s">
        <v>104</v>
      </c>
      <c r="D11" s="5">
        <v>450000</v>
      </c>
      <c r="E11" s="5" t="s">
        <v>362</v>
      </c>
      <c r="F11" s="234">
        <v>0</v>
      </c>
      <c r="G11" s="754">
        <v>0</v>
      </c>
      <c r="H11" s="754">
        <v>0</v>
      </c>
      <c r="I11" s="754">
        <v>0</v>
      </c>
      <c r="J11" s="754"/>
      <c r="K11" s="756">
        <v>17400</v>
      </c>
    </row>
    <row r="12" spans="1:12" s="4" customFormat="1">
      <c r="A12" s="5" t="s">
        <v>279</v>
      </c>
      <c r="B12" s="12"/>
      <c r="C12" s="12"/>
      <c r="D12" s="12"/>
      <c r="E12" s="12"/>
      <c r="F12" s="234">
        <v>74970</v>
      </c>
      <c r="G12" s="754">
        <v>18742.5</v>
      </c>
      <c r="H12" s="754">
        <v>0</v>
      </c>
      <c r="I12" s="754">
        <v>50000</v>
      </c>
      <c r="J12" s="754"/>
      <c r="K12" s="756">
        <v>92370</v>
      </c>
      <c r="L12"/>
    </row>
    <row r="13" spans="1:12">
      <c r="A13" s="5">
        <v>2008</v>
      </c>
      <c r="B13" s="5" t="s">
        <v>1877</v>
      </c>
      <c r="C13" s="5" t="s">
        <v>91</v>
      </c>
      <c r="D13" s="5">
        <v>50000</v>
      </c>
      <c r="E13" s="5" t="s">
        <v>288</v>
      </c>
      <c r="F13" s="234">
        <v>2000</v>
      </c>
      <c r="G13" s="754">
        <v>2000</v>
      </c>
      <c r="H13" s="754">
        <v>2000</v>
      </c>
      <c r="I13" s="754">
        <v>2000</v>
      </c>
      <c r="J13" s="754"/>
      <c r="K13" s="756">
        <v>2000</v>
      </c>
    </row>
    <row r="14" spans="1:12">
      <c r="A14" s="13"/>
      <c r="B14" s="13"/>
      <c r="C14" s="5" t="s">
        <v>1145</v>
      </c>
      <c r="D14" s="5">
        <v>70000</v>
      </c>
      <c r="E14" s="5" t="s">
        <v>362</v>
      </c>
      <c r="F14" s="234">
        <v>50000</v>
      </c>
      <c r="G14" s="754">
        <v>50000</v>
      </c>
      <c r="H14" s="754">
        <v>50000</v>
      </c>
      <c r="I14" s="754">
        <v>50000</v>
      </c>
      <c r="J14" s="754"/>
      <c r="K14" s="756">
        <v>50000</v>
      </c>
    </row>
    <row r="15" spans="1:12">
      <c r="A15" s="13"/>
      <c r="B15" s="13"/>
      <c r="C15" s="5" t="s">
        <v>342</v>
      </c>
      <c r="D15" s="5">
        <v>40158</v>
      </c>
      <c r="E15" s="5" t="s">
        <v>362</v>
      </c>
      <c r="F15" s="234">
        <v>100000</v>
      </c>
      <c r="G15" s="754">
        <v>100000</v>
      </c>
      <c r="H15" s="754">
        <v>100000</v>
      </c>
      <c r="I15" s="754">
        <v>100000</v>
      </c>
      <c r="J15" s="754"/>
      <c r="K15" s="756">
        <v>100000</v>
      </c>
    </row>
    <row r="16" spans="1:12">
      <c r="A16" s="13"/>
      <c r="B16" s="13"/>
      <c r="C16" s="5" t="s">
        <v>559</v>
      </c>
      <c r="D16" s="5">
        <v>49090</v>
      </c>
      <c r="E16" s="5" t="s">
        <v>362</v>
      </c>
      <c r="F16" s="234">
        <v>0</v>
      </c>
      <c r="G16" s="754" t="e">
        <v>#DIV/0!</v>
      </c>
      <c r="H16" s="754">
        <v>0</v>
      </c>
      <c r="I16" s="754">
        <v>0</v>
      </c>
      <c r="J16" s="754">
        <v>0</v>
      </c>
      <c r="K16" s="756"/>
    </row>
    <row r="17" spans="1:11">
      <c r="A17" s="13"/>
      <c r="B17" s="13"/>
      <c r="C17" s="5" t="s">
        <v>560</v>
      </c>
      <c r="D17" s="5">
        <v>600000</v>
      </c>
      <c r="E17" s="5" t="s">
        <v>362</v>
      </c>
      <c r="F17" s="234">
        <v>50000</v>
      </c>
      <c r="G17" s="754">
        <v>50000</v>
      </c>
      <c r="H17" s="754">
        <v>50000</v>
      </c>
      <c r="I17" s="754">
        <v>50000</v>
      </c>
      <c r="J17" s="754"/>
      <c r="K17" s="756">
        <v>50000</v>
      </c>
    </row>
    <row r="18" spans="1:11">
      <c r="A18" s="5" t="s">
        <v>280</v>
      </c>
      <c r="B18" s="12"/>
      <c r="C18" s="12"/>
      <c r="D18" s="12"/>
      <c r="E18" s="12"/>
      <c r="F18" s="234">
        <v>202000</v>
      </c>
      <c r="G18" s="754">
        <v>50500</v>
      </c>
      <c r="H18" s="754">
        <v>2000</v>
      </c>
      <c r="I18" s="754">
        <v>100000</v>
      </c>
      <c r="J18" s="754">
        <v>0</v>
      </c>
      <c r="K18" s="756">
        <v>202000</v>
      </c>
    </row>
    <row r="19" spans="1:11">
      <c r="A19" s="5">
        <v>2009</v>
      </c>
      <c r="B19" s="5" t="s">
        <v>1877</v>
      </c>
      <c r="C19" s="5" t="s">
        <v>441</v>
      </c>
      <c r="D19" s="5">
        <v>31250</v>
      </c>
      <c r="E19" s="5" t="s">
        <v>362</v>
      </c>
      <c r="F19" s="234"/>
      <c r="G19" s="754"/>
      <c r="H19" s="754"/>
      <c r="I19" s="754"/>
      <c r="J19" s="754">
        <v>30000</v>
      </c>
      <c r="K19" s="756">
        <v>30000</v>
      </c>
    </row>
    <row r="20" spans="1:11">
      <c r="A20" s="13"/>
      <c r="B20" s="13"/>
      <c r="C20" s="5" t="s">
        <v>82</v>
      </c>
      <c r="D20" s="5">
        <v>700000</v>
      </c>
      <c r="E20" s="5" t="s">
        <v>362</v>
      </c>
      <c r="F20" s="234">
        <v>50000</v>
      </c>
      <c r="G20" s="754">
        <v>50000</v>
      </c>
      <c r="H20" s="754">
        <v>50000</v>
      </c>
      <c r="I20" s="754">
        <v>50000</v>
      </c>
      <c r="J20" s="754"/>
      <c r="K20" s="756">
        <v>50000</v>
      </c>
    </row>
    <row r="21" spans="1:11">
      <c r="A21" s="13"/>
      <c r="B21" s="13"/>
      <c r="C21" s="5" t="s">
        <v>357</v>
      </c>
      <c r="D21" s="5">
        <v>12000</v>
      </c>
      <c r="E21" s="5" t="s">
        <v>362</v>
      </c>
      <c r="F21" s="234">
        <v>11500</v>
      </c>
      <c r="G21" s="754">
        <v>11500</v>
      </c>
      <c r="H21" s="754">
        <v>11500</v>
      </c>
      <c r="I21" s="754">
        <v>11500</v>
      </c>
      <c r="J21" s="754"/>
      <c r="K21" s="756">
        <v>11500</v>
      </c>
    </row>
    <row r="22" spans="1:11">
      <c r="A22" s="13"/>
      <c r="B22" s="13"/>
      <c r="C22" s="5" t="s">
        <v>547</v>
      </c>
      <c r="D22" s="5">
        <v>600000</v>
      </c>
      <c r="E22" s="5" t="s">
        <v>362</v>
      </c>
      <c r="F22" s="234">
        <v>0</v>
      </c>
      <c r="G22" s="754">
        <v>0</v>
      </c>
      <c r="H22" s="754">
        <v>0</v>
      </c>
      <c r="I22" s="754">
        <v>0</v>
      </c>
      <c r="J22" s="754"/>
      <c r="K22" s="756">
        <v>0</v>
      </c>
    </row>
    <row r="23" spans="1:11">
      <c r="A23" s="13"/>
      <c r="B23" s="13"/>
      <c r="C23" s="5" t="s">
        <v>546</v>
      </c>
      <c r="D23" s="5">
        <v>156000</v>
      </c>
      <c r="E23" s="5" t="s">
        <v>362</v>
      </c>
      <c r="F23" s="234">
        <v>0</v>
      </c>
      <c r="G23" s="754">
        <v>0</v>
      </c>
      <c r="H23" s="754">
        <v>0</v>
      </c>
      <c r="I23" s="754">
        <v>0</v>
      </c>
      <c r="J23" s="754"/>
      <c r="K23" s="756">
        <v>0</v>
      </c>
    </row>
    <row r="24" spans="1:11">
      <c r="A24" s="5" t="s">
        <v>281</v>
      </c>
      <c r="B24" s="12"/>
      <c r="C24" s="12"/>
      <c r="D24" s="12"/>
      <c r="E24" s="12"/>
      <c r="F24" s="234">
        <v>61500</v>
      </c>
      <c r="G24" s="754">
        <v>15375</v>
      </c>
      <c r="H24" s="754">
        <v>0</v>
      </c>
      <c r="I24" s="754">
        <v>50000</v>
      </c>
      <c r="J24" s="754">
        <v>30000</v>
      </c>
      <c r="K24" s="756">
        <v>91500</v>
      </c>
    </row>
    <row r="25" spans="1:11">
      <c r="A25" s="5">
        <v>2010</v>
      </c>
      <c r="B25" s="5" t="s">
        <v>1877</v>
      </c>
      <c r="C25" s="5" t="s">
        <v>97</v>
      </c>
      <c r="D25" s="5">
        <v>500000</v>
      </c>
      <c r="E25" s="5" t="s">
        <v>1752</v>
      </c>
      <c r="F25" s="234">
        <v>200000</v>
      </c>
      <c r="G25" s="754">
        <v>200000</v>
      </c>
      <c r="H25" s="754">
        <v>200000</v>
      </c>
      <c r="I25" s="754">
        <v>200000</v>
      </c>
      <c r="J25" s="754"/>
      <c r="K25" s="756">
        <v>200000</v>
      </c>
    </row>
    <row r="26" spans="1:11">
      <c r="A26" s="13"/>
      <c r="B26" s="13"/>
      <c r="C26" s="5" t="s">
        <v>1600</v>
      </c>
      <c r="D26" s="5">
        <v>20000000</v>
      </c>
      <c r="E26" s="5" t="s">
        <v>362</v>
      </c>
      <c r="F26" s="234">
        <v>4850000</v>
      </c>
      <c r="G26" s="754">
        <v>4850000</v>
      </c>
      <c r="H26" s="754">
        <v>4850000</v>
      </c>
      <c r="I26" s="754">
        <v>4850000</v>
      </c>
      <c r="J26" s="754">
        <v>824977</v>
      </c>
      <c r="K26" s="756">
        <v>8200000</v>
      </c>
    </row>
    <row r="27" spans="1:11">
      <c r="A27" s="13"/>
      <c r="B27" s="13"/>
      <c r="C27" s="5" t="s">
        <v>1808</v>
      </c>
      <c r="D27" s="5">
        <v>6200</v>
      </c>
      <c r="E27" s="5" t="s">
        <v>362</v>
      </c>
      <c r="F27" s="234"/>
      <c r="G27" s="754"/>
      <c r="H27" s="754"/>
      <c r="I27" s="754"/>
      <c r="J27" s="754">
        <v>9812</v>
      </c>
      <c r="K27" s="756">
        <v>9812</v>
      </c>
    </row>
    <row r="28" spans="1:11">
      <c r="A28" s="13"/>
      <c r="B28" s="13"/>
      <c r="C28" s="5" t="s">
        <v>560</v>
      </c>
      <c r="D28" s="5">
        <v>660000</v>
      </c>
      <c r="E28" s="5" t="s">
        <v>362</v>
      </c>
      <c r="F28" s="234">
        <v>30000</v>
      </c>
      <c r="G28" s="754">
        <v>30000</v>
      </c>
      <c r="H28" s="754">
        <v>30000</v>
      </c>
      <c r="I28" s="754">
        <v>30000</v>
      </c>
      <c r="J28" s="754"/>
      <c r="K28" s="756">
        <v>30000</v>
      </c>
    </row>
    <row r="29" spans="1:11">
      <c r="A29" s="5" t="s">
        <v>282</v>
      </c>
      <c r="B29" s="12"/>
      <c r="C29" s="12"/>
      <c r="D29" s="12"/>
      <c r="E29" s="12"/>
      <c r="F29" s="234">
        <v>5080000</v>
      </c>
      <c r="G29" s="754">
        <v>1693333.3333333333</v>
      </c>
      <c r="H29" s="754">
        <v>30000</v>
      </c>
      <c r="I29" s="754">
        <v>4850000</v>
      </c>
      <c r="J29" s="754">
        <v>834789</v>
      </c>
      <c r="K29" s="756">
        <v>8439812</v>
      </c>
    </row>
    <row r="30" spans="1:11">
      <c r="A30" s="5">
        <v>2011</v>
      </c>
      <c r="B30" s="5" t="s">
        <v>1877</v>
      </c>
      <c r="C30" s="5" t="s">
        <v>88</v>
      </c>
      <c r="D30" s="5">
        <v>700000</v>
      </c>
      <c r="E30" s="5" t="s">
        <v>362</v>
      </c>
      <c r="F30" s="234">
        <v>50000</v>
      </c>
      <c r="G30" s="754">
        <v>50000</v>
      </c>
      <c r="H30" s="754">
        <v>50000</v>
      </c>
      <c r="I30" s="754">
        <v>50000</v>
      </c>
      <c r="J30" s="754"/>
      <c r="K30" s="756">
        <v>50000</v>
      </c>
    </row>
    <row r="31" spans="1:11">
      <c r="A31" s="13"/>
      <c r="B31" s="13"/>
      <c r="C31" s="5" t="s">
        <v>441</v>
      </c>
      <c r="D31" s="5">
        <v>410420</v>
      </c>
      <c r="E31" s="5" t="s">
        <v>1752</v>
      </c>
      <c r="F31" s="234">
        <v>100000</v>
      </c>
      <c r="G31" s="754">
        <v>100000</v>
      </c>
      <c r="H31" s="754">
        <v>100000</v>
      </c>
      <c r="I31" s="754">
        <v>100000</v>
      </c>
      <c r="J31" s="754"/>
      <c r="K31" s="756">
        <v>100000</v>
      </c>
    </row>
    <row r="32" spans="1:11">
      <c r="A32" s="13"/>
      <c r="B32" s="13"/>
      <c r="C32" s="5" t="s">
        <v>689</v>
      </c>
      <c r="D32" s="5">
        <v>45000</v>
      </c>
      <c r="E32" s="5" t="s">
        <v>362</v>
      </c>
      <c r="F32" s="234">
        <v>50000</v>
      </c>
      <c r="G32" s="754">
        <v>50000</v>
      </c>
      <c r="H32" s="754">
        <v>50000</v>
      </c>
      <c r="I32" s="754">
        <v>50000</v>
      </c>
      <c r="J32" s="754"/>
      <c r="K32" s="756">
        <v>50000</v>
      </c>
    </row>
    <row r="33" spans="1:11">
      <c r="A33" s="13"/>
      <c r="B33" s="13"/>
      <c r="C33" s="5" t="s">
        <v>82</v>
      </c>
      <c r="D33" s="5">
        <v>228500</v>
      </c>
      <c r="E33" s="5" t="s">
        <v>362</v>
      </c>
      <c r="F33" s="234">
        <v>50000</v>
      </c>
      <c r="G33" s="754">
        <v>50000</v>
      </c>
      <c r="H33" s="754">
        <v>50000</v>
      </c>
      <c r="I33" s="754">
        <v>50000</v>
      </c>
      <c r="J33" s="754"/>
      <c r="K33" s="756">
        <v>50000</v>
      </c>
    </row>
    <row r="34" spans="1:11">
      <c r="A34" s="13"/>
      <c r="B34" s="13"/>
      <c r="C34" s="5" t="s">
        <v>1415</v>
      </c>
      <c r="D34" s="5">
        <v>5000000</v>
      </c>
      <c r="E34" s="5" t="s">
        <v>362</v>
      </c>
      <c r="F34" s="234">
        <v>50000</v>
      </c>
      <c r="G34" s="754">
        <v>50000</v>
      </c>
      <c r="H34" s="754">
        <v>50000</v>
      </c>
      <c r="I34" s="754">
        <v>50000</v>
      </c>
      <c r="J34" s="754"/>
      <c r="K34" s="756">
        <v>50000</v>
      </c>
    </row>
    <row r="35" spans="1:11">
      <c r="A35" s="13"/>
      <c r="B35" s="13"/>
      <c r="C35" s="5" t="s">
        <v>560</v>
      </c>
      <c r="D35" s="5">
        <v>590000</v>
      </c>
      <c r="E35" s="5" t="s">
        <v>362</v>
      </c>
      <c r="F35" s="234">
        <v>50000</v>
      </c>
      <c r="G35" s="754">
        <v>50000</v>
      </c>
      <c r="H35" s="754">
        <v>50000</v>
      </c>
      <c r="I35" s="754">
        <v>50000</v>
      </c>
      <c r="J35" s="754"/>
      <c r="K35" s="756">
        <v>50000</v>
      </c>
    </row>
    <row r="36" spans="1:11">
      <c r="A36" s="5" t="s">
        <v>370</v>
      </c>
      <c r="B36" s="12"/>
      <c r="C36" s="12"/>
      <c r="D36" s="12"/>
      <c r="E36" s="12"/>
      <c r="F36" s="234">
        <v>350000</v>
      </c>
      <c r="G36" s="754">
        <v>58333.333333333336</v>
      </c>
      <c r="H36" s="754">
        <v>50000</v>
      </c>
      <c r="I36" s="754">
        <v>100000</v>
      </c>
      <c r="J36" s="754"/>
      <c r="K36" s="756">
        <v>350000</v>
      </c>
    </row>
    <row r="37" spans="1:11">
      <c r="A37" s="760" t="s">
        <v>1207</v>
      </c>
      <c r="B37" s="762"/>
      <c r="C37" s="762"/>
      <c r="D37" s="762"/>
      <c r="E37" s="762"/>
      <c r="F37" s="753">
        <v>5768470</v>
      </c>
      <c r="G37" s="755">
        <v>274689.04761904763</v>
      </c>
      <c r="H37" s="755">
        <v>0</v>
      </c>
      <c r="I37" s="755">
        <v>4850000</v>
      </c>
      <c r="J37" s="755">
        <v>864789</v>
      </c>
      <c r="K37" s="757">
        <v>9175682</v>
      </c>
    </row>
    <row r="38" spans="1:11">
      <c r="A38" s="47"/>
      <c r="B38" s="47"/>
      <c r="C38" s="47"/>
      <c r="D38" s="47"/>
      <c r="E38" s="47"/>
      <c r="F38" s="181"/>
      <c r="G38" s="181"/>
      <c r="H38" s="181"/>
      <c r="I38" s="181"/>
      <c r="J38" s="181"/>
      <c r="K38" s="181"/>
    </row>
    <row r="39" spans="1:11">
      <c r="A39" s="767" t="s">
        <v>572</v>
      </c>
      <c r="B39" s="70">
        <v>2011</v>
      </c>
      <c r="D39"/>
    </row>
    <row r="40" spans="1:11">
      <c r="A40"/>
      <c r="D40"/>
    </row>
    <row r="41" spans="1:11">
      <c r="A41"/>
      <c r="B41" s="767" t="s">
        <v>2110</v>
      </c>
      <c r="D41"/>
    </row>
    <row r="42" spans="1:11">
      <c r="A42" s="767" t="s">
        <v>2108</v>
      </c>
      <c r="B42" t="s">
        <v>1767</v>
      </c>
      <c r="C42" t="s">
        <v>750</v>
      </c>
      <c r="D42" t="s">
        <v>533</v>
      </c>
      <c r="E42" t="s">
        <v>2131</v>
      </c>
      <c r="F42" t="s">
        <v>1345</v>
      </c>
      <c r="G42" t="s">
        <v>1346</v>
      </c>
      <c r="H42" t="s">
        <v>1347</v>
      </c>
      <c r="I42" t="s">
        <v>1349</v>
      </c>
      <c r="J42" t="s">
        <v>840</v>
      </c>
    </row>
    <row r="43" spans="1:11">
      <c r="A43" s="70" t="s">
        <v>1279</v>
      </c>
      <c r="B43" s="611">
        <v>1</v>
      </c>
      <c r="C43" s="611">
        <v>1</v>
      </c>
      <c r="E43" s="209">
        <v>4639</v>
      </c>
      <c r="F43" s="59"/>
      <c r="G43" s="59"/>
      <c r="H43" s="59">
        <v>80000</v>
      </c>
      <c r="I43" s="59"/>
      <c r="J43" s="611">
        <v>1</v>
      </c>
    </row>
    <row r="44" spans="1:11">
      <c r="A44" s="70" t="s">
        <v>1803</v>
      </c>
      <c r="B44" s="611">
        <v>1</v>
      </c>
      <c r="C44" s="611">
        <v>1</v>
      </c>
      <c r="D44" s="209">
        <v>2500</v>
      </c>
      <c r="E44" s="209"/>
      <c r="F44" s="59">
        <v>182000</v>
      </c>
      <c r="G44" s="59"/>
      <c r="H44" s="59"/>
      <c r="I44" s="59"/>
      <c r="J44" s="611"/>
    </row>
    <row r="45" spans="1:11">
      <c r="A45" s="70" t="s">
        <v>1278</v>
      </c>
      <c r="B45" s="611">
        <v>1</v>
      </c>
      <c r="C45" s="611">
        <v>1</v>
      </c>
      <c r="D45" s="209">
        <v>7500</v>
      </c>
      <c r="E45" s="209"/>
      <c r="F45" s="59">
        <v>145000</v>
      </c>
      <c r="G45" s="59"/>
      <c r="H45" s="59"/>
      <c r="I45" s="59"/>
      <c r="J45" s="611">
        <v>6</v>
      </c>
    </row>
    <row r="46" spans="1:11">
      <c r="A46" s="70" t="s">
        <v>1160</v>
      </c>
      <c r="B46" s="611">
        <v>1</v>
      </c>
      <c r="C46" s="611">
        <v>1</v>
      </c>
      <c r="D46" s="209">
        <v>71500</v>
      </c>
      <c r="E46" s="209">
        <v>1500</v>
      </c>
      <c r="F46" s="59">
        <v>80000</v>
      </c>
      <c r="G46" s="59"/>
      <c r="H46" s="59">
        <v>120000</v>
      </c>
      <c r="I46" s="59">
        <v>40000</v>
      </c>
      <c r="J46" s="611"/>
    </row>
    <row r="47" spans="1:11">
      <c r="A47" s="70" t="s">
        <v>532</v>
      </c>
      <c r="B47" s="611">
        <v>1</v>
      </c>
      <c r="C47" s="611">
        <v>1</v>
      </c>
      <c r="D47" s="209">
        <v>1000</v>
      </c>
      <c r="E47" s="209"/>
      <c r="F47" s="59"/>
      <c r="G47" s="59"/>
      <c r="H47" s="59">
        <v>322330</v>
      </c>
      <c r="I47" s="59"/>
      <c r="J47" s="611"/>
    </row>
    <row r="48" spans="1:11">
      <c r="A48" s="70" t="s">
        <v>2032</v>
      </c>
      <c r="B48" s="611">
        <v>2</v>
      </c>
      <c r="C48" s="611">
        <v>1</v>
      </c>
      <c r="D48" s="209">
        <v>1500000</v>
      </c>
      <c r="E48" s="209"/>
      <c r="F48" s="59">
        <v>2166133</v>
      </c>
      <c r="G48" s="59"/>
      <c r="H48" s="59"/>
      <c r="I48" s="59">
        <v>694910</v>
      </c>
      <c r="J48" s="611"/>
    </row>
    <row r="49" spans="1:10">
      <c r="A49" s="70" t="s">
        <v>1277</v>
      </c>
      <c r="B49" s="611">
        <v>1</v>
      </c>
      <c r="C49" s="611">
        <v>1</v>
      </c>
      <c r="D49" s="209">
        <v>25000</v>
      </c>
      <c r="E49" s="209"/>
      <c r="F49" s="59">
        <v>50000</v>
      </c>
      <c r="G49" s="59"/>
      <c r="H49" s="59"/>
      <c r="I49" s="59"/>
      <c r="J49" s="611"/>
    </row>
    <row r="50" spans="1:10">
      <c r="A50" s="70" t="s">
        <v>578</v>
      </c>
      <c r="B50" s="611">
        <v>1</v>
      </c>
      <c r="C50" s="611">
        <v>1</v>
      </c>
      <c r="D50" s="209">
        <v>225000</v>
      </c>
      <c r="E50" s="209"/>
      <c r="F50" s="59"/>
      <c r="G50" s="59"/>
      <c r="H50" s="59">
        <v>276000000</v>
      </c>
      <c r="I50" s="59"/>
      <c r="J50" s="611">
        <v>3</v>
      </c>
    </row>
    <row r="51" spans="1:10">
      <c r="A51" s="70" t="s">
        <v>97</v>
      </c>
      <c r="B51" s="611">
        <v>1</v>
      </c>
      <c r="C51" s="611">
        <v>1</v>
      </c>
      <c r="E51" s="209">
        <v>50000</v>
      </c>
      <c r="F51" s="59"/>
      <c r="G51" s="59"/>
      <c r="H51" s="59">
        <v>200000</v>
      </c>
      <c r="I51" s="59"/>
      <c r="J51" s="611"/>
    </row>
    <row r="52" spans="1:10">
      <c r="A52" s="70" t="s">
        <v>82</v>
      </c>
      <c r="B52" s="611">
        <v>1</v>
      </c>
      <c r="C52" s="611">
        <v>1</v>
      </c>
      <c r="D52" s="209">
        <v>37457</v>
      </c>
      <c r="E52" s="209"/>
      <c r="F52" s="59">
        <v>50000</v>
      </c>
      <c r="G52" s="59"/>
      <c r="H52" s="59"/>
      <c r="I52" s="59"/>
      <c r="J52" s="611"/>
    </row>
    <row r="53" spans="1:10">
      <c r="A53" s="70" t="s">
        <v>577</v>
      </c>
      <c r="B53" s="611">
        <v>1</v>
      </c>
      <c r="C53" s="611">
        <v>1</v>
      </c>
      <c r="D53" s="209">
        <v>47800</v>
      </c>
      <c r="E53" s="209"/>
      <c r="F53" s="59"/>
      <c r="G53" s="59"/>
      <c r="H53" s="59">
        <v>826450</v>
      </c>
      <c r="I53" s="59"/>
      <c r="J53" s="611"/>
    </row>
    <row r="54" spans="1:10">
      <c r="A54" s="70" t="s">
        <v>12</v>
      </c>
      <c r="B54" s="611">
        <v>1</v>
      </c>
      <c r="C54" s="611">
        <v>1</v>
      </c>
      <c r="D54" s="209">
        <v>306000</v>
      </c>
      <c r="E54" s="209"/>
      <c r="F54" s="59">
        <v>297270</v>
      </c>
      <c r="G54" s="59">
        <v>100000</v>
      </c>
      <c r="H54" s="59"/>
      <c r="I54" s="59">
        <v>43000</v>
      </c>
      <c r="J54" s="611">
        <v>5</v>
      </c>
    </row>
    <row r="55" spans="1:10">
      <c r="A55" s="70" t="s">
        <v>1600</v>
      </c>
      <c r="B55" s="611">
        <v>1</v>
      </c>
      <c r="C55" s="611">
        <v>1</v>
      </c>
      <c r="D55" s="209">
        <v>2600000</v>
      </c>
      <c r="E55" s="209"/>
      <c r="F55" s="59">
        <v>4100000</v>
      </c>
      <c r="G55" s="59"/>
      <c r="H55" s="59"/>
      <c r="I55" s="59">
        <v>824977</v>
      </c>
      <c r="J55" s="611">
        <v>2</v>
      </c>
    </row>
    <row r="56" spans="1:10">
      <c r="A56" s="70" t="s">
        <v>1808</v>
      </c>
      <c r="B56" s="611">
        <v>1</v>
      </c>
      <c r="C56" s="611">
        <v>1</v>
      </c>
      <c r="D56" s="209">
        <v>10225</v>
      </c>
      <c r="E56" s="209">
        <v>300</v>
      </c>
      <c r="F56" s="59"/>
      <c r="G56" s="59"/>
      <c r="H56" s="59"/>
      <c r="I56" s="59">
        <v>9812</v>
      </c>
      <c r="J56" s="611"/>
    </row>
    <row r="57" spans="1:10">
      <c r="A57" s="70" t="s">
        <v>21</v>
      </c>
      <c r="B57" s="611">
        <v>1</v>
      </c>
      <c r="C57" s="611">
        <v>1</v>
      </c>
      <c r="E57" s="209">
        <v>2000</v>
      </c>
      <c r="F57" s="59"/>
      <c r="G57" s="59"/>
      <c r="H57" s="59">
        <v>56000</v>
      </c>
      <c r="I57" s="59"/>
      <c r="J57" s="611"/>
    </row>
    <row r="58" spans="1:10">
      <c r="A58" s="70" t="s">
        <v>1918</v>
      </c>
      <c r="B58" s="611">
        <v>1</v>
      </c>
      <c r="C58" s="611">
        <v>1</v>
      </c>
      <c r="D58" s="209">
        <v>60000</v>
      </c>
      <c r="E58" s="209"/>
      <c r="F58" s="59">
        <v>30000</v>
      </c>
      <c r="G58" s="59"/>
      <c r="H58" s="59"/>
      <c r="I58" s="59"/>
      <c r="J58" s="611"/>
    </row>
    <row r="59" spans="1:10">
      <c r="A59" s="70" t="s">
        <v>560</v>
      </c>
      <c r="B59" s="611">
        <v>1</v>
      </c>
      <c r="C59" s="611">
        <v>1</v>
      </c>
      <c r="D59" s="209">
        <v>120000</v>
      </c>
      <c r="E59" s="209"/>
      <c r="F59" s="59">
        <v>30000</v>
      </c>
      <c r="G59" s="59"/>
      <c r="H59" s="59"/>
      <c r="I59" s="59"/>
      <c r="J59" s="611"/>
    </row>
    <row r="60" spans="1:10">
      <c r="A60" s="70" t="s">
        <v>580</v>
      </c>
      <c r="B60" s="611">
        <v>1</v>
      </c>
      <c r="C60" s="611">
        <v>1</v>
      </c>
      <c r="D60" s="209">
        <v>67500</v>
      </c>
      <c r="E60" s="209"/>
      <c r="F60" s="59">
        <v>150000</v>
      </c>
      <c r="G60" s="59"/>
      <c r="H60" s="59"/>
      <c r="I60" s="59"/>
      <c r="J60" s="611"/>
    </row>
    <row r="61" spans="1:10">
      <c r="A61" s="70" t="s">
        <v>1207</v>
      </c>
      <c r="B61" s="611">
        <v>19</v>
      </c>
      <c r="C61" s="611">
        <v>18</v>
      </c>
      <c r="D61" s="209">
        <v>5081482</v>
      </c>
      <c r="E61" s="209">
        <v>58439</v>
      </c>
      <c r="F61" s="59">
        <v>7280403</v>
      </c>
      <c r="G61" s="59">
        <v>100000</v>
      </c>
      <c r="H61" s="59">
        <v>277604780</v>
      </c>
      <c r="I61" s="59">
        <v>1612699</v>
      </c>
      <c r="J61" s="611">
        <v>17</v>
      </c>
    </row>
    <row r="62" spans="1:10">
      <c r="A62"/>
      <c r="D62"/>
    </row>
    <row r="63" spans="1:10">
      <c r="A63"/>
      <c r="D63"/>
    </row>
    <row r="64" spans="1:10">
      <c r="A64"/>
      <c r="C64" s="794" t="s">
        <v>2130</v>
      </c>
      <c r="D64" s="59">
        <f>SUM(D61,E61,F61,G61,G61)</f>
        <v>12620324</v>
      </c>
    </row>
    <row r="65" spans="1:4">
      <c r="A65"/>
      <c r="C65" s="794" t="s">
        <v>2132</v>
      </c>
      <c r="D65" s="209">
        <f>SUM(D61,E61)</f>
        <v>5139921</v>
      </c>
    </row>
    <row r="66" spans="1:4">
      <c r="A66"/>
      <c r="D66"/>
    </row>
    <row r="67" spans="1:4">
      <c r="A67"/>
      <c r="D67"/>
    </row>
    <row r="68" spans="1:4">
      <c r="A68"/>
      <c r="D68"/>
    </row>
    <row r="69" spans="1:4">
      <c r="A69"/>
      <c r="D69"/>
    </row>
    <row r="70" spans="1:4">
      <c r="A70"/>
      <c r="D70"/>
    </row>
    <row r="71" spans="1:4">
      <c r="A71"/>
      <c r="D71"/>
    </row>
    <row r="72" spans="1:4">
      <c r="A72"/>
      <c r="D72"/>
    </row>
    <row r="73" spans="1:4">
      <c r="A73"/>
      <c r="D73"/>
    </row>
    <row r="74" spans="1:4">
      <c r="A74"/>
      <c r="D74"/>
    </row>
    <row r="75" spans="1:4">
      <c r="A75"/>
      <c r="D75"/>
    </row>
    <row r="76" spans="1:4">
      <c r="A76"/>
      <c r="D76"/>
    </row>
    <row r="77" spans="1:4">
      <c r="A77"/>
      <c r="D77"/>
    </row>
    <row r="78" spans="1:4">
      <c r="A78"/>
      <c r="D78"/>
    </row>
    <row r="79" spans="1:4">
      <c r="A79"/>
      <c r="D79"/>
    </row>
    <row r="80" spans="1:4">
      <c r="A80"/>
      <c r="D80"/>
    </row>
    <row r="81" spans="1:1">
      <c r="A81"/>
    </row>
    <row r="82" spans="1:1">
      <c r="A82"/>
    </row>
    <row r="83" spans="1:1">
      <c r="A83"/>
    </row>
    <row r="84" spans="1:1">
      <c r="A84"/>
    </row>
    <row r="85" spans="1:1">
      <c r="A85"/>
    </row>
    <row r="86" spans="1:1">
      <c r="A86"/>
    </row>
    <row r="87" spans="1:1">
      <c r="A87"/>
    </row>
    <row r="88" spans="1:1">
      <c r="A88"/>
    </row>
    <row r="89" spans="1:1">
      <c r="A89"/>
    </row>
    <row r="90" spans="1:1">
      <c r="A90"/>
    </row>
    <row r="91" spans="1:1">
      <c r="A91"/>
    </row>
    <row r="92" spans="1:1">
      <c r="A92"/>
    </row>
    <row r="93" spans="1:1">
      <c r="A93"/>
    </row>
    <row r="94" spans="1:1">
      <c r="A94"/>
    </row>
    <row r="95" spans="1:1">
      <c r="A95"/>
    </row>
    <row r="96" spans="1:1">
      <c r="A96"/>
    </row>
    <row r="97" spans="1:1">
      <c r="A97"/>
    </row>
    <row r="98" spans="1:1">
      <c r="A98"/>
    </row>
    <row r="99" spans="1:1">
      <c r="A99"/>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sheetPr codeName="Sheet6" filterMode="1"/>
  <dimension ref="A1:CX987"/>
  <sheetViews>
    <sheetView topLeftCell="A37" workbookViewId="0">
      <selection activeCell="A4" sqref="A4"/>
    </sheetView>
  </sheetViews>
  <sheetFormatPr defaultRowHeight="12.75"/>
  <cols>
    <col min="1" max="1" width="25.7109375" style="766" customWidth="1"/>
    <col min="2" max="3" width="16.140625" style="764" customWidth="1"/>
    <col min="4" max="4" width="16.140625" style="765" customWidth="1"/>
    <col min="5" max="8" width="16.140625" style="764" customWidth="1"/>
    <col min="9" max="9" width="10.5703125" style="764" customWidth="1"/>
    <col min="10" max="15" width="25.5703125" style="764" customWidth="1"/>
    <col min="16" max="17" width="10.5703125" style="764" customWidth="1"/>
    <col min="18" max="29" width="25.5703125" style="764" customWidth="1"/>
    <col min="30" max="30" width="28" style="764" customWidth="1"/>
    <col min="31" max="31" width="24.140625" style="764" customWidth="1"/>
    <col min="32" max="32" width="14.5703125" style="764" customWidth="1"/>
    <col min="33" max="33" width="8.7109375" style="764" customWidth="1"/>
    <col min="34" max="35" width="27.7109375" style="764" customWidth="1"/>
    <col min="36" max="36" width="31" style="764" customWidth="1"/>
    <col min="37" max="37" width="27" style="764" customWidth="1"/>
    <col min="38" max="38" width="22.42578125" style="764" customWidth="1"/>
    <col min="39" max="39" width="25.7109375" style="764" customWidth="1"/>
    <col min="40" max="40" width="22.42578125" style="764" customWidth="1"/>
    <col min="41" max="41" width="25.7109375" style="764" customWidth="1"/>
    <col min="42" max="42" width="22.42578125" style="764" customWidth="1"/>
    <col min="43" max="43" width="25.7109375" style="764" customWidth="1"/>
    <col min="44" max="44" width="22.42578125" style="764" customWidth="1"/>
    <col min="45" max="45" width="25.7109375" style="764" customWidth="1"/>
    <col min="46" max="46" width="22.42578125" style="764" customWidth="1"/>
    <col min="47" max="47" width="25.7109375" style="764" customWidth="1"/>
    <col min="48" max="48" width="22.42578125" style="764" customWidth="1"/>
    <col min="49" max="49" width="25.7109375" style="764" customWidth="1"/>
    <col min="50" max="50" width="22.42578125" style="764" customWidth="1"/>
    <col min="51" max="51" width="25.7109375" style="764" customWidth="1"/>
    <col min="52" max="52" width="22.42578125" style="764" customWidth="1"/>
    <col min="53" max="53" width="25.7109375" style="764" customWidth="1"/>
    <col min="54" max="54" width="22.42578125" style="764" customWidth="1"/>
    <col min="55" max="55" width="25.7109375" style="764" customWidth="1"/>
    <col min="56" max="56" width="22.42578125" style="764" customWidth="1"/>
    <col min="57" max="57" width="25.7109375" style="764" customWidth="1"/>
    <col min="58" max="58" width="22.42578125" style="764" customWidth="1"/>
    <col min="59" max="59" width="25.7109375" style="764" customWidth="1"/>
    <col min="60" max="60" width="22.42578125" style="764" customWidth="1"/>
    <col min="61" max="61" width="25.7109375" style="764" customWidth="1"/>
    <col min="62" max="62" width="22.42578125" style="764" customWidth="1"/>
    <col min="63" max="63" width="25.7109375" style="764" customWidth="1"/>
    <col min="64" max="64" width="27.7109375" style="764" customWidth="1"/>
    <col min="65" max="65" width="31" style="764" customWidth="1"/>
    <col min="66" max="79" width="9" style="764" customWidth="1"/>
    <col min="80" max="82" width="10" style="764" customWidth="1"/>
    <col min="83" max="83" width="1.5703125" style="764" customWidth="1"/>
    <col min="84" max="84" width="16.85546875" style="764" customWidth="1"/>
    <col min="85" max="85" width="43.5703125" style="764" bestFit="1" customWidth="1"/>
    <col min="86" max="86" width="3.85546875" style="764" customWidth="1"/>
    <col min="87" max="87" width="7.140625" style="764" customWidth="1"/>
    <col min="88" max="88" width="11.7109375" style="764" customWidth="1"/>
    <col min="89" max="89" width="19.42578125" style="764" bestFit="1" customWidth="1"/>
    <col min="90" max="90" width="18.85546875" style="764" bestFit="1" customWidth="1"/>
    <col min="91" max="91" width="14.7109375" style="764" bestFit="1" customWidth="1"/>
    <col min="92" max="92" width="46.5703125" style="764" bestFit="1" customWidth="1"/>
    <col min="93" max="93" width="22.5703125" style="764" bestFit="1" customWidth="1"/>
    <col min="94" max="94" width="15.28515625" style="764" bestFit="1" customWidth="1"/>
    <col min="95" max="95" width="24.7109375" style="764" bestFit="1" customWidth="1"/>
    <col min="96" max="96" width="41.42578125" style="764" bestFit="1" customWidth="1"/>
    <col min="97" max="97" width="37" style="764" bestFit="1" customWidth="1"/>
    <col min="98" max="98" width="33.5703125" style="764" bestFit="1" customWidth="1"/>
    <col min="99" max="99" width="34.85546875" style="764" bestFit="1" customWidth="1"/>
    <col min="100" max="100" width="14.85546875" style="764" bestFit="1" customWidth="1"/>
    <col min="101" max="101" width="27.7109375" style="764" bestFit="1" customWidth="1"/>
    <col min="102" max="102" width="11.7109375" style="764" bestFit="1" customWidth="1"/>
    <col min="103" max="16384" width="9.140625" style="764"/>
  </cols>
  <sheetData>
    <row r="1" spans="1:37">
      <c r="A1"/>
      <c r="B1"/>
    </row>
    <row r="2" spans="1:37">
      <c r="A2" s="759" t="s">
        <v>2064</v>
      </c>
      <c r="B2" s="82" t="s">
        <v>1752</v>
      </c>
    </row>
    <row r="3" spans="1:37">
      <c r="A3" s="759" t="s">
        <v>2059</v>
      </c>
      <c r="B3" s="82" t="s">
        <v>1101</v>
      </c>
    </row>
    <row r="4" spans="1:37">
      <c r="A4" s="8" t="s">
        <v>210</v>
      </c>
      <c r="B4" s="82" t="s">
        <v>1768</v>
      </c>
    </row>
    <row r="5" spans="1:37" s="766" customFormat="1">
      <c r="A5"/>
      <c r="B5"/>
      <c r="C5"/>
      <c r="D5"/>
      <c r="E5"/>
      <c r="F5"/>
      <c r="G5"/>
      <c r="H5"/>
      <c r="I5"/>
      <c r="J5"/>
      <c r="K5"/>
      <c r="L5"/>
      <c r="M5"/>
      <c r="N5"/>
      <c r="O5"/>
      <c r="P5"/>
      <c r="Q5"/>
      <c r="R5"/>
      <c r="S5"/>
      <c r="T5"/>
      <c r="U5"/>
      <c r="V5"/>
      <c r="W5"/>
      <c r="X5"/>
      <c r="Y5"/>
      <c r="Z5"/>
      <c r="AA5"/>
      <c r="AB5"/>
      <c r="AC5"/>
      <c r="AD5"/>
      <c r="AE5"/>
      <c r="AF5" s="764"/>
      <c r="AG5" s="764"/>
      <c r="AH5" s="764"/>
      <c r="AI5" s="764"/>
      <c r="AJ5" s="764"/>
      <c r="AK5" s="764"/>
    </row>
    <row r="6" spans="1:37">
      <c r="A6" s="741" t="s">
        <v>291</v>
      </c>
      <c r="B6" s="741" t="s">
        <v>1960</v>
      </c>
      <c r="C6" s="12"/>
      <c r="D6" s="12"/>
      <c r="E6" s="12"/>
      <c r="F6" s="12"/>
      <c r="G6" s="12"/>
      <c r="H6" s="12"/>
      <c r="I6" s="60"/>
      <c r="J6"/>
      <c r="K6"/>
      <c r="L6"/>
      <c r="M6"/>
      <c r="N6"/>
      <c r="O6"/>
      <c r="P6"/>
      <c r="Q6"/>
      <c r="R6"/>
      <c r="S6"/>
      <c r="T6"/>
      <c r="U6"/>
      <c r="V6"/>
      <c r="W6"/>
      <c r="X6"/>
      <c r="Y6"/>
      <c r="Z6"/>
      <c r="AA6"/>
      <c r="AB6"/>
      <c r="AC6"/>
      <c r="AD6"/>
      <c r="AE6"/>
    </row>
    <row r="7" spans="1:37">
      <c r="A7" s="741" t="s">
        <v>1209</v>
      </c>
      <c r="B7" s="5" t="s">
        <v>1940</v>
      </c>
      <c r="C7" s="227" t="s">
        <v>1945</v>
      </c>
      <c r="D7" s="227" t="s">
        <v>1874</v>
      </c>
      <c r="E7" s="227" t="s">
        <v>1884</v>
      </c>
      <c r="F7" s="227" t="s">
        <v>1877</v>
      </c>
      <c r="G7" s="227" t="s">
        <v>1965</v>
      </c>
      <c r="H7" s="227" t="s">
        <v>1586</v>
      </c>
      <c r="I7" s="67" t="s">
        <v>1207</v>
      </c>
      <c r="J7"/>
      <c r="K7"/>
      <c r="L7"/>
      <c r="M7"/>
      <c r="N7"/>
      <c r="O7"/>
      <c r="P7"/>
      <c r="Q7"/>
      <c r="R7"/>
      <c r="S7"/>
      <c r="T7"/>
      <c r="U7"/>
      <c r="V7"/>
      <c r="W7"/>
      <c r="X7"/>
      <c r="Y7"/>
      <c r="Z7"/>
      <c r="AA7"/>
      <c r="AB7"/>
      <c r="AC7"/>
      <c r="AD7"/>
      <c r="AE7"/>
    </row>
    <row r="8" spans="1:37">
      <c r="A8" s="5" t="s">
        <v>1210</v>
      </c>
      <c r="B8" s="608">
        <v>50000</v>
      </c>
      <c r="C8" s="609"/>
      <c r="D8" s="609">
        <v>100000</v>
      </c>
      <c r="E8" s="609"/>
      <c r="F8" s="609">
        <v>137370</v>
      </c>
      <c r="G8" s="609">
        <v>50000</v>
      </c>
      <c r="H8" s="609"/>
      <c r="I8" s="67">
        <v>337370</v>
      </c>
      <c r="J8"/>
      <c r="K8"/>
      <c r="L8"/>
      <c r="M8"/>
      <c r="N8"/>
      <c r="O8"/>
      <c r="P8"/>
      <c r="Q8"/>
      <c r="R8"/>
      <c r="S8"/>
      <c r="T8"/>
      <c r="U8"/>
      <c r="V8"/>
      <c r="W8"/>
      <c r="X8"/>
      <c r="Y8"/>
      <c r="Z8"/>
      <c r="AA8"/>
      <c r="AB8"/>
      <c r="AC8"/>
      <c r="AD8"/>
      <c r="AE8"/>
    </row>
    <row r="9" spans="1:37">
      <c r="A9" s="68" t="s">
        <v>570</v>
      </c>
      <c r="B9" s="610">
        <v>730000</v>
      </c>
      <c r="C9" s="611"/>
      <c r="D9" s="611"/>
      <c r="E9" s="611">
        <v>103000</v>
      </c>
      <c r="F9" s="611">
        <v>391500</v>
      </c>
      <c r="G9" s="611"/>
      <c r="H9" s="611">
        <v>80000</v>
      </c>
      <c r="I9" s="69">
        <v>1304500</v>
      </c>
      <c r="J9"/>
      <c r="K9"/>
      <c r="L9"/>
      <c r="M9"/>
      <c r="N9"/>
      <c r="O9"/>
      <c r="P9"/>
      <c r="Q9"/>
      <c r="R9"/>
      <c r="S9"/>
      <c r="T9"/>
      <c r="U9"/>
      <c r="V9"/>
      <c r="W9"/>
      <c r="X9"/>
      <c r="Y9"/>
      <c r="Z9"/>
      <c r="AA9"/>
      <c r="AB9"/>
      <c r="AC9"/>
      <c r="AD9"/>
      <c r="AE9"/>
    </row>
    <row r="10" spans="1:37">
      <c r="A10" s="68" t="s">
        <v>1211</v>
      </c>
      <c r="B10" s="610"/>
      <c r="C10" s="611">
        <v>259500</v>
      </c>
      <c r="D10" s="611"/>
      <c r="E10" s="611"/>
      <c r="F10" s="611">
        <v>446812</v>
      </c>
      <c r="G10" s="611">
        <v>1323487</v>
      </c>
      <c r="H10" s="611">
        <v>405000</v>
      </c>
      <c r="I10" s="69">
        <v>2434799</v>
      </c>
      <c r="J10"/>
      <c r="K10"/>
      <c r="L10"/>
      <c r="M10"/>
      <c r="N10"/>
      <c r="O10"/>
      <c r="P10"/>
      <c r="Q10"/>
      <c r="R10"/>
      <c r="S10"/>
      <c r="T10"/>
      <c r="U10"/>
      <c r="V10"/>
      <c r="W10"/>
      <c r="X10"/>
      <c r="Y10"/>
      <c r="Z10"/>
      <c r="AA10"/>
      <c r="AB10"/>
      <c r="AC10"/>
      <c r="AD10"/>
      <c r="AE10"/>
    </row>
    <row r="11" spans="1:37">
      <c r="A11" s="760" t="s">
        <v>1207</v>
      </c>
      <c r="B11" s="791">
        <v>780000</v>
      </c>
      <c r="C11" s="792">
        <v>259500</v>
      </c>
      <c r="D11" s="792">
        <v>100000</v>
      </c>
      <c r="E11" s="792">
        <v>103000</v>
      </c>
      <c r="F11" s="792">
        <v>975682</v>
      </c>
      <c r="G11" s="792">
        <v>1373487</v>
      </c>
      <c r="H11" s="792">
        <v>485000</v>
      </c>
      <c r="I11" s="793">
        <v>4076669</v>
      </c>
      <c r="J11"/>
      <c r="K11"/>
      <c r="L11"/>
      <c r="M11"/>
      <c r="N11"/>
      <c r="O11"/>
      <c r="P11"/>
      <c r="Q11"/>
      <c r="R11"/>
      <c r="S11"/>
      <c r="T11"/>
      <c r="U11"/>
      <c r="V11"/>
      <c r="W11"/>
      <c r="X11"/>
      <c r="Y11"/>
      <c r="Z11"/>
      <c r="AA11"/>
      <c r="AB11"/>
      <c r="AC11"/>
      <c r="AD11"/>
      <c r="AE11"/>
    </row>
    <row r="12" spans="1:37">
      <c r="A12"/>
      <c r="B12"/>
      <c r="C12"/>
      <c r="D12"/>
      <c r="E12"/>
      <c r="F12"/>
      <c r="G12"/>
      <c r="H12"/>
      <c r="I12"/>
      <c r="J12"/>
      <c r="K12"/>
      <c r="L12"/>
      <c r="M12"/>
      <c r="N12"/>
      <c r="O12"/>
      <c r="P12"/>
      <c r="Q12"/>
    </row>
    <row r="13" spans="1:37" ht="12" customHeight="1">
      <c r="A13"/>
      <c r="B13"/>
      <c r="C13"/>
      <c r="D13"/>
      <c r="E13"/>
      <c r="F13"/>
      <c r="G13"/>
      <c r="H13"/>
      <c r="I13"/>
      <c r="J13"/>
      <c r="K13"/>
      <c r="L13"/>
      <c r="M13"/>
      <c r="N13"/>
      <c r="O13"/>
      <c r="P13"/>
      <c r="Q13"/>
    </row>
    <row r="14" spans="1:37" ht="12" customHeight="1">
      <c r="A14"/>
      <c r="B14"/>
      <c r="C14"/>
      <c r="D14"/>
      <c r="E14"/>
      <c r="F14"/>
      <c r="G14"/>
      <c r="H14"/>
      <c r="I14"/>
      <c r="J14"/>
      <c r="K14"/>
      <c r="L14"/>
      <c r="M14"/>
      <c r="N14"/>
      <c r="O14"/>
      <c r="P14"/>
      <c r="Q14"/>
    </row>
    <row r="15" spans="1:37" ht="12" customHeight="1">
      <c r="A15"/>
      <c r="B15"/>
      <c r="C15"/>
      <c r="D15"/>
      <c r="E15"/>
      <c r="F15"/>
      <c r="G15"/>
      <c r="H15"/>
      <c r="I15"/>
      <c r="J15"/>
      <c r="K15"/>
      <c r="L15"/>
      <c r="M15"/>
      <c r="N15"/>
      <c r="O15"/>
      <c r="P15"/>
      <c r="Q15"/>
    </row>
    <row r="16" spans="1:37" ht="12" customHeight="1">
      <c r="A16"/>
      <c r="B16"/>
      <c r="C16"/>
      <c r="D16"/>
      <c r="E16"/>
      <c r="F16"/>
      <c r="G16"/>
      <c r="H16"/>
      <c r="I16"/>
      <c r="J16"/>
      <c r="K16"/>
      <c r="L16"/>
      <c r="M16"/>
      <c r="N16"/>
      <c r="O16"/>
      <c r="P16"/>
      <c r="Q16"/>
    </row>
    <row r="17" spans="1:17" ht="12" customHeight="1">
      <c r="A17"/>
      <c r="B17"/>
      <c r="C17"/>
      <c r="D17"/>
      <c r="E17"/>
      <c r="F17"/>
      <c r="G17"/>
      <c r="H17"/>
      <c r="I17"/>
      <c r="J17"/>
      <c r="K17"/>
      <c r="L17"/>
      <c r="M17"/>
      <c r="N17"/>
      <c r="O17"/>
      <c r="P17"/>
      <c r="Q17"/>
    </row>
    <row r="18" spans="1:17" ht="12" customHeight="1">
      <c r="A18"/>
      <c r="B18"/>
      <c r="C18"/>
      <c r="D18"/>
      <c r="E18"/>
      <c r="F18"/>
      <c r="G18"/>
      <c r="H18"/>
      <c r="I18"/>
      <c r="J18"/>
      <c r="K18"/>
      <c r="L18"/>
      <c r="M18"/>
      <c r="N18"/>
      <c r="O18"/>
      <c r="P18"/>
      <c r="Q18"/>
    </row>
    <row r="19" spans="1:17" ht="12" customHeight="1">
      <c r="A19"/>
      <c r="B19"/>
      <c r="C19"/>
      <c r="D19"/>
      <c r="E19"/>
      <c r="F19"/>
      <c r="G19"/>
      <c r="H19"/>
      <c r="I19"/>
      <c r="J19"/>
      <c r="K19"/>
      <c r="L19"/>
      <c r="M19"/>
      <c r="N19"/>
      <c r="O19"/>
      <c r="P19"/>
      <c r="Q19"/>
    </row>
    <row r="20" spans="1:17" ht="12" customHeight="1">
      <c r="A20"/>
      <c r="B20"/>
      <c r="C20"/>
      <c r="D20"/>
      <c r="E20"/>
      <c r="F20"/>
      <c r="G20"/>
      <c r="H20"/>
      <c r="I20"/>
      <c r="J20"/>
      <c r="K20"/>
      <c r="L20"/>
      <c r="M20"/>
      <c r="N20"/>
      <c r="O20"/>
      <c r="P20"/>
      <c r="Q20"/>
    </row>
    <row r="21" spans="1:17" ht="12" customHeight="1">
      <c r="A21"/>
      <c r="B21"/>
      <c r="C21"/>
      <c r="D21"/>
      <c r="E21"/>
      <c r="F21"/>
      <c r="G21"/>
      <c r="H21"/>
      <c r="I21"/>
      <c r="J21"/>
      <c r="K21"/>
      <c r="L21"/>
      <c r="M21"/>
      <c r="N21"/>
      <c r="O21"/>
      <c r="P21"/>
      <c r="Q21"/>
    </row>
    <row r="22" spans="1:17" ht="12" customHeight="1">
      <c r="A22"/>
      <c r="B22"/>
      <c r="C22"/>
      <c r="D22"/>
      <c r="E22"/>
      <c r="F22"/>
      <c r="G22"/>
      <c r="H22"/>
      <c r="I22"/>
      <c r="J22"/>
      <c r="K22"/>
      <c r="L22"/>
      <c r="M22"/>
      <c r="N22"/>
      <c r="O22"/>
      <c r="P22"/>
      <c r="Q22"/>
    </row>
    <row r="23" spans="1:17" ht="12" customHeight="1">
      <c r="A23"/>
      <c r="B23"/>
      <c r="C23"/>
      <c r="D23"/>
      <c r="E23"/>
      <c r="F23"/>
      <c r="G23"/>
      <c r="H23"/>
      <c r="I23"/>
      <c r="J23"/>
      <c r="K23"/>
      <c r="L23"/>
      <c r="M23"/>
      <c r="N23"/>
      <c r="O23"/>
      <c r="P23"/>
      <c r="Q23"/>
    </row>
    <row r="24" spans="1:17" ht="12" customHeight="1">
      <c r="A24"/>
      <c r="B24"/>
      <c r="C24"/>
      <c r="D24"/>
      <c r="E24"/>
      <c r="F24"/>
      <c r="G24"/>
      <c r="H24"/>
      <c r="I24"/>
      <c r="J24"/>
      <c r="K24"/>
      <c r="L24"/>
      <c r="M24"/>
      <c r="N24"/>
      <c r="O24"/>
      <c r="P24"/>
      <c r="Q24"/>
    </row>
    <row r="25" spans="1:17" ht="12" customHeight="1">
      <c r="A25"/>
      <c r="B25"/>
      <c r="C25"/>
      <c r="D25"/>
      <c r="E25"/>
      <c r="F25"/>
      <c r="G25"/>
      <c r="H25"/>
      <c r="I25"/>
      <c r="J25"/>
      <c r="K25"/>
      <c r="L25"/>
      <c r="M25"/>
      <c r="N25"/>
      <c r="O25"/>
      <c r="P25"/>
      <c r="Q25"/>
    </row>
    <row r="26" spans="1:17" ht="12" customHeight="1">
      <c r="A26"/>
      <c r="B26"/>
      <c r="C26"/>
      <c r="D26"/>
      <c r="E26"/>
      <c r="F26"/>
      <c r="G26"/>
      <c r="H26"/>
      <c r="I26"/>
      <c r="J26"/>
      <c r="K26"/>
      <c r="L26"/>
      <c r="M26"/>
      <c r="N26"/>
      <c r="O26"/>
      <c r="P26"/>
      <c r="Q26"/>
    </row>
    <row r="27" spans="1:17" ht="12" customHeight="1">
      <c r="A27"/>
      <c r="B27"/>
      <c r="C27"/>
      <c r="D27"/>
      <c r="E27"/>
      <c r="F27"/>
      <c r="G27"/>
      <c r="H27"/>
      <c r="I27"/>
      <c r="J27"/>
      <c r="K27"/>
      <c r="L27"/>
      <c r="M27"/>
      <c r="N27"/>
      <c r="O27"/>
      <c r="P27"/>
      <c r="Q27"/>
    </row>
    <row r="28" spans="1:17" ht="12" customHeight="1">
      <c r="A28"/>
      <c r="B28"/>
      <c r="C28"/>
      <c r="D28"/>
      <c r="E28"/>
      <c r="F28"/>
      <c r="G28"/>
      <c r="H28"/>
      <c r="I28"/>
      <c r="J28"/>
      <c r="K28"/>
      <c r="L28"/>
      <c r="M28"/>
      <c r="N28"/>
      <c r="O28"/>
      <c r="P28"/>
      <c r="Q28"/>
    </row>
    <row r="29" spans="1:17" ht="12" customHeight="1">
      <c r="A29"/>
      <c r="B29"/>
      <c r="C29"/>
      <c r="D29"/>
      <c r="E29"/>
      <c r="F29"/>
      <c r="G29"/>
      <c r="H29"/>
      <c r="I29"/>
      <c r="J29"/>
      <c r="K29"/>
      <c r="L29"/>
      <c r="M29"/>
      <c r="N29"/>
      <c r="O29"/>
      <c r="P29"/>
      <c r="Q29"/>
    </row>
    <row r="30" spans="1:17" ht="12" customHeight="1">
      <c r="A30"/>
      <c r="B30"/>
      <c r="C30"/>
      <c r="D30"/>
      <c r="E30"/>
      <c r="F30"/>
      <c r="G30"/>
      <c r="H30"/>
      <c r="I30"/>
      <c r="J30"/>
      <c r="K30"/>
      <c r="L30"/>
      <c r="M30"/>
      <c r="N30"/>
      <c r="O30"/>
      <c r="P30"/>
      <c r="Q30"/>
    </row>
    <row r="31" spans="1:17" ht="12" customHeight="1">
      <c r="A31"/>
      <c r="B31"/>
      <c r="C31"/>
      <c r="D31"/>
      <c r="E31"/>
      <c r="F31"/>
      <c r="G31"/>
      <c r="H31"/>
      <c r="I31"/>
      <c r="J31"/>
      <c r="K31"/>
      <c r="L31"/>
      <c r="M31"/>
      <c r="N31"/>
      <c r="O31"/>
      <c r="P31"/>
      <c r="Q31"/>
    </row>
    <row r="32" spans="1:17" ht="12" customHeight="1">
      <c r="A32"/>
      <c r="B32"/>
      <c r="C32"/>
      <c r="D32"/>
      <c r="E32"/>
      <c r="F32"/>
      <c r="G32"/>
      <c r="H32"/>
      <c r="I32"/>
      <c r="J32"/>
      <c r="K32"/>
      <c r="L32"/>
      <c r="M32"/>
      <c r="N32"/>
      <c r="O32"/>
      <c r="P32"/>
      <c r="Q32"/>
    </row>
    <row r="33" spans="1:102" ht="12" customHeight="1">
      <c r="A33"/>
      <c r="B33"/>
      <c r="C33"/>
      <c r="D33"/>
      <c r="E33"/>
      <c r="F33"/>
      <c r="G33"/>
      <c r="H33"/>
      <c r="I33"/>
      <c r="J33"/>
      <c r="K33"/>
      <c r="L33"/>
      <c r="M33"/>
      <c r="N33"/>
      <c r="O33"/>
      <c r="P33"/>
      <c r="Q33"/>
    </row>
    <row r="34" spans="1:102" ht="12" customHeight="1">
      <c r="A34"/>
      <c r="B34"/>
      <c r="C34"/>
      <c r="D34"/>
      <c r="E34"/>
      <c r="F34"/>
      <c r="G34"/>
      <c r="H34"/>
      <c r="I34"/>
      <c r="J34"/>
      <c r="K34"/>
      <c r="L34"/>
      <c r="M34"/>
      <c r="N34"/>
      <c r="O34"/>
      <c r="P34"/>
      <c r="Q34"/>
    </row>
    <row r="35" spans="1:102" ht="12" customHeight="1">
      <c r="A35"/>
      <c r="B35"/>
      <c r="C35"/>
      <c r="D35"/>
      <c r="E35"/>
      <c r="F35"/>
      <c r="G35"/>
      <c r="H35"/>
      <c r="I35"/>
      <c r="J35"/>
      <c r="K35"/>
      <c r="L35"/>
      <c r="M35"/>
      <c r="N35"/>
      <c r="O35"/>
      <c r="P35"/>
      <c r="Q35"/>
    </row>
    <row r="36" spans="1:102" ht="12" customHeight="1">
      <c r="A36"/>
      <c r="B36"/>
      <c r="C36"/>
      <c r="D36"/>
      <c r="E36"/>
      <c r="F36"/>
      <c r="G36"/>
      <c r="H36"/>
      <c r="I36"/>
      <c r="J36"/>
      <c r="K36"/>
      <c r="L36"/>
      <c r="M36"/>
      <c r="N36"/>
      <c r="O36"/>
      <c r="P36"/>
      <c r="Q36"/>
    </row>
    <row r="37" spans="1:102" ht="12" customHeight="1">
      <c r="A37"/>
      <c r="B37"/>
      <c r="C37"/>
      <c r="D37"/>
      <c r="E37"/>
      <c r="F37"/>
      <c r="G37"/>
      <c r="H37"/>
      <c r="I37"/>
      <c r="J37"/>
      <c r="K37"/>
      <c r="L37"/>
      <c r="M37"/>
      <c r="N37"/>
      <c r="O37"/>
      <c r="P37"/>
      <c r="Q37"/>
    </row>
    <row r="38" spans="1:102" ht="12" customHeight="1">
      <c r="A38"/>
      <c r="B38"/>
      <c r="C38"/>
      <c r="D38"/>
      <c r="E38"/>
      <c r="F38"/>
      <c r="G38"/>
      <c r="H38"/>
      <c r="I38"/>
      <c r="J38"/>
      <c r="K38"/>
      <c r="L38"/>
      <c r="M38"/>
      <c r="N38"/>
      <c r="O38"/>
      <c r="P38"/>
      <c r="Q38"/>
    </row>
    <row r="39" spans="1:102" ht="12" customHeight="1">
      <c r="A39"/>
      <c r="B39"/>
      <c r="C39"/>
      <c r="D39"/>
      <c r="E39"/>
      <c r="F39"/>
      <c r="G39"/>
      <c r="H39"/>
      <c r="I39"/>
      <c r="J39"/>
      <c r="K39"/>
      <c r="L39"/>
      <c r="M39"/>
      <c r="N39"/>
      <c r="O39"/>
      <c r="P39"/>
      <c r="Q39"/>
    </row>
    <row r="40" spans="1:102" ht="12" customHeight="1">
      <c r="A40"/>
      <c r="B40"/>
      <c r="C40"/>
      <c r="D40"/>
      <c r="E40"/>
      <c r="F40"/>
      <c r="G40"/>
      <c r="H40"/>
      <c r="I40"/>
      <c r="J40"/>
      <c r="K40"/>
      <c r="L40"/>
      <c r="M40"/>
      <c r="N40"/>
      <c r="O40"/>
      <c r="P40"/>
      <c r="Q40"/>
    </row>
    <row r="41" spans="1:102">
      <c r="A41" s="767" t="s">
        <v>477</v>
      </c>
      <c r="B41" t="s">
        <v>362</v>
      </c>
      <c r="C41"/>
      <c r="D41"/>
      <c r="E41"/>
      <c r="F41"/>
      <c r="G41"/>
      <c r="H41"/>
      <c r="I41"/>
      <c r="J41"/>
      <c r="K41"/>
      <c r="L41"/>
      <c r="M41"/>
      <c r="N41"/>
      <c r="O41"/>
      <c r="P41"/>
      <c r="Q41"/>
    </row>
    <row r="42" spans="1:102">
      <c r="A42" s="767" t="s">
        <v>2064</v>
      </c>
      <c r="B42" t="s">
        <v>1752</v>
      </c>
      <c r="C42"/>
      <c r="D42"/>
      <c r="E42"/>
      <c r="F42"/>
      <c r="G42"/>
      <c r="H42"/>
      <c r="I42"/>
      <c r="J42"/>
      <c r="K42"/>
      <c r="L42"/>
      <c r="M42"/>
      <c r="N42"/>
      <c r="O42"/>
      <c r="P42"/>
      <c r="Q42"/>
    </row>
    <row r="43" spans="1:102">
      <c r="A43" s="767" t="s">
        <v>210</v>
      </c>
      <c r="B43" t="s">
        <v>1768</v>
      </c>
      <c r="D43" s="764"/>
    </row>
    <row r="44" spans="1:102">
      <c r="A44" s="764"/>
      <c r="D44" s="764"/>
    </row>
    <row r="45" spans="1:102">
      <c r="A45"/>
      <c r="B45" s="767" t="s">
        <v>2110</v>
      </c>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row>
    <row r="46" spans="1:102">
      <c r="A46" s="767" t="s">
        <v>2108</v>
      </c>
      <c r="B46" s="209" t="s">
        <v>2109</v>
      </c>
      <c r="C46" s="209" t="s">
        <v>2125</v>
      </c>
      <c r="D46" t="s">
        <v>2124</v>
      </c>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row>
    <row r="47" spans="1:102">
      <c r="A47" s="70" t="s">
        <v>1210</v>
      </c>
      <c r="B47" s="59">
        <v>112214503</v>
      </c>
      <c r="C47" s="209">
        <v>587370</v>
      </c>
      <c r="D47" s="611">
        <v>12</v>
      </c>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row>
    <row r="48" spans="1:102">
      <c r="A48" s="768" t="s">
        <v>1940</v>
      </c>
      <c r="B48" s="59">
        <v>1437632</v>
      </c>
      <c r="C48" s="209">
        <v>50000</v>
      </c>
      <c r="D48" s="611">
        <v>1</v>
      </c>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row>
    <row r="49" spans="1:102">
      <c r="A49" s="768" t="s">
        <v>1874</v>
      </c>
      <c r="B49" s="59">
        <v>8427856</v>
      </c>
      <c r="C49" s="209">
        <v>100000</v>
      </c>
      <c r="D49" s="611">
        <v>1</v>
      </c>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row>
    <row r="50" spans="1:102">
      <c r="A50" s="768" t="s">
        <v>1639</v>
      </c>
      <c r="B50" s="59">
        <v>9200000</v>
      </c>
      <c r="C50" s="209">
        <v>100000</v>
      </c>
      <c r="D50" s="611">
        <v>1</v>
      </c>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row>
    <row r="51" spans="1:102">
      <c r="A51" s="768" t="s">
        <v>1877</v>
      </c>
      <c r="B51" s="59">
        <v>21221768</v>
      </c>
      <c r="C51" s="209">
        <v>137370</v>
      </c>
      <c r="D51" s="611">
        <v>6</v>
      </c>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row>
    <row r="52" spans="1:102">
      <c r="A52" s="768" t="s">
        <v>2023</v>
      </c>
      <c r="B52" s="59">
        <v>66586679</v>
      </c>
      <c r="C52" s="209">
        <v>0</v>
      </c>
      <c r="D52" s="611">
        <v>1</v>
      </c>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row>
    <row r="53" spans="1:102">
      <c r="A53" s="768" t="s">
        <v>176</v>
      </c>
      <c r="B53" s="59">
        <v>4340568</v>
      </c>
      <c r="C53" s="209">
        <v>150000</v>
      </c>
      <c r="D53" s="611">
        <v>1</v>
      </c>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row>
    <row r="54" spans="1:102">
      <c r="A54" s="768" t="s">
        <v>1965</v>
      </c>
      <c r="B54" s="59">
        <v>1000000</v>
      </c>
      <c r="C54" s="209">
        <v>50000</v>
      </c>
      <c r="D54" s="611">
        <v>1</v>
      </c>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row>
    <row r="55" spans="1:102">
      <c r="A55" s="70" t="s">
        <v>570</v>
      </c>
      <c r="B55" s="59">
        <v>245776100</v>
      </c>
      <c r="C55" s="209">
        <v>9701500</v>
      </c>
      <c r="D55" s="611">
        <v>21</v>
      </c>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row>
    <row r="56" spans="1:102">
      <c r="A56" s="768" t="s">
        <v>1940</v>
      </c>
      <c r="B56" s="59">
        <v>43402000</v>
      </c>
      <c r="C56" s="209">
        <v>730000</v>
      </c>
      <c r="D56" s="611">
        <v>5</v>
      </c>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row>
    <row r="57" spans="1:102">
      <c r="A57" s="768" t="s">
        <v>1884</v>
      </c>
      <c r="B57" s="59">
        <v>9880000</v>
      </c>
      <c r="C57" s="209">
        <v>100000</v>
      </c>
      <c r="D57" s="611">
        <v>1</v>
      </c>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row>
    <row r="58" spans="1:102">
      <c r="A58" s="768" t="s">
        <v>1639</v>
      </c>
      <c r="B58" s="59">
        <v>664175</v>
      </c>
      <c r="C58" s="209">
        <v>50000</v>
      </c>
      <c r="D58" s="611">
        <v>1</v>
      </c>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row>
    <row r="59" spans="1:102">
      <c r="A59" s="768" t="s">
        <v>1877</v>
      </c>
      <c r="B59" s="59">
        <v>178404065</v>
      </c>
      <c r="C59" s="209">
        <v>8591500</v>
      </c>
      <c r="D59" s="611">
        <v>10</v>
      </c>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row>
    <row r="60" spans="1:102">
      <c r="A60" s="768" t="s">
        <v>1586</v>
      </c>
      <c r="B60" s="59">
        <v>8110000</v>
      </c>
      <c r="C60" s="209">
        <v>80000</v>
      </c>
      <c r="D60" s="611">
        <v>2</v>
      </c>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row>
    <row r="61" spans="1:102">
      <c r="A61" s="768" t="s">
        <v>2005</v>
      </c>
      <c r="B61" s="59">
        <v>2450000</v>
      </c>
      <c r="C61" s="209">
        <v>100000</v>
      </c>
      <c r="D61" s="611">
        <v>1</v>
      </c>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row>
    <row r="62" spans="1:102">
      <c r="A62" s="768" t="s">
        <v>1920</v>
      </c>
      <c r="B62" s="59">
        <v>2865860</v>
      </c>
      <c r="C62" s="209">
        <v>50000</v>
      </c>
      <c r="D62" s="611">
        <v>1</v>
      </c>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row>
    <row r="63" spans="1:102">
      <c r="A63" s="70" t="s">
        <v>1211</v>
      </c>
      <c r="B63" s="59">
        <v>16239533</v>
      </c>
      <c r="C63" s="209">
        <v>1765799</v>
      </c>
      <c r="D63" s="611">
        <v>9</v>
      </c>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row>
    <row r="64" spans="1:102">
      <c r="A64" s="768" t="s">
        <v>1877</v>
      </c>
      <c r="B64" s="59">
        <v>2755609</v>
      </c>
      <c r="C64" s="209">
        <v>139812</v>
      </c>
      <c r="D64" s="611">
        <v>4</v>
      </c>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row>
    <row r="65" spans="1:88">
      <c r="A65" s="768" t="s">
        <v>1965</v>
      </c>
      <c r="B65" s="59">
        <v>11749645</v>
      </c>
      <c r="C65" s="209">
        <v>1300987</v>
      </c>
      <c r="D65" s="611">
        <v>3</v>
      </c>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row>
    <row r="66" spans="1:88">
      <c r="A66" s="768" t="s">
        <v>1586</v>
      </c>
      <c r="B66" s="59">
        <v>1734279</v>
      </c>
      <c r="C66" s="209">
        <v>325000</v>
      </c>
      <c r="D66" s="611">
        <v>2</v>
      </c>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row>
    <row r="67" spans="1:88">
      <c r="A67" s="70" t="s">
        <v>1207</v>
      </c>
      <c r="B67" s="59">
        <v>374230136</v>
      </c>
      <c r="C67" s="209">
        <v>12054669</v>
      </c>
      <c r="D67" s="611">
        <v>42</v>
      </c>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row>
    <row r="68" spans="1:88">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row>
    <row r="69" spans="1:88">
      <c r="A69"/>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row>
    <row r="70" spans="1:88">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row>
    <row r="71" spans="1:88">
      <c r="A71"/>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row>
    <row r="72" spans="1:88">
      <c r="A7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row>
    <row r="73" spans="1:88">
      <c r="A73"/>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row>
    <row r="74" spans="1:88">
      <c r="A74"/>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row>
    <row r="75" spans="1:88">
      <c r="A75"/>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row>
    <row r="76" spans="1:88">
      <c r="A76"/>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row>
    <row r="77" spans="1:88">
      <c r="A77"/>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row>
    <row r="78" spans="1:88">
      <c r="A78"/>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row>
    <row r="79" spans="1:88">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row>
    <row r="80" spans="1:88">
      <c r="A80"/>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row>
    <row r="81" spans="1:88">
      <c r="A81"/>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row>
    <row r="82" spans="1:88">
      <c r="A8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row>
    <row r="83" spans="1:88">
      <c r="A83"/>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row>
    <row r="84" spans="1:88">
      <c r="A84"/>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row>
    <row r="85" spans="1:88">
      <c r="A85"/>
      <c r="B85"/>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row>
    <row r="86" spans="1:88">
      <c r="A86"/>
      <c r="B86"/>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row>
    <row r="87" spans="1:88">
      <c r="A87"/>
      <c r="B87"/>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row>
    <row r="88" spans="1:88">
      <c r="A88"/>
      <c r="B88"/>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row>
    <row r="89" spans="1:88">
      <c r="A89"/>
      <c r="B89"/>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row>
    <row r="90" spans="1:88">
      <c r="A90"/>
      <c r="B90"/>
      <c r="C90"/>
      <c r="D90"/>
      <c r="E90"/>
      <c r="F90"/>
      <c r="G90"/>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row>
    <row r="91" spans="1:88">
      <c r="A91"/>
      <c r="B91"/>
      <c r="C91"/>
      <c r="D91"/>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row>
    <row r="92" spans="1:88">
      <c r="A92"/>
      <c r="B92"/>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row>
    <row r="93" spans="1:88">
      <c r="A93"/>
      <c r="B93"/>
      <c r="C93"/>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row>
    <row r="94" spans="1:88">
      <c r="A94"/>
      <c r="B94"/>
      <c r="C94"/>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row>
    <row r="95" spans="1:88">
      <c r="A95"/>
      <c r="B95"/>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row>
    <row r="96" spans="1:88">
      <c r="A96"/>
      <c r="B96"/>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row>
    <row r="97" spans="1:88">
      <c r="A97"/>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row>
    <row r="98" spans="1:88">
      <c r="A98"/>
      <c r="B98"/>
      <c r="C98"/>
      <c r="D98"/>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row>
    <row r="99" spans="1:88">
      <c r="A99"/>
      <c r="B99"/>
      <c r="C99"/>
      <c r="D99"/>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row>
    <row r="100" spans="1:88">
      <c r="A100"/>
      <c r="B100"/>
      <c r="C100"/>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row>
    <row r="101" spans="1:88">
      <c r="A101"/>
      <c r="B101"/>
      <c r="C101"/>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row>
    <row r="102" spans="1:88">
      <c r="A102"/>
      <c r="B102"/>
      <c r="C102"/>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row>
    <row r="103" spans="1:88">
      <c r="A103"/>
      <c r="B103"/>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row>
    <row r="104" spans="1:88">
      <c r="A104"/>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row>
    <row r="105" spans="1:88">
      <c r="A105"/>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row>
    <row r="106" spans="1:88">
      <c r="A106" s="767" t="s">
        <v>1209</v>
      </c>
      <c r="B106" t="s">
        <v>1101</v>
      </c>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row>
    <row r="107" spans="1:88">
      <c r="A107" s="767" t="s">
        <v>210</v>
      </c>
      <c r="B107" t="s">
        <v>1768</v>
      </c>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row>
    <row r="108" spans="1:88">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row>
    <row r="109" spans="1:88">
      <c r="A109" s="767" t="s">
        <v>1960</v>
      </c>
      <c r="B109" s="767" t="s">
        <v>358</v>
      </c>
      <c r="C109" t="s">
        <v>2120</v>
      </c>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row>
    <row r="110" spans="1:88" hidden="1">
      <c r="A110" t="s">
        <v>900</v>
      </c>
      <c r="B110" t="s">
        <v>95</v>
      </c>
      <c r="C110" s="790">
        <v>0</v>
      </c>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row>
    <row r="111" spans="1:88">
      <c r="A111"/>
      <c r="B111" t="s">
        <v>350</v>
      </c>
      <c r="C111" s="790">
        <v>2.1126760563380281E-2</v>
      </c>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row>
    <row r="112" spans="1:88">
      <c r="A112"/>
      <c r="B112" t="s">
        <v>12</v>
      </c>
      <c r="C112" s="790">
        <v>8.786049186128804E-3</v>
      </c>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row>
    <row r="113" spans="1:88" hidden="1">
      <c r="A113"/>
      <c r="B113" t="s">
        <v>100</v>
      </c>
      <c r="C113" s="790">
        <v>0</v>
      </c>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row>
    <row r="114" spans="1:88" hidden="1">
      <c r="A114" t="s">
        <v>1940</v>
      </c>
      <c r="B114" t="s">
        <v>1845</v>
      </c>
      <c r="C114" s="790">
        <v>0</v>
      </c>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row>
    <row r="115" spans="1:88" hidden="1">
      <c r="A115"/>
      <c r="B115" t="s">
        <v>1846</v>
      </c>
      <c r="C115" s="790">
        <v>0</v>
      </c>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row>
    <row r="116" spans="1:88" hidden="1">
      <c r="A116"/>
      <c r="B116" t="s">
        <v>558</v>
      </c>
      <c r="C116" s="790">
        <v>1.3522650439486139E-2</v>
      </c>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row>
    <row r="117" spans="1:88" hidden="1">
      <c r="A117"/>
      <c r="B117" t="s">
        <v>96</v>
      </c>
      <c r="C117" s="790">
        <v>3.0899470899470899E-2</v>
      </c>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row>
    <row r="118" spans="1:88">
      <c r="A118"/>
      <c r="B118" t="s">
        <v>1601</v>
      </c>
      <c r="C118" s="790">
        <v>0.11970279986897775</v>
      </c>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row>
    <row r="119" spans="1:88" hidden="1">
      <c r="A119"/>
      <c r="B119" t="s">
        <v>2004</v>
      </c>
      <c r="C119" s="790">
        <v>3.4246575342465752E-2</v>
      </c>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row>
    <row r="120" spans="1:88">
      <c r="A120"/>
      <c r="B120" t="s">
        <v>277</v>
      </c>
      <c r="C120" s="790">
        <v>2.6115115428810196E-3</v>
      </c>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row>
    <row r="121" spans="1:88" hidden="1">
      <c r="A121"/>
      <c r="B121" t="s">
        <v>442</v>
      </c>
      <c r="C121" s="790">
        <v>6.2464863514273224E-2</v>
      </c>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row>
    <row r="122" spans="1:88" hidden="1">
      <c r="A122"/>
      <c r="B122" t="s">
        <v>101</v>
      </c>
      <c r="C122" s="790">
        <v>9.9148810344729752E-3</v>
      </c>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row>
    <row r="123" spans="1:88" hidden="1">
      <c r="A123"/>
      <c r="B123" t="s">
        <v>337</v>
      </c>
      <c r="C123" s="790">
        <v>3.4779415038062589E-2</v>
      </c>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row>
    <row r="124" spans="1:88" hidden="1">
      <c r="A124"/>
      <c r="B124" t="s">
        <v>561</v>
      </c>
      <c r="C124" s="790">
        <v>3.6477712117895965E-3</v>
      </c>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row>
    <row r="125" spans="1:88">
      <c r="A125" t="s">
        <v>1945</v>
      </c>
      <c r="B125" t="s">
        <v>329</v>
      </c>
      <c r="C125" s="790">
        <v>0</v>
      </c>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row>
    <row r="126" spans="1:88" hidden="1">
      <c r="A126"/>
      <c r="B126" t="s">
        <v>545</v>
      </c>
      <c r="C126" s="790">
        <v>0.15789473684210525</v>
      </c>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row>
    <row r="127" spans="1:88" hidden="1">
      <c r="A127"/>
      <c r="B127" t="s">
        <v>544</v>
      </c>
      <c r="C127" s="790">
        <v>0.17367458866544791</v>
      </c>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row>
    <row r="128" spans="1:88">
      <c r="A128" t="s">
        <v>1874</v>
      </c>
      <c r="B128" t="s">
        <v>1932</v>
      </c>
      <c r="C128" s="790">
        <v>1.2255905511811023E-2</v>
      </c>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row>
    <row r="129" spans="1:88" hidden="1">
      <c r="A129"/>
      <c r="B129" t="s">
        <v>38</v>
      </c>
      <c r="C129" s="790">
        <v>1.1865413932084269E-2</v>
      </c>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row>
    <row r="130" spans="1:88">
      <c r="A130"/>
      <c r="B130" t="s">
        <v>340</v>
      </c>
      <c r="C130" s="790">
        <v>1.6252683724399992E-2</v>
      </c>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row>
    <row r="131" spans="1:88" hidden="1">
      <c r="A131" t="s">
        <v>1884</v>
      </c>
      <c r="B131" t="s">
        <v>53</v>
      </c>
      <c r="C131" s="790">
        <v>0.15625</v>
      </c>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row>
    <row r="132" spans="1:88" hidden="1">
      <c r="A132"/>
      <c r="B132" t="s">
        <v>1070</v>
      </c>
      <c r="C132" s="790">
        <v>0</v>
      </c>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row>
    <row r="133" spans="1:88">
      <c r="A133"/>
      <c r="B133" t="s">
        <v>347</v>
      </c>
      <c r="C133" s="790">
        <v>0.10787486515641856</v>
      </c>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row>
    <row r="134" spans="1:88">
      <c r="A134"/>
      <c r="B134" t="s">
        <v>557</v>
      </c>
      <c r="C134" s="790">
        <v>0</v>
      </c>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row>
    <row r="135" spans="1:88">
      <c r="A135"/>
      <c r="B135" t="s">
        <v>656</v>
      </c>
      <c r="C135" s="790">
        <v>0.17188673215</v>
      </c>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row>
    <row r="136" spans="1:88" hidden="1">
      <c r="A136"/>
      <c r="B136" t="s">
        <v>437</v>
      </c>
      <c r="C136" s="790">
        <v>0</v>
      </c>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row>
    <row r="137" spans="1:88" hidden="1">
      <c r="A137"/>
      <c r="B137" t="s">
        <v>403</v>
      </c>
      <c r="C137" s="790">
        <v>0</v>
      </c>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row>
    <row r="138" spans="1:88" hidden="1">
      <c r="A138"/>
      <c r="B138" t="s">
        <v>334</v>
      </c>
      <c r="C138" s="790">
        <v>0</v>
      </c>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row>
    <row r="139" spans="1:88" hidden="1">
      <c r="A139"/>
      <c r="B139" t="s">
        <v>577</v>
      </c>
      <c r="C139" s="790">
        <v>0</v>
      </c>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row>
    <row r="140" spans="1:88">
      <c r="A140"/>
      <c r="B140" t="s">
        <v>635</v>
      </c>
      <c r="C140" s="790">
        <v>1.0121457489878543E-2</v>
      </c>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row>
    <row r="141" spans="1:88" hidden="1">
      <c r="A141"/>
      <c r="B141" t="s">
        <v>99</v>
      </c>
      <c r="C141" s="790">
        <v>3.125E-2</v>
      </c>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row>
    <row r="142" spans="1:88">
      <c r="A142"/>
      <c r="B142" t="s">
        <v>456</v>
      </c>
      <c r="C142" s="790">
        <v>3.5570858929530574E-2</v>
      </c>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row>
    <row r="143" spans="1:88" hidden="1">
      <c r="A143"/>
      <c r="B143" t="s">
        <v>740</v>
      </c>
      <c r="C143" s="790">
        <v>6.8559322033898307E-2</v>
      </c>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row>
    <row r="144" spans="1:88">
      <c r="A144"/>
      <c r="B144" t="s">
        <v>1358</v>
      </c>
      <c r="C144" s="790">
        <v>2.6881720430107527E-2</v>
      </c>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row>
    <row r="145" spans="1:88">
      <c r="A145" t="s">
        <v>737</v>
      </c>
      <c r="B145" t="s">
        <v>578</v>
      </c>
      <c r="C145" s="790">
        <v>0</v>
      </c>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row>
    <row r="146" spans="1:88">
      <c r="A146" t="s">
        <v>1639</v>
      </c>
      <c r="B146" t="s">
        <v>83</v>
      </c>
      <c r="C146" s="790">
        <v>9.0909090909090912E-2</v>
      </c>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row>
    <row r="147" spans="1:88" hidden="1">
      <c r="A147"/>
      <c r="B147" t="s">
        <v>2032</v>
      </c>
      <c r="C147" s="790">
        <v>0.36102216666666664</v>
      </c>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row>
    <row r="148" spans="1:88">
      <c r="A148"/>
      <c r="B148" t="s">
        <v>1624</v>
      </c>
      <c r="C148" s="790">
        <v>7.5281364098317455E-2</v>
      </c>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row>
    <row r="149" spans="1:88" hidden="1">
      <c r="A149"/>
      <c r="B149" t="s">
        <v>21</v>
      </c>
      <c r="C149" s="790">
        <v>0</v>
      </c>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row>
    <row r="150" spans="1:88" hidden="1">
      <c r="A150"/>
      <c r="B150" t="s">
        <v>336</v>
      </c>
      <c r="C150" s="790">
        <v>1.0869565217391304E-2</v>
      </c>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row>
    <row r="151" spans="1:88">
      <c r="A151" t="s">
        <v>1877</v>
      </c>
      <c r="B151" t="s">
        <v>88</v>
      </c>
      <c r="C151" s="790">
        <v>5.9003436426116843E-2</v>
      </c>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row>
    <row r="152" spans="1:88">
      <c r="A152"/>
      <c r="B152" t="s">
        <v>1803</v>
      </c>
      <c r="C152" s="790">
        <v>0.62809037424108505</v>
      </c>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row>
    <row r="153" spans="1:88" hidden="1">
      <c r="A153"/>
      <c r="B153" t="s">
        <v>343</v>
      </c>
      <c r="C153" s="790">
        <v>0.19986688984624001</v>
      </c>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row>
    <row r="154" spans="1:88" hidden="1">
      <c r="A154"/>
      <c r="B154" t="s">
        <v>91</v>
      </c>
      <c r="C154" s="790">
        <v>0</v>
      </c>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row>
    <row r="155" spans="1:88" hidden="1">
      <c r="A155"/>
      <c r="B155" t="s">
        <v>441</v>
      </c>
      <c r="C155" s="790">
        <v>0</v>
      </c>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row>
    <row r="156" spans="1:88" hidden="1">
      <c r="A156"/>
      <c r="B156" t="s">
        <v>452</v>
      </c>
      <c r="C156" s="790">
        <v>0</v>
      </c>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row>
    <row r="157" spans="1:88" hidden="1">
      <c r="A157"/>
      <c r="B157" t="s">
        <v>1160</v>
      </c>
      <c r="C157" s="790">
        <v>0.1801900825180483</v>
      </c>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row>
    <row r="158" spans="1:88" hidden="1">
      <c r="A158"/>
      <c r="B158" t="s">
        <v>532</v>
      </c>
      <c r="C158" s="790">
        <v>0</v>
      </c>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row>
    <row r="159" spans="1:88" hidden="1">
      <c r="A159"/>
      <c r="B159" t="s">
        <v>689</v>
      </c>
      <c r="C159" s="790">
        <v>1.1363636363636364E-2</v>
      </c>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row>
    <row r="160" spans="1:88">
      <c r="A160"/>
      <c r="B160" t="s">
        <v>92</v>
      </c>
      <c r="C160" s="790">
        <v>0.35</v>
      </c>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row>
    <row r="161" spans="1:88" hidden="1">
      <c r="A161"/>
      <c r="B161" t="s">
        <v>508</v>
      </c>
      <c r="C161" s="790">
        <v>0.14491335418155082</v>
      </c>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row>
    <row r="162" spans="1:88" hidden="1">
      <c r="A162"/>
      <c r="B162" t="s">
        <v>1810</v>
      </c>
      <c r="C162" s="790">
        <v>0</v>
      </c>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row>
    <row r="163" spans="1:88" hidden="1">
      <c r="A163"/>
      <c r="B163" t="s">
        <v>1830</v>
      </c>
      <c r="C163" s="790">
        <v>0</v>
      </c>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row>
    <row r="164" spans="1:88">
      <c r="A164"/>
      <c r="B164" t="s">
        <v>97</v>
      </c>
      <c r="C164" s="790">
        <v>0.28726499999999999</v>
      </c>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row>
    <row r="165" spans="1:88" hidden="1">
      <c r="A165"/>
      <c r="B165" t="s">
        <v>56</v>
      </c>
      <c r="C165" s="790">
        <v>3.7091366303436714E-2</v>
      </c>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row>
    <row r="166" spans="1:88">
      <c r="A166"/>
      <c r="B166" t="s">
        <v>1804</v>
      </c>
      <c r="C166" s="790">
        <v>0</v>
      </c>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row>
    <row r="167" spans="1:88" hidden="1">
      <c r="A167"/>
      <c r="B167" t="s">
        <v>82</v>
      </c>
      <c r="C167" s="790">
        <v>5.1225125726860901E-2</v>
      </c>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row>
    <row r="168" spans="1:88" hidden="1">
      <c r="A168"/>
      <c r="B168" t="s">
        <v>1145</v>
      </c>
      <c r="C168" s="790">
        <v>4.0251843188090851E-2</v>
      </c>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row>
    <row r="169" spans="1:88" hidden="1">
      <c r="A169"/>
      <c r="B169" t="s">
        <v>1415</v>
      </c>
      <c r="C169" s="790">
        <v>4.2016806722689074E-3</v>
      </c>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row>
    <row r="170" spans="1:88" hidden="1">
      <c r="A170"/>
      <c r="B170" t="s">
        <v>1600</v>
      </c>
      <c r="C170" s="790">
        <v>2.7609427609427608E-2</v>
      </c>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row>
    <row r="171" spans="1:88">
      <c r="A171"/>
      <c r="B171" t="s">
        <v>342</v>
      </c>
      <c r="C171" s="790">
        <v>0.17483954101123694</v>
      </c>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row>
    <row r="172" spans="1:88" hidden="1">
      <c r="A172"/>
      <c r="B172" t="s">
        <v>1808</v>
      </c>
      <c r="C172" s="790">
        <v>0</v>
      </c>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row>
    <row r="173" spans="1:88" hidden="1">
      <c r="A173"/>
      <c r="B173" t="s">
        <v>890</v>
      </c>
      <c r="C173" s="790">
        <v>3.5714285714285712E-2</v>
      </c>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row>
    <row r="174" spans="1:88" hidden="1">
      <c r="A174"/>
      <c r="B174" t="s">
        <v>102</v>
      </c>
      <c r="C174" s="790">
        <v>1.4705882352941176E-2</v>
      </c>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row>
    <row r="175" spans="1:88">
      <c r="A175"/>
      <c r="B175" t="s">
        <v>559</v>
      </c>
      <c r="C175" s="790">
        <v>0</v>
      </c>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row>
    <row r="176" spans="1:88" hidden="1">
      <c r="A176"/>
      <c r="B176" t="s">
        <v>357</v>
      </c>
      <c r="C176" s="790">
        <v>1.4251440015069349E-2</v>
      </c>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row>
    <row r="177" spans="1:88" hidden="1">
      <c r="A177"/>
      <c r="B177" t="s">
        <v>51</v>
      </c>
      <c r="C177" s="790">
        <v>0.12306541172764147</v>
      </c>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row>
    <row r="178" spans="1:88" hidden="1">
      <c r="A178"/>
      <c r="B178" t="s">
        <v>2050</v>
      </c>
      <c r="C178" s="790">
        <v>0</v>
      </c>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row>
    <row r="179" spans="1:88" hidden="1">
      <c r="A179"/>
      <c r="B179" t="s">
        <v>103</v>
      </c>
      <c r="C179" s="790">
        <v>6.2406249999999996E-3</v>
      </c>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row>
    <row r="180" spans="1:88" hidden="1">
      <c r="A180"/>
      <c r="B180" t="s">
        <v>104</v>
      </c>
      <c r="C180" s="790">
        <v>0</v>
      </c>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row>
    <row r="181" spans="1:88">
      <c r="A181"/>
      <c r="B181" t="s">
        <v>105</v>
      </c>
      <c r="C181" s="790">
        <v>0</v>
      </c>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row>
    <row r="182" spans="1:88">
      <c r="A182"/>
      <c r="B182" t="s">
        <v>560</v>
      </c>
      <c r="C182" s="790">
        <v>8.0947031008949941E-2</v>
      </c>
      <c r="D182"/>
      <c r="E182"/>
      <c r="F182"/>
      <c r="G182"/>
      <c r="H182"/>
      <c r="I182"/>
      <c r="J182"/>
      <c r="K182"/>
      <c r="L182"/>
      <c r="M182"/>
      <c r="N182"/>
      <c r="O182"/>
      <c r="P182"/>
      <c r="Q182"/>
      <c r="R182"/>
      <c r="S182"/>
    </row>
    <row r="183" spans="1:88" hidden="1">
      <c r="A183"/>
      <c r="B183" t="s">
        <v>547</v>
      </c>
      <c r="C183" s="790">
        <v>0</v>
      </c>
      <c r="D183"/>
      <c r="E183"/>
      <c r="F183"/>
      <c r="G183"/>
      <c r="H183"/>
      <c r="I183"/>
      <c r="J183"/>
      <c r="K183"/>
      <c r="L183"/>
      <c r="M183"/>
      <c r="N183"/>
      <c r="O183"/>
      <c r="P183"/>
      <c r="Q183"/>
      <c r="R183"/>
      <c r="S183"/>
    </row>
    <row r="184" spans="1:88">
      <c r="A184"/>
      <c r="B184" t="s">
        <v>546</v>
      </c>
      <c r="C184" s="790">
        <v>0</v>
      </c>
      <c r="D184"/>
      <c r="E184"/>
      <c r="F184"/>
      <c r="G184"/>
      <c r="H184"/>
      <c r="I184"/>
      <c r="J184"/>
      <c r="K184"/>
      <c r="L184"/>
      <c r="M184"/>
      <c r="N184"/>
      <c r="O184"/>
      <c r="P184"/>
      <c r="Q184"/>
      <c r="R184"/>
      <c r="S184"/>
    </row>
    <row r="185" spans="1:88">
      <c r="A185" t="s">
        <v>2023</v>
      </c>
      <c r="B185" t="s">
        <v>93</v>
      </c>
      <c r="C185" s="790">
        <v>1.2626253060919398E-2</v>
      </c>
      <c r="D185"/>
      <c r="E185"/>
      <c r="F185"/>
      <c r="G185"/>
      <c r="H185"/>
      <c r="I185"/>
      <c r="J185"/>
      <c r="K185"/>
      <c r="L185"/>
      <c r="M185"/>
      <c r="N185"/>
      <c r="O185"/>
      <c r="P185"/>
      <c r="Q185"/>
      <c r="R185"/>
      <c r="S185"/>
    </row>
    <row r="186" spans="1:88" hidden="1">
      <c r="A186"/>
      <c r="B186" t="s">
        <v>338</v>
      </c>
      <c r="C186" s="790">
        <v>7.5090094221398245E-3</v>
      </c>
      <c r="D186"/>
      <c r="E186"/>
      <c r="F186"/>
      <c r="G186"/>
      <c r="H186"/>
      <c r="I186"/>
      <c r="J186"/>
      <c r="K186"/>
      <c r="L186"/>
      <c r="M186"/>
      <c r="N186"/>
      <c r="O186"/>
      <c r="P186"/>
      <c r="Q186"/>
      <c r="R186"/>
      <c r="S186"/>
    </row>
    <row r="187" spans="1:88">
      <c r="A187" t="s">
        <v>176</v>
      </c>
      <c r="B187" t="s">
        <v>580</v>
      </c>
      <c r="C187" s="790">
        <v>3.4557689224083116E-2</v>
      </c>
      <c r="D187"/>
      <c r="E187"/>
      <c r="F187"/>
      <c r="G187"/>
      <c r="H187"/>
      <c r="I187"/>
      <c r="J187"/>
      <c r="K187"/>
      <c r="L187"/>
      <c r="M187"/>
      <c r="N187"/>
      <c r="O187"/>
      <c r="P187"/>
      <c r="Q187"/>
      <c r="R187"/>
      <c r="S187"/>
    </row>
    <row r="188" spans="1:88" hidden="1">
      <c r="A188" t="s">
        <v>1965</v>
      </c>
      <c r="B188" t="s">
        <v>29</v>
      </c>
      <c r="C188" s="790">
        <v>0</v>
      </c>
      <c r="D188"/>
      <c r="E188"/>
      <c r="F188"/>
      <c r="G188"/>
      <c r="H188"/>
      <c r="I188"/>
      <c r="J188"/>
      <c r="K188"/>
      <c r="L188"/>
      <c r="M188"/>
      <c r="N188"/>
      <c r="O188"/>
      <c r="P188"/>
      <c r="Q188"/>
      <c r="R188"/>
      <c r="S188"/>
    </row>
    <row r="189" spans="1:88">
      <c r="A189"/>
      <c r="B189" t="s">
        <v>431</v>
      </c>
      <c r="C189" s="790">
        <v>4.926618181818182E-2</v>
      </c>
      <c r="D189"/>
      <c r="E189"/>
      <c r="F189"/>
      <c r="G189"/>
      <c r="H189"/>
      <c r="I189"/>
      <c r="J189"/>
      <c r="K189"/>
      <c r="L189"/>
      <c r="M189"/>
      <c r="N189"/>
      <c r="O189"/>
      <c r="P189"/>
      <c r="Q189"/>
      <c r="R189"/>
      <c r="S189"/>
    </row>
    <row r="190" spans="1:88" hidden="1">
      <c r="A190"/>
      <c r="B190" t="s">
        <v>1843</v>
      </c>
      <c r="C190" s="790">
        <v>0</v>
      </c>
      <c r="D190"/>
      <c r="E190"/>
      <c r="F190"/>
      <c r="G190"/>
      <c r="H190"/>
      <c r="I190"/>
      <c r="J190"/>
      <c r="K190"/>
      <c r="L190"/>
      <c r="M190"/>
      <c r="N190"/>
      <c r="O190"/>
      <c r="P190"/>
      <c r="Q190"/>
      <c r="R190"/>
      <c r="S190"/>
    </row>
    <row r="191" spans="1:88">
      <c r="A191"/>
      <c r="B191" t="s">
        <v>1844</v>
      </c>
      <c r="C191" s="790">
        <v>7.3883904046877863E-2</v>
      </c>
      <c r="D191"/>
      <c r="E191"/>
      <c r="F191"/>
      <c r="G191"/>
      <c r="H191"/>
      <c r="I191"/>
      <c r="J191"/>
      <c r="K191"/>
      <c r="L191"/>
      <c r="M191"/>
      <c r="N191"/>
      <c r="O191"/>
      <c r="P191"/>
      <c r="Q191"/>
      <c r="R191"/>
      <c r="S191"/>
    </row>
    <row r="192" spans="1:88" hidden="1">
      <c r="A192"/>
      <c r="B192" t="s">
        <v>349</v>
      </c>
      <c r="C192" s="790">
        <v>0</v>
      </c>
      <c r="D192"/>
      <c r="E192"/>
      <c r="F192"/>
      <c r="G192"/>
      <c r="H192"/>
      <c r="I192"/>
      <c r="J192"/>
      <c r="K192"/>
      <c r="L192"/>
      <c r="M192"/>
      <c r="N192"/>
      <c r="O192"/>
      <c r="P192"/>
      <c r="Q192"/>
      <c r="R192"/>
      <c r="S192"/>
    </row>
    <row r="193" spans="1:19" hidden="1">
      <c r="A193"/>
      <c r="B193" t="s">
        <v>344</v>
      </c>
      <c r="C193" s="790">
        <v>0.12823728953979216</v>
      </c>
      <c r="D193"/>
      <c r="E193"/>
      <c r="F193"/>
      <c r="G193"/>
      <c r="H193"/>
      <c r="I193"/>
      <c r="J193"/>
      <c r="K193"/>
      <c r="L193"/>
      <c r="M193"/>
      <c r="N193"/>
      <c r="O193"/>
      <c r="P193"/>
      <c r="Q193"/>
      <c r="R193"/>
      <c r="S193"/>
    </row>
    <row r="194" spans="1:19">
      <c r="A194"/>
      <c r="B194" t="s">
        <v>345</v>
      </c>
      <c r="C194" s="790">
        <v>3.7326578947368419E-2</v>
      </c>
      <c r="D194"/>
      <c r="E194"/>
      <c r="F194"/>
      <c r="G194"/>
      <c r="H194"/>
      <c r="I194"/>
      <c r="J194"/>
      <c r="K194"/>
      <c r="L194"/>
      <c r="M194"/>
      <c r="N194"/>
      <c r="O194"/>
      <c r="P194"/>
      <c r="Q194"/>
      <c r="R194"/>
      <c r="S194"/>
    </row>
    <row r="195" spans="1:19" hidden="1">
      <c r="A195"/>
      <c r="B195" t="s">
        <v>445</v>
      </c>
      <c r="C195" s="790">
        <v>0</v>
      </c>
      <c r="D195"/>
      <c r="E195"/>
      <c r="F195"/>
      <c r="G195"/>
      <c r="H195"/>
      <c r="I195"/>
      <c r="J195"/>
      <c r="K195"/>
      <c r="L195"/>
      <c r="M195"/>
      <c r="N195"/>
      <c r="O195"/>
      <c r="P195"/>
      <c r="Q195"/>
      <c r="R195"/>
      <c r="S195"/>
    </row>
    <row r="196" spans="1:19" hidden="1">
      <c r="A196"/>
      <c r="B196" t="s">
        <v>440</v>
      </c>
      <c r="C196" s="790">
        <v>3.8461538461538464E-2</v>
      </c>
      <c r="D196"/>
      <c r="E196"/>
      <c r="F196"/>
      <c r="G196"/>
      <c r="H196"/>
      <c r="I196"/>
      <c r="J196"/>
      <c r="K196"/>
      <c r="L196"/>
      <c r="M196"/>
      <c r="N196"/>
      <c r="O196"/>
      <c r="P196"/>
      <c r="Q196"/>
      <c r="R196"/>
      <c r="S196"/>
    </row>
    <row r="197" spans="1:19" hidden="1">
      <c r="A197"/>
      <c r="B197" t="s">
        <v>348</v>
      </c>
      <c r="C197" s="790">
        <v>0</v>
      </c>
      <c r="D197"/>
      <c r="E197"/>
      <c r="F197"/>
      <c r="G197"/>
      <c r="H197"/>
      <c r="I197"/>
      <c r="J197"/>
      <c r="K197"/>
      <c r="L197"/>
      <c r="M197"/>
      <c r="N197"/>
      <c r="O197"/>
      <c r="P197"/>
      <c r="Q197"/>
      <c r="R197"/>
      <c r="S197"/>
    </row>
    <row r="198" spans="1:19">
      <c r="A198"/>
      <c r="B198" t="s">
        <v>458</v>
      </c>
      <c r="C198" s="790">
        <v>0</v>
      </c>
      <c r="D198"/>
      <c r="E198"/>
      <c r="F198"/>
      <c r="G198"/>
      <c r="H198"/>
      <c r="I198"/>
      <c r="J198"/>
      <c r="K198"/>
      <c r="L198"/>
      <c r="M198"/>
      <c r="N198"/>
      <c r="O198"/>
      <c r="P198"/>
      <c r="Q198"/>
      <c r="R198"/>
      <c r="S198"/>
    </row>
    <row r="199" spans="1:19" hidden="1">
      <c r="A199"/>
      <c r="B199" t="s">
        <v>453</v>
      </c>
      <c r="C199" s="790">
        <v>0</v>
      </c>
      <c r="D199"/>
      <c r="E199"/>
      <c r="F199"/>
      <c r="G199"/>
      <c r="H199"/>
      <c r="I199"/>
      <c r="J199"/>
      <c r="K199"/>
      <c r="L199"/>
      <c r="M199"/>
      <c r="N199"/>
      <c r="O199"/>
      <c r="P199"/>
      <c r="Q199"/>
      <c r="R199"/>
      <c r="S199"/>
    </row>
    <row r="200" spans="1:19" hidden="1">
      <c r="A200"/>
      <c r="B200" t="s">
        <v>62</v>
      </c>
      <c r="C200" s="790">
        <v>3.446509157705697E-3</v>
      </c>
      <c r="D200"/>
      <c r="E200"/>
      <c r="F200"/>
      <c r="G200"/>
      <c r="H200"/>
      <c r="I200"/>
      <c r="J200"/>
      <c r="K200"/>
      <c r="L200"/>
      <c r="M200"/>
      <c r="N200"/>
      <c r="O200"/>
      <c r="P200"/>
      <c r="Q200"/>
      <c r="R200"/>
      <c r="S200"/>
    </row>
    <row r="201" spans="1:19">
      <c r="A201"/>
      <c r="B201" t="s">
        <v>451</v>
      </c>
      <c r="C201" s="790">
        <v>1.6764705882352942E-2</v>
      </c>
      <c r="D201"/>
      <c r="E201"/>
      <c r="F201"/>
      <c r="G201"/>
      <c r="H201"/>
      <c r="I201"/>
      <c r="J201"/>
      <c r="K201"/>
      <c r="L201"/>
      <c r="M201"/>
      <c r="N201"/>
      <c r="O201"/>
      <c r="P201"/>
      <c r="Q201"/>
      <c r="R201"/>
      <c r="S201"/>
    </row>
    <row r="202" spans="1:19" hidden="1">
      <c r="A202"/>
      <c r="B202" t="s">
        <v>98</v>
      </c>
      <c r="C202" s="790">
        <v>3.5342261904761904E-2</v>
      </c>
      <c r="D202"/>
      <c r="E202"/>
      <c r="F202"/>
      <c r="G202"/>
      <c r="H202"/>
      <c r="I202"/>
      <c r="J202"/>
      <c r="K202"/>
      <c r="L202"/>
      <c r="M202"/>
      <c r="N202"/>
      <c r="O202"/>
      <c r="P202"/>
      <c r="Q202"/>
      <c r="R202"/>
      <c r="S202"/>
    </row>
    <row r="203" spans="1:19" hidden="1">
      <c r="A203"/>
      <c r="B203" t="s">
        <v>346</v>
      </c>
      <c r="C203" s="790">
        <v>2.3125E-2</v>
      </c>
      <c r="D203"/>
      <c r="E203"/>
      <c r="F203"/>
      <c r="G203"/>
      <c r="H203"/>
      <c r="I203"/>
      <c r="J203"/>
      <c r="K203"/>
      <c r="L203"/>
      <c r="M203"/>
      <c r="N203"/>
      <c r="O203"/>
      <c r="P203"/>
      <c r="Q203"/>
      <c r="R203"/>
      <c r="S203"/>
    </row>
    <row r="204" spans="1:19">
      <c r="A204"/>
      <c r="B204" t="s">
        <v>434</v>
      </c>
      <c r="C204" s="790">
        <v>2.266839378238342E-2</v>
      </c>
      <c r="D204"/>
      <c r="E204"/>
      <c r="F204"/>
      <c r="G204"/>
      <c r="H204"/>
      <c r="I204"/>
      <c r="J204"/>
      <c r="K204"/>
      <c r="L204"/>
      <c r="M204"/>
      <c r="N204"/>
      <c r="O204"/>
      <c r="P204"/>
      <c r="Q204"/>
      <c r="R204"/>
      <c r="S204"/>
    </row>
    <row r="205" spans="1:19">
      <c r="A205"/>
      <c r="B205" t="s">
        <v>199</v>
      </c>
      <c r="C205" s="790">
        <v>4.2592592592592592E-2</v>
      </c>
      <c r="D205"/>
      <c r="E205"/>
      <c r="F205"/>
      <c r="G205"/>
      <c r="H205"/>
      <c r="I205"/>
      <c r="J205"/>
      <c r="K205"/>
      <c r="L205"/>
      <c r="M205"/>
      <c r="N205"/>
      <c r="O205"/>
      <c r="P205"/>
      <c r="Q205"/>
      <c r="R205"/>
      <c r="S205"/>
    </row>
    <row r="206" spans="1:19" hidden="1">
      <c r="A206" t="s">
        <v>1586</v>
      </c>
      <c r="B206" t="s">
        <v>1279</v>
      </c>
      <c r="C206" s="790">
        <v>0</v>
      </c>
      <c r="D206"/>
      <c r="E206"/>
      <c r="F206"/>
      <c r="G206"/>
      <c r="H206"/>
      <c r="I206"/>
      <c r="J206"/>
      <c r="K206"/>
      <c r="L206"/>
      <c r="M206"/>
      <c r="N206"/>
      <c r="O206"/>
      <c r="P206"/>
      <c r="Q206"/>
      <c r="R206"/>
      <c r="S206"/>
    </row>
    <row r="207" spans="1:19" hidden="1">
      <c r="A207"/>
      <c r="B207" t="s">
        <v>1278</v>
      </c>
      <c r="C207" s="790">
        <v>0.23307812618046034</v>
      </c>
      <c r="D207"/>
      <c r="E207"/>
      <c r="F207"/>
      <c r="G207"/>
      <c r="H207"/>
      <c r="I207"/>
      <c r="J207"/>
      <c r="K207"/>
      <c r="L207"/>
      <c r="M207"/>
      <c r="N207"/>
      <c r="O207"/>
      <c r="P207"/>
      <c r="Q207"/>
      <c r="R207"/>
      <c r="S207"/>
    </row>
    <row r="208" spans="1:19" hidden="1">
      <c r="A208"/>
      <c r="B208" t="s">
        <v>1918</v>
      </c>
      <c r="C208" s="790">
        <v>6.9605568445475635E-3</v>
      </c>
      <c r="D208"/>
      <c r="E208"/>
      <c r="F208"/>
      <c r="G208"/>
      <c r="H208"/>
      <c r="I208"/>
      <c r="J208"/>
      <c r="K208"/>
      <c r="L208"/>
      <c r="M208"/>
      <c r="N208"/>
      <c r="O208"/>
      <c r="P208"/>
      <c r="Q208"/>
      <c r="R208"/>
      <c r="S208"/>
    </row>
    <row r="209" spans="1:19" hidden="1">
      <c r="A209"/>
      <c r="B209" t="s">
        <v>2114</v>
      </c>
      <c r="C209" s="790">
        <v>2.6785714285714284E-2</v>
      </c>
      <c r="D209"/>
      <c r="E209"/>
      <c r="F209"/>
      <c r="G209"/>
      <c r="H209"/>
      <c r="I209"/>
      <c r="J209"/>
      <c r="K209"/>
      <c r="L209"/>
      <c r="M209"/>
      <c r="N209"/>
      <c r="O209"/>
      <c r="P209"/>
      <c r="Q209"/>
      <c r="R209"/>
      <c r="S209"/>
    </row>
    <row r="210" spans="1:19">
      <c r="A210"/>
      <c r="B210" t="s">
        <v>1774</v>
      </c>
      <c r="C210" s="790">
        <v>1.3157894736842105E-2</v>
      </c>
      <c r="D210"/>
      <c r="E210"/>
      <c r="F210"/>
      <c r="G210"/>
      <c r="H210"/>
      <c r="I210"/>
      <c r="J210"/>
      <c r="K210"/>
      <c r="L210"/>
      <c r="M210"/>
      <c r="N210"/>
      <c r="O210"/>
      <c r="P210"/>
      <c r="Q210"/>
      <c r="R210"/>
      <c r="S210"/>
    </row>
    <row r="211" spans="1:19" hidden="1">
      <c r="A211"/>
      <c r="B211" t="s">
        <v>1648</v>
      </c>
      <c r="C211" s="790">
        <v>8.9914311660987081E-2</v>
      </c>
      <c r="D211"/>
      <c r="E211"/>
      <c r="F211"/>
      <c r="G211"/>
      <c r="H211"/>
      <c r="I211"/>
      <c r="J211"/>
      <c r="K211"/>
      <c r="L211"/>
      <c r="M211"/>
      <c r="N211"/>
      <c r="O211"/>
      <c r="P211"/>
      <c r="Q211"/>
      <c r="R211"/>
      <c r="S211"/>
    </row>
    <row r="212" spans="1:19">
      <c r="A212" t="s">
        <v>2005</v>
      </c>
      <c r="B212" t="s">
        <v>46</v>
      </c>
      <c r="C212" s="790">
        <v>4.0816326530612242E-2</v>
      </c>
      <c r="D212"/>
      <c r="E212"/>
      <c r="F212"/>
      <c r="G212"/>
      <c r="H212"/>
      <c r="I212"/>
      <c r="J212"/>
      <c r="K212"/>
      <c r="L212"/>
      <c r="M212"/>
      <c r="N212"/>
      <c r="O212"/>
      <c r="P212"/>
      <c r="Q212"/>
      <c r="R212"/>
      <c r="S212"/>
    </row>
    <row r="213" spans="1:19" hidden="1">
      <c r="A213" t="s">
        <v>1920</v>
      </c>
      <c r="B213" t="s">
        <v>1277</v>
      </c>
      <c r="C213" s="790">
        <v>1.7446769905019786E-2</v>
      </c>
      <c r="D213"/>
      <c r="E213"/>
      <c r="F213"/>
      <c r="G213"/>
      <c r="H213"/>
      <c r="I213"/>
      <c r="J213"/>
      <c r="K213"/>
      <c r="L213"/>
      <c r="M213"/>
      <c r="N213"/>
      <c r="O213"/>
      <c r="P213"/>
      <c r="Q213"/>
      <c r="R213"/>
      <c r="S213"/>
    </row>
    <row r="214" spans="1:19" hidden="1">
      <c r="A214" t="s">
        <v>1968</v>
      </c>
      <c r="B214" t="s">
        <v>873</v>
      </c>
      <c r="C214" s="790">
        <v>0</v>
      </c>
      <c r="D214"/>
      <c r="E214"/>
      <c r="F214"/>
      <c r="G214"/>
      <c r="H214"/>
      <c r="I214"/>
      <c r="J214"/>
      <c r="K214"/>
      <c r="L214"/>
      <c r="M214"/>
      <c r="N214"/>
      <c r="O214"/>
      <c r="P214"/>
      <c r="Q214"/>
      <c r="R214"/>
      <c r="S214"/>
    </row>
    <row r="215" spans="1:19">
      <c r="A215"/>
      <c r="B215" t="s">
        <v>94</v>
      </c>
      <c r="C215" s="790">
        <v>0</v>
      </c>
      <c r="D215"/>
      <c r="E215"/>
      <c r="F215"/>
      <c r="G215"/>
      <c r="H215"/>
      <c r="I215"/>
      <c r="J215"/>
      <c r="K215"/>
      <c r="L215"/>
      <c r="M215"/>
      <c r="N215"/>
      <c r="O215"/>
      <c r="P215"/>
      <c r="Q215"/>
      <c r="R215"/>
      <c r="S215"/>
    </row>
    <row r="216" spans="1:19" hidden="1">
      <c r="A216" t="s">
        <v>1072</v>
      </c>
      <c r="B216" t="s">
        <v>1359</v>
      </c>
      <c r="C216" s="790">
        <v>0.1462140149662649</v>
      </c>
      <c r="D216"/>
      <c r="E216"/>
      <c r="F216"/>
      <c r="G216"/>
      <c r="H216"/>
      <c r="I216"/>
      <c r="J216"/>
      <c r="K216"/>
      <c r="L216"/>
      <c r="M216"/>
      <c r="N216"/>
      <c r="O216"/>
      <c r="P216"/>
      <c r="Q216"/>
      <c r="R216"/>
      <c r="S216"/>
    </row>
    <row r="217" spans="1:19" hidden="1">
      <c r="A217" t="s">
        <v>288</v>
      </c>
      <c r="B217" t="s">
        <v>343</v>
      </c>
      <c r="C217" s="790">
        <v>1.3223076923076922E-2</v>
      </c>
      <c r="D217"/>
      <c r="E217"/>
      <c r="F217"/>
      <c r="G217"/>
      <c r="H217"/>
      <c r="I217"/>
      <c r="J217"/>
      <c r="K217"/>
      <c r="L217"/>
      <c r="M217"/>
      <c r="N217"/>
      <c r="O217"/>
      <c r="P217"/>
      <c r="Q217"/>
      <c r="R217"/>
      <c r="S217"/>
    </row>
    <row r="218" spans="1:19" hidden="1">
      <c r="A218"/>
      <c r="B218" t="s">
        <v>2032</v>
      </c>
      <c r="C218" s="790">
        <v>0</v>
      </c>
      <c r="D218"/>
      <c r="E218"/>
      <c r="F218"/>
      <c r="G218"/>
      <c r="H218"/>
      <c r="I218"/>
      <c r="J218"/>
      <c r="K218"/>
      <c r="L218"/>
      <c r="M218"/>
      <c r="N218"/>
      <c r="O218"/>
      <c r="P218"/>
      <c r="Q218"/>
      <c r="R218"/>
      <c r="S218"/>
    </row>
    <row r="219" spans="1:19">
      <c r="A219"/>
      <c r="B219" t="s">
        <v>1932</v>
      </c>
      <c r="C219" s="790">
        <v>0</v>
      </c>
      <c r="D219"/>
      <c r="E219"/>
      <c r="F219"/>
      <c r="G219"/>
      <c r="H219"/>
      <c r="I219"/>
      <c r="J219"/>
      <c r="K219"/>
      <c r="L219"/>
      <c r="M219"/>
      <c r="N219"/>
      <c r="O219"/>
      <c r="P219"/>
      <c r="Q219"/>
      <c r="R219"/>
      <c r="S219"/>
    </row>
    <row r="220" spans="1:19">
      <c r="A220" t="s">
        <v>1207</v>
      </c>
      <c r="B220"/>
      <c r="C220" s="790">
        <v>5.4443643541796494</v>
      </c>
      <c r="D220"/>
      <c r="E220"/>
      <c r="F220"/>
      <c r="G220"/>
      <c r="H220"/>
      <c r="I220"/>
      <c r="J220"/>
      <c r="K220"/>
      <c r="L220"/>
      <c r="M220"/>
      <c r="N220"/>
      <c r="O220"/>
      <c r="P220"/>
      <c r="Q220"/>
      <c r="R220"/>
      <c r="S220"/>
    </row>
    <row r="221" spans="1:19">
      <c r="A221"/>
      <c r="B221"/>
      <c r="C221"/>
      <c r="D221"/>
      <c r="E221"/>
      <c r="F221"/>
      <c r="G221"/>
      <c r="H221"/>
      <c r="I221"/>
      <c r="J221"/>
      <c r="K221"/>
      <c r="L221"/>
      <c r="M221"/>
      <c r="N221"/>
      <c r="O221"/>
      <c r="P221"/>
      <c r="Q221"/>
      <c r="R221"/>
      <c r="S221"/>
    </row>
    <row r="222" spans="1:19">
      <c r="A222"/>
      <c r="B222"/>
      <c r="C222"/>
      <c r="D222"/>
      <c r="E222"/>
      <c r="F222"/>
      <c r="G222"/>
      <c r="H222"/>
      <c r="I222"/>
      <c r="J222"/>
      <c r="K222"/>
      <c r="L222"/>
      <c r="M222"/>
      <c r="N222"/>
      <c r="O222"/>
      <c r="P222"/>
      <c r="Q222"/>
      <c r="R222"/>
      <c r="S222"/>
    </row>
    <row r="223" spans="1:19" hidden="1">
      <c r="A223"/>
      <c r="B223"/>
      <c r="C223"/>
      <c r="D223"/>
      <c r="E223"/>
      <c r="F223"/>
      <c r="G223"/>
      <c r="H223"/>
      <c r="I223"/>
      <c r="J223"/>
      <c r="K223"/>
      <c r="L223"/>
      <c r="M223"/>
      <c r="N223"/>
      <c r="O223"/>
      <c r="P223"/>
      <c r="Q223"/>
      <c r="R223"/>
      <c r="S223"/>
    </row>
    <row r="224" spans="1:19" hidden="1">
      <c r="A224"/>
      <c r="B224"/>
      <c r="C224"/>
      <c r="D224"/>
      <c r="E224"/>
      <c r="F224"/>
      <c r="G224"/>
      <c r="H224"/>
      <c r="I224"/>
      <c r="J224"/>
      <c r="K224"/>
      <c r="L224"/>
      <c r="M224"/>
      <c r="N224"/>
      <c r="O224"/>
      <c r="P224"/>
      <c r="Q224"/>
      <c r="R224"/>
      <c r="S224"/>
    </row>
    <row r="225" spans="1:19" hidden="1">
      <c r="A225"/>
      <c r="B225"/>
      <c r="C225"/>
      <c r="D225"/>
      <c r="E225"/>
      <c r="F225"/>
      <c r="G225"/>
      <c r="H225"/>
      <c r="I225"/>
      <c r="J225"/>
      <c r="K225"/>
      <c r="L225"/>
      <c r="M225"/>
      <c r="N225"/>
      <c r="O225"/>
      <c r="P225"/>
      <c r="Q225"/>
      <c r="R225"/>
      <c r="S225"/>
    </row>
    <row r="226" spans="1:19" hidden="1">
      <c r="A226"/>
      <c r="B226"/>
      <c r="C226"/>
      <c r="D226"/>
      <c r="E226"/>
      <c r="F226"/>
      <c r="G226"/>
      <c r="H226"/>
      <c r="I226"/>
      <c r="J226"/>
      <c r="K226"/>
      <c r="L226"/>
      <c r="M226"/>
      <c r="N226"/>
      <c r="O226"/>
      <c r="P226"/>
      <c r="Q226"/>
      <c r="R226"/>
      <c r="S226"/>
    </row>
    <row r="227" spans="1:19" hidden="1">
      <c r="A227"/>
      <c r="B227"/>
      <c r="C227"/>
      <c r="D227"/>
      <c r="E227"/>
      <c r="F227"/>
      <c r="G227"/>
      <c r="H227"/>
      <c r="I227"/>
      <c r="J227"/>
      <c r="K227"/>
      <c r="L227"/>
      <c r="M227"/>
      <c r="N227"/>
      <c r="O227"/>
      <c r="P227"/>
      <c r="Q227"/>
      <c r="R227"/>
      <c r="S227"/>
    </row>
    <row r="228" spans="1:19">
      <c r="A228"/>
      <c r="B228"/>
      <c r="C228"/>
      <c r="D228"/>
      <c r="E228"/>
      <c r="F228"/>
      <c r="G228"/>
      <c r="H228"/>
      <c r="I228"/>
      <c r="J228"/>
      <c r="K228"/>
      <c r="L228"/>
      <c r="M228"/>
      <c r="N228"/>
      <c r="O228"/>
      <c r="P228"/>
      <c r="Q228"/>
      <c r="R228"/>
      <c r="S228"/>
    </row>
    <row r="229" spans="1:19" hidden="1">
      <c r="A229"/>
      <c r="B229"/>
      <c r="C229"/>
      <c r="D229"/>
      <c r="E229"/>
      <c r="F229"/>
      <c r="G229"/>
      <c r="H229"/>
      <c r="I229"/>
      <c r="J229"/>
      <c r="K229"/>
      <c r="L229"/>
      <c r="M229"/>
      <c r="N229"/>
      <c r="O229"/>
      <c r="P229"/>
      <c r="Q229"/>
      <c r="R229"/>
      <c r="S229"/>
    </row>
    <row r="230" spans="1:19" hidden="1">
      <c r="A230"/>
      <c r="B230"/>
      <c r="C230"/>
      <c r="D230"/>
      <c r="E230"/>
      <c r="F230"/>
      <c r="G230"/>
      <c r="H230"/>
      <c r="I230"/>
      <c r="J230"/>
      <c r="K230"/>
      <c r="L230"/>
      <c r="M230"/>
      <c r="N230"/>
      <c r="O230"/>
      <c r="P230"/>
      <c r="Q230"/>
      <c r="R230"/>
      <c r="S230"/>
    </row>
    <row r="231" spans="1:19">
      <c r="A231"/>
      <c r="B231"/>
      <c r="C231"/>
      <c r="D231"/>
      <c r="E231"/>
      <c r="F231"/>
      <c r="G231"/>
      <c r="H231"/>
      <c r="I231"/>
      <c r="J231"/>
      <c r="K231"/>
      <c r="L231"/>
      <c r="M231"/>
      <c r="N231"/>
      <c r="O231"/>
      <c r="P231"/>
      <c r="Q231"/>
      <c r="R231"/>
      <c r="S231"/>
    </row>
    <row r="232" spans="1:19">
      <c r="A232"/>
      <c r="B232"/>
      <c r="C232"/>
      <c r="D232"/>
      <c r="E232"/>
      <c r="F232"/>
      <c r="G232"/>
      <c r="H232"/>
      <c r="I232"/>
      <c r="J232"/>
      <c r="K232"/>
      <c r="L232"/>
      <c r="M232"/>
      <c r="N232"/>
      <c r="O232"/>
      <c r="P232"/>
      <c r="Q232"/>
      <c r="R232"/>
      <c r="S232"/>
    </row>
    <row r="233" spans="1:19" hidden="1">
      <c r="A233"/>
      <c r="B233"/>
      <c r="C233"/>
      <c r="D233"/>
      <c r="E233"/>
      <c r="F233"/>
      <c r="G233"/>
      <c r="H233"/>
      <c r="I233"/>
      <c r="J233"/>
      <c r="K233"/>
      <c r="L233"/>
      <c r="M233"/>
      <c r="N233"/>
      <c r="O233"/>
      <c r="P233"/>
      <c r="Q233"/>
      <c r="R233"/>
      <c r="S233"/>
    </row>
    <row r="234" spans="1:19">
      <c r="A234"/>
      <c r="B234"/>
      <c r="C234"/>
      <c r="D234"/>
      <c r="E234"/>
      <c r="F234"/>
      <c r="G234"/>
      <c r="H234"/>
      <c r="I234"/>
      <c r="J234"/>
      <c r="K234"/>
      <c r="L234"/>
      <c r="M234"/>
      <c r="N234"/>
      <c r="O234"/>
      <c r="P234"/>
      <c r="Q234"/>
      <c r="R234"/>
      <c r="S234"/>
    </row>
    <row r="235" spans="1:19">
      <c r="A235"/>
      <c r="B235"/>
      <c r="C235"/>
      <c r="D235"/>
      <c r="E235"/>
      <c r="F235"/>
      <c r="G235"/>
      <c r="H235"/>
      <c r="I235"/>
      <c r="J235"/>
      <c r="K235"/>
      <c r="L235"/>
      <c r="M235"/>
      <c r="N235"/>
      <c r="O235"/>
      <c r="P235"/>
      <c r="Q235"/>
      <c r="R235"/>
      <c r="S235"/>
    </row>
    <row r="236" spans="1:19" hidden="1">
      <c r="A236"/>
      <c r="B236"/>
      <c r="C236"/>
      <c r="D236"/>
      <c r="E236"/>
      <c r="F236"/>
      <c r="G236"/>
      <c r="H236"/>
      <c r="I236"/>
      <c r="J236"/>
      <c r="K236"/>
      <c r="L236"/>
      <c r="M236"/>
      <c r="N236"/>
      <c r="O236"/>
      <c r="P236"/>
      <c r="Q236"/>
      <c r="R236"/>
      <c r="S236"/>
    </row>
    <row r="237" spans="1:19">
      <c r="A237"/>
      <c r="B237"/>
      <c r="C237"/>
      <c r="D237"/>
      <c r="E237"/>
      <c r="F237"/>
      <c r="G237"/>
      <c r="H237"/>
      <c r="I237"/>
      <c r="J237"/>
      <c r="K237"/>
      <c r="L237"/>
      <c r="M237"/>
      <c r="N237"/>
      <c r="O237"/>
      <c r="P237"/>
      <c r="Q237"/>
      <c r="R237"/>
      <c r="S237"/>
    </row>
    <row r="238" spans="1:19">
      <c r="A238"/>
      <c r="B238"/>
      <c r="C238"/>
      <c r="D238"/>
      <c r="E238"/>
      <c r="F238"/>
      <c r="G238"/>
      <c r="H238"/>
      <c r="I238"/>
      <c r="J238"/>
      <c r="K238"/>
      <c r="L238"/>
      <c r="M238"/>
      <c r="N238"/>
      <c r="O238"/>
      <c r="P238"/>
      <c r="Q238"/>
      <c r="R238"/>
      <c r="S238"/>
    </row>
    <row r="239" spans="1:19">
      <c r="A239"/>
      <c r="B239"/>
      <c r="C239"/>
      <c r="D239"/>
      <c r="E239"/>
      <c r="F239"/>
      <c r="G239"/>
      <c r="H239"/>
      <c r="I239"/>
      <c r="J239"/>
      <c r="K239"/>
      <c r="L239"/>
      <c r="M239"/>
      <c r="N239"/>
      <c r="O239"/>
      <c r="P239"/>
      <c r="Q239"/>
      <c r="R239"/>
      <c r="S239"/>
    </row>
    <row r="240" spans="1:19" hidden="1">
      <c r="A240"/>
      <c r="B240"/>
      <c r="C240"/>
      <c r="D240"/>
      <c r="E240"/>
      <c r="F240"/>
      <c r="G240"/>
      <c r="H240"/>
      <c r="I240"/>
      <c r="J240"/>
      <c r="K240"/>
      <c r="L240"/>
      <c r="M240"/>
      <c r="N240"/>
      <c r="O240"/>
      <c r="P240"/>
      <c r="Q240"/>
      <c r="R240"/>
      <c r="S240"/>
    </row>
    <row r="241" spans="1:19" hidden="1">
      <c r="A241"/>
      <c r="B241"/>
      <c r="C241"/>
      <c r="D241"/>
      <c r="E241"/>
      <c r="F241"/>
      <c r="G241"/>
      <c r="H241"/>
      <c r="I241"/>
      <c r="J241"/>
      <c r="K241"/>
      <c r="L241"/>
      <c r="M241"/>
      <c r="N241"/>
      <c r="O241"/>
      <c r="P241"/>
      <c r="Q241"/>
      <c r="R241"/>
      <c r="S241"/>
    </row>
    <row r="242" spans="1:19">
      <c r="A242"/>
      <c r="B242"/>
      <c r="C242"/>
      <c r="D242"/>
      <c r="E242"/>
      <c r="F242"/>
      <c r="G242"/>
      <c r="H242"/>
      <c r="I242"/>
      <c r="J242"/>
      <c r="K242"/>
      <c r="L242"/>
      <c r="M242"/>
      <c r="N242"/>
      <c r="O242"/>
      <c r="P242"/>
      <c r="Q242"/>
      <c r="R242"/>
      <c r="S242"/>
    </row>
    <row r="243" spans="1:19" hidden="1">
      <c r="A243"/>
      <c r="B243"/>
      <c r="C243"/>
      <c r="D243"/>
      <c r="E243"/>
      <c r="F243"/>
      <c r="G243"/>
      <c r="H243"/>
      <c r="I243"/>
      <c r="J243"/>
      <c r="K243"/>
      <c r="L243"/>
      <c r="M243"/>
      <c r="N243"/>
      <c r="O243"/>
      <c r="P243"/>
      <c r="Q243"/>
      <c r="R243"/>
      <c r="S243"/>
    </row>
    <row r="244" spans="1:19" hidden="1">
      <c r="A244"/>
      <c r="B244"/>
      <c r="C244"/>
      <c r="D244"/>
      <c r="E244"/>
      <c r="F244"/>
      <c r="G244"/>
      <c r="H244"/>
      <c r="I244"/>
      <c r="J244"/>
      <c r="K244"/>
      <c r="L244"/>
      <c r="M244"/>
      <c r="N244"/>
      <c r="O244"/>
      <c r="P244"/>
      <c r="Q244"/>
      <c r="R244"/>
      <c r="S244"/>
    </row>
    <row r="245" spans="1:19">
      <c r="A245"/>
      <c r="B245"/>
      <c r="C245"/>
      <c r="D245"/>
      <c r="E245"/>
      <c r="F245"/>
      <c r="G245"/>
      <c r="H245"/>
      <c r="I245"/>
      <c r="J245"/>
      <c r="K245"/>
      <c r="L245"/>
      <c r="M245"/>
      <c r="N245"/>
      <c r="O245"/>
      <c r="P245"/>
      <c r="Q245"/>
      <c r="R245"/>
      <c r="S245"/>
    </row>
    <row r="246" spans="1:19" hidden="1">
      <c r="A246"/>
      <c r="B246"/>
      <c r="C246"/>
      <c r="D246"/>
      <c r="E246"/>
      <c r="F246"/>
      <c r="G246"/>
      <c r="H246"/>
      <c r="I246"/>
      <c r="J246"/>
      <c r="K246"/>
      <c r="L246"/>
      <c r="M246"/>
      <c r="N246"/>
      <c r="O246"/>
      <c r="P246"/>
      <c r="Q246"/>
      <c r="R246"/>
      <c r="S246"/>
    </row>
    <row r="247" spans="1:19">
      <c r="A247"/>
      <c r="B247"/>
      <c r="C247"/>
      <c r="D247"/>
      <c r="E247"/>
      <c r="F247"/>
      <c r="G247"/>
      <c r="H247"/>
      <c r="I247"/>
      <c r="J247"/>
      <c r="K247"/>
      <c r="L247"/>
      <c r="M247"/>
      <c r="N247"/>
      <c r="O247"/>
      <c r="P247"/>
      <c r="Q247"/>
      <c r="R247"/>
      <c r="S247"/>
    </row>
    <row r="248" spans="1:19" hidden="1">
      <c r="A248"/>
      <c r="B248"/>
      <c r="C248"/>
      <c r="D248"/>
      <c r="E248"/>
      <c r="F248"/>
      <c r="G248"/>
      <c r="H248"/>
      <c r="I248"/>
      <c r="J248"/>
      <c r="K248"/>
      <c r="L248"/>
      <c r="M248"/>
      <c r="N248"/>
      <c r="O248"/>
      <c r="P248"/>
      <c r="Q248"/>
      <c r="R248"/>
      <c r="S248"/>
    </row>
    <row r="249" spans="1:19">
      <c r="A249"/>
      <c r="B249"/>
      <c r="C249"/>
      <c r="D249"/>
      <c r="E249"/>
      <c r="F249"/>
      <c r="G249"/>
      <c r="H249"/>
      <c r="I249"/>
      <c r="J249"/>
      <c r="K249"/>
      <c r="L249"/>
      <c r="M249"/>
      <c r="N249"/>
      <c r="O249"/>
      <c r="P249"/>
      <c r="Q249"/>
      <c r="R249"/>
      <c r="S249"/>
    </row>
    <row r="250" spans="1:19" hidden="1">
      <c r="A250"/>
      <c r="B250"/>
      <c r="C250"/>
      <c r="D250"/>
      <c r="E250"/>
      <c r="F250"/>
      <c r="G250"/>
      <c r="H250"/>
      <c r="I250"/>
      <c r="J250"/>
      <c r="K250"/>
      <c r="L250"/>
      <c r="M250"/>
      <c r="N250"/>
      <c r="O250"/>
      <c r="P250"/>
      <c r="Q250"/>
      <c r="R250"/>
      <c r="S250"/>
    </row>
    <row r="251" spans="1:19">
      <c r="A251"/>
      <c r="B251"/>
      <c r="C251"/>
      <c r="D251"/>
      <c r="E251"/>
      <c r="F251"/>
      <c r="G251"/>
      <c r="H251"/>
      <c r="I251"/>
      <c r="J251"/>
      <c r="K251"/>
      <c r="L251"/>
      <c r="M251"/>
      <c r="N251"/>
      <c r="O251"/>
      <c r="P251"/>
      <c r="Q251"/>
      <c r="R251"/>
      <c r="S251"/>
    </row>
    <row r="252" spans="1:19">
      <c r="A252"/>
      <c r="B252"/>
      <c r="C252"/>
      <c r="D252"/>
      <c r="E252"/>
      <c r="F252"/>
      <c r="G252"/>
      <c r="H252"/>
      <c r="I252"/>
      <c r="J252"/>
      <c r="K252"/>
      <c r="L252"/>
      <c r="M252"/>
      <c r="N252"/>
      <c r="O252"/>
      <c r="P252"/>
      <c r="Q252"/>
      <c r="R252"/>
      <c r="S252"/>
    </row>
    <row r="253" spans="1:19" hidden="1">
      <c r="A253"/>
      <c r="B253"/>
      <c r="C253"/>
      <c r="D253"/>
      <c r="E253"/>
      <c r="F253"/>
      <c r="G253"/>
      <c r="H253"/>
      <c r="I253"/>
      <c r="J253"/>
      <c r="K253"/>
      <c r="L253"/>
      <c r="M253"/>
      <c r="N253"/>
      <c r="O253"/>
      <c r="P253"/>
      <c r="Q253"/>
      <c r="R253"/>
      <c r="S253"/>
    </row>
    <row r="254" spans="1:19">
      <c r="A254"/>
      <c r="B254"/>
      <c r="C254"/>
      <c r="D254"/>
      <c r="E254"/>
      <c r="F254"/>
      <c r="G254"/>
      <c r="H254"/>
      <c r="I254"/>
      <c r="J254"/>
      <c r="K254"/>
      <c r="L254"/>
      <c r="M254"/>
      <c r="N254"/>
      <c r="O254"/>
      <c r="P254"/>
      <c r="Q254"/>
      <c r="R254"/>
      <c r="S254"/>
    </row>
    <row r="255" spans="1:19">
      <c r="A255"/>
      <c r="B255"/>
      <c r="C255"/>
      <c r="D255"/>
      <c r="E255"/>
      <c r="F255"/>
      <c r="G255"/>
      <c r="H255"/>
      <c r="I255"/>
      <c r="J255"/>
      <c r="K255"/>
      <c r="L255"/>
      <c r="M255"/>
      <c r="N255"/>
      <c r="O255"/>
      <c r="P255"/>
      <c r="Q255"/>
      <c r="R255"/>
      <c r="S255"/>
    </row>
    <row r="256" spans="1:19" hidden="1">
      <c r="A256"/>
      <c r="B256"/>
      <c r="C256"/>
      <c r="D256"/>
      <c r="E256"/>
      <c r="F256"/>
      <c r="G256"/>
      <c r="H256"/>
      <c r="I256"/>
      <c r="J256"/>
      <c r="K256"/>
      <c r="L256"/>
      <c r="M256"/>
      <c r="N256"/>
      <c r="O256"/>
      <c r="P256"/>
      <c r="Q256"/>
      <c r="R256"/>
      <c r="S256"/>
    </row>
    <row r="257" spans="1:19" hidden="1">
      <c r="A257"/>
      <c r="B257"/>
      <c r="C257"/>
      <c r="D257"/>
      <c r="E257"/>
      <c r="F257"/>
      <c r="G257"/>
      <c r="H257"/>
      <c r="I257"/>
      <c r="J257"/>
      <c r="K257"/>
      <c r="L257"/>
      <c r="M257"/>
      <c r="N257"/>
      <c r="O257"/>
      <c r="P257"/>
      <c r="Q257"/>
      <c r="R257"/>
      <c r="S257"/>
    </row>
    <row r="258" spans="1:19" hidden="1">
      <c r="A258"/>
      <c r="B258"/>
      <c r="C258"/>
      <c r="D258"/>
      <c r="E258"/>
      <c r="F258"/>
      <c r="G258"/>
      <c r="H258"/>
      <c r="I258"/>
      <c r="J258"/>
      <c r="K258"/>
      <c r="L258"/>
      <c r="M258"/>
      <c r="N258"/>
      <c r="O258"/>
      <c r="P258"/>
      <c r="Q258"/>
      <c r="R258"/>
      <c r="S258"/>
    </row>
    <row r="259" spans="1:19">
      <c r="A259"/>
      <c r="B259"/>
      <c r="C259"/>
      <c r="D259"/>
      <c r="E259"/>
      <c r="F259"/>
      <c r="G259"/>
      <c r="H259"/>
      <c r="I259"/>
      <c r="J259"/>
      <c r="K259"/>
      <c r="L259"/>
      <c r="M259"/>
      <c r="N259"/>
      <c r="O259"/>
      <c r="P259"/>
      <c r="Q259"/>
      <c r="R259"/>
      <c r="S259"/>
    </row>
    <row r="260" spans="1:19" hidden="1">
      <c r="A260"/>
      <c r="B260"/>
      <c r="C260"/>
      <c r="D260"/>
      <c r="E260"/>
      <c r="F260"/>
      <c r="G260"/>
      <c r="H260"/>
      <c r="I260"/>
      <c r="J260"/>
      <c r="K260"/>
      <c r="L260"/>
      <c r="M260"/>
      <c r="N260"/>
      <c r="O260"/>
      <c r="P260"/>
      <c r="Q260"/>
      <c r="R260"/>
      <c r="S260"/>
    </row>
    <row r="261" spans="1:19" hidden="1">
      <c r="A261"/>
      <c r="B261"/>
      <c r="C261"/>
      <c r="D261"/>
      <c r="E261"/>
      <c r="F261"/>
      <c r="G261"/>
      <c r="H261"/>
      <c r="I261"/>
      <c r="J261"/>
      <c r="K261"/>
      <c r="L261"/>
      <c r="M261"/>
      <c r="N261"/>
      <c r="O261"/>
      <c r="P261"/>
      <c r="Q261"/>
      <c r="R261"/>
      <c r="S261"/>
    </row>
    <row r="262" spans="1:19" hidden="1">
      <c r="A262"/>
      <c r="B262"/>
      <c r="C262"/>
      <c r="D262"/>
      <c r="E262"/>
      <c r="F262"/>
      <c r="G262"/>
      <c r="H262"/>
      <c r="I262"/>
      <c r="J262"/>
      <c r="K262"/>
      <c r="L262"/>
      <c r="M262"/>
      <c r="N262"/>
      <c r="O262"/>
      <c r="P262"/>
      <c r="Q262"/>
      <c r="R262"/>
      <c r="S262"/>
    </row>
    <row r="263" spans="1:19" hidden="1">
      <c r="A263"/>
      <c r="B263"/>
      <c r="C263"/>
      <c r="D263"/>
      <c r="E263"/>
      <c r="F263"/>
      <c r="G263"/>
      <c r="H263"/>
      <c r="I263"/>
      <c r="J263"/>
      <c r="K263"/>
      <c r="L263"/>
      <c r="M263"/>
      <c r="N263"/>
      <c r="O263"/>
      <c r="P263"/>
      <c r="Q263"/>
      <c r="R263"/>
      <c r="S263"/>
    </row>
    <row r="264" spans="1:19">
      <c r="A264"/>
      <c r="B264"/>
      <c r="C264"/>
      <c r="D264"/>
      <c r="E264"/>
      <c r="F264"/>
      <c r="G264"/>
      <c r="H264"/>
      <c r="I264"/>
      <c r="J264"/>
      <c r="K264"/>
      <c r="L264"/>
      <c r="M264"/>
      <c r="N264"/>
      <c r="O264"/>
      <c r="P264"/>
      <c r="Q264"/>
      <c r="R264"/>
      <c r="S264"/>
    </row>
    <row r="265" spans="1:19">
      <c r="A265"/>
      <c r="B265"/>
      <c r="C265"/>
      <c r="D265"/>
      <c r="E265"/>
      <c r="F265"/>
      <c r="G265"/>
      <c r="H265"/>
      <c r="I265"/>
      <c r="J265"/>
      <c r="K265"/>
      <c r="L265"/>
      <c r="M265"/>
      <c r="N265"/>
      <c r="O265"/>
      <c r="P265"/>
      <c r="Q265"/>
      <c r="R265"/>
      <c r="S265"/>
    </row>
    <row r="266" spans="1:19" hidden="1">
      <c r="A266"/>
      <c r="B266"/>
      <c r="C266"/>
      <c r="D266"/>
      <c r="E266"/>
      <c r="F266"/>
      <c r="G266"/>
      <c r="H266"/>
      <c r="I266"/>
      <c r="J266"/>
      <c r="K266"/>
      <c r="L266"/>
      <c r="M266"/>
      <c r="N266"/>
      <c r="O266"/>
      <c r="P266"/>
      <c r="Q266"/>
      <c r="R266"/>
      <c r="S266"/>
    </row>
    <row r="267" spans="1:19" hidden="1">
      <c r="A267"/>
      <c r="B267"/>
      <c r="C267"/>
      <c r="D267"/>
      <c r="E267"/>
      <c r="F267"/>
      <c r="G267"/>
      <c r="H267"/>
      <c r="I267"/>
      <c r="J267"/>
      <c r="K267"/>
      <c r="L267"/>
      <c r="M267"/>
      <c r="N267"/>
      <c r="O267"/>
      <c r="P267"/>
      <c r="Q267"/>
      <c r="R267"/>
      <c r="S267"/>
    </row>
    <row r="268" spans="1:19" hidden="1">
      <c r="A268"/>
      <c r="B268"/>
      <c r="C268"/>
      <c r="D268"/>
      <c r="E268"/>
      <c r="F268"/>
      <c r="G268"/>
      <c r="H268"/>
      <c r="I268"/>
      <c r="J268"/>
      <c r="K268"/>
      <c r="L268"/>
      <c r="M268"/>
      <c r="N268"/>
      <c r="O268"/>
      <c r="P268"/>
      <c r="Q268"/>
      <c r="R268"/>
      <c r="S268"/>
    </row>
    <row r="269" spans="1:19" hidden="1">
      <c r="A269"/>
      <c r="B269"/>
      <c r="C269"/>
      <c r="D269"/>
      <c r="E269"/>
      <c r="F269"/>
      <c r="G269"/>
      <c r="H269"/>
      <c r="I269"/>
      <c r="J269"/>
      <c r="K269"/>
      <c r="L269"/>
      <c r="M269"/>
      <c r="N269"/>
      <c r="O269"/>
      <c r="P269"/>
      <c r="Q269"/>
      <c r="R269"/>
      <c r="S269"/>
    </row>
    <row r="270" spans="1:19" hidden="1">
      <c r="A270"/>
      <c r="B270"/>
      <c r="C270"/>
      <c r="D270"/>
      <c r="E270"/>
      <c r="F270"/>
      <c r="G270"/>
      <c r="H270"/>
      <c r="I270"/>
      <c r="J270"/>
      <c r="K270"/>
      <c r="L270"/>
      <c r="M270"/>
      <c r="N270"/>
      <c r="O270"/>
      <c r="P270"/>
      <c r="Q270"/>
      <c r="R270"/>
      <c r="S270"/>
    </row>
    <row r="271" spans="1:19">
      <c r="A271"/>
      <c r="B271"/>
      <c r="C271"/>
      <c r="D271"/>
      <c r="E271"/>
      <c r="F271"/>
      <c r="G271"/>
      <c r="H271"/>
      <c r="I271"/>
      <c r="J271"/>
      <c r="K271"/>
      <c r="L271"/>
      <c r="M271"/>
      <c r="N271"/>
      <c r="O271"/>
      <c r="P271"/>
      <c r="Q271"/>
      <c r="R271"/>
      <c r="S271"/>
    </row>
    <row r="272" spans="1:19" hidden="1">
      <c r="A272"/>
      <c r="B272"/>
      <c r="C272"/>
      <c r="D272"/>
      <c r="E272"/>
      <c r="F272"/>
      <c r="G272"/>
      <c r="H272"/>
      <c r="I272"/>
      <c r="J272"/>
      <c r="K272"/>
      <c r="L272"/>
      <c r="M272"/>
      <c r="N272"/>
      <c r="O272"/>
      <c r="P272"/>
      <c r="Q272"/>
      <c r="R272"/>
      <c r="S272"/>
    </row>
    <row r="273" spans="1:19" hidden="1">
      <c r="A273"/>
      <c r="B273"/>
      <c r="C273"/>
      <c r="D273"/>
      <c r="E273"/>
      <c r="F273"/>
      <c r="G273"/>
      <c r="H273"/>
      <c r="I273"/>
      <c r="J273"/>
      <c r="K273"/>
      <c r="L273"/>
      <c r="M273"/>
      <c r="N273"/>
      <c r="O273"/>
      <c r="P273"/>
      <c r="Q273"/>
      <c r="R273"/>
      <c r="S273"/>
    </row>
    <row r="274" spans="1:19" hidden="1">
      <c r="A274"/>
      <c r="B274"/>
      <c r="C274"/>
      <c r="D274"/>
      <c r="E274"/>
      <c r="F274"/>
      <c r="G274"/>
      <c r="H274"/>
      <c r="I274"/>
      <c r="J274"/>
      <c r="K274"/>
      <c r="L274"/>
      <c r="M274"/>
      <c r="N274"/>
      <c r="O274"/>
      <c r="P274"/>
      <c r="Q274"/>
      <c r="R274"/>
      <c r="S274"/>
    </row>
    <row r="275" spans="1:19" hidden="1">
      <c r="A275"/>
      <c r="B275"/>
      <c r="C275"/>
      <c r="D275"/>
      <c r="E275"/>
      <c r="F275"/>
      <c r="G275"/>
      <c r="H275"/>
      <c r="I275"/>
      <c r="J275"/>
      <c r="K275"/>
      <c r="L275"/>
      <c r="M275"/>
      <c r="N275"/>
      <c r="O275"/>
      <c r="P275"/>
      <c r="Q275"/>
      <c r="R275"/>
      <c r="S275"/>
    </row>
    <row r="276" spans="1:19" hidden="1">
      <c r="A276"/>
      <c r="B276"/>
      <c r="C276"/>
      <c r="D276"/>
      <c r="E276"/>
      <c r="F276"/>
      <c r="G276"/>
      <c r="H276"/>
      <c r="I276"/>
      <c r="J276"/>
      <c r="K276"/>
      <c r="L276"/>
      <c r="M276"/>
      <c r="N276"/>
      <c r="O276"/>
      <c r="P276"/>
      <c r="Q276"/>
      <c r="R276"/>
      <c r="S276"/>
    </row>
    <row r="277" spans="1:19" hidden="1">
      <c r="A277"/>
      <c r="B277"/>
      <c r="C277"/>
      <c r="D277"/>
      <c r="E277"/>
      <c r="F277"/>
      <c r="G277"/>
      <c r="H277"/>
      <c r="I277"/>
      <c r="J277"/>
      <c r="K277"/>
      <c r="L277"/>
      <c r="M277"/>
      <c r="N277"/>
      <c r="O277"/>
      <c r="P277"/>
      <c r="Q277"/>
      <c r="R277"/>
      <c r="S277"/>
    </row>
    <row r="278" spans="1:19">
      <c r="A278"/>
      <c r="B278"/>
      <c r="C278"/>
      <c r="D278"/>
      <c r="E278"/>
      <c r="F278"/>
      <c r="G278"/>
      <c r="H278"/>
      <c r="I278"/>
      <c r="J278"/>
      <c r="K278"/>
      <c r="L278"/>
      <c r="M278"/>
      <c r="N278"/>
      <c r="O278"/>
      <c r="P278"/>
      <c r="Q278"/>
      <c r="R278"/>
      <c r="S278"/>
    </row>
    <row r="279" spans="1:19" hidden="1">
      <c r="A279"/>
      <c r="B279"/>
      <c r="C279"/>
      <c r="D279"/>
      <c r="E279"/>
      <c r="F279"/>
      <c r="G279"/>
      <c r="H279"/>
      <c r="I279"/>
      <c r="J279"/>
      <c r="K279"/>
      <c r="L279"/>
      <c r="M279"/>
      <c r="N279"/>
      <c r="O279"/>
      <c r="P279"/>
      <c r="Q279"/>
      <c r="R279"/>
      <c r="S279"/>
    </row>
    <row r="280" spans="1:19" hidden="1">
      <c r="A280"/>
      <c r="B280"/>
      <c r="C280"/>
      <c r="D280"/>
      <c r="E280"/>
      <c r="F280"/>
      <c r="G280"/>
      <c r="H280"/>
      <c r="I280"/>
      <c r="J280"/>
      <c r="K280"/>
      <c r="L280"/>
      <c r="M280"/>
      <c r="N280"/>
      <c r="O280"/>
      <c r="P280"/>
      <c r="Q280"/>
      <c r="R280"/>
      <c r="S280"/>
    </row>
    <row r="281" spans="1:19" hidden="1">
      <c r="A281"/>
      <c r="B281"/>
      <c r="C281"/>
      <c r="D281"/>
      <c r="E281"/>
      <c r="F281"/>
      <c r="G281"/>
      <c r="H281"/>
      <c r="I281"/>
      <c r="J281"/>
      <c r="K281"/>
      <c r="L281"/>
      <c r="M281"/>
      <c r="N281"/>
      <c r="O281"/>
      <c r="P281"/>
      <c r="Q281"/>
      <c r="R281"/>
      <c r="S281"/>
    </row>
    <row r="282" spans="1:19" hidden="1">
      <c r="A282"/>
      <c r="B282"/>
      <c r="C282"/>
      <c r="D282"/>
      <c r="E282"/>
      <c r="F282"/>
      <c r="G282"/>
      <c r="H282"/>
      <c r="I282"/>
      <c r="J282"/>
      <c r="K282"/>
      <c r="L282"/>
      <c r="M282"/>
      <c r="N282"/>
      <c r="O282"/>
      <c r="P282"/>
      <c r="Q282"/>
      <c r="R282"/>
      <c r="S282"/>
    </row>
    <row r="283" spans="1:19">
      <c r="A283"/>
      <c r="B283"/>
      <c r="C283"/>
      <c r="D283"/>
      <c r="E283"/>
      <c r="F283"/>
      <c r="G283"/>
      <c r="H283"/>
      <c r="I283"/>
      <c r="J283"/>
      <c r="K283"/>
      <c r="L283"/>
      <c r="M283"/>
      <c r="N283"/>
      <c r="O283"/>
      <c r="P283"/>
      <c r="Q283"/>
      <c r="R283"/>
      <c r="S283"/>
    </row>
    <row r="284" spans="1:19" hidden="1">
      <c r="A284"/>
      <c r="B284"/>
      <c r="C284"/>
      <c r="D284"/>
      <c r="E284"/>
      <c r="F284"/>
      <c r="G284"/>
      <c r="H284"/>
      <c r="I284"/>
      <c r="J284"/>
      <c r="K284"/>
      <c r="L284"/>
      <c r="M284"/>
      <c r="N284"/>
      <c r="O284"/>
      <c r="P284"/>
      <c r="Q284"/>
      <c r="R284"/>
      <c r="S284"/>
    </row>
    <row r="285" spans="1:19" hidden="1">
      <c r="A285"/>
      <c r="B285"/>
      <c r="C285"/>
      <c r="D285"/>
      <c r="E285"/>
      <c r="F285"/>
      <c r="G285"/>
      <c r="H285"/>
      <c r="I285"/>
      <c r="J285"/>
      <c r="K285"/>
      <c r="L285"/>
      <c r="M285"/>
      <c r="N285"/>
      <c r="O285"/>
      <c r="P285"/>
      <c r="Q285"/>
      <c r="R285"/>
      <c r="S285"/>
    </row>
    <row r="286" spans="1:19" hidden="1">
      <c r="A286"/>
      <c r="B286"/>
      <c r="C286"/>
      <c r="D286"/>
      <c r="E286"/>
      <c r="F286"/>
      <c r="G286"/>
      <c r="H286"/>
      <c r="I286"/>
      <c r="J286"/>
      <c r="K286"/>
      <c r="L286"/>
      <c r="M286"/>
      <c r="N286"/>
      <c r="O286"/>
      <c r="P286"/>
      <c r="Q286"/>
      <c r="R286"/>
      <c r="S286"/>
    </row>
    <row r="287" spans="1:19">
      <c r="A287"/>
      <c r="B287"/>
      <c r="C287"/>
      <c r="D287"/>
      <c r="E287"/>
      <c r="F287"/>
      <c r="G287"/>
      <c r="H287"/>
      <c r="I287"/>
      <c r="J287"/>
      <c r="K287"/>
      <c r="L287"/>
      <c r="M287"/>
      <c r="N287"/>
      <c r="O287"/>
      <c r="P287"/>
      <c r="Q287"/>
      <c r="R287"/>
      <c r="S287"/>
    </row>
    <row r="288" spans="1:19" hidden="1">
      <c r="A288"/>
      <c r="B288"/>
      <c r="C288"/>
      <c r="D288"/>
      <c r="E288"/>
      <c r="F288"/>
      <c r="G288"/>
      <c r="H288"/>
      <c r="I288"/>
      <c r="J288"/>
      <c r="K288"/>
      <c r="L288"/>
      <c r="M288"/>
      <c r="N288"/>
      <c r="O288"/>
      <c r="P288"/>
      <c r="Q288"/>
      <c r="R288"/>
      <c r="S288"/>
    </row>
    <row r="289" spans="1:19" hidden="1">
      <c r="A289"/>
      <c r="B289"/>
      <c r="C289"/>
      <c r="D289"/>
      <c r="E289"/>
      <c r="F289"/>
      <c r="G289"/>
      <c r="H289"/>
      <c r="I289"/>
      <c r="J289"/>
      <c r="K289"/>
      <c r="L289"/>
      <c r="M289"/>
      <c r="N289"/>
      <c r="O289"/>
      <c r="P289"/>
      <c r="Q289"/>
      <c r="R289"/>
      <c r="S289"/>
    </row>
    <row r="290" spans="1:19" hidden="1">
      <c r="A290"/>
      <c r="B290"/>
      <c r="C290"/>
      <c r="D290"/>
      <c r="E290"/>
      <c r="F290"/>
      <c r="G290"/>
      <c r="H290"/>
      <c r="I290"/>
      <c r="J290"/>
      <c r="K290"/>
      <c r="L290"/>
      <c r="M290"/>
      <c r="N290"/>
      <c r="O290"/>
      <c r="P290"/>
      <c r="Q290"/>
      <c r="R290"/>
      <c r="S290"/>
    </row>
    <row r="291" spans="1:19">
      <c r="A291"/>
      <c r="B291"/>
      <c r="C291"/>
      <c r="D291"/>
      <c r="E291"/>
      <c r="F291"/>
      <c r="G291"/>
      <c r="H291"/>
      <c r="I291"/>
      <c r="J291"/>
      <c r="K291"/>
      <c r="L291"/>
      <c r="M291"/>
      <c r="N291"/>
      <c r="O291"/>
      <c r="P291"/>
      <c r="Q291"/>
      <c r="R291"/>
      <c r="S291"/>
    </row>
    <row r="292" spans="1:19" hidden="1">
      <c r="A292"/>
      <c r="B292"/>
      <c r="C292"/>
      <c r="D292"/>
      <c r="E292"/>
      <c r="F292"/>
      <c r="G292"/>
      <c r="H292"/>
      <c r="I292"/>
      <c r="J292"/>
      <c r="K292"/>
      <c r="L292"/>
      <c r="M292"/>
      <c r="N292"/>
      <c r="O292"/>
      <c r="P292"/>
      <c r="Q292"/>
      <c r="R292"/>
      <c r="S292"/>
    </row>
    <row r="293" spans="1:19" hidden="1">
      <c r="A293"/>
      <c r="B293"/>
      <c r="C293"/>
      <c r="D293"/>
      <c r="E293"/>
      <c r="F293"/>
      <c r="G293"/>
      <c r="H293"/>
      <c r="I293"/>
      <c r="J293"/>
      <c r="K293"/>
      <c r="L293"/>
      <c r="M293"/>
      <c r="N293"/>
      <c r="O293"/>
      <c r="P293"/>
      <c r="Q293"/>
      <c r="R293"/>
      <c r="S293"/>
    </row>
    <row r="294" spans="1:19" hidden="1">
      <c r="A294"/>
      <c r="B294"/>
      <c r="C294"/>
      <c r="D294"/>
      <c r="E294"/>
      <c r="F294"/>
      <c r="G294"/>
      <c r="H294"/>
      <c r="I294"/>
      <c r="J294"/>
      <c r="K294"/>
      <c r="L294"/>
      <c r="M294"/>
      <c r="N294"/>
      <c r="O294"/>
      <c r="P294"/>
      <c r="Q294"/>
      <c r="R294"/>
      <c r="S294"/>
    </row>
    <row r="295" spans="1:19" hidden="1">
      <c r="A295"/>
      <c r="B295"/>
      <c r="C295"/>
      <c r="D295"/>
      <c r="E295"/>
      <c r="F295"/>
      <c r="G295"/>
      <c r="H295"/>
      <c r="I295"/>
      <c r="J295"/>
      <c r="K295"/>
      <c r="L295"/>
      <c r="M295"/>
      <c r="N295"/>
      <c r="O295"/>
      <c r="P295"/>
      <c r="Q295"/>
      <c r="R295"/>
      <c r="S295"/>
    </row>
    <row r="296" spans="1:19">
      <c r="A296"/>
      <c r="B296"/>
      <c r="C296"/>
      <c r="D296"/>
      <c r="E296"/>
      <c r="F296"/>
      <c r="G296"/>
      <c r="H296"/>
      <c r="I296"/>
      <c r="J296"/>
      <c r="K296"/>
      <c r="L296"/>
      <c r="M296"/>
      <c r="N296"/>
      <c r="O296"/>
      <c r="P296"/>
      <c r="Q296"/>
      <c r="R296"/>
      <c r="S296"/>
    </row>
    <row r="297" spans="1:19" hidden="1">
      <c r="A297"/>
      <c r="B297"/>
      <c r="C297"/>
      <c r="D297"/>
      <c r="E297"/>
      <c r="F297"/>
      <c r="G297"/>
      <c r="H297"/>
      <c r="I297"/>
      <c r="J297"/>
      <c r="K297"/>
      <c r="L297"/>
      <c r="M297"/>
      <c r="N297"/>
      <c r="O297"/>
      <c r="P297"/>
      <c r="Q297"/>
      <c r="R297"/>
      <c r="S297"/>
    </row>
    <row r="298" spans="1:19" hidden="1">
      <c r="A298"/>
      <c r="B298"/>
      <c r="C298"/>
      <c r="D298"/>
      <c r="E298"/>
      <c r="F298"/>
      <c r="G298"/>
      <c r="H298"/>
      <c r="I298"/>
      <c r="J298"/>
      <c r="K298"/>
      <c r="L298"/>
      <c r="M298"/>
      <c r="N298"/>
      <c r="O298"/>
      <c r="P298"/>
      <c r="Q298"/>
      <c r="R298"/>
      <c r="S298"/>
    </row>
    <row r="299" spans="1:19" hidden="1">
      <c r="A299"/>
      <c r="B299"/>
      <c r="C299"/>
      <c r="D299"/>
      <c r="E299"/>
      <c r="F299"/>
      <c r="G299"/>
      <c r="H299"/>
      <c r="I299"/>
      <c r="J299"/>
      <c r="K299"/>
      <c r="L299"/>
      <c r="M299"/>
      <c r="N299"/>
      <c r="O299"/>
      <c r="P299"/>
      <c r="Q299"/>
      <c r="R299"/>
      <c r="S299"/>
    </row>
    <row r="300" spans="1:19" hidden="1">
      <c r="A300"/>
      <c r="B300"/>
      <c r="C300"/>
      <c r="D300"/>
      <c r="E300"/>
      <c r="F300"/>
      <c r="G300"/>
      <c r="H300"/>
      <c r="I300"/>
      <c r="J300"/>
      <c r="K300"/>
      <c r="L300"/>
      <c r="M300"/>
      <c r="N300"/>
      <c r="O300"/>
      <c r="P300"/>
      <c r="Q300"/>
      <c r="R300"/>
      <c r="S300"/>
    </row>
    <row r="301" spans="1:19">
      <c r="A301"/>
      <c r="B301"/>
      <c r="C301"/>
      <c r="D301"/>
      <c r="E301"/>
      <c r="F301"/>
      <c r="G301"/>
      <c r="H301"/>
      <c r="I301"/>
      <c r="J301"/>
      <c r="K301"/>
      <c r="L301"/>
      <c r="M301"/>
      <c r="N301"/>
      <c r="O301"/>
      <c r="P301"/>
      <c r="Q301"/>
      <c r="R301"/>
      <c r="S301"/>
    </row>
    <row r="302" spans="1:19">
      <c r="A302"/>
      <c r="B302"/>
      <c r="C302"/>
      <c r="D302"/>
      <c r="E302"/>
      <c r="F302"/>
      <c r="G302"/>
      <c r="H302"/>
      <c r="I302"/>
      <c r="J302"/>
      <c r="K302"/>
      <c r="L302"/>
      <c r="M302"/>
      <c r="N302"/>
      <c r="O302"/>
      <c r="P302"/>
      <c r="Q302"/>
      <c r="R302"/>
      <c r="S302"/>
    </row>
    <row r="303" spans="1:19" hidden="1">
      <c r="A303"/>
      <c r="B303"/>
      <c r="C303"/>
      <c r="D303"/>
      <c r="E303"/>
      <c r="F303"/>
      <c r="G303"/>
      <c r="H303"/>
      <c r="I303"/>
      <c r="J303"/>
      <c r="K303"/>
      <c r="L303"/>
      <c r="M303"/>
      <c r="N303"/>
      <c r="O303"/>
      <c r="P303"/>
      <c r="Q303"/>
      <c r="R303"/>
      <c r="S303"/>
    </row>
    <row r="304" spans="1:19">
      <c r="A304"/>
      <c r="B304"/>
      <c r="C304"/>
      <c r="D304"/>
      <c r="E304"/>
      <c r="F304"/>
      <c r="G304"/>
      <c r="H304"/>
      <c r="I304"/>
      <c r="J304"/>
      <c r="K304"/>
      <c r="L304"/>
      <c r="M304"/>
      <c r="N304"/>
      <c r="O304"/>
      <c r="P304"/>
      <c r="Q304"/>
      <c r="R304"/>
      <c r="S304"/>
    </row>
    <row r="305" spans="1:19" hidden="1">
      <c r="A305"/>
      <c r="B305"/>
      <c r="C305"/>
      <c r="D305"/>
      <c r="E305"/>
      <c r="F305"/>
      <c r="G305"/>
      <c r="H305"/>
      <c r="I305"/>
      <c r="J305"/>
      <c r="K305"/>
      <c r="L305"/>
      <c r="M305"/>
      <c r="N305"/>
      <c r="O305"/>
      <c r="P305"/>
      <c r="Q305"/>
      <c r="R305"/>
      <c r="S305"/>
    </row>
    <row r="306" spans="1:19" hidden="1">
      <c r="A306"/>
      <c r="B306"/>
      <c r="C306"/>
      <c r="D306"/>
      <c r="E306"/>
      <c r="F306"/>
      <c r="G306"/>
      <c r="H306"/>
      <c r="I306"/>
      <c r="J306"/>
      <c r="K306"/>
      <c r="L306"/>
      <c r="M306"/>
      <c r="N306"/>
      <c r="O306"/>
      <c r="P306"/>
      <c r="Q306"/>
      <c r="R306"/>
      <c r="S306"/>
    </row>
    <row r="307" spans="1:19" hidden="1">
      <c r="A307"/>
      <c r="B307"/>
      <c r="C307"/>
      <c r="D307"/>
      <c r="E307"/>
      <c r="F307"/>
      <c r="G307"/>
      <c r="H307"/>
      <c r="I307"/>
      <c r="J307"/>
      <c r="K307"/>
      <c r="L307"/>
      <c r="M307"/>
      <c r="N307"/>
      <c r="O307"/>
      <c r="P307"/>
      <c r="Q307"/>
      <c r="R307"/>
      <c r="S307"/>
    </row>
    <row r="308" spans="1:19" hidden="1">
      <c r="A308"/>
      <c r="B308"/>
      <c r="C308"/>
      <c r="D308"/>
      <c r="E308"/>
      <c r="F308"/>
      <c r="G308"/>
      <c r="H308"/>
      <c r="I308"/>
      <c r="J308"/>
      <c r="K308"/>
      <c r="L308"/>
      <c r="M308"/>
      <c r="N308"/>
      <c r="O308"/>
      <c r="P308"/>
      <c r="Q308"/>
      <c r="R308"/>
      <c r="S308"/>
    </row>
    <row r="309" spans="1:19" hidden="1">
      <c r="A309"/>
      <c r="B309"/>
      <c r="C309"/>
      <c r="D309"/>
      <c r="E309"/>
      <c r="F309"/>
      <c r="G309"/>
      <c r="H309"/>
      <c r="I309"/>
      <c r="J309"/>
      <c r="K309"/>
      <c r="L309"/>
      <c r="M309"/>
      <c r="N309"/>
      <c r="O309"/>
      <c r="P309"/>
      <c r="Q309"/>
      <c r="R309"/>
      <c r="S309"/>
    </row>
    <row r="310" spans="1:19" hidden="1">
      <c r="A310"/>
      <c r="B310"/>
      <c r="C310"/>
      <c r="D310"/>
      <c r="E310"/>
      <c r="F310"/>
      <c r="G310"/>
      <c r="H310"/>
      <c r="I310"/>
      <c r="J310"/>
      <c r="K310"/>
      <c r="L310"/>
      <c r="M310"/>
      <c r="N310"/>
      <c r="O310"/>
      <c r="P310"/>
      <c r="Q310"/>
      <c r="R310"/>
      <c r="S310"/>
    </row>
    <row r="311" spans="1:19">
      <c r="A311"/>
      <c r="B311"/>
      <c r="C311"/>
      <c r="D311"/>
      <c r="E311"/>
      <c r="F311"/>
      <c r="G311"/>
      <c r="H311"/>
      <c r="I311"/>
      <c r="J311"/>
      <c r="K311"/>
      <c r="L311"/>
      <c r="M311"/>
      <c r="N311"/>
      <c r="O311"/>
      <c r="P311"/>
      <c r="Q311"/>
      <c r="R311"/>
      <c r="S311"/>
    </row>
    <row r="312" spans="1:19" hidden="1">
      <c r="A312"/>
      <c r="B312"/>
      <c r="C312"/>
      <c r="D312"/>
      <c r="E312"/>
      <c r="F312"/>
      <c r="G312"/>
      <c r="H312"/>
      <c r="I312"/>
      <c r="J312"/>
      <c r="K312"/>
      <c r="L312"/>
      <c r="M312"/>
      <c r="N312"/>
      <c r="O312"/>
      <c r="P312"/>
      <c r="Q312"/>
      <c r="R312"/>
      <c r="S312"/>
    </row>
    <row r="313" spans="1:19">
      <c r="A313"/>
      <c r="B313"/>
      <c r="C313"/>
      <c r="D313"/>
      <c r="E313"/>
      <c r="F313"/>
      <c r="G313"/>
      <c r="H313"/>
      <c r="I313"/>
      <c r="J313"/>
      <c r="K313"/>
      <c r="L313"/>
      <c r="M313"/>
      <c r="N313"/>
      <c r="O313"/>
      <c r="P313"/>
      <c r="Q313"/>
      <c r="R313"/>
      <c r="S313"/>
    </row>
    <row r="314" spans="1:19">
      <c r="A314"/>
      <c r="B314"/>
      <c r="C314"/>
      <c r="D314"/>
      <c r="E314"/>
      <c r="F314"/>
      <c r="G314"/>
      <c r="H314"/>
      <c r="I314"/>
      <c r="J314"/>
      <c r="K314"/>
      <c r="L314"/>
      <c r="M314"/>
      <c r="N314"/>
      <c r="O314"/>
      <c r="P314"/>
      <c r="Q314"/>
      <c r="R314"/>
      <c r="S314"/>
    </row>
    <row r="315" spans="1:19" hidden="1">
      <c r="A315"/>
      <c r="B315"/>
      <c r="C315"/>
      <c r="D315"/>
      <c r="E315"/>
      <c r="F315"/>
      <c r="G315"/>
      <c r="H315"/>
      <c r="I315"/>
      <c r="J315"/>
      <c r="K315"/>
      <c r="L315"/>
      <c r="M315"/>
      <c r="N315"/>
      <c r="O315"/>
      <c r="P315"/>
      <c r="Q315"/>
      <c r="R315"/>
      <c r="S315"/>
    </row>
    <row r="316" spans="1:19">
      <c r="A316"/>
      <c r="B316"/>
      <c r="C316"/>
      <c r="D316"/>
      <c r="E316"/>
      <c r="F316"/>
      <c r="G316"/>
      <c r="H316"/>
      <c r="I316"/>
      <c r="J316"/>
      <c r="K316"/>
      <c r="L316"/>
      <c r="M316"/>
      <c r="N316"/>
      <c r="O316"/>
      <c r="P316"/>
      <c r="Q316"/>
      <c r="R316"/>
      <c r="S316"/>
    </row>
    <row r="317" spans="1:19">
      <c r="A317"/>
      <c r="B317"/>
      <c r="C317"/>
      <c r="D317"/>
      <c r="E317"/>
      <c r="F317"/>
      <c r="G317"/>
      <c r="H317"/>
      <c r="I317"/>
      <c r="J317"/>
      <c r="K317"/>
      <c r="L317"/>
      <c r="M317"/>
      <c r="N317"/>
      <c r="O317"/>
      <c r="P317"/>
      <c r="Q317"/>
      <c r="R317"/>
      <c r="S317"/>
    </row>
    <row r="318" spans="1:19" hidden="1">
      <c r="A318"/>
      <c r="B318"/>
      <c r="C318"/>
      <c r="D318"/>
      <c r="E318"/>
      <c r="F318"/>
      <c r="G318"/>
      <c r="H318"/>
      <c r="I318"/>
      <c r="J318"/>
      <c r="K318"/>
      <c r="L318"/>
      <c r="M318"/>
      <c r="N318"/>
      <c r="O318"/>
      <c r="P318"/>
      <c r="Q318"/>
      <c r="R318"/>
      <c r="S318"/>
    </row>
    <row r="319" spans="1:19" hidden="1">
      <c r="A319"/>
      <c r="B319"/>
      <c r="C319"/>
      <c r="D319"/>
      <c r="E319"/>
      <c r="F319"/>
      <c r="G319"/>
      <c r="H319"/>
      <c r="I319"/>
      <c r="J319"/>
      <c r="K319"/>
      <c r="L319"/>
      <c r="M319"/>
      <c r="N319"/>
      <c r="O319"/>
      <c r="P319"/>
      <c r="Q319"/>
      <c r="R319"/>
      <c r="S319"/>
    </row>
    <row r="320" spans="1:19" hidden="1">
      <c r="A320"/>
      <c r="B320"/>
      <c r="C320"/>
      <c r="D320"/>
      <c r="E320"/>
      <c r="F320"/>
      <c r="G320"/>
      <c r="H320"/>
      <c r="I320"/>
      <c r="J320"/>
      <c r="K320"/>
      <c r="L320"/>
      <c r="M320"/>
      <c r="N320"/>
      <c r="O320"/>
      <c r="P320"/>
      <c r="Q320"/>
      <c r="R320"/>
      <c r="S320"/>
    </row>
    <row r="321" spans="1:19" hidden="1">
      <c r="A321"/>
      <c r="B321"/>
      <c r="C321"/>
      <c r="D321"/>
      <c r="E321"/>
      <c r="F321"/>
      <c r="G321"/>
      <c r="H321"/>
      <c r="I321"/>
      <c r="J321"/>
      <c r="K321"/>
      <c r="L321"/>
      <c r="M321"/>
      <c r="N321"/>
      <c r="O321"/>
      <c r="P321"/>
      <c r="Q321"/>
      <c r="R321"/>
      <c r="S321"/>
    </row>
    <row r="322" spans="1:19" hidden="1">
      <c r="A322"/>
      <c r="B322"/>
      <c r="C322"/>
      <c r="D322"/>
      <c r="E322"/>
      <c r="F322"/>
      <c r="G322"/>
      <c r="H322"/>
      <c r="I322"/>
      <c r="J322"/>
      <c r="K322"/>
      <c r="L322"/>
      <c r="M322"/>
      <c r="N322"/>
      <c r="O322"/>
      <c r="P322"/>
      <c r="Q322"/>
      <c r="R322"/>
      <c r="S322"/>
    </row>
    <row r="323" spans="1:19" hidden="1">
      <c r="A323"/>
      <c r="B323"/>
      <c r="C323"/>
      <c r="D323"/>
      <c r="E323"/>
      <c r="F323"/>
      <c r="G323"/>
      <c r="H323"/>
      <c r="I323"/>
      <c r="J323"/>
      <c r="K323"/>
      <c r="L323"/>
      <c r="M323"/>
      <c r="N323"/>
      <c r="O323"/>
      <c r="P323"/>
      <c r="Q323"/>
      <c r="R323"/>
      <c r="S323"/>
    </row>
    <row r="324" spans="1:19">
      <c r="A324"/>
      <c r="B324"/>
      <c r="C324"/>
      <c r="D324"/>
      <c r="E324"/>
      <c r="F324"/>
      <c r="G324"/>
      <c r="H324"/>
      <c r="I324"/>
      <c r="J324"/>
      <c r="K324"/>
      <c r="L324"/>
      <c r="M324"/>
      <c r="N324"/>
      <c r="O324"/>
      <c r="P324"/>
      <c r="Q324"/>
      <c r="R324"/>
      <c r="S324"/>
    </row>
    <row r="325" spans="1:19">
      <c r="A325"/>
      <c r="B325"/>
      <c r="C325"/>
      <c r="D325"/>
      <c r="E325"/>
      <c r="F325"/>
      <c r="G325"/>
      <c r="H325"/>
      <c r="I325"/>
      <c r="J325"/>
      <c r="K325"/>
      <c r="L325"/>
      <c r="M325"/>
      <c r="N325"/>
      <c r="O325"/>
      <c r="P325"/>
      <c r="Q325"/>
      <c r="R325"/>
      <c r="S325"/>
    </row>
    <row r="326" spans="1:19">
      <c r="A326"/>
      <c r="B326"/>
      <c r="C326"/>
      <c r="D326"/>
      <c r="E326"/>
      <c r="F326"/>
      <c r="G326"/>
      <c r="H326"/>
      <c r="I326"/>
      <c r="J326"/>
      <c r="K326"/>
      <c r="L326"/>
      <c r="M326"/>
      <c r="N326"/>
      <c r="O326"/>
      <c r="P326"/>
      <c r="Q326"/>
      <c r="R326"/>
      <c r="S326"/>
    </row>
    <row r="327" spans="1:19">
      <c r="A327"/>
      <c r="B327"/>
      <c r="C327"/>
      <c r="D327"/>
      <c r="E327"/>
      <c r="F327"/>
      <c r="G327"/>
      <c r="H327"/>
      <c r="I327"/>
      <c r="J327"/>
      <c r="K327"/>
      <c r="L327"/>
      <c r="M327"/>
      <c r="N327"/>
      <c r="O327"/>
      <c r="P327"/>
      <c r="Q327"/>
      <c r="R327"/>
      <c r="S327"/>
    </row>
    <row r="328" spans="1:19" hidden="1">
      <c r="A328"/>
      <c r="B328"/>
      <c r="C328"/>
      <c r="D328"/>
      <c r="E328"/>
      <c r="F328"/>
      <c r="G328"/>
      <c r="H328"/>
      <c r="I328"/>
      <c r="J328"/>
      <c r="K328"/>
      <c r="L328"/>
      <c r="M328"/>
      <c r="N328"/>
      <c r="O328"/>
      <c r="P328"/>
      <c r="Q328"/>
      <c r="R328"/>
      <c r="S328"/>
    </row>
    <row r="329" spans="1:19" hidden="1">
      <c r="A329"/>
      <c r="B329"/>
      <c r="C329"/>
      <c r="D329"/>
      <c r="E329"/>
      <c r="F329"/>
      <c r="G329"/>
      <c r="H329"/>
      <c r="I329"/>
      <c r="J329"/>
      <c r="K329"/>
      <c r="L329"/>
      <c r="M329"/>
      <c r="N329"/>
      <c r="O329"/>
      <c r="P329"/>
      <c r="Q329"/>
      <c r="R329"/>
      <c r="S329"/>
    </row>
    <row r="330" spans="1:19" hidden="1">
      <c r="A330"/>
      <c r="B330"/>
      <c r="C330"/>
      <c r="D330"/>
      <c r="E330"/>
      <c r="F330"/>
      <c r="G330"/>
      <c r="H330"/>
      <c r="I330"/>
      <c r="J330"/>
      <c r="K330"/>
      <c r="L330"/>
      <c r="M330"/>
      <c r="N330"/>
      <c r="O330"/>
      <c r="P330"/>
      <c r="Q330"/>
      <c r="R330"/>
      <c r="S330"/>
    </row>
    <row r="331" spans="1:19" hidden="1">
      <c r="A331"/>
      <c r="B331"/>
      <c r="C331"/>
      <c r="D331"/>
      <c r="E331"/>
      <c r="F331"/>
      <c r="G331"/>
      <c r="H331"/>
      <c r="I331"/>
      <c r="J331"/>
      <c r="K331"/>
      <c r="L331"/>
      <c r="M331"/>
      <c r="N331"/>
      <c r="O331"/>
      <c r="P331"/>
      <c r="Q331"/>
      <c r="R331"/>
      <c r="S331"/>
    </row>
    <row r="332" spans="1:19" hidden="1">
      <c r="A332"/>
      <c r="B332"/>
      <c r="C332"/>
      <c r="D332"/>
      <c r="E332"/>
      <c r="F332"/>
      <c r="G332"/>
      <c r="H332"/>
      <c r="I332"/>
      <c r="J332"/>
      <c r="K332"/>
      <c r="L332"/>
      <c r="M332"/>
      <c r="N332"/>
      <c r="O332"/>
      <c r="P332"/>
      <c r="Q332"/>
      <c r="R332"/>
      <c r="S332"/>
    </row>
    <row r="333" spans="1:19" hidden="1">
      <c r="A333"/>
      <c r="B333"/>
      <c r="C333"/>
      <c r="D333"/>
      <c r="E333"/>
      <c r="F333"/>
      <c r="G333"/>
      <c r="H333"/>
      <c r="I333"/>
      <c r="J333"/>
      <c r="K333"/>
      <c r="L333"/>
      <c r="M333"/>
      <c r="N333"/>
      <c r="O333"/>
      <c r="P333"/>
      <c r="Q333"/>
      <c r="R333"/>
      <c r="S333"/>
    </row>
    <row r="334" spans="1:19" hidden="1">
      <c r="A334"/>
      <c r="B334"/>
      <c r="C334"/>
      <c r="D334"/>
      <c r="E334"/>
      <c r="F334"/>
      <c r="G334"/>
      <c r="H334"/>
      <c r="I334"/>
      <c r="J334"/>
      <c r="K334"/>
      <c r="L334"/>
      <c r="M334"/>
      <c r="N334"/>
      <c r="O334"/>
      <c r="P334"/>
      <c r="Q334"/>
      <c r="R334"/>
      <c r="S334"/>
    </row>
    <row r="335" spans="1:19" hidden="1">
      <c r="A335"/>
      <c r="B335"/>
      <c r="C335"/>
      <c r="D335"/>
      <c r="E335"/>
      <c r="F335"/>
      <c r="G335"/>
      <c r="H335"/>
      <c r="I335"/>
      <c r="J335"/>
      <c r="K335"/>
      <c r="L335"/>
      <c r="M335"/>
      <c r="N335"/>
      <c r="O335"/>
      <c r="P335"/>
      <c r="Q335"/>
      <c r="R335"/>
      <c r="S335"/>
    </row>
    <row r="336" spans="1:19" hidden="1">
      <c r="A336"/>
      <c r="B336"/>
      <c r="C336"/>
      <c r="D336"/>
      <c r="E336"/>
      <c r="F336"/>
      <c r="G336"/>
      <c r="H336"/>
      <c r="I336"/>
      <c r="J336"/>
      <c r="K336"/>
      <c r="L336"/>
      <c r="M336"/>
      <c r="N336"/>
      <c r="O336"/>
      <c r="P336"/>
      <c r="Q336"/>
      <c r="R336"/>
      <c r="S336"/>
    </row>
    <row r="337" spans="1:19" hidden="1">
      <c r="A337"/>
      <c r="B337"/>
      <c r="C337"/>
      <c r="D337"/>
      <c r="E337"/>
      <c r="F337"/>
      <c r="G337"/>
      <c r="H337"/>
      <c r="I337"/>
      <c r="J337"/>
      <c r="K337"/>
      <c r="L337"/>
      <c r="M337"/>
      <c r="N337"/>
      <c r="O337"/>
      <c r="P337"/>
      <c r="Q337"/>
      <c r="R337"/>
      <c r="S337"/>
    </row>
    <row r="338" spans="1:19" hidden="1">
      <c r="A338"/>
      <c r="B338"/>
      <c r="C338"/>
      <c r="D338"/>
      <c r="E338"/>
      <c r="F338"/>
      <c r="G338"/>
      <c r="H338"/>
      <c r="I338"/>
      <c r="J338"/>
      <c r="K338"/>
      <c r="L338"/>
      <c r="M338"/>
      <c r="N338"/>
      <c r="O338"/>
      <c r="P338"/>
      <c r="Q338"/>
      <c r="R338"/>
      <c r="S338"/>
    </row>
    <row r="339" spans="1:19" hidden="1">
      <c r="A339"/>
      <c r="B339"/>
      <c r="C339"/>
      <c r="D339"/>
      <c r="E339"/>
      <c r="F339"/>
      <c r="G339"/>
      <c r="H339"/>
      <c r="I339"/>
      <c r="J339"/>
      <c r="K339"/>
      <c r="L339"/>
      <c r="M339"/>
      <c r="N339"/>
      <c r="O339"/>
      <c r="P339"/>
      <c r="Q339"/>
      <c r="R339"/>
      <c r="S339"/>
    </row>
    <row r="340" spans="1:19">
      <c r="A340"/>
      <c r="B340"/>
      <c r="C340"/>
      <c r="D340"/>
      <c r="E340"/>
      <c r="F340"/>
      <c r="G340"/>
      <c r="H340"/>
      <c r="I340"/>
      <c r="J340"/>
      <c r="K340"/>
      <c r="L340"/>
      <c r="M340"/>
      <c r="N340"/>
      <c r="O340"/>
      <c r="P340"/>
      <c r="Q340"/>
      <c r="R340"/>
      <c r="S340"/>
    </row>
    <row r="341" spans="1:19" hidden="1">
      <c r="A341"/>
      <c r="B341"/>
      <c r="C341"/>
      <c r="D341"/>
      <c r="E341"/>
      <c r="F341"/>
      <c r="G341"/>
      <c r="H341"/>
      <c r="I341"/>
      <c r="J341"/>
      <c r="K341"/>
      <c r="L341"/>
      <c r="M341"/>
      <c r="N341"/>
      <c r="O341"/>
      <c r="P341"/>
      <c r="Q341"/>
      <c r="R341"/>
      <c r="S341"/>
    </row>
    <row r="342" spans="1:19" hidden="1">
      <c r="A342"/>
      <c r="B342"/>
      <c r="C342"/>
      <c r="D342"/>
      <c r="E342"/>
      <c r="F342"/>
      <c r="G342"/>
      <c r="H342"/>
      <c r="I342"/>
      <c r="J342"/>
      <c r="K342"/>
      <c r="L342"/>
      <c r="M342"/>
      <c r="N342"/>
      <c r="O342"/>
      <c r="P342"/>
      <c r="Q342"/>
      <c r="R342"/>
      <c r="S342"/>
    </row>
    <row r="343" spans="1:19" hidden="1">
      <c r="A343"/>
      <c r="B343"/>
      <c r="C343"/>
      <c r="D343"/>
      <c r="E343"/>
      <c r="F343"/>
      <c r="G343"/>
      <c r="H343"/>
      <c r="I343"/>
      <c r="J343"/>
      <c r="K343"/>
      <c r="L343"/>
      <c r="M343"/>
      <c r="N343"/>
      <c r="O343"/>
      <c r="P343"/>
      <c r="Q343"/>
      <c r="R343"/>
      <c r="S343"/>
    </row>
    <row r="344" spans="1:19">
      <c r="A344"/>
      <c r="B344"/>
      <c r="C344"/>
      <c r="D344"/>
      <c r="E344"/>
      <c r="F344"/>
      <c r="G344"/>
      <c r="H344"/>
      <c r="I344"/>
      <c r="J344"/>
      <c r="K344"/>
      <c r="L344"/>
      <c r="M344"/>
      <c r="N344"/>
      <c r="O344"/>
      <c r="P344"/>
      <c r="Q344"/>
      <c r="R344"/>
      <c r="S344"/>
    </row>
    <row r="345" spans="1:19">
      <c r="A345"/>
      <c r="B345"/>
      <c r="C345"/>
      <c r="D345"/>
      <c r="E345"/>
      <c r="F345"/>
      <c r="G345"/>
      <c r="H345"/>
      <c r="I345"/>
      <c r="J345"/>
      <c r="K345"/>
      <c r="L345"/>
      <c r="M345"/>
      <c r="N345"/>
      <c r="O345"/>
      <c r="P345"/>
      <c r="Q345"/>
      <c r="R345"/>
      <c r="S345"/>
    </row>
    <row r="346" spans="1:19">
      <c r="A346"/>
      <c r="B346"/>
      <c r="C346"/>
      <c r="D346"/>
      <c r="E346"/>
      <c r="F346"/>
      <c r="G346"/>
      <c r="H346"/>
      <c r="I346"/>
      <c r="J346"/>
      <c r="K346"/>
      <c r="L346"/>
      <c r="M346"/>
      <c r="N346"/>
      <c r="O346"/>
      <c r="P346"/>
      <c r="Q346"/>
      <c r="R346"/>
      <c r="S346"/>
    </row>
    <row r="347" spans="1:19">
      <c r="A347"/>
      <c r="B347"/>
      <c r="C347"/>
      <c r="D347"/>
      <c r="E347"/>
      <c r="F347"/>
      <c r="G347"/>
      <c r="H347"/>
      <c r="I347"/>
      <c r="J347"/>
      <c r="K347"/>
      <c r="L347"/>
      <c r="M347"/>
      <c r="N347"/>
      <c r="O347"/>
      <c r="P347"/>
      <c r="Q347"/>
      <c r="R347"/>
      <c r="S347"/>
    </row>
    <row r="348" spans="1:19" hidden="1">
      <c r="A348"/>
      <c r="B348"/>
      <c r="C348"/>
      <c r="D348"/>
      <c r="E348"/>
      <c r="F348"/>
      <c r="G348"/>
      <c r="H348"/>
      <c r="I348"/>
      <c r="J348"/>
      <c r="K348"/>
      <c r="L348"/>
      <c r="M348"/>
      <c r="N348"/>
      <c r="O348"/>
      <c r="P348"/>
      <c r="Q348"/>
      <c r="R348"/>
      <c r="S348"/>
    </row>
    <row r="349" spans="1:19" hidden="1">
      <c r="A349"/>
      <c r="B349"/>
      <c r="C349"/>
      <c r="D349"/>
      <c r="E349"/>
      <c r="F349"/>
      <c r="G349"/>
      <c r="H349"/>
      <c r="I349"/>
      <c r="J349"/>
      <c r="K349"/>
      <c r="L349"/>
      <c r="M349"/>
      <c r="N349"/>
      <c r="O349"/>
      <c r="P349"/>
      <c r="Q349"/>
      <c r="R349"/>
      <c r="S349"/>
    </row>
    <row r="350" spans="1:19">
      <c r="A350"/>
      <c r="B350"/>
      <c r="C350"/>
      <c r="D350"/>
      <c r="E350"/>
      <c r="F350"/>
      <c r="G350"/>
      <c r="H350"/>
      <c r="I350"/>
      <c r="J350"/>
      <c r="K350"/>
      <c r="L350"/>
      <c r="M350"/>
      <c r="N350"/>
      <c r="O350"/>
      <c r="P350"/>
      <c r="Q350"/>
      <c r="R350"/>
      <c r="S350"/>
    </row>
    <row r="351" spans="1:19" hidden="1">
      <c r="A351"/>
      <c r="B351"/>
      <c r="C351"/>
      <c r="D351"/>
      <c r="E351"/>
      <c r="F351"/>
      <c r="G351"/>
      <c r="H351"/>
      <c r="I351"/>
      <c r="J351"/>
      <c r="K351"/>
      <c r="L351"/>
      <c r="M351"/>
      <c r="N351"/>
      <c r="O351"/>
      <c r="P351"/>
      <c r="Q351"/>
      <c r="R351"/>
      <c r="S351"/>
    </row>
    <row r="352" spans="1:19">
      <c r="A352"/>
      <c r="B352"/>
      <c r="C352"/>
      <c r="D352"/>
      <c r="E352"/>
      <c r="F352"/>
      <c r="G352"/>
      <c r="H352"/>
      <c r="I352"/>
      <c r="J352"/>
      <c r="K352"/>
      <c r="L352"/>
      <c r="M352"/>
      <c r="N352"/>
      <c r="O352"/>
      <c r="P352"/>
      <c r="Q352"/>
      <c r="R352"/>
      <c r="S352"/>
    </row>
    <row r="353" spans="1:19" hidden="1">
      <c r="A353"/>
      <c r="B353"/>
      <c r="C353"/>
      <c r="D353"/>
      <c r="E353"/>
      <c r="F353"/>
      <c r="G353"/>
      <c r="H353"/>
      <c r="I353"/>
      <c r="J353"/>
      <c r="K353"/>
      <c r="L353"/>
      <c r="M353"/>
      <c r="N353"/>
      <c r="O353"/>
      <c r="P353"/>
      <c r="Q353"/>
      <c r="R353"/>
      <c r="S353"/>
    </row>
    <row r="354" spans="1:19" hidden="1">
      <c r="A354"/>
      <c r="B354"/>
      <c r="C354"/>
      <c r="D354"/>
      <c r="E354"/>
      <c r="F354"/>
      <c r="G354"/>
      <c r="H354"/>
      <c r="I354"/>
      <c r="J354"/>
      <c r="K354"/>
      <c r="L354"/>
      <c r="M354"/>
      <c r="N354"/>
      <c r="O354"/>
      <c r="P354"/>
      <c r="Q354"/>
      <c r="R354"/>
      <c r="S354"/>
    </row>
    <row r="355" spans="1:19">
      <c r="A355"/>
      <c r="B355"/>
      <c r="C355"/>
      <c r="D355"/>
      <c r="E355"/>
      <c r="F355"/>
      <c r="G355"/>
      <c r="H355"/>
      <c r="I355"/>
      <c r="J355"/>
      <c r="K355"/>
      <c r="L355"/>
      <c r="M355"/>
      <c r="N355"/>
      <c r="O355"/>
      <c r="P355"/>
      <c r="Q355"/>
      <c r="R355"/>
      <c r="S355"/>
    </row>
    <row r="356" spans="1:19" hidden="1">
      <c r="A356"/>
      <c r="B356"/>
      <c r="C356"/>
      <c r="D356"/>
      <c r="E356"/>
      <c r="F356"/>
      <c r="G356"/>
      <c r="H356"/>
      <c r="I356"/>
      <c r="J356"/>
      <c r="K356"/>
      <c r="L356"/>
      <c r="M356"/>
      <c r="N356"/>
      <c r="O356"/>
      <c r="P356"/>
      <c r="Q356"/>
      <c r="R356"/>
      <c r="S356"/>
    </row>
    <row r="357" spans="1:19">
      <c r="A357"/>
      <c r="B357"/>
      <c r="C357"/>
      <c r="D357"/>
      <c r="E357"/>
      <c r="F357"/>
      <c r="G357"/>
      <c r="H357"/>
      <c r="I357"/>
      <c r="J357"/>
      <c r="K357"/>
      <c r="L357"/>
      <c r="M357"/>
      <c r="N357"/>
      <c r="O357"/>
      <c r="P357"/>
      <c r="Q357"/>
      <c r="R357"/>
      <c r="S357"/>
    </row>
    <row r="358" spans="1:19" hidden="1">
      <c r="A358"/>
      <c r="B358"/>
      <c r="C358"/>
      <c r="D358"/>
      <c r="E358"/>
      <c r="F358"/>
      <c r="G358"/>
      <c r="H358"/>
      <c r="I358"/>
      <c r="J358"/>
      <c r="K358"/>
      <c r="L358"/>
      <c r="M358"/>
      <c r="N358"/>
      <c r="O358"/>
      <c r="P358"/>
      <c r="Q358"/>
      <c r="R358"/>
      <c r="S358"/>
    </row>
    <row r="359" spans="1:19" hidden="1">
      <c r="A359"/>
      <c r="B359"/>
      <c r="C359"/>
      <c r="D359"/>
      <c r="E359"/>
      <c r="F359"/>
      <c r="G359"/>
      <c r="H359"/>
      <c r="I359"/>
      <c r="J359"/>
      <c r="K359"/>
      <c r="L359"/>
      <c r="M359"/>
      <c r="N359"/>
      <c r="O359"/>
      <c r="P359"/>
      <c r="Q359"/>
      <c r="R359"/>
      <c r="S359"/>
    </row>
    <row r="360" spans="1:19" hidden="1">
      <c r="A360"/>
      <c r="B360"/>
      <c r="C360"/>
      <c r="D360"/>
      <c r="E360"/>
      <c r="F360"/>
      <c r="G360"/>
      <c r="H360"/>
      <c r="I360"/>
      <c r="J360"/>
      <c r="K360"/>
      <c r="L360"/>
      <c r="M360"/>
      <c r="N360"/>
      <c r="O360"/>
      <c r="P360"/>
      <c r="Q360"/>
      <c r="R360"/>
      <c r="S360"/>
    </row>
    <row r="361" spans="1:19" hidden="1">
      <c r="A361"/>
      <c r="B361"/>
      <c r="C361"/>
      <c r="D361"/>
      <c r="E361"/>
      <c r="F361"/>
      <c r="G361"/>
      <c r="H361"/>
      <c r="I361"/>
      <c r="J361"/>
      <c r="K361"/>
      <c r="L361"/>
      <c r="M361"/>
      <c r="N361"/>
      <c r="O361"/>
      <c r="P361"/>
      <c r="Q361"/>
      <c r="R361"/>
      <c r="S361"/>
    </row>
    <row r="362" spans="1:19">
      <c r="A362"/>
      <c r="B362"/>
      <c r="C362"/>
      <c r="D362"/>
      <c r="E362"/>
      <c r="F362"/>
      <c r="G362"/>
      <c r="H362"/>
      <c r="I362"/>
      <c r="J362"/>
      <c r="K362"/>
      <c r="L362"/>
      <c r="M362"/>
      <c r="N362"/>
      <c r="O362"/>
      <c r="P362"/>
      <c r="Q362"/>
      <c r="R362"/>
      <c r="S362"/>
    </row>
    <row r="363" spans="1:19" hidden="1">
      <c r="A363"/>
      <c r="B363"/>
      <c r="C363"/>
      <c r="D363"/>
      <c r="E363"/>
      <c r="F363"/>
      <c r="G363"/>
      <c r="H363"/>
      <c r="I363"/>
      <c r="J363"/>
      <c r="K363"/>
      <c r="L363"/>
      <c r="M363"/>
      <c r="N363"/>
      <c r="O363"/>
      <c r="P363"/>
      <c r="Q363"/>
      <c r="R363"/>
      <c r="S363"/>
    </row>
    <row r="364" spans="1:19" hidden="1">
      <c r="A364"/>
      <c r="B364"/>
      <c r="C364"/>
      <c r="D364"/>
      <c r="E364"/>
      <c r="F364"/>
      <c r="G364"/>
      <c r="H364"/>
      <c r="I364"/>
      <c r="J364"/>
      <c r="K364"/>
      <c r="L364"/>
      <c r="M364"/>
      <c r="N364"/>
      <c r="O364"/>
      <c r="P364"/>
      <c r="Q364"/>
      <c r="R364"/>
      <c r="S364"/>
    </row>
    <row r="365" spans="1:19">
      <c r="A365"/>
      <c r="B365"/>
      <c r="C365"/>
      <c r="D365"/>
      <c r="E365"/>
      <c r="F365"/>
      <c r="G365"/>
      <c r="H365"/>
      <c r="I365"/>
      <c r="J365"/>
      <c r="K365"/>
      <c r="L365"/>
      <c r="M365"/>
      <c r="N365"/>
      <c r="O365"/>
      <c r="P365"/>
      <c r="Q365"/>
      <c r="R365"/>
      <c r="S365"/>
    </row>
    <row r="366" spans="1:19" hidden="1">
      <c r="A366"/>
      <c r="B366"/>
      <c r="C366"/>
      <c r="D366"/>
      <c r="E366"/>
      <c r="F366"/>
      <c r="G366"/>
      <c r="H366"/>
      <c r="I366"/>
      <c r="J366"/>
      <c r="K366"/>
      <c r="L366"/>
      <c r="M366"/>
      <c r="N366"/>
      <c r="O366"/>
      <c r="P366"/>
      <c r="Q366"/>
      <c r="R366"/>
      <c r="S366"/>
    </row>
    <row r="367" spans="1:19" hidden="1">
      <c r="A367"/>
      <c r="B367"/>
      <c r="C367"/>
      <c r="D367"/>
      <c r="E367"/>
      <c r="F367"/>
      <c r="G367"/>
      <c r="H367"/>
      <c r="I367"/>
      <c r="J367"/>
      <c r="K367"/>
      <c r="L367"/>
      <c r="M367"/>
      <c r="N367"/>
      <c r="O367"/>
      <c r="P367"/>
      <c r="Q367"/>
      <c r="R367"/>
      <c r="S367"/>
    </row>
    <row r="368" spans="1:19" hidden="1">
      <c r="A368"/>
      <c r="B368"/>
      <c r="C368"/>
      <c r="D368"/>
      <c r="E368"/>
      <c r="F368"/>
      <c r="G368"/>
      <c r="H368"/>
      <c r="I368"/>
      <c r="J368"/>
      <c r="K368"/>
      <c r="L368"/>
      <c r="M368"/>
      <c r="N368"/>
      <c r="O368"/>
      <c r="P368"/>
      <c r="Q368"/>
      <c r="R368"/>
      <c r="S368"/>
    </row>
    <row r="369" spans="1:19" hidden="1">
      <c r="A369"/>
      <c r="B369"/>
      <c r="C369"/>
      <c r="D369"/>
      <c r="E369"/>
      <c r="F369"/>
      <c r="G369"/>
      <c r="H369"/>
      <c r="I369"/>
      <c r="J369"/>
      <c r="K369"/>
      <c r="L369"/>
      <c r="M369"/>
      <c r="N369"/>
      <c r="O369"/>
      <c r="P369"/>
      <c r="Q369"/>
      <c r="R369"/>
      <c r="S369"/>
    </row>
    <row r="370" spans="1:19" hidden="1">
      <c r="A370"/>
      <c r="B370"/>
      <c r="C370"/>
      <c r="D370"/>
      <c r="E370"/>
      <c r="F370"/>
      <c r="G370"/>
      <c r="H370"/>
      <c r="I370"/>
      <c r="J370"/>
      <c r="K370"/>
      <c r="L370"/>
      <c r="M370"/>
      <c r="N370"/>
      <c r="O370"/>
      <c r="P370"/>
      <c r="Q370"/>
      <c r="R370"/>
      <c r="S370"/>
    </row>
    <row r="371" spans="1:19">
      <c r="A371"/>
      <c r="B371"/>
      <c r="C371"/>
      <c r="D371"/>
      <c r="E371"/>
      <c r="F371"/>
      <c r="G371"/>
      <c r="H371"/>
      <c r="I371"/>
      <c r="J371"/>
      <c r="K371"/>
      <c r="L371"/>
      <c r="M371"/>
      <c r="N371"/>
      <c r="O371"/>
      <c r="P371"/>
      <c r="Q371"/>
      <c r="R371"/>
      <c r="S371"/>
    </row>
    <row r="372" spans="1:19">
      <c r="A372"/>
      <c r="B372"/>
      <c r="C372"/>
      <c r="D372"/>
      <c r="E372"/>
      <c r="F372"/>
      <c r="G372"/>
      <c r="H372"/>
      <c r="I372"/>
      <c r="J372"/>
      <c r="K372"/>
      <c r="L372"/>
      <c r="M372"/>
      <c r="N372"/>
      <c r="O372"/>
      <c r="P372"/>
      <c r="Q372"/>
      <c r="R372"/>
      <c r="S372"/>
    </row>
    <row r="373" spans="1:19">
      <c r="A373"/>
      <c r="B373"/>
      <c r="C373"/>
      <c r="D373"/>
      <c r="E373"/>
      <c r="F373"/>
      <c r="G373"/>
      <c r="H373"/>
      <c r="I373"/>
      <c r="J373"/>
      <c r="K373"/>
      <c r="L373"/>
      <c r="M373"/>
      <c r="N373"/>
      <c r="O373"/>
      <c r="P373"/>
      <c r="Q373"/>
      <c r="R373"/>
      <c r="S373"/>
    </row>
    <row r="374" spans="1:19">
      <c r="A374"/>
      <c r="B374"/>
      <c r="C374"/>
      <c r="D374"/>
      <c r="E374"/>
      <c r="F374"/>
      <c r="G374"/>
      <c r="H374"/>
      <c r="I374"/>
      <c r="J374"/>
      <c r="K374"/>
      <c r="L374"/>
      <c r="M374"/>
      <c r="N374"/>
      <c r="O374"/>
      <c r="P374"/>
      <c r="Q374"/>
      <c r="R374"/>
      <c r="S374"/>
    </row>
    <row r="375" spans="1:19">
      <c r="A375"/>
      <c r="B375"/>
      <c r="C375"/>
      <c r="D375"/>
      <c r="E375"/>
      <c r="F375"/>
      <c r="G375"/>
      <c r="H375"/>
      <c r="I375"/>
      <c r="J375"/>
      <c r="K375"/>
      <c r="L375"/>
      <c r="M375"/>
      <c r="N375"/>
      <c r="O375"/>
      <c r="P375"/>
      <c r="Q375"/>
      <c r="R375"/>
      <c r="S375"/>
    </row>
    <row r="376" spans="1:19">
      <c r="A376"/>
      <c r="B376"/>
      <c r="C376"/>
      <c r="D376"/>
      <c r="E376"/>
      <c r="F376"/>
      <c r="G376"/>
      <c r="H376"/>
      <c r="I376"/>
      <c r="J376"/>
      <c r="K376"/>
      <c r="L376"/>
      <c r="M376"/>
      <c r="N376"/>
      <c r="O376"/>
      <c r="P376"/>
      <c r="Q376"/>
      <c r="R376"/>
      <c r="S376"/>
    </row>
    <row r="377" spans="1:19">
      <c r="A377"/>
      <c r="B377"/>
      <c r="C377"/>
      <c r="D377"/>
      <c r="E377"/>
      <c r="F377"/>
      <c r="G377"/>
      <c r="H377"/>
      <c r="I377"/>
      <c r="J377"/>
      <c r="K377"/>
      <c r="L377"/>
      <c r="M377"/>
      <c r="N377"/>
      <c r="O377"/>
      <c r="P377"/>
      <c r="Q377"/>
      <c r="R377"/>
      <c r="S377"/>
    </row>
    <row r="378" spans="1:19">
      <c r="A378"/>
      <c r="B378"/>
      <c r="C378"/>
      <c r="D378"/>
      <c r="E378"/>
      <c r="F378"/>
      <c r="G378"/>
      <c r="H378"/>
      <c r="I378"/>
      <c r="J378"/>
      <c r="K378"/>
      <c r="L378"/>
      <c r="M378"/>
      <c r="N378"/>
      <c r="O378"/>
      <c r="P378"/>
      <c r="Q378"/>
      <c r="R378"/>
      <c r="S378"/>
    </row>
    <row r="379" spans="1:19">
      <c r="A379"/>
      <c r="B379"/>
      <c r="C379"/>
      <c r="D379"/>
      <c r="E379"/>
      <c r="F379"/>
      <c r="G379"/>
      <c r="H379"/>
      <c r="I379"/>
      <c r="J379"/>
      <c r="K379"/>
      <c r="L379"/>
      <c r="M379"/>
      <c r="N379"/>
      <c r="O379"/>
      <c r="P379"/>
      <c r="Q379"/>
      <c r="R379"/>
      <c r="S379"/>
    </row>
    <row r="380" spans="1:19">
      <c r="A380"/>
      <c r="B380"/>
      <c r="C380"/>
      <c r="D380"/>
      <c r="E380"/>
      <c r="F380"/>
      <c r="G380"/>
      <c r="H380"/>
      <c r="I380"/>
      <c r="J380"/>
      <c r="K380"/>
      <c r="L380"/>
      <c r="M380"/>
      <c r="N380"/>
      <c r="O380"/>
      <c r="P380"/>
      <c r="Q380"/>
      <c r="R380"/>
      <c r="S380"/>
    </row>
    <row r="381" spans="1:19">
      <c r="A381"/>
      <c r="B381"/>
      <c r="C381"/>
      <c r="D381"/>
      <c r="E381"/>
      <c r="F381"/>
      <c r="G381"/>
      <c r="H381"/>
      <c r="I381"/>
      <c r="J381"/>
      <c r="K381"/>
      <c r="L381"/>
      <c r="M381"/>
      <c r="N381"/>
      <c r="O381"/>
      <c r="P381"/>
      <c r="Q381"/>
      <c r="R381"/>
      <c r="S381"/>
    </row>
    <row r="382" spans="1:19">
      <c r="A382"/>
      <c r="B382"/>
      <c r="C382"/>
      <c r="D382"/>
      <c r="E382"/>
      <c r="F382"/>
      <c r="G382"/>
      <c r="H382"/>
      <c r="I382"/>
      <c r="J382"/>
      <c r="K382"/>
      <c r="L382"/>
      <c r="M382"/>
      <c r="N382"/>
      <c r="O382"/>
      <c r="P382"/>
      <c r="Q382"/>
      <c r="R382"/>
      <c r="S382"/>
    </row>
    <row r="383" spans="1:19">
      <c r="A383"/>
      <c r="B383"/>
      <c r="C383"/>
      <c r="D383"/>
      <c r="E383"/>
      <c r="F383"/>
      <c r="G383"/>
      <c r="H383"/>
      <c r="I383"/>
      <c r="J383"/>
      <c r="K383"/>
      <c r="L383"/>
      <c r="M383"/>
      <c r="N383"/>
      <c r="O383"/>
      <c r="P383"/>
      <c r="Q383"/>
      <c r="R383"/>
      <c r="S383"/>
    </row>
    <row r="384" spans="1:19">
      <c r="A384"/>
      <c r="B384"/>
      <c r="C384"/>
      <c r="D384"/>
      <c r="E384"/>
      <c r="F384"/>
      <c r="G384"/>
      <c r="H384"/>
      <c r="I384"/>
      <c r="J384"/>
      <c r="K384"/>
      <c r="L384"/>
      <c r="M384"/>
      <c r="N384"/>
      <c r="O384"/>
      <c r="P384"/>
      <c r="Q384"/>
      <c r="R384"/>
      <c r="S384"/>
    </row>
    <row r="385" spans="1:19">
      <c r="A385"/>
      <c r="B385"/>
      <c r="C385"/>
      <c r="D385"/>
      <c r="E385"/>
      <c r="F385"/>
      <c r="G385"/>
      <c r="H385"/>
      <c r="I385"/>
      <c r="J385"/>
      <c r="K385"/>
      <c r="L385"/>
      <c r="M385"/>
      <c r="N385"/>
      <c r="O385"/>
      <c r="P385"/>
      <c r="Q385"/>
      <c r="R385"/>
      <c r="S385"/>
    </row>
    <row r="386" spans="1:19">
      <c r="A386"/>
      <c r="B386"/>
      <c r="C386"/>
      <c r="D386"/>
      <c r="E386"/>
      <c r="F386"/>
      <c r="G386"/>
      <c r="H386"/>
      <c r="I386"/>
      <c r="J386"/>
      <c r="K386"/>
      <c r="L386"/>
      <c r="M386"/>
      <c r="N386"/>
      <c r="O386"/>
      <c r="P386"/>
      <c r="Q386"/>
      <c r="R386"/>
      <c r="S386"/>
    </row>
    <row r="387" spans="1:19">
      <c r="A387"/>
      <c r="B387"/>
      <c r="C387"/>
      <c r="D387"/>
      <c r="E387"/>
      <c r="F387"/>
      <c r="G387"/>
      <c r="H387"/>
      <c r="I387"/>
      <c r="J387"/>
      <c r="K387"/>
      <c r="L387"/>
      <c r="M387"/>
      <c r="N387"/>
      <c r="O387"/>
      <c r="P387"/>
      <c r="Q387"/>
      <c r="R387"/>
      <c r="S387"/>
    </row>
    <row r="388" spans="1:19">
      <c r="A388"/>
      <c r="B388"/>
      <c r="C388"/>
      <c r="D388"/>
      <c r="E388"/>
      <c r="F388"/>
      <c r="G388"/>
      <c r="H388"/>
      <c r="I388"/>
      <c r="J388"/>
      <c r="K388"/>
      <c r="L388"/>
      <c r="M388"/>
      <c r="N388"/>
      <c r="O388"/>
      <c r="P388"/>
      <c r="Q388"/>
      <c r="R388"/>
      <c r="S388"/>
    </row>
    <row r="389" spans="1:19">
      <c r="A389"/>
      <c r="B389"/>
      <c r="C389"/>
      <c r="D389"/>
      <c r="E389"/>
      <c r="F389"/>
      <c r="G389"/>
      <c r="H389"/>
      <c r="I389"/>
      <c r="J389"/>
      <c r="K389"/>
      <c r="L389"/>
      <c r="M389"/>
      <c r="N389"/>
      <c r="O389"/>
      <c r="P389"/>
      <c r="Q389"/>
      <c r="R389"/>
      <c r="S389"/>
    </row>
    <row r="390" spans="1:19">
      <c r="A390"/>
      <c r="B390"/>
      <c r="C390"/>
      <c r="D390"/>
      <c r="E390"/>
      <c r="F390"/>
      <c r="G390"/>
      <c r="H390"/>
      <c r="I390"/>
      <c r="J390"/>
      <c r="K390"/>
      <c r="L390"/>
      <c r="M390"/>
      <c r="N390"/>
      <c r="O390"/>
      <c r="P390"/>
      <c r="Q390"/>
      <c r="R390"/>
      <c r="S390"/>
    </row>
    <row r="391" spans="1:19">
      <c r="A391"/>
      <c r="B391"/>
      <c r="C391"/>
      <c r="D391"/>
      <c r="E391"/>
      <c r="F391"/>
      <c r="G391"/>
      <c r="H391"/>
      <c r="I391"/>
      <c r="J391"/>
      <c r="K391"/>
      <c r="L391"/>
      <c r="M391"/>
      <c r="N391"/>
      <c r="O391"/>
      <c r="P391"/>
      <c r="Q391"/>
      <c r="R391"/>
      <c r="S391"/>
    </row>
    <row r="392" spans="1:19">
      <c r="A392"/>
      <c r="B392"/>
      <c r="C392"/>
      <c r="D392"/>
      <c r="E392"/>
      <c r="F392"/>
      <c r="G392"/>
      <c r="H392"/>
      <c r="I392"/>
      <c r="J392"/>
      <c r="K392"/>
      <c r="L392"/>
      <c r="M392"/>
      <c r="N392"/>
      <c r="O392"/>
      <c r="P392"/>
      <c r="Q392"/>
      <c r="R392"/>
      <c r="S392"/>
    </row>
    <row r="393" spans="1:19">
      <c r="A393"/>
      <c r="B393"/>
      <c r="C393"/>
      <c r="D393"/>
      <c r="E393"/>
      <c r="F393"/>
      <c r="G393"/>
      <c r="H393"/>
      <c r="I393"/>
      <c r="J393"/>
      <c r="K393"/>
      <c r="L393"/>
      <c r="M393"/>
      <c r="N393"/>
      <c r="O393"/>
      <c r="P393"/>
      <c r="Q393"/>
      <c r="R393"/>
      <c r="S393"/>
    </row>
    <row r="394" spans="1:19">
      <c r="A394"/>
      <c r="B394"/>
      <c r="C394"/>
      <c r="D394"/>
      <c r="E394"/>
      <c r="F394"/>
      <c r="G394"/>
      <c r="H394"/>
      <c r="I394"/>
      <c r="J394"/>
      <c r="K394"/>
      <c r="L394"/>
      <c r="M394"/>
      <c r="N394"/>
      <c r="O394"/>
      <c r="P394"/>
      <c r="Q394"/>
      <c r="R394"/>
      <c r="S394"/>
    </row>
    <row r="395" spans="1:19">
      <c r="A395"/>
      <c r="B395"/>
      <c r="C395"/>
      <c r="D395"/>
      <c r="E395"/>
      <c r="F395"/>
      <c r="G395"/>
      <c r="H395"/>
      <c r="I395"/>
      <c r="J395"/>
      <c r="K395"/>
      <c r="L395"/>
      <c r="M395"/>
      <c r="N395"/>
      <c r="O395"/>
      <c r="P395"/>
      <c r="Q395"/>
      <c r="R395"/>
      <c r="S395"/>
    </row>
    <row r="396" spans="1:19">
      <c r="A396"/>
      <c r="B396"/>
      <c r="C396"/>
      <c r="D396"/>
      <c r="E396"/>
      <c r="F396"/>
      <c r="G396"/>
      <c r="H396"/>
      <c r="I396"/>
      <c r="J396"/>
      <c r="K396"/>
      <c r="L396"/>
      <c r="M396"/>
      <c r="N396"/>
      <c r="O396"/>
      <c r="P396"/>
      <c r="Q396"/>
      <c r="R396"/>
      <c r="S396"/>
    </row>
    <row r="397" spans="1:19">
      <c r="A397"/>
      <c r="B397"/>
      <c r="C397"/>
      <c r="D397"/>
      <c r="E397"/>
      <c r="F397"/>
      <c r="G397"/>
      <c r="H397"/>
      <c r="I397"/>
      <c r="J397"/>
      <c r="K397"/>
      <c r="L397"/>
      <c r="M397"/>
      <c r="N397"/>
      <c r="O397"/>
      <c r="P397"/>
      <c r="Q397"/>
      <c r="R397"/>
      <c r="S397"/>
    </row>
    <row r="398" spans="1:19">
      <c r="A398"/>
      <c r="B398"/>
      <c r="C398"/>
      <c r="D398"/>
      <c r="E398"/>
      <c r="F398"/>
      <c r="G398"/>
      <c r="H398"/>
      <c r="I398"/>
      <c r="J398"/>
      <c r="K398"/>
      <c r="L398"/>
      <c r="M398"/>
      <c r="N398"/>
      <c r="O398"/>
      <c r="P398"/>
      <c r="Q398"/>
      <c r="R398"/>
      <c r="S398"/>
    </row>
    <row r="399" spans="1:19">
      <c r="A399"/>
      <c r="B399"/>
      <c r="C399"/>
      <c r="D399"/>
      <c r="E399"/>
      <c r="F399"/>
      <c r="G399"/>
      <c r="H399"/>
      <c r="I399"/>
      <c r="J399"/>
      <c r="K399"/>
      <c r="L399"/>
      <c r="M399"/>
      <c r="N399"/>
      <c r="O399"/>
      <c r="P399"/>
      <c r="Q399"/>
      <c r="R399"/>
      <c r="S399"/>
    </row>
    <row r="400" spans="1:19">
      <c r="A400"/>
      <c r="B400"/>
      <c r="C400"/>
      <c r="D400"/>
      <c r="E400"/>
      <c r="F400"/>
      <c r="G400"/>
      <c r="H400"/>
      <c r="I400"/>
      <c r="J400"/>
      <c r="K400"/>
      <c r="L400"/>
      <c r="M400"/>
      <c r="N400"/>
      <c r="O400"/>
      <c r="P400"/>
      <c r="Q400"/>
      <c r="R400"/>
      <c r="S400"/>
    </row>
    <row r="401" spans="1:19">
      <c r="A401"/>
      <c r="B401"/>
      <c r="C401"/>
      <c r="D401"/>
      <c r="E401"/>
      <c r="F401"/>
      <c r="G401"/>
      <c r="H401"/>
      <c r="I401"/>
      <c r="J401"/>
      <c r="K401"/>
      <c r="L401"/>
      <c r="M401"/>
      <c r="N401"/>
      <c r="O401"/>
      <c r="P401"/>
      <c r="Q401"/>
      <c r="R401"/>
      <c r="S401"/>
    </row>
    <row r="402" spans="1:19">
      <c r="A402"/>
      <c r="B402"/>
      <c r="C402"/>
      <c r="D402"/>
      <c r="E402"/>
      <c r="F402"/>
      <c r="G402"/>
      <c r="H402"/>
      <c r="I402"/>
      <c r="J402"/>
      <c r="K402"/>
      <c r="L402"/>
      <c r="M402"/>
      <c r="N402"/>
      <c r="O402"/>
      <c r="P402"/>
      <c r="Q402"/>
      <c r="R402"/>
      <c r="S402"/>
    </row>
    <row r="403" spans="1:19">
      <c r="A403"/>
      <c r="B403"/>
      <c r="C403"/>
      <c r="D403"/>
      <c r="E403"/>
      <c r="F403"/>
      <c r="G403"/>
      <c r="H403"/>
      <c r="I403"/>
      <c r="J403"/>
      <c r="K403"/>
      <c r="L403"/>
      <c r="M403"/>
      <c r="N403"/>
      <c r="O403"/>
      <c r="P403"/>
      <c r="Q403"/>
      <c r="R403"/>
      <c r="S403"/>
    </row>
    <row r="404" spans="1:19">
      <c r="A404"/>
      <c r="B404"/>
      <c r="C404"/>
      <c r="D404"/>
      <c r="E404"/>
      <c r="F404"/>
      <c r="G404"/>
      <c r="H404"/>
      <c r="I404"/>
      <c r="J404"/>
      <c r="K404"/>
      <c r="L404"/>
      <c r="M404"/>
      <c r="N404"/>
      <c r="O404"/>
      <c r="P404"/>
      <c r="Q404"/>
      <c r="R404"/>
      <c r="S404"/>
    </row>
    <row r="405" spans="1:19">
      <c r="A405"/>
      <c r="B405"/>
      <c r="C405"/>
      <c r="D405"/>
      <c r="E405"/>
      <c r="F405"/>
      <c r="G405"/>
      <c r="H405"/>
      <c r="I405"/>
      <c r="J405"/>
      <c r="K405"/>
      <c r="L405"/>
      <c r="M405"/>
      <c r="N405"/>
      <c r="O405"/>
      <c r="P405"/>
      <c r="Q405"/>
      <c r="R405"/>
      <c r="S405"/>
    </row>
    <row r="406" spans="1:19">
      <c r="A406"/>
      <c r="B406"/>
      <c r="C406"/>
      <c r="D406"/>
      <c r="E406"/>
      <c r="F406"/>
      <c r="G406"/>
      <c r="H406"/>
      <c r="I406"/>
      <c r="J406"/>
      <c r="K406"/>
      <c r="L406"/>
      <c r="M406"/>
      <c r="N406"/>
      <c r="O406"/>
      <c r="P406"/>
      <c r="Q406"/>
      <c r="R406"/>
      <c r="S406"/>
    </row>
    <row r="407" spans="1:19">
      <c r="A407"/>
      <c r="B407"/>
      <c r="C407"/>
      <c r="D407"/>
      <c r="E407"/>
      <c r="F407"/>
      <c r="G407"/>
      <c r="H407"/>
      <c r="I407"/>
      <c r="J407"/>
      <c r="K407"/>
      <c r="L407"/>
      <c r="M407"/>
      <c r="N407"/>
      <c r="O407"/>
      <c r="P407"/>
      <c r="Q407"/>
      <c r="R407"/>
      <c r="S407"/>
    </row>
    <row r="408" spans="1:19">
      <c r="A408"/>
      <c r="B408"/>
      <c r="C408"/>
      <c r="D408"/>
      <c r="E408"/>
      <c r="F408"/>
      <c r="G408"/>
      <c r="H408"/>
      <c r="I408"/>
      <c r="J408"/>
      <c r="K408"/>
      <c r="L408"/>
      <c r="M408"/>
      <c r="N408"/>
      <c r="O408"/>
      <c r="P408"/>
      <c r="Q408"/>
      <c r="R408"/>
      <c r="S408"/>
    </row>
    <row r="409" spans="1:19">
      <c r="A409"/>
      <c r="B409"/>
      <c r="C409"/>
      <c r="D409"/>
      <c r="E409"/>
      <c r="F409"/>
      <c r="G409"/>
      <c r="H409"/>
      <c r="I409"/>
      <c r="J409"/>
      <c r="K409"/>
      <c r="L409"/>
      <c r="M409"/>
      <c r="N409"/>
      <c r="O409"/>
      <c r="P409"/>
      <c r="Q409"/>
      <c r="R409"/>
      <c r="S409"/>
    </row>
    <row r="410" spans="1:19">
      <c r="A410"/>
      <c r="B410"/>
      <c r="C410"/>
      <c r="D410"/>
      <c r="E410"/>
      <c r="F410"/>
      <c r="G410"/>
      <c r="H410"/>
      <c r="I410"/>
      <c r="J410"/>
      <c r="K410"/>
      <c r="L410"/>
      <c r="M410"/>
      <c r="N410"/>
      <c r="O410"/>
      <c r="P410"/>
      <c r="Q410"/>
      <c r="R410"/>
      <c r="S410"/>
    </row>
    <row r="411" spans="1:19">
      <c r="A411"/>
      <c r="B411"/>
      <c r="C411"/>
      <c r="D411"/>
      <c r="E411"/>
      <c r="F411"/>
      <c r="G411"/>
      <c r="H411"/>
      <c r="I411"/>
      <c r="J411"/>
      <c r="K411"/>
      <c r="L411"/>
      <c r="M411"/>
      <c r="N411"/>
      <c r="O411"/>
      <c r="P411"/>
      <c r="Q411"/>
      <c r="R411"/>
      <c r="S411"/>
    </row>
    <row r="412" spans="1:19">
      <c r="A412"/>
      <c r="B412"/>
      <c r="C412"/>
      <c r="D412"/>
      <c r="E412"/>
      <c r="F412"/>
      <c r="G412"/>
      <c r="H412"/>
      <c r="I412"/>
      <c r="J412"/>
      <c r="K412"/>
      <c r="L412"/>
      <c r="M412"/>
      <c r="N412"/>
      <c r="O412"/>
      <c r="P412"/>
      <c r="Q412"/>
      <c r="R412"/>
      <c r="S412"/>
    </row>
    <row r="413" spans="1:19">
      <c r="A413"/>
      <c r="B413"/>
      <c r="C413"/>
      <c r="D413"/>
      <c r="E413"/>
      <c r="F413"/>
      <c r="G413"/>
      <c r="H413"/>
      <c r="I413"/>
      <c r="J413"/>
      <c r="K413"/>
      <c r="L413"/>
      <c r="M413"/>
      <c r="N413"/>
      <c r="O413"/>
      <c r="P413"/>
      <c r="Q413"/>
      <c r="R413"/>
      <c r="S413"/>
    </row>
    <row r="414" spans="1:19">
      <c r="A414"/>
      <c r="B414"/>
      <c r="C414"/>
      <c r="D414"/>
      <c r="E414"/>
      <c r="F414"/>
      <c r="G414"/>
      <c r="H414"/>
      <c r="I414"/>
      <c r="J414"/>
      <c r="K414"/>
      <c r="L414"/>
      <c r="M414"/>
      <c r="N414"/>
      <c r="O414"/>
      <c r="P414"/>
      <c r="Q414"/>
      <c r="R414"/>
      <c r="S414"/>
    </row>
    <row r="415" spans="1:19">
      <c r="A415"/>
      <c r="B415"/>
      <c r="C415"/>
      <c r="D415"/>
      <c r="E415"/>
      <c r="F415"/>
      <c r="G415"/>
      <c r="H415"/>
      <c r="I415"/>
      <c r="J415"/>
      <c r="K415"/>
      <c r="L415"/>
      <c r="M415"/>
      <c r="N415"/>
      <c r="O415"/>
      <c r="P415"/>
      <c r="Q415"/>
      <c r="R415"/>
      <c r="S415"/>
    </row>
    <row r="416" spans="1:19">
      <c r="A416"/>
      <c r="B416"/>
      <c r="C416"/>
      <c r="D416"/>
      <c r="E416"/>
      <c r="F416"/>
      <c r="G416"/>
      <c r="H416"/>
      <c r="I416"/>
      <c r="J416"/>
      <c r="K416"/>
      <c r="L416"/>
      <c r="M416"/>
      <c r="N416"/>
      <c r="O416"/>
      <c r="P416"/>
      <c r="Q416"/>
      <c r="R416"/>
      <c r="S416"/>
    </row>
    <row r="417" spans="1:19">
      <c r="A417"/>
      <c r="B417"/>
      <c r="C417"/>
      <c r="D417"/>
      <c r="E417"/>
      <c r="F417"/>
      <c r="G417"/>
      <c r="H417"/>
      <c r="I417"/>
      <c r="J417"/>
      <c r="K417"/>
      <c r="L417"/>
      <c r="M417"/>
      <c r="N417"/>
      <c r="O417"/>
      <c r="P417"/>
      <c r="Q417"/>
      <c r="R417"/>
      <c r="S417"/>
    </row>
    <row r="418" spans="1:19">
      <c r="A418"/>
      <c r="B418"/>
      <c r="C418"/>
      <c r="D418"/>
      <c r="E418"/>
      <c r="F418"/>
      <c r="G418"/>
      <c r="H418"/>
      <c r="I418"/>
      <c r="J418"/>
      <c r="K418"/>
      <c r="L418"/>
      <c r="M418"/>
      <c r="N418"/>
      <c r="O418"/>
      <c r="P418"/>
      <c r="Q418"/>
      <c r="R418"/>
      <c r="S418"/>
    </row>
    <row r="419" spans="1:19">
      <c r="A419"/>
      <c r="B419"/>
      <c r="C419"/>
      <c r="D419"/>
      <c r="E419"/>
      <c r="F419"/>
      <c r="G419"/>
      <c r="H419"/>
      <c r="I419"/>
      <c r="J419"/>
      <c r="K419"/>
      <c r="L419"/>
      <c r="M419"/>
      <c r="N419"/>
      <c r="O419"/>
      <c r="P419"/>
      <c r="Q419"/>
      <c r="R419"/>
      <c r="S419"/>
    </row>
    <row r="420" spans="1:19">
      <c r="A420"/>
      <c r="B420"/>
      <c r="C420"/>
      <c r="D420"/>
      <c r="E420"/>
      <c r="F420"/>
      <c r="G420"/>
      <c r="H420"/>
      <c r="I420"/>
      <c r="J420"/>
      <c r="K420"/>
      <c r="L420"/>
      <c r="M420"/>
      <c r="N420"/>
      <c r="O420"/>
      <c r="P420"/>
      <c r="Q420"/>
      <c r="R420"/>
      <c r="S420"/>
    </row>
    <row r="421" spans="1:19">
      <c r="A421"/>
      <c r="B421"/>
      <c r="C421"/>
      <c r="D421"/>
      <c r="E421"/>
      <c r="F421"/>
      <c r="G421"/>
      <c r="H421"/>
      <c r="I421"/>
      <c r="J421"/>
      <c r="K421"/>
      <c r="L421"/>
      <c r="M421"/>
      <c r="N421"/>
      <c r="O421"/>
      <c r="P421"/>
      <c r="Q421"/>
      <c r="R421"/>
      <c r="S421"/>
    </row>
    <row r="422" spans="1:19">
      <c r="A422"/>
      <c r="B422"/>
      <c r="C422"/>
      <c r="D422"/>
      <c r="E422"/>
      <c r="F422"/>
      <c r="G422"/>
      <c r="H422"/>
      <c r="I422"/>
      <c r="J422"/>
      <c r="K422"/>
      <c r="L422"/>
      <c r="M422"/>
      <c r="N422"/>
      <c r="O422"/>
      <c r="P422"/>
      <c r="Q422"/>
      <c r="R422"/>
      <c r="S422"/>
    </row>
    <row r="423" spans="1:19">
      <c r="A423"/>
      <c r="B423"/>
      <c r="C423"/>
      <c r="D423"/>
      <c r="E423"/>
      <c r="F423"/>
      <c r="G423"/>
      <c r="H423"/>
      <c r="I423"/>
      <c r="J423"/>
      <c r="K423"/>
      <c r="L423"/>
      <c r="M423"/>
      <c r="N423"/>
      <c r="O423"/>
      <c r="P423"/>
      <c r="Q423"/>
      <c r="R423"/>
      <c r="S423"/>
    </row>
    <row r="424" spans="1:19">
      <c r="A424"/>
      <c r="B424"/>
      <c r="C424"/>
      <c r="D424"/>
      <c r="E424"/>
      <c r="F424"/>
      <c r="G424"/>
      <c r="H424"/>
      <c r="I424"/>
      <c r="J424"/>
      <c r="K424"/>
      <c r="L424"/>
      <c r="M424"/>
      <c r="N424"/>
      <c r="O424"/>
      <c r="P424"/>
      <c r="Q424"/>
      <c r="R424"/>
      <c r="S424"/>
    </row>
    <row r="425" spans="1:19">
      <c r="A425"/>
      <c r="B425"/>
      <c r="C425"/>
      <c r="D425"/>
      <c r="E425"/>
      <c r="F425"/>
      <c r="G425"/>
      <c r="H425"/>
      <c r="I425"/>
      <c r="J425"/>
      <c r="K425"/>
      <c r="L425"/>
      <c r="M425"/>
      <c r="N425"/>
      <c r="O425"/>
      <c r="P425"/>
      <c r="Q425"/>
      <c r="R425"/>
      <c r="S425"/>
    </row>
    <row r="426" spans="1:19">
      <c r="A426"/>
      <c r="B426"/>
      <c r="C426"/>
      <c r="D426"/>
      <c r="E426"/>
      <c r="F426"/>
      <c r="G426"/>
      <c r="H426"/>
      <c r="I426"/>
      <c r="J426"/>
      <c r="K426"/>
      <c r="L426"/>
      <c r="M426"/>
      <c r="N426"/>
      <c r="O426"/>
      <c r="P426"/>
      <c r="Q426"/>
      <c r="R426"/>
      <c r="S426"/>
    </row>
    <row r="427" spans="1:19">
      <c r="A427"/>
      <c r="B427"/>
      <c r="C427"/>
      <c r="D427"/>
      <c r="E427"/>
      <c r="F427"/>
      <c r="G427"/>
      <c r="H427"/>
      <c r="I427"/>
      <c r="J427"/>
      <c r="K427"/>
      <c r="L427"/>
      <c r="M427"/>
      <c r="N427"/>
      <c r="O427"/>
      <c r="P427"/>
      <c r="Q427"/>
      <c r="R427"/>
      <c r="S427"/>
    </row>
    <row r="428" spans="1:19">
      <c r="A428"/>
      <c r="B428"/>
      <c r="C428"/>
      <c r="D428"/>
      <c r="E428"/>
      <c r="F428"/>
      <c r="G428"/>
      <c r="H428"/>
      <c r="I428"/>
      <c r="J428"/>
      <c r="K428"/>
      <c r="L428"/>
      <c r="M428"/>
      <c r="N428"/>
      <c r="O428"/>
      <c r="P428"/>
      <c r="Q428"/>
      <c r="R428"/>
      <c r="S428"/>
    </row>
    <row r="429" spans="1:19">
      <c r="A429"/>
      <c r="B429"/>
      <c r="C429"/>
      <c r="D429"/>
      <c r="E429"/>
      <c r="F429"/>
      <c r="G429"/>
      <c r="H429"/>
      <c r="I429"/>
      <c r="J429"/>
      <c r="K429"/>
      <c r="L429"/>
      <c r="M429"/>
      <c r="N429"/>
      <c r="O429"/>
      <c r="P429"/>
      <c r="Q429"/>
      <c r="R429"/>
      <c r="S429"/>
    </row>
    <row r="430" spans="1:19">
      <c r="A430"/>
      <c r="B430"/>
      <c r="C430"/>
      <c r="D430"/>
      <c r="E430"/>
      <c r="F430"/>
      <c r="G430"/>
      <c r="H430"/>
      <c r="I430"/>
      <c r="J430"/>
      <c r="K430"/>
      <c r="L430"/>
      <c r="M430"/>
      <c r="N430"/>
      <c r="O430"/>
      <c r="P430"/>
      <c r="Q430"/>
      <c r="R430"/>
      <c r="S430"/>
    </row>
    <row r="431" spans="1:19">
      <c r="A431"/>
      <c r="B431"/>
      <c r="C431"/>
      <c r="D431"/>
      <c r="E431"/>
      <c r="F431"/>
      <c r="G431"/>
      <c r="H431"/>
      <c r="I431"/>
      <c r="J431"/>
      <c r="K431"/>
      <c r="L431"/>
      <c r="M431"/>
      <c r="N431"/>
      <c r="O431"/>
      <c r="P431"/>
      <c r="Q431"/>
      <c r="R431"/>
      <c r="S431"/>
    </row>
    <row r="432" spans="1:19">
      <c r="A432"/>
      <c r="B432"/>
      <c r="C432"/>
      <c r="D432"/>
      <c r="E432"/>
      <c r="F432"/>
      <c r="G432"/>
      <c r="H432"/>
      <c r="I432"/>
      <c r="J432"/>
      <c r="K432"/>
      <c r="L432"/>
      <c r="M432"/>
      <c r="N432"/>
      <c r="O432"/>
      <c r="P432"/>
      <c r="Q432"/>
      <c r="R432"/>
      <c r="S432"/>
    </row>
    <row r="433" spans="1:19">
      <c r="A433"/>
      <c r="B433"/>
      <c r="C433"/>
      <c r="D433"/>
      <c r="E433"/>
      <c r="F433"/>
      <c r="G433"/>
      <c r="H433"/>
      <c r="I433"/>
      <c r="J433"/>
      <c r="K433"/>
      <c r="L433"/>
      <c r="M433"/>
      <c r="N433"/>
      <c r="O433"/>
      <c r="P433"/>
      <c r="Q433"/>
      <c r="R433"/>
      <c r="S433"/>
    </row>
    <row r="434" spans="1:19">
      <c r="A434"/>
      <c r="B434"/>
      <c r="C434"/>
      <c r="D434"/>
      <c r="E434"/>
      <c r="F434"/>
      <c r="G434"/>
      <c r="H434"/>
      <c r="I434"/>
      <c r="J434"/>
      <c r="K434"/>
      <c r="L434"/>
      <c r="M434"/>
      <c r="N434"/>
      <c r="O434"/>
      <c r="P434"/>
      <c r="Q434"/>
      <c r="R434"/>
      <c r="S434"/>
    </row>
    <row r="435" spans="1:19">
      <c r="A435"/>
      <c r="B435"/>
      <c r="C435"/>
      <c r="D435"/>
      <c r="E435"/>
      <c r="F435"/>
      <c r="G435"/>
      <c r="H435"/>
      <c r="I435"/>
      <c r="J435"/>
      <c r="K435"/>
      <c r="L435"/>
      <c r="M435"/>
      <c r="N435"/>
      <c r="O435"/>
      <c r="P435"/>
      <c r="Q435"/>
      <c r="R435"/>
      <c r="S435"/>
    </row>
    <row r="436" spans="1:19">
      <c r="A436"/>
      <c r="B436"/>
      <c r="C436"/>
      <c r="D436"/>
      <c r="E436"/>
      <c r="F436"/>
      <c r="G436"/>
      <c r="H436"/>
      <c r="I436"/>
      <c r="J436"/>
      <c r="K436"/>
      <c r="L436"/>
      <c r="M436"/>
      <c r="N436"/>
      <c r="O436"/>
      <c r="P436"/>
      <c r="Q436"/>
      <c r="R436"/>
      <c r="S436"/>
    </row>
    <row r="437" spans="1:19">
      <c r="A437"/>
      <c r="B437"/>
      <c r="C437"/>
      <c r="D437"/>
      <c r="E437"/>
      <c r="F437"/>
      <c r="G437"/>
      <c r="H437"/>
      <c r="I437"/>
      <c r="J437"/>
      <c r="K437"/>
      <c r="L437"/>
      <c r="M437"/>
      <c r="N437"/>
      <c r="O437"/>
      <c r="P437"/>
      <c r="Q437"/>
      <c r="R437"/>
      <c r="S437"/>
    </row>
    <row r="438" spans="1:19">
      <c r="A438"/>
      <c r="B438"/>
      <c r="C438"/>
      <c r="D438"/>
      <c r="E438"/>
      <c r="F438"/>
      <c r="G438"/>
      <c r="H438"/>
      <c r="I438"/>
      <c r="J438"/>
      <c r="K438"/>
      <c r="L438"/>
      <c r="M438"/>
      <c r="N438"/>
      <c r="O438"/>
      <c r="P438"/>
      <c r="Q438"/>
      <c r="R438"/>
      <c r="S438"/>
    </row>
    <row r="439" spans="1:19">
      <c r="A439"/>
      <c r="B439"/>
      <c r="C439"/>
      <c r="D439"/>
      <c r="E439"/>
      <c r="F439"/>
      <c r="G439"/>
      <c r="H439"/>
      <c r="I439"/>
      <c r="J439"/>
      <c r="K439"/>
      <c r="L439"/>
      <c r="M439"/>
      <c r="N439"/>
      <c r="O439"/>
      <c r="P439"/>
      <c r="Q439"/>
      <c r="R439"/>
      <c r="S439"/>
    </row>
    <row r="440" spans="1:19">
      <c r="A440"/>
      <c r="B440"/>
      <c r="C440"/>
      <c r="D440"/>
      <c r="E440"/>
      <c r="F440"/>
      <c r="G440"/>
      <c r="H440"/>
      <c r="I440"/>
      <c r="J440"/>
      <c r="K440"/>
      <c r="L440"/>
      <c r="M440"/>
      <c r="N440"/>
      <c r="O440"/>
      <c r="P440"/>
      <c r="Q440"/>
      <c r="R440"/>
      <c r="S440"/>
    </row>
    <row r="441" spans="1:19">
      <c r="A441"/>
      <c r="B441"/>
      <c r="C441"/>
      <c r="D441"/>
      <c r="E441"/>
      <c r="F441"/>
      <c r="G441"/>
      <c r="H441"/>
      <c r="I441"/>
      <c r="J441"/>
      <c r="K441"/>
      <c r="L441"/>
      <c r="M441"/>
      <c r="N441"/>
      <c r="O441"/>
      <c r="P441"/>
      <c r="Q441"/>
      <c r="R441"/>
      <c r="S441"/>
    </row>
    <row r="442" spans="1:19">
      <c r="A442"/>
      <c r="B442"/>
      <c r="C442"/>
      <c r="D442"/>
      <c r="E442"/>
      <c r="F442"/>
      <c r="G442"/>
      <c r="H442"/>
      <c r="I442"/>
      <c r="J442"/>
      <c r="K442"/>
      <c r="L442"/>
      <c r="M442"/>
      <c r="N442"/>
      <c r="O442"/>
      <c r="P442"/>
      <c r="Q442"/>
      <c r="R442"/>
      <c r="S442"/>
    </row>
    <row r="443" spans="1:19">
      <c r="A443"/>
      <c r="B443"/>
      <c r="C443"/>
      <c r="D443"/>
      <c r="E443"/>
      <c r="F443"/>
      <c r="G443"/>
      <c r="H443"/>
      <c r="I443"/>
      <c r="J443"/>
      <c r="K443"/>
      <c r="L443"/>
      <c r="M443"/>
      <c r="N443"/>
      <c r="O443"/>
      <c r="P443"/>
      <c r="Q443"/>
      <c r="R443"/>
      <c r="S443"/>
    </row>
    <row r="444" spans="1:19">
      <c r="A444"/>
      <c r="B444"/>
      <c r="C444"/>
      <c r="D444"/>
      <c r="E444"/>
      <c r="F444"/>
      <c r="G444"/>
      <c r="H444"/>
      <c r="I444"/>
      <c r="J444"/>
      <c r="K444"/>
      <c r="L444"/>
      <c r="M444"/>
      <c r="N444"/>
      <c r="O444"/>
      <c r="P444"/>
      <c r="Q444"/>
      <c r="R444"/>
      <c r="S444"/>
    </row>
    <row r="445" spans="1:19">
      <c r="A445"/>
      <c r="B445"/>
      <c r="C445"/>
      <c r="D445"/>
      <c r="E445"/>
      <c r="F445"/>
      <c r="G445"/>
      <c r="H445"/>
      <c r="I445"/>
      <c r="J445"/>
      <c r="K445"/>
      <c r="L445"/>
      <c r="M445"/>
      <c r="N445"/>
      <c r="O445"/>
      <c r="P445"/>
      <c r="Q445"/>
      <c r="R445"/>
      <c r="S445"/>
    </row>
    <row r="446" spans="1:19">
      <c r="A446"/>
      <c r="B446"/>
      <c r="C446"/>
      <c r="D446"/>
      <c r="E446"/>
      <c r="F446"/>
      <c r="G446"/>
      <c r="H446"/>
      <c r="I446"/>
      <c r="J446"/>
      <c r="K446"/>
      <c r="L446"/>
      <c r="M446"/>
      <c r="N446"/>
      <c r="O446"/>
      <c r="P446"/>
      <c r="Q446"/>
      <c r="R446"/>
      <c r="S446"/>
    </row>
    <row r="447" spans="1:19">
      <c r="A447"/>
      <c r="B447"/>
      <c r="C447"/>
      <c r="D447"/>
      <c r="E447"/>
      <c r="F447"/>
      <c r="G447"/>
      <c r="H447"/>
      <c r="I447"/>
      <c r="J447"/>
      <c r="K447"/>
      <c r="L447"/>
      <c r="M447"/>
      <c r="N447"/>
      <c r="O447"/>
      <c r="P447"/>
      <c r="Q447"/>
      <c r="R447"/>
      <c r="S447"/>
    </row>
    <row r="448" spans="1:19">
      <c r="A448"/>
      <c r="B448"/>
      <c r="C448"/>
      <c r="D448"/>
      <c r="E448"/>
      <c r="F448"/>
      <c r="G448"/>
      <c r="H448"/>
      <c r="I448"/>
      <c r="J448"/>
      <c r="K448"/>
      <c r="L448"/>
      <c r="M448"/>
      <c r="N448"/>
      <c r="O448"/>
      <c r="P448"/>
      <c r="Q448"/>
      <c r="R448"/>
      <c r="S448"/>
    </row>
    <row r="449" spans="1:19">
      <c r="A449"/>
      <c r="B449"/>
      <c r="C449"/>
      <c r="D449"/>
      <c r="E449"/>
      <c r="F449"/>
      <c r="G449"/>
      <c r="H449"/>
      <c r="I449"/>
      <c r="J449"/>
      <c r="K449"/>
      <c r="L449"/>
      <c r="M449"/>
      <c r="N449"/>
      <c r="O449"/>
      <c r="P449"/>
      <c r="Q449"/>
      <c r="R449"/>
      <c r="S449"/>
    </row>
    <row r="450" spans="1:19">
      <c r="A450"/>
      <c r="B450"/>
      <c r="C450"/>
      <c r="D450"/>
      <c r="E450"/>
      <c r="F450"/>
      <c r="G450"/>
      <c r="H450"/>
      <c r="I450"/>
      <c r="J450"/>
      <c r="K450"/>
      <c r="L450"/>
      <c r="M450"/>
      <c r="N450"/>
      <c r="O450"/>
      <c r="P450"/>
      <c r="Q450"/>
      <c r="R450"/>
      <c r="S450"/>
    </row>
    <row r="451" spans="1:19">
      <c r="A451"/>
      <c r="B451"/>
      <c r="C451"/>
      <c r="D451"/>
      <c r="E451"/>
      <c r="F451"/>
      <c r="G451"/>
      <c r="H451"/>
      <c r="I451"/>
      <c r="J451"/>
      <c r="K451"/>
      <c r="L451"/>
      <c r="M451"/>
      <c r="N451"/>
      <c r="O451"/>
      <c r="P451"/>
      <c r="Q451"/>
      <c r="R451"/>
      <c r="S451"/>
    </row>
    <row r="452" spans="1:19">
      <c r="A452"/>
      <c r="B452"/>
      <c r="C452"/>
      <c r="D452"/>
      <c r="E452"/>
      <c r="F452"/>
      <c r="G452"/>
      <c r="H452"/>
      <c r="I452"/>
      <c r="J452"/>
      <c r="K452"/>
      <c r="L452"/>
      <c r="M452"/>
      <c r="N452"/>
      <c r="O452"/>
      <c r="P452"/>
      <c r="Q452"/>
      <c r="R452"/>
      <c r="S452"/>
    </row>
    <row r="453" spans="1:19">
      <c r="A453"/>
      <c r="B453"/>
      <c r="C453"/>
      <c r="D453"/>
      <c r="E453"/>
      <c r="F453"/>
      <c r="G453"/>
      <c r="H453"/>
      <c r="I453"/>
      <c r="J453"/>
      <c r="K453"/>
      <c r="L453"/>
      <c r="M453"/>
      <c r="N453"/>
      <c r="O453"/>
      <c r="P453"/>
      <c r="Q453"/>
      <c r="R453"/>
      <c r="S453"/>
    </row>
    <row r="454" spans="1:19">
      <c r="A454"/>
      <c r="B454"/>
      <c r="C454"/>
      <c r="D454"/>
      <c r="E454"/>
      <c r="F454"/>
      <c r="G454"/>
      <c r="H454"/>
      <c r="I454"/>
      <c r="J454"/>
      <c r="K454"/>
      <c r="L454"/>
      <c r="M454"/>
      <c r="N454"/>
      <c r="O454"/>
      <c r="P454"/>
      <c r="Q454"/>
      <c r="R454"/>
      <c r="S454"/>
    </row>
    <row r="455" spans="1:19">
      <c r="A455"/>
      <c r="B455"/>
      <c r="C455"/>
      <c r="D455"/>
      <c r="E455"/>
      <c r="F455"/>
      <c r="G455"/>
      <c r="H455"/>
      <c r="I455"/>
      <c r="J455"/>
      <c r="K455"/>
      <c r="L455"/>
      <c r="M455"/>
      <c r="N455"/>
      <c r="O455"/>
      <c r="P455"/>
      <c r="Q455"/>
      <c r="R455"/>
      <c r="S455"/>
    </row>
    <row r="456" spans="1:19">
      <c r="A456"/>
      <c r="B456"/>
      <c r="C456"/>
      <c r="D456"/>
      <c r="E456"/>
      <c r="F456"/>
      <c r="G456"/>
      <c r="H456"/>
      <c r="I456"/>
      <c r="J456"/>
      <c r="K456"/>
      <c r="L456"/>
      <c r="M456"/>
      <c r="N456"/>
      <c r="O456"/>
      <c r="P456"/>
      <c r="Q456"/>
      <c r="R456"/>
      <c r="S456"/>
    </row>
    <row r="457" spans="1:19">
      <c r="A457"/>
      <c r="B457"/>
      <c r="C457"/>
      <c r="D457"/>
      <c r="E457"/>
      <c r="F457"/>
      <c r="G457"/>
      <c r="H457"/>
      <c r="I457"/>
      <c r="J457"/>
      <c r="K457"/>
      <c r="L457"/>
      <c r="M457"/>
      <c r="N457"/>
      <c r="O457"/>
      <c r="P457"/>
      <c r="Q457"/>
      <c r="R457"/>
      <c r="S457"/>
    </row>
    <row r="458" spans="1:19">
      <c r="A458"/>
      <c r="B458"/>
      <c r="C458"/>
      <c r="D458"/>
      <c r="E458"/>
      <c r="F458"/>
      <c r="G458"/>
      <c r="H458"/>
      <c r="I458"/>
      <c r="J458"/>
      <c r="K458"/>
      <c r="L458"/>
      <c r="M458"/>
      <c r="N458"/>
      <c r="O458"/>
      <c r="P458"/>
      <c r="Q458"/>
      <c r="R458"/>
      <c r="S458"/>
    </row>
    <row r="459" spans="1:19">
      <c r="A459"/>
      <c r="B459"/>
      <c r="C459"/>
      <c r="D459"/>
      <c r="E459"/>
      <c r="F459"/>
      <c r="G459"/>
      <c r="H459"/>
      <c r="I459"/>
      <c r="J459"/>
      <c r="K459"/>
      <c r="L459"/>
      <c r="M459"/>
      <c r="N459"/>
      <c r="O459"/>
      <c r="P459"/>
      <c r="Q459"/>
      <c r="R459"/>
      <c r="S459"/>
    </row>
    <row r="460" spans="1:19">
      <c r="A460"/>
      <c r="B460"/>
      <c r="C460"/>
      <c r="D460"/>
      <c r="E460"/>
      <c r="F460"/>
      <c r="G460"/>
      <c r="H460"/>
      <c r="I460"/>
      <c r="J460"/>
      <c r="K460"/>
      <c r="L460"/>
      <c r="M460"/>
      <c r="N460"/>
      <c r="O460"/>
      <c r="P460"/>
      <c r="Q460"/>
      <c r="R460"/>
      <c r="S460"/>
    </row>
    <row r="461" spans="1:19">
      <c r="A461"/>
      <c r="B461"/>
      <c r="C461"/>
      <c r="D461"/>
      <c r="E461"/>
      <c r="F461"/>
      <c r="G461"/>
      <c r="H461"/>
      <c r="I461"/>
      <c r="J461"/>
      <c r="K461"/>
      <c r="L461"/>
      <c r="M461"/>
      <c r="N461"/>
      <c r="O461"/>
      <c r="P461"/>
      <c r="Q461"/>
      <c r="R461"/>
      <c r="S461"/>
    </row>
    <row r="462" spans="1:19">
      <c r="A462"/>
      <c r="B462"/>
      <c r="C462"/>
      <c r="D462"/>
      <c r="E462"/>
      <c r="F462"/>
      <c r="G462"/>
      <c r="H462"/>
      <c r="I462"/>
      <c r="J462"/>
      <c r="K462"/>
      <c r="L462"/>
      <c r="M462"/>
      <c r="N462"/>
      <c r="O462"/>
      <c r="P462"/>
      <c r="Q462"/>
      <c r="R462"/>
      <c r="S462"/>
    </row>
    <row r="463" spans="1:19">
      <c r="A463"/>
      <c r="B463"/>
      <c r="C463"/>
      <c r="D463"/>
      <c r="E463"/>
      <c r="F463"/>
      <c r="G463"/>
      <c r="H463"/>
      <c r="I463"/>
      <c r="J463"/>
      <c r="K463"/>
      <c r="L463"/>
      <c r="M463"/>
      <c r="N463"/>
      <c r="O463"/>
      <c r="P463"/>
      <c r="Q463"/>
      <c r="R463"/>
      <c r="S463"/>
    </row>
    <row r="464" spans="1:19">
      <c r="A464"/>
      <c r="B464"/>
      <c r="C464"/>
      <c r="D464"/>
      <c r="E464"/>
      <c r="F464"/>
      <c r="G464"/>
      <c r="H464"/>
      <c r="I464"/>
      <c r="J464"/>
      <c r="K464"/>
      <c r="L464"/>
      <c r="M464"/>
      <c r="N464"/>
      <c r="O464"/>
      <c r="P464"/>
      <c r="Q464"/>
      <c r="R464"/>
      <c r="S464"/>
    </row>
    <row r="465" spans="1:19">
      <c r="A465"/>
      <c r="B465"/>
      <c r="C465"/>
      <c r="D465"/>
      <c r="E465"/>
      <c r="F465"/>
      <c r="G465"/>
      <c r="H465"/>
      <c r="I465"/>
      <c r="J465"/>
      <c r="K465"/>
      <c r="L465"/>
      <c r="M465"/>
      <c r="N465"/>
      <c r="O465"/>
      <c r="P465"/>
      <c r="Q465"/>
      <c r="R465"/>
      <c r="S465"/>
    </row>
    <row r="466" spans="1:19">
      <c r="A466"/>
      <c r="B466"/>
      <c r="C466"/>
      <c r="D466"/>
      <c r="E466"/>
      <c r="F466"/>
      <c r="G466"/>
      <c r="H466"/>
      <c r="I466"/>
      <c r="J466"/>
      <c r="K466"/>
      <c r="L466"/>
      <c r="M466"/>
      <c r="N466"/>
      <c r="O466"/>
      <c r="P466"/>
      <c r="Q466"/>
      <c r="R466"/>
      <c r="S466"/>
    </row>
    <row r="467" spans="1:19">
      <c r="A467"/>
      <c r="B467"/>
      <c r="C467"/>
      <c r="D467"/>
      <c r="E467"/>
      <c r="F467"/>
      <c r="G467"/>
      <c r="H467"/>
      <c r="I467"/>
      <c r="J467"/>
      <c r="K467"/>
      <c r="L467"/>
      <c r="M467"/>
      <c r="N467"/>
      <c r="O467"/>
      <c r="P467"/>
      <c r="Q467"/>
      <c r="R467"/>
      <c r="S467"/>
    </row>
    <row r="468" spans="1:19">
      <c r="A468"/>
      <c r="B468"/>
      <c r="C468"/>
      <c r="D468"/>
      <c r="E468"/>
      <c r="F468"/>
      <c r="G468"/>
      <c r="H468"/>
      <c r="I468"/>
      <c r="J468"/>
      <c r="K468"/>
      <c r="L468"/>
      <c r="M468"/>
      <c r="N468"/>
      <c r="O468"/>
      <c r="P468"/>
      <c r="Q468"/>
      <c r="R468"/>
      <c r="S468"/>
    </row>
    <row r="469" spans="1:19">
      <c r="A469"/>
      <c r="B469"/>
      <c r="C469"/>
      <c r="D469"/>
      <c r="E469"/>
      <c r="F469"/>
      <c r="G469"/>
      <c r="H469"/>
      <c r="I469"/>
      <c r="J469"/>
      <c r="K469"/>
      <c r="L469"/>
      <c r="M469"/>
      <c r="N469"/>
      <c r="O469"/>
      <c r="P469"/>
      <c r="Q469"/>
      <c r="R469"/>
      <c r="S469"/>
    </row>
    <row r="470" spans="1:19">
      <c r="A470"/>
      <c r="B470"/>
      <c r="C470"/>
      <c r="D470"/>
      <c r="E470"/>
      <c r="F470"/>
      <c r="G470"/>
      <c r="H470"/>
      <c r="I470"/>
      <c r="J470"/>
      <c r="K470"/>
      <c r="L470"/>
      <c r="M470"/>
      <c r="N470"/>
      <c r="O470"/>
      <c r="P470"/>
      <c r="Q470"/>
      <c r="R470"/>
      <c r="S470"/>
    </row>
    <row r="471" spans="1:19">
      <c r="A471"/>
      <c r="B471"/>
      <c r="C471"/>
      <c r="D471"/>
      <c r="E471"/>
      <c r="F471"/>
      <c r="G471"/>
      <c r="H471"/>
      <c r="I471"/>
      <c r="J471"/>
      <c r="K471"/>
      <c r="L471"/>
      <c r="M471"/>
      <c r="N471"/>
      <c r="O471"/>
      <c r="P471"/>
      <c r="Q471"/>
      <c r="R471"/>
      <c r="S471"/>
    </row>
    <row r="472" spans="1:19">
      <c r="A472"/>
      <c r="B472"/>
      <c r="C472"/>
      <c r="D472"/>
      <c r="E472"/>
      <c r="F472"/>
      <c r="G472"/>
      <c r="H472"/>
      <c r="I472"/>
      <c r="J472"/>
      <c r="K472"/>
      <c r="L472"/>
      <c r="M472"/>
      <c r="N472"/>
      <c r="O472"/>
      <c r="P472"/>
      <c r="Q472"/>
      <c r="R472"/>
      <c r="S472"/>
    </row>
    <row r="473" spans="1:19">
      <c r="A473"/>
      <c r="B473"/>
      <c r="C473"/>
      <c r="D473"/>
      <c r="E473"/>
      <c r="F473"/>
      <c r="G473"/>
      <c r="H473"/>
      <c r="I473"/>
      <c r="J473"/>
      <c r="K473"/>
      <c r="L473"/>
      <c r="M473"/>
      <c r="N473"/>
      <c r="O473"/>
      <c r="P473"/>
      <c r="Q473"/>
      <c r="R473"/>
      <c r="S473"/>
    </row>
    <row r="474" spans="1:19">
      <c r="A474"/>
      <c r="B474"/>
      <c r="C474"/>
      <c r="D474"/>
      <c r="E474"/>
      <c r="F474"/>
      <c r="G474"/>
      <c r="H474"/>
      <c r="I474"/>
      <c r="J474"/>
      <c r="K474"/>
      <c r="L474"/>
      <c r="M474"/>
      <c r="N474"/>
      <c r="O474"/>
      <c r="P474"/>
      <c r="Q474"/>
      <c r="R474"/>
      <c r="S474"/>
    </row>
    <row r="475" spans="1:19">
      <c r="A475"/>
      <c r="B475"/>
      <c r="C475"/>
      <c r="D475"/>
      <c r="E475"/>
      <c r="F475"/>
      <c r="G475"/>
      <c r="H475"/>
      <c r="I475"/>
      <c r="J475"/>
      <c r="K475"/>
      <c r="L475"/>
      <c r="M475"/>
      <c r="N475"/>
      <c r="O475"/>
      <c r="P475"/>
      <c r="Q475"/>
      <c r="R475"/>
      <c r="S475"/>
    </row>
    <row r="476" spans="1:19">
      <c r="A476"/>
      <c r="B476"/>
      <c r="C476"/>
      <c r="D476"/>
      <c r="E476"/>
      <c r="F476"/>
      <c r="G476"/>
      <c r="H476"/>
      <c r="I476"/>
      <c r="J476"/>
      <c r="K476"/>
      <c r="L476"/>
      <c r="M476"/>
      <c r="N476"/>
      <c r="O476"/>
      <c r="P476"/>
      <c r="Q476"/>
      <c r="R476"/>
      <c r="S476"/>
    </row>
    <row r="477" spans="1:19">
      <c r="A477"/>
      <c r="B477"/>
      <c r="C477"/>
      <c r="D477"/>
      <c r="E477"/>
      <c r="F477"/>
      <c r="G477"/>
      <c r="H477"/>
      <c r="I477"/>
      <c r="J477"/>
      <c r="K477"/>
      <c r="L477"/>
      <c r="M477"/>
      <c r="N477"/>
      <c r="O477"/>
      <c r="P477"/>
      <c r="Q477"/>
      <c r="R477"/>
      <c r="S477"/>
    </row>
    <row r="478" spans="1:19">
      <c r="A478"/>
      <c r="B478"/>
      <c r="C478"/>
      <c r="D478"/>
      <c r="E478"/>
      <c r="F478"/>
      <c r="G478"/>
      <c r="H478"/>
      <c r="I478"/>
      <c r="J478"/>
      <c r="K478"/>
      <c r="L478"/>
      <c r="M478"/>
      <c r="N478"/>
      <c r="O478"/>
      <c r="P478"/>
      <c r="Q478"/>
      <c r="R478"/>
      <c r="S478"/>
    </row>
    <row r="479" spans="1:19">
      <c r="A479"/>
      <c r="B479"/>
      <c r="C479"/>
      <c r="D479"/>
      <c r="E479"/>
      <c r="F479"/>
      <c r="G479"/>
      <c r="H479"/>
      <c r="I479"/>
      <c r="J479"/>
      <c r="K479"/>
      <c r="L479"/>
      <c r="M479"/>
      <c r="N479"/>
      <c r="O479"/>
      <c r="P479"/>
      <c r="Q479"/>
      <c r="R479"/>
      <c r="S479"/>
    </row>
    <row r="480" spans="1:19">
      <c r="A480"/>
      <c r="B480"/>
      <c r="C480"/>
      <c r="D480"/>
      <c r="E480"/>
      <c r="F480"/>
      <c r="G480"/>
      <c r="H480"/>
      <c r="I480"/>
      <c r="J480"/>
      <c r="K480"/>
      <c r="L480"/>
      <c r="M480"/>
      <c r="N480"/>
      <c r="O480"/>
      <c r="P480"/>
      <c r="Q480"/>
      <c r="R480"/>
      <c r="S480"/>
    </row>
    <row r="481" spans="1:19">
      <c r="A481"/>
      <c r="B481"/>
      <c r="C481"/>
      <c r="D481"/>
      <c r="E481"/>
      <c r="F481"/>
      <c r="G481"/>
      <c r="H481"/>
      <c r="I481"/>
      <c r="J481"/>
      <c r="K481"/>
      <c r="L481"/>
      <c r="M481"/>
      <c r="N481"/>
      <c r="O481"/>
      <c r="P481"/>
      <c r="Q481"/>
      <c r="R481"/>
      <c r="S481"/>
    </row>
    <row r="482" spans="1:19">
      <c r="A482"/>
      <c r="B482"/>
      <c r="C482"/>
      <c r="D482"/>
      <c r="E482"/>
      <c r="F482"/>
      <c r="G482"/>
      <c r="H482"/>
      <c r="I482"/>
      <c r="J482"/>
      <c r="K482"/>
      <c r="L482"/>
      <c r="M482"/>
      <c r="N482"/>
      <c r="O482"/>
      <c r="P482"/>
      <c r="Q482"/>
      <c r="R482"/>
      <c r="S482"/>
    </row>
    <row r="483" spans="1:19">
      <c r="A483"/>
      <c r="B483"/>
      <c r="C483"/>
      <c r="D483"/>
      <c r="E483"/>
      <c r="F483"/>
      <c r="G483"/>
      <c r="H483"/>
      <c r="I483"/>
      <c r="J483"/>
      <c r="K483"/>
      <c r="L483"/>
      <c r="M483"/>
      <c r="N483"/>
      <c r="O483"/>
      <c r="P483"/>
      <c r="Q483"/>
      <c r="R483"/>
      <c r="S483"/>
    </row>
    <row r="484" spans="1:19">
      <c r="A484"/>
      <c r="B484"/>
      <c r="C484"/>
      <c r="D484"/>
      <c r="E484"/>
      <c r="F484"/>
      <c r="G484"/>
      <c r="H484"/>
      <c r="I484"/>
      <c r="J484"/>
      <c r="K484"/>
      <c r="L484"/>
      <c r="M484"/>
      <c r="N484"/>
      <c r="O484"/>
      <c r="P484"/>
      <c r="Q484"/>
      <c r="R484"/>
      <c r="S484"/>
    </row>
    <row r="485" spans="1:19">
      <c r="A485"/>
      <c r="B485"/>
      <c r="C485"/>
      <c r="D485"/>
      <c r="E485"/>
      <c r="F485"/>
      <c r="G485"/>
      <c r="H485"/>
      <c r="I485"/>
      <c r="J485"/>
      <c r="K485"/>
      <c r="L485"/>
      <c r="M485"/>
      <c r="N485"/>
      <c r="O485"/>
      <c r="P485"/>
      <c r="Q485"/>
      <c r="R485"/>
      <c r="S485"/>
    </row>
    <row r="486" spans="1:19">
      <c r="A486"/>
      <c r="B486"/>
      <c r="C486"/>
      <c r="D486"/>
      <c r="E486"/>
      <c r="F486"/>
      <c r="G486"/>
      <c r="H486"/>
      <c r="I486"/>
      <c r="J486"/>
      <c r="K486"/>
      <c r="L486"/>
      <c r="M486"/>
      <c r="N486"/>
      <c r="O486"/>
      <c r="P486"/>
      <c r="Q486"/>
      <c r="R486"/>
      <c r="S486"/>
    </row>
    <row r="487" spans="1:19">
      <c r="A487"/>
      <c r="B487"/>
      <c r="C487"/>
      <c r="D487"/>
      <c r="E487"/>
      <c r="F487"/>
      <c r="G487"/>
      <c r="H487"/>
      <c r="I487"/>
      <c r="J487"/>
      <c r="K487"/>
      <c r="L487"/>
      <c r="M487"/>
      <c r="N487"/>
      <c r="O487"/>
      <c r="P487"/>
      <c r="Q487"/>
      <c r="R487"/>
      <c r="S487"/>
    </row>
    <row r="488" spans="1:19">
      <c r="A488"/>
      <c r="B488"/>
      <c r="C488"/>
      <c r="D488"/>
      <c r="E488"/>
      <c r="F488"/>
      <c r="G488"/>
      <c r="H488"/>
      <c r="I488"/>
      <c r="J488"/>
      <c r="K488"/>
      <c r="L488"/>
      <c r="M488"/>
      <c r="N488"/>
      <c r="O488"/>
      <c r="P488"/>
      <c r="Q488"/>
      <c r="R488"/>
      <c r="S488"/>
    </row>
    <row r="489" spans="1:19">
      <c r="A489"/>
      <c r="B489"/>
      <c r="C489"/>
      <c r="D489"/>
      <c r="E489"/>
      <c r="F489"/>
      <c r="G489"/>
      <c r="H489"/>
      <c r="I489"/>
      <c r="J489"/>
      <c r="K489"/>
      <c r="L489"/>
      <c r="M489"/>
      <c r="N489"/>
      <c r="O489"/>
      <c r="P489"/>
      <c r="Q489"/>
      <c r="R489"/>
      <c r="S489"/>
    </row>
    <row r="490" spans="1:19">
      <c r="A490"/>
      <c r="B490"/>
      <c r="C490"/>
      <c r="D490"/>
      <c r="E490"/>
      <c r="F490"/>
      <c r="G490"/>
      <c r="H490"/>
      <c r="I490"/>
      <c r="J490"/>
      <c r="K490"/>
      <c r="L490"/>
      <c r="M490"/>
      <c r="N490"/>
      <c r="O490"/>
      <c r="P490"/>
      <c r="Q490"/>
      <c r="R490"/>
      <c r="S490"/>
    </row>
    <row r="491" spans="1:19">
      <c r="A491"/>
      <c r="B491"/>
      <c r="C491"/>
      <c r="D491"/>
      <c r="E491"/>
      <c r="F491"/>
      <c r="G491"/>
      <c r="H491"/>
      <c r="I491"/>
      <c r="J491"/>
      <c r="K491"/>
      <c r="L491"/>
      <c r="M491"/>
      <c r="N491"/>
      <c r="O491"/>
      <c r="P491"/>
      <c r="Q491"/>
      <c r="R491"/>
      <c r="S491"/>
    </row>
    <row r="492" spans="1:19">
      <c r="A492"/>
      <c r="B492"/>
      <c r="C492"/>
      <c r="D492"/>
      <c r="E492"/>
      <c r="F492"/>
      <c r="G492"/>
      <c r="H492"/>
      <c r="I492"/>
      <c r="J492"/>
      <c r="K492"/>
      <c r="L492"/>
      <c r="M492"/>
      <c r="N492"/>
      <c r="O492"/>
      <c r="P492"/>
      <c r="Q492"/>
      <c r="R492"/>
      <c r="S492"/>
    </row>
    <row r="493" spans="1:19">
      <c r="A493"/>
      <c r="B493"/>
      <c r="C493"/>
      <c r="D493"/>
      <c r="E493"/>
      <c r="F493"/>
      <c r="G493"/>
      <c r="H493"/>
      <c r="I493"/>
      <c r="J493"/>
      <c r="K493"/>
      <c r="L493"/>
      <c r="M493"/>
      <c r="N493"/>
      <c r="O493"/>
      <c r="P493"/>
      <c r="Q493"/>
      <c r="R493"/>
      <c r="S493"/>
    </row>
    <row r="494" spans="1:19">
      <c r="A494"/>
      <c r="B494"/>
      <c r="C494"/>
      <c r="D494"/>
      <c r="E494"/>
      <c r="F494"/>
      <c r="G494"/>
      <c r="H494"/>
      <c r="I494"/>
      <c r="J494"/>
      <c r="K494"/>
      <c r="L494"/>
      <c r="M494"/>
      <c r="N494"/>
      <c r="O494"/>
      <c r="P494"/>
      <c r="Q494"/>
      <c r="R494"/>
      <c r="S494"/>
    </row>
    <row r="495" spans="1:19">
      <c r="A495"/>
      <c r="B495"/>
      <c r="C495"/>
      <c r="D495"/>
      <c r="E495"/>
      <c r="F495"/>
      <c r="G495"/>
      <c r="H495"/>
      <c r="I495"/>
      <c r="J495"/>
      <c r="K495"/>
      <c r="L495"/>
      <c r="M495"/>
      <c r="N495"/>
      <c r="O495"/>
      <c r="P495"/>
      <c r="Q495"/>
      <c r="R495"/>
      <c r="S495"/>
    </row>
    <row r="496" spans="1:19">
      <c r="A496"/>
      <c r="B496"/>
      <c r="C496"/>
      <c r="D496"/>
      <c r="E496"/>
      <c r="F496"/>
      <c r="G496"/>
      <c r="H496"/>
      <c r="I496"/>
      <c r="J496"/>
      <c r="K496"/>
      <c r="L496"/>
      <c r="M496"/>
      <c r="N496"/>
      <c r="O496"/>
      <c r="P496"/>
      <c r="Q496"/>
      <c r="R496"/>
      <c r="S496"/>
    </row>
    <row r="497" spans="1:19">
      <c r="A497"/>
      <c r="B497"/>
      <c r="C497"/>
      <c r="D497"/>
      <c r="E497"/>
      <c r="F497"/>
      <c r="G497"/>
      <c r="H497"/>
      <c r="I497"/>
      <c r="J497"/>
      <c r="K497"/>
      <c r="L497"/>
      <c r="M497"/>
      <c r="N497"/>
      <c r="O497"/>
      <c r="P497"/>
      <c r="Q497"/>
      <c r="R497"/>
      <c r="S497"/>
    </row>
    <row r="498" spans="1:19">
      <c r="A498"/>
      <c r="B498"/>
      <c r="C498"/>
      <c r="D498"/>
      <c r="E498"/>
      <c r="F498"/>
      <c r="G498"/>
      <c r="H498"/>
      <c r="I498"/>
      <c r="J498"/>
      <c r="K498"/>
      <c r="L498"/>
      <c r="M498"/>
      <c r="N498"/>
      <c r="O498"/>
      <c r="P498"/>
      <c r="Q498"/>
      <c r="R498"/>
      <c r="S498"/>
    </row>
    <row r="499" spans="1:19">
      <c r="A499"/>
      <c r="B499"/>
      <c r="C499"/>
      <c r="D499"/>
      <c r="E499"/>
      <c r="F499"/>
      <c r="G499"/>
      <c r="H499"/>
      <c r="I499"/>
      <c r="J499"/>
      <c r="K499"/>
      <c r="L499"/>
      <c r="M499"/>
      <c r="N499"/>
      <c r="O499"/>
      <c r="P499"/>
      <c r="Q499"/>
      <c r="R499"/>
      <c r="S499"/>
    </row>
    <row r="500" spans="1:19">
      <c r="A500"/>
      <c r="B500"/>
      <c r="C500"/>
      <c r="D500"/>
      <c r="E500"/>
      <c r="F500"/>
      <c r="G500"/>
      <c r="H500"/>
      <c r="I500"/>
      <c r="J500"/>
      <c r="K500"/>
      <c r="L500"/>
      <c r="M500"/>
      <c r="N500"/>
      <c r="O500"/>
      <c r="P500"/>
      <c r="Q500"/>
      <c r="R500"/>
      <c r="S500"/>
    </row>
    <row r="501" spans="1:19">
      <c r="A501"/>
      <c r="B501"/>
      <c r="C501"/>
      <c r="D501"/>
      <c r="E501"/>
      <c r="F501"/>
      <c r="G501"/>
      <c r="H501"/>
      <c r="I501"/>
      <c r="J501"/>
      <c r="K501"/>
      <c r="L501"/>
      <c r="M501"/>
      <c r="N501"/>
      <c r="O501"/>
      <c r="P501"/>
      <c r="Q501"/>
      <c r="R501"/>
      <c r="S501"/>
    </row>
    <row r="502" spans="1:19">
      <c r="A502"/>
      <c r="B502"/>
      <c r="C502"/>
      <c r="D502"/>
      <c r="E502"/>
      <c r="F502"/>
      <c r="G502"/>
      <c r="H502"/>
      <c r="I502"/>
      <c r="J502"/>
      <c r="K502"/>
      <c r="L502"/>
      <c r="M502"/>
      <c r="N502"/>
      <c r="O502"/>
      <c r="P502"/>
      <c r="Q502"/>
      <c r="R502"/>
      <c r="S502"/>
    </row>
    <row r="503" spans="1:19">
      <c r="A503"/>
      <c r="B503"/>
      <c r="C503"/>
      <c r="D503"/>
      <c r="E503"/>
      <c r="F503"/>
      <c r="G503"/>
      <c r="H503"/>
      <c r="I503"/>
      <c r="J503"/>
      <c r="K503"/>
      <c r="L503"/>
      <c r="M503"/>
      <c r="N503"/>
      <c r="O503"/>
      <c r="P503"/>
      <c r="Q503"/>
      <c r="R503"/>
      <c r="S503"/>
    </row>
    <row r="504" spans="1:19">
      <c r="A504"/>
      <c r="B504"/>
      <c r="C504"/>
      <c r="D504"/>
      <c r="E504"/>
      <c r="F504"/>
      <c r="G504"/>
      <c r="H504"/>
      <c r="I504"/>
      <c r="J504"/>
      <c r="K504"/>
      <c r="L504"/>
      <c r="M504"/>
      <c r="N504"/>
      <c r="O504"/>
      <c r="P504"/>
      <c r="Q504"/>
      <c r="R504"/>
      <c r="S504"/>
    </row>
    <row r="505" spans="1:19">
      <c r="A505"/>
      <c r="B505"/>
      <c r="C505"/>
      <c r="D505"/>
      <c r="E505"/>
      <c r="F505"/>
      <c r="G505"/>
      <c r="H505"/>
      <c r="I505"/>
      <c r="J505"/>
      <c r="K505"/>
      <c r="L505"/>
      <c r="M505"/>
      <c r="N505"/>
      <c r="O505"/>
      <c r="P505"/>
      <c r="Q505"/>
      <c r="R505"/>
      <c r="S505"/>
    </row>
    <row r="506" spans="1:19">
      <c r="A506"/>
      <c r="B506"/>
      <c r="C506"/>
      <c r="D506"/>
      <c r="E506"/>
      <c r="F506"/>
      <c r="G506"/>
      <c r="H506"/>
      <c r="I506"/>
      <c r="J506"/>
      <c r="K506"/>
      <c r="L506"/>
      <c r="M506"/>
      <c r="N506"/>
      <c r="O506"/>
      <c r="P506"/>
      <c r="Q506"/>
      <c r="R506"/>
      <c r="S506"/>
    </row>
    <row r="507" spans="1:19">
      <c r="A507"/>
      <c r="B507"/>
      <c r="C507"/>
      <c r="D507"/>
      <c r="E507"/>
      <c r="F507"/>
      <c r="G507"/>
      <c r="H507"/>
      <c r="I507"/>
      <c r="J507"/>
      <c r="K507"/>
      <c r="L507"/>
      <c r="M507"/>
      <c r="N507"/>
      <c r="O507"/>
      <c r="P507"/>
      <c r="Q507"/>
      <c r="R507"/>
      <c r="S507"/>
    </row>
    <row r="508" spans="1:19">
      <c r="A508"/>
      <c r="B508"/>
      <c r="C508"/>
      <c r="D508"/>
      <c r="E508"/>
      <c r="F508"/>
      <c r="G508"/>
      <c r="H508"/>
      <c r="I508"/>
      <c r="J508"/>
      <c r="K508"/>
      <c r="L508"/>
      <c r="M508"/>
      <c r="N508"/>
      <c r="O508"/>
      <c r="P508"/>
      <c r="Q508"/>
      <c r="R508"/>
      <c r="S508"/>
    </row>
    <row r="509" spans="1:19">
      <c r="A509"/>
      <c r="B509"/>
      <c r="C509"/>
      <c r="D509"/>
      <c r="E509"/>
      <c r="F509"/>
      <c r="G509"/>
      <c r="H509"/>
      <c r="I509"/>
      <c r="J509"/>
      <c r="K509"/>
      <c r="L509"/>
      <c r="M509"/>
      <c r="N509"/>
      <c r="O509"/>
      <c r="P509"/>
      <c r="Q509"/>
      <c r="R509"/>
      <c r="S509"/>
    </row>
    <row r="510" spans="1:19">
      <c r="A510"/>
      <c r="B510"/>
      <c r="C510"/>
      <c r="D510"/>
      <c r="E510"/>
      <c r="F510"/>
      <c r="G510"/>
      <c r="H510"/>
      <c r="I510"/>
      <c r="J510"/>
      <c r="K510"/>
      <c r="L510"/>
      <c r="M510"/>
      <c r="N510"/>
      <c r="O510"/>
      <c r="P510"/>
      <c r="Q510"/>
      <c r="R510"/>
      <c r="S510"/>
    </row>
    <row r="511" spans="1:19">
      <c r="A511"/>
      <c r="B511"/>
      <c r="C511"/>
      <c r="D511"/>
      <c r="E511"/>
      <c r="F511"/>
      <c r="G511"/>
      <c r="H511"/>
      <c r="I511"/>
      <c r="J511"/>
      <c r="K511"/>
      <c r="L511"/>
      <c r="M511"/>
      <c r="N511"/>
      <c r="O511"/>
      <c r="P511"/>
      <c r="Q511"/>
      <c r="R511"/>
      <c r="S511"/>
    </row>
    <row r="512" spans="1:19">
      <c r="A512"/>
      <c r="B512"/>
      <c r="C512"/>
      <c r="D512"/>
      <c r="E512"/>
      <c r="F512"/>
      <c r="G512"/>
      <c r="H512"/>
      <c r="I512"/>
      <c r="J512"/>
      <c r="K512"/>
      <c r="L512"/>
      <c r="M512"/>
      <c r="N512"/>
      <c r="O512"/>
      <c r="P512"/>
      <c r="Q512"/>
      <c r="R512"/>
      <c r="S512"/>
    </row>
    <row r="513" spans="1:19">
      <c r="A513"/>
      <c r="B513"/>
      <c r="C513"/>
      <c r="D513"/>
      <c r="E513"/>
      <c r="F513"/>
      <c r="G513"/>
      <c r="H513"/>
      <c r="I513"/>
      <c r="J513"/>
      <c r="K513"/>
      <c r="L513"/>
      <c r="M513"/>
      <c r="N513"/>
      <c r="O513"/>
      <c r="P513"/>
      <c r="Q513"/>
      <c r="R513"/>
      <c r="S513"/>
    </row>
    <row r="514" spans="1:19">
      <c r="A514"/>
      <c r="B514"/>
      <c r="C514"/>
      <c r="D514"/>
      <c r="E514"/>
      <c r="F514"/>
      <c r="G514"/>
      <c r="H514"/>
      <c r="I514"/>
      <c r="J514"/>
      <c r="K514"/>
      <c r="L514"/>
      <c r="M514"/>
      <c r="N514"/>
      <c r="O514"/>
      <c r="P514"/>
      <c r="Q514"/>
      <c r="R514"/>
      <c r="S514"/>
    </row>
    <row r="515" spans="1:19">
      <c r="A515"/>
      <c r="B515"/>
      <c r="C515"/>
      <c r="D515"/>
      <c r="E515"/>
      <c r="F515"/>
      <c r="G515"/>
      <c r="H515"/>
      <c r="I515"/>
      <c r="J515"/>
      <c r="K515"/>
      <c r="L515"/>
      <c r="M515"/>
      <c r="N515"/>
      <c r="O515"/>
      <c r="P515"/>
      <c r="Q515"/>
      <c r="R515"/>
      <c r="S515"/>
    </row>
    <row r="516" spans="1:19">
      <c r="A516"/>
      <c r="B516"/>
      <c r="C516"/>
      <c r="D516"/>
      <c r="E516"/>
      <c r="F516"/>
      <c r="G516"/>
      <c r="H516"/>
      <c r="I516"/>
      <c r="J516"/>
      <c r="K516"/>
      <c r="L516"/>
      <c r="M516"/>
      <c r="N516"/>
      <c r="O516"/>
      <c r="P516"/>
      <c r="Q516"/>
      <c r="R516"/>
      <c r="S516"/>
    </row>
    <row r="517" spans="1:19">
      <c r="A517"/>
      <c r="B517"/>
      <c r="C517"/>
      <c r="D517"/>
      <c r="E517"/>
      <c r="F517"/>
      <c r="G517"/>
      <c r="H517"/>
      <c r="I517"/>
      <c r="J517"/>
      <c r="K517"/>
      <c r="L517"/>
      <c r="M517"/>
      <c r="N517"/>
      <c r="O517"/>
      <c r="P517"/>
      <c r="Q517"/>
      <c r="R517"/>
      <c r="S517"/>
    </row>
    <row r="518" spans="1:19">
      <c r="A518"/>
      <c r="B518"/>
      <c r="C518"/>
      <c r="D518"/>
      <c r="E518"/>
      <c r="F518"/>
      <c r="G518"/>
      <c r="H518"/>
      <c r="I518"/>
      <c r="J518"/>
      <c r="K518"/>
      <c r="L518"/>
      <c r="M518"/>
      <c r="N518"/>
      <c r="O518"/>
      <c r="P518"/>
      <c r="Q518"/>
      <c r="R518"/>
      <c r="S518"/>
    </row>
    <row r="519" spans="1:19">
      <c r="A519"/>
      <c r="B519"/>
      <c r="C519"/>
      <c r="D519"/>
      <c r="E519"/>
      <c r="F519"/>
      <c r="G519"/>
      <c r="H519"/>
      <c r="I519"/>
      <c r="J519"/>
      <c r="K519"/>
      <c r="L519"/>
      <c r="M519"/>
      <c r="N519"/>
      <c r="O519"/>
      <c r="P519"/>
      <c r="Q519"/>
      <c r="R519"/>
      <c r="S519"/>
    </row>
    <row r="520" spans="1:19">
      <c r="A520"/>
      <c r="B520"/>
      <c r="C520"/>
      <c r="D520"/>
      <c r="E520"/>
      <c r="F520"/>
      <c r="G520"/>
      <c r="H520"/>
      <c r="I520"/>
      <c r="J520"/>
      <c r="K520"/>
      <c r="L520"/>
      <c r="M520"/>
      <c r="N520"/>
      <c r="O520"/>
      <c r="P520"/>
      <c r="Q520"/>
      <c r="R520"/>
      <c r="S520"/>
    </row>
    <row r="521" spans="1:19">
      <c r="A521"/>
      <c r="B521"/>
      <c r="C521"/>
      <c r="D521"/>
      <c r="E521"/>
      <c r="F521"/>
      <c r="G521"/>
      <c r="H521"/>
      <c r="I521"/>
      <c r="J521"/>
      <c r="K521"/>
      <c r="L521"/>
      <c r="M521"/>
      <c r="N521"/>
      <c r="O521"/>
      <c r="P521"/>
      <c r="Q521"/>
      <c r="R521"/>
      <c r="S521"/>
    </row>
    <row r="522" spans="1:19">
      <c r="A522"/>
      <c r="B522"/>
      <c r="C522"/>
      <c r="D522"/>
      <c r="E522"/>
      <c r="F522"/>
      <c r="G522"/>
      <c r="H522"/>
      <c r="I522"/>
      <c r="J522"/>
      <c r="K522"/>
      <c r="L522"/>
      <c r="M522"/>
      <c r="N522"/>
      <c r="O522"/>
      <c r="P522"/>
      <c r="Q522"/>
      <c r="R522"/>
      <c r="S522"/>
    </row>
    <row r="523" spans="1:19">
      <c r="A523"/>
      <c r="B523"/>
      <c r="C523"/>
      <c r="D523"/>
      <c r="E523"/>
      <c r="F523"/>
      <c r="G523"/>
      <c r="H523"/>
      <c r="I523"/>
      <c r="J523"/>
      <c r="K523"/>
      <c r="L523"/>
      <c r="M523"/>
      <c r="N523"/>
      <c r="O523"/>
      <c r="P523"/>
      <c r="Q523"/>
      <c r="R523"/>
      <c r="S523"/>
    </row>
    <row r="524" spans="1:19">
      <c r="A524"/>
      <c r="B524"/>
      <c r="C524"/>
      <c r="D524"/>
      <c r="E524"/>
      <c r="F524"/>
      <c r="G524"/>
      <c r="H524"/>
      <c r="I524"/>
      <c r="J524"/>
      <c r="K524"/>
      <c r="L524"/>
      <c r="M524"/>
      <c r="N524"/>
      <c r="O524"/>
      <c r="P524"/>
      <c r="Q524"/>
      <c r="R524"/>
      <c r="S524"/>
    </row>
    <row r="525" spans="1:19">
      <c r="A525"/>
      <c r="B525"/>
      <c r="C525"/>
      <c r="D525"/>
      <c r="E525"/>
      <c r="F525"/>
      <c r="G525"/>
      <c r="H525"/>
      <c r="I525"/>
      <c r="J525"/>
      <c r="K525"/>
      <c r="L525"/>
      <c r="M525"/>
      <c r="N525"/>
      <c r="O525"/>
      <c r="P525"/>
      <c r="Q525"/>
      <c r="R525"/>
      <c r="S525"/>
    </row>
    <row r="526" spans="1:19">
      <c r="A526"/>
      <c r="B526"/>
      <c r="C526"/>
      <c r="D526"/>
      <c r="E526"/>
      <c r="F526"/>
      <c r="G526"/>
      <c r="H526"/>
      <c r="I526"/>
      <c r="J526"/>
      <c r="K526"/>
      <c r="L526"/>
      <c r="M526"/>
      <c r="N526"/>
      <c r="O526"/>
      <c r="P526"/>
      <c r="Q526"/>
      <c r="R526"/>
      <c r="S526"/>
    </row>
    <row r="527" spans="1:19">
      <c r="A527"/>
      <c r="B527"/>
      <c r="C527"/>
      <c r="D527"/>
      <c r="E527"/>
      <c r="F527"/>
      <c r="G527"/>
      <c r="H527"/>
      <c r="I527"/>
      <c r="J527"/>
      <c r="K527"/>
      <c r="L527"/>
      <c r="M527"/>
      <c r="N527"/>
      <c r="O527"/>
      <c r="P527"/>
      <c r="Q527"/>
      <c r="R527"/>
      <c r="S527"/>
    </row>
    <row r="528" spans="1:19">
      <c r="A528"/>
      <c r="B528"/>
      <c r="C528"/>
      <c r="D528"/>
      <c r="E528"/>
      <c r="F528"/>
      <c r="G528"/>
      <c r="H528"/>
      <c r="I528"/>
      <c r="J528"/>
      <c r="K528"/>
      <c r="L528"/>
      <c r="M528"/>
      <c r="N528"/>
      <c r="O528"/>
      <c r="P528"/>
      <c r="Q528"/>
      <c r="R528"/>
      <c r="S528"/>
    </row>
    <row r="529" spans="1:19">
      <c r="A529"/>
      <c r="B529"/>
      <c r="C529"/>
      <c r="D529"/>
      <c r="E529"/>
      <c r="F529"/>
      <c r="G529"/>
      <c r="H529"/>
      <c r="I529"/>
      <c r="J529"/>
      <c r="K529"/>
      <c r="L529"/>
      <c r="M529"/>
      <c r="N529"/>
      <c r="O529"/>
      <c r="P529"/>
      <c r="Q529"/>
      <c r="R529"/>
      <c r="S529"/>
    </row>
    <row r="530" spans="1:19">
      <c r="A530"/>
      <c r="B530"/>
      <c r="C530"/>
      <c r="D530"/>
      <c r="E530"/>
      <c r="F530"/>
      <c r="G530"/>
      <c r="H530"/>
      <c r="I530"/>
      <c r="J530"/>
      <c r="K530"/>
      <c r="L530"/>
      <c r="M530"/>
      <c r="N530"/>
      <c r="O530"/>
      <c r="P530"/>
      <c r="Q530"/>
      <c r="R530"/>
      <c r="S530"/>
    </row>
    <row r="531" spans="1:19">
      <c r="A531"/>
      <c r="B531"/>
      <c r="C531"/>
      <c r="D531"/>
      <c r="E531"/>
      <c r="F531"/>
      <c r="G531"/>
      <c r="H531"/>
      <c r="I531"/>
      <c r="J531"/>
      <c r="K531"/>
      <c r="L531"/>
      <c r="M531"/>
      <c r="N531"/>
      <c r="O531"/>
      <c r="P531"/>
      <c r="Q531"/>
      <c r="R531"/>
      <c r="S531"/>
    </row>
    <row r="532" spans="1:19">
      <c r="A532"/>
      <c r="B532"/>
      <c r="C532"/>
      <c r="D532"/>
      <c r="E532"/>
      <c r="F532"/>
      <c r="G532"/>
      <c r="H532"/>
      <c r="I532"/>
      <c r="J532"/>
      <c r="K532"/>
      <c r="L532"/>
      <c r="M532"/>
      <c r="N532"/>
      <c r="O532"/>
      <c r="P532"/>
      <c r="Q532"/>
      <c r="R532"/>
      <c r="S532"/>
    </row>
    <row r="533" spans="1:19">
      <c r="A533"/>
      <c r="B533"/>
      <c r="C533"/>
      <c r="D533"/>
      <c r="E533"/>
      <c r="F533"/>
      <c r="G533"/>
      <c r="H533"/>
      <c r="I533"/>
      <c r="J533"/>
      <c r="K533"/>
      <c r="L533"/>
      <c r="M533"/>
      <c r="N533"/>
      <c r="O533"/>
      <c r="P533"/>
      <c r="Q533"/>
      <c r="R533"/>
      <c r="S533"/>
    </row>
    <row r="534" spans="1:19">
      <c r="A534"/>
      <c r="B534"/>
      <c r="C534"/>
      <c r="D534"/>
      <c r="E534"/>
      <c r="F534"/>
      <c r="G534"/>
      <c r="H534"/>
      <c r="I534"/>
      <c r="J534"/>
      <c r="K534"/>
      <c r="L534"/>
      <c r="M534"/>
      <c r="N534"/>
      <c r="O534"/>
      <c r="P534"/>
      <c r="Q534"/>
      <c r="R534"/>
      <c r="S534"/>
    </row>
    <row r="535" spans="1:19">
      <c r="A535"/>
      <c r="B535"/>
      <c r="C535"/>
      <c r="D535"/>
      <c r="E535"/>
      <c r="F535"/>
      <c r="G535"/>
      <c r="H535"/>
      <c r="I535"/>
      <c r="J535"/>
      <c r="K535"/>
      <c r="L535"/>
      <c r="M535"/>
      <c r="N535"/>
      <c r="O535"/>
      <c r="P535"/>
      <c r="Q535"/>
      <c r="R535"/>
      <c r="S535"/>
    </row>
    <row r="536" spans="1:19">
      <c r="A536"/>
      <c r="B536"/>
      <c r="C536"/>
      <c r="D536"/>
      <c r="E536"/>
      <c r="F536"/>
      <c r="G536"/>
      <c r="H536"/>
      <c r="I536"/>
      <c r="J536"/>
      <c r="K536"/>
      <c r="L536"/>
      <c r="M536"/>
      <c r="N536"/>
      <c r="O536"/>
      <c r="P536"/>
      <c r="Q536"/>
      <c r="R536"/>
      <c r="S536"/>
    </row>
    <row r="537" spans="1:19">
      <c r="A537"/>
      <c r="B537"/>
      <c r="C537"/>
      <c r="D537"/>
      <c r="E537"/>
      <c r="F537"/>
      <c r="G537"/>
      <c r="H537"/>
      <c r="I537"/>
      <c r="J537"/>
      <c r="K537"/>
      <c r="L537"/>
      <c r="M537"/>
      <c r="N537"/>
      <c r="O537"/>
      <c r="P537"/>
      <c r="Q537"/>
      <c r="R537"/>
      <c r="S537"/>
    </row>
    <row r="538" spans="1:19">
      <c r="A538"/>
      <c r="B538"/>
      <c r="C538"/>
      <c r="D538"/>
      <c r="E538"/>
      <c r="F538"/>
      <c r="G538"/>
      <c r="H538"/>
      <c r="I538"/>
      <c r="J538"/>
      <c r="K538"/>
      <c r="L538"/>
      <c r="M538"/>
      <c r="N538"/>
      <c r="O538"/>
      <c r="P538"/>
      <c r="Q538"/>
      <c r="R538"/>
      <c r="S538"/>
    </row>
    <row r="539" spans="1:19">
      <c r="A539"/>
      <c r="B539"/>
      <c r="C539"/>
      <c r="D539"/>
      <c r="E539"/>
      <c r="F539"/>
      <c r="G539"/>
      <c r="H539"/>
      <c r="I539"/>
      <c r="J539"/>
      <c r="K539"/>
      <c r="L539"/>
      <c r="M539"/>
      <c r="N539"/>
      <c r="O539"/>
      <c r="P539"/>
      <c r="Q539"/>
      <c r="R539"/>
      <c r="S539"/>
    </row>
    <row r="540" spans="1:19">
      <c r="A540"/>
      <c r="B540"/>
      <c r="C540"/>
      <c r="D540"/>
      <c r="E540"/>
      <c r="F540"/>
      <c r="G540"/>
      <c r="H540"/>
      <c r="I540"/>
      <c r="J540"/>
      <c r="K540"/>
      <c r="L540"/>
      <c r="M540"/>
      <c r="N540"/>
      <c r="O540"/>
      <c r="P540"/>
      <c r="Q540"/>
      <c r="R540"/>
      <c r="S540"/>
    </row>
    <row r="541" spans="1:19">
      <c r="A541"/>
      <c r="B541"/>
      <c r="C541"/>
      <c r="D541"/>
      <c r="E541"/>
      <c r="F541"/>
      <c r="G541"/>
      <c r="H541"/>
      <c r="I541"/>
      <c r="J541"/>
      <c r="K541"/>
      <c r="L541"/>
      <c r="M541"/>
      <c r="N541"/>
      <c r="O541"/>
      <c r="P541"/>
      <c r="Q541"/>
      <c r="R541"/>
      <c r="S541"/>
    </row>
    <row r="542" spans="1:19">
      <c r="A542"/>
      <c r="B542"/>
      <c r="C542"/>
      <c r="D542"/>
      <c r="E542"/>
      <c r="F542"/>
      <c r="G542"/>
      <c r="H542"/>
      <c r="I542"/>
      <c r="J542"/>
      <c r="K542"/>
      <c r="L542"/>
      <c r="M542"/>
      <c r="N542"/>
      <c r="O542"/>
      <c r="P542"/>
      <c r="Q542"/>
      <c r="R542"/>
      <c r="S542"/>
    </row>
    <row r="543" spans="1:19">
      <c r="A543"/>
      <c r="B543"/>
      <c r="C543"/>
      <c r="D543"/>
      <c r="E543"/>
      <c r="F543"/>
      <c r="G543"/>
      <c r="H543"/>
      <c r="I543"/>
      <c r="J543"/>
      <c r="K543"/>
      <c r="L543"/>
      <c r="M543"/>
      <c r="N543"/>
      <c r="O543"/>
      <c r="P543"/>
      <c r="Q543"/>
      <c r="R543"/>
      <c r="S543"/>
    </row>
    <row r="544" spans="1:19">
      <c r="A544"/>
      <c r="B544"/>
      <c r="C544"/>
      <c r="D544"/>
      <c r="E544"/>
      <c r="F544"/>
      <c r="G544"/>
      <c r="H544"/>
      <c r="I544"/>
      <c r="J544"/>
      <c r="K544"/>
      <c r="L544"/>
      <c r="M544"/>
      <c r="N544"/>
      <c r="O544"/>
      <c r="P544"/>
      <c r="Q544"/>
      <c r="R544"/>
      <c r="S544"/>
    </row>
    <row r="545" spans="1:19">
      <c r="A545"/>
      <c r="B545"/>
      <c r="C545"/>
      <c r="D545"/>
      <c r="E545"/>
      <c r="F545"/>
      <c r="G545"/>
      <c r="H545"/>
      <c r="I545"/>
      <c r="J545"/>
      <c r="K545"/>
      <c r="L545"/>
      <c r="M545"/>
      <c r="N545"/>
      <c r="O545"/>
      <c r="P545"/>
      <c r="Q545"/>
      <c r="R545"/>
      <c r="S545"/>
    </row>
    <row r="546" spans="1:19">
      <c r="A546"/>
      <c r="B546"/>
      <c r="C546"/>
      <c r="D546"/>
      <c r="E546"/>
      <c r="F546"/>
      <c r="G546"/>
      <c r="H546"/>
      <c r="I546"/>
      <c r="J546"/>
      <c r="K546"/>
      <c r="L546"/>
      <c r="M546"/>
      <c r="N546"/>
      <c r="O546"/>
      <c r="P546"/>
      <c r="Q546"/>
      <c r="R546"/>
      <c r="S546"/>
    </row>
    <row r="547" spans="1:19">
      <c r="A547"/>
      <c r="B547"/>
      <c r="C547"/>
      <c r="D547"/>
      <c r="E547"/>
      <c r="F547"/>
      <c r="G547"/>
      <c r="H547"/>
      <c r="I547"/>
      <c r="J547"/>
      <c r="K547"/>
      <c r="L547"/>
      <c r="M547"/>
      <c r="N547"/>
      <c r="O547"/>
      <c r="P547"/>
      <c r="Q547"/>
      <c r="R547"/>
      <c r="S547"/>
    </row>
    <row r="548" spans="1:19">
      <c r="A548"/>
      <c r="B548"/>
      <c r="C548"/>
      <c r="D548"/>
      <c r="E548"/>
      <c r="F548"/>
      <c r="G548"/>
      <c r="H548"/>
      <c r="I548"/>
      <c r="J548"/>
      <c r="K548"/>
      <c r="L548"/>
      <c r="M548"/>
      <c r="N548"/>
      <c r="O548"/>
      <c r="P548"/>
      <c r="Q548"/>
      <c r="R548"/>
      <c r="S548"/>
    </row>
    <row r="549" spans="1:19">
      <c r="A549"/>
      <c r="B549"/>
      <c r="C549"/>
      <c r="D549"/>
      <c r="E549"/>
      <c r="F549"/>
      <c r="G549"/>
      <c r="H549"/>
      <c r="I549"/>
      <c r="J549"/>
      <c r="K549"/>
      <c r="L549"/>
      <c r="M549"/>
      <c r="N549"/>
      <c r="O549"/>
      <c r="P549"/>
      <c r="Q549"/>
      <c r="R549"/>
      <c r="S549"/>
    </row>
    <row r="550" spans="1:19">
      <c r="A550"/>
      <c r="B550"/>
      <c r="C550"/>
      <c r="D550"/>
      <c r="E550"/>
      <c r="F550"/>
      <c r="G550"/>
      <c r="H550"/>
      <c r="I550"/>
      <c r="J550"/>
      <c r="K550"/>
      <c r="L550"/>
      <c r="M550"/>
      <c r="N550"/>
      <c r="O550"/>
      <c r="P550"/>
      <c r="Q550"/>
      <c r="R550"/>
      <c r="S550"/>
    </row>
    <row r="551" spans="1:19">
      <c r="A551"/>
      <c r="B551"/>
      <c r="C551"/>
      <c r="D551"/>
      <c r="E551"/>
      <c r="F551"/>
      <c r="G551"/>
      <c r="H551"/>
      <c r="I551"/>
      <c r="J551"/>
      <c r="K551"/>
      <c r="L551"/>
      <c r="M551"/>
      <c r="N551"/>
      <c r="O551"/>
      <c r="P551"/>
      <c r="Q551"/>
      <c r="R551"/>
      <c r="S551"/>
    </row>
    <row r="552" spans="1:19">
      <c r="A552"/>
      <c r="B552"/>
      <c r="C552"/>
      <c r="D552"/>
      <c r="E552"/>
      <c r="F552"/>
      <c r="G552"/>
      <c r="H552"/>
      <c r="I552"/>
      <c r="J552"/>
      <c r="K552"/>
      <c r="L552"/>
      <c r="M552"/>
      <c r="N552"/>
      <c r="O552"/>
      <c r="P552"/>
      <c r="Q552"/>
      <c r="R552"/>
      <c r="S552"/>
    </row>
    <row r="553" spans="1:19">
      <c r="A553"/>
      <c r="B553"/>
      <c r="C553"/>
      <c r="D553"/>
      <c r="E553"/>
      <c r="F553"/>
      <c r="G553"/>
      <c r="H553"/>
      <c r="I553"/>
      <c r="J553"/>
      <c r="K553"/>
      <c r="L553"/>
      <c r="M553"/>
      <c r="N553"/>
      <c r="O553"/>
      <c r="P553"/>
      <c r="Q553"/>
      <c r="R553"/>
      <c r="S553"/>
    </row>
    <row r="554" spans="1:19">
      <c r="A554"/>
      <c r="B554"/>
      <c r="C554"/>
      <c r="D554"/>
      <c r="E554"/>
      <c r="F554"/>
      <c r="G554"/>
      <c r="H554"/>
      <c r="I554"/>
      <c r="J554"/>
      <c r="K554"/>
      <c r="L554"/>
      <c r="M554"/>
      <c r="N554"/>
      <c r="O554"/>
      <c r="P554"/>
      <c r="Q554"/>
      <c r="R554"/>
      <c r="S554"/>
    </row>
    <row r="555" spans="1:19">
      <c r="A555"/>
      <c r="B555"/>
      <c r="C555"/>
      <c r="D555"/>
      <c r="E555"/>
      <c r="F555"/>
      <c r="G555"/>
      <c r="H555"/>
      <c r="I555"/>
      <c r="J555"/>
      <c r="K555"/>
      <c r="L555"/>
      <c r="M555"/>
      <c r="N555"/>
      <c r="O555"/>
      <c r="P555"/>
      <c r="Q555"/>
      <c r="R555"/>
      <c r="S555"/>
    </row>
    <row r="556" spans="1:19">
      <c r="A556"/>
      <c r="B556"/>
      <c r="C556"/>
      <c r="D556"/>
      <c r="E556"/>
      <c r="F556"/>
      <c r="G556"/>
      <c r="H556"/>
      <c r="I556"/>
      <c r="J556"/>
      <c r="K556"/>
      <c r="L556"/>
      <c r="M556"/>
      <c r="N556"/>
      <c r="O556"/>
      <c r="P556"/>
      <c r="Q556"/>
      <c r="R556"/>
      <c r="S556"/>
    </row>
    <row r="557" spans="1:19">
      <c r="A557"/>
      <c r="B557"/>
      <c r="C557"/>
      <c r="D557"/>
      <c r="E557"/>
      <c r="F557"/>
      <c r="G557"/>
      <c r="H557"/>
      <c r="I557"/>
      <c r="J557"/>
      <c r="K557"/>
      <c r="L557"/>
      <c r="M557"/>
      <c r="N557"/>
      <c r="O557"/>
      <c r="P557"/>
      <c r="Q557"/>
      <c r="R557"/>
      <c r="S557"/>
    </row>
    <row r="558" spans="1:19">
      <c r="A558"/>
      <c r="B558"/>
      <c r="C558"/>
      <c r="D558"/>
      <c r="E558"/>
      <c r="F558"/>
      <c r="G558"/>
      <c r="H558"/>
      <c r="I558"/>
      <c r="J558"/>
      <c r="K558"/>
      <c r="L558"/>
      <c r="M558"/>
      <c r="N558"/>
      <c r="O558"/>
      <c r="P558"/>
      <c r="Q558"/>
      <c r="R558"/>
      <c r="S558"/>
    </row>
    <row r="559" spans="1:19">
      <c r="A559"/>
      <c r="B559"/>
      <c r="C559"/>
      <c r="D559"/>
      <c r="E559"/>
      <c r="F559"/>
      <c r="G559"/>
      <c r="H559"/>
      <c r="I559"/>
      <c r="J559"/>
      <c r="K559"/>
      <c r="L559"/>
      <c r="M559"/>
      <c r="N559"/>
      <c r="O559"/>
      <c r="P559"/>
      <c r="Q559"/>
      <c r="R559"/>
      <c r="S559"/>
    </row>
    <row r="560" spans="1:19">
      <c r="A560"/>
      <c r="B560"/>
      <c r="C560"/>
      <c r="D560"/>
      <c r="E560"/>
      <c r="F560"/>
      <c r="G560"/>
      <c r="H560"/>
      <c r="I560"/>
      <c r="J560"/>
      <c r="K560"/>
      <c r="L560"/>
      <c r="M560"/>
      <c r="N560"/>
      <c r="O560"/>
      <c r="P560"/>
      <c r="Q560"/>
      <c r="R560"/>
      <c r="S560"/>
    </row>
    <row r="561" spans="1:19">
      <c r="A561"/>
      <c r="B561"/>
      <c r="C561"/>
      <c r="D561"/>
      <c r="E561"/>
      <c r="F561"/>
      <c r="G561"/>
      <c r="H561"/>
      <c r="I561"/>
      <c r="J561"/>
      <c r="K561"/>
      <c r="L561"/>
      <c r="M561"/>
      <c r="N561"/>
      <c r="O561"/>
      <c r="P561"/>
      <c r="Q561"/>
      <c r="R561"/>
      <c r="S561"/>
    </row>
    <row r="562" spans="1:19">
      <c r="A562"/>
      <c r="B562"/>
      <c r="C562"/>
      <c r="D562"/>
      <c r="E562"/>
      <c r="F562"/>
      <c r="G562"/>
      <c r="H562"/>
      <c r="I562"/>
      <c r="J562"/>
      <c r="K562"/>
      <c r="L562"/>
      <c r="M562"/>
      <c r="N562"/>
      <c r="O562"/>
      <c r="P562"/>
      <c r="Q562"/>
      <c r="R562"/>
      <c r="S562"/>
    </row>
    <row r="563" spans="1:19">
      <c r="A563"/>
      <c r="B563"/>
    </row>
    <row r="564" spans="1:19">
      <c r="A564"/>
      <c r="B564"/>
    </row>
    <row r="565" spans="1:19">
      <c r="A565"/>
      <c r="B565"/>
    </row>
    <row r="566" spans="1:19">
      <c r="A566"/>
      <c r="B566"/>
    </row>
    <row r="567" spans="1:19">
      <c r="A567"/>
      <c r="B567"/>
    </row>
    <row r="568" spans="1:19">
      <c r="A568"/>
      <c r="B568"/>
    </row>
    <row r="569" spans="1:19">
      <c r="A569"/>
      <c r="B569"/>
    </row>
    <row r="570" spans="1:19">
      <c r="A570"/>
      <c r="B570"/>
    </row>
    <row r="571" spans="1:19">
      <c r="A571"/>
      <c r="B571"/>
    </row>
    <row r="572" spans="1:19">
      <c r="A572"/>
      <c r="B572"/>
    </row>
    <row r="573" spans="1:19">
      <c r="A573"/>
      <c r="B573"/>
    </row>
    <row r="574" spans="1:19">
      <c r="A574"/>
      <c r="B574"/>
    </row>
    <row r="575" spans="1:19">
      <c r="A575"/>
      <c r="B575"/>
    </row>
    <row r="576" spans="1:19">
      <c r="A576"/>
      <c r="B576"/>
    </row>
    <row r="577" spans="1:2">
      <c r="A577"/>
      <c r="B577"/>
    </row>
    <row r="578" spans="1:2">
      <c r="A578"/>
      <c r="B578"/>
    </row>
    <row r="579" spans="1:2">
      <c r="A579"/>
      <c r="B579"/>
    </row>
    <row r="580" spans="1:2">
      <c r="A580"/>
      <c r="B580"/>
    </row>
    <row r="581" spans="1:2">
      <c r="A581"/>
      <c r="B581"/>
    </row>
    <row r="582" spans="1:2">
      <c r="A582"/>
      <c r="B582"/>
    </row>
    <row r="583" spans="1:2">
      <c r="A583"/>
      <c r="B583"/>
    </row>
    <row r="584" spans="1:2">
      <c r="A584"/>
      <c r="B584"/>
    </row>
    <row r="585" spans="1:2">
      <c r="A585"/>
      <c r="B585"/>
    </row>
    <row r="586" spans="1:2">
      <c r="A586"/>
      <c r="B586"/>
    </row>
    <row r="587" spans="1:2">
      <c r="A587"/>
      <c r="B587"/>
    </row>
    <row r="588" spans="1:2">
      <c r="A588"/>
      <c r="B588"/>
    </row>
    <row r="589" spans="1:2">
      <c r="A589"/>
      <c r="B589"/>
    </row>
    <row r="590" spans="1:2">
      <c r="A590"/>
      <c r="B590"/>
    </row>
    <row r="591" spans="1:2">
      <c r="A591"/>
      <c r="B591"/>
    </row>
    <row r="592" spans="1:2">
      <c r="A592"/>
      <c r="B592"/>
    </row>
    <row r="593" spans="1:2">
      <c r="A593"/>
      <c r="B593"/>
    </row>
    <row r="594" spans="1:2">
      <c r="A594"/>
      <c r="B594"/>
    </row>
    <row r="595" spans="1:2">
      <c r="A595"/>
      <c r="B595"/>
    </row>
    <row r="596" spans="1:2">
      <c r="A596"/>
      <c r="B596"/>
    </row>
    <row r="597" spans="1:2">
      <c r="A597"/>
      <c r="B597"/>
    </row>
    <row r="598" spans="1:2">
      <c r="A598"/>
      <c r="B598"/>
    </row>
    <row r="599" spans="1:2">
      <c r="A599"/>
      <c r="B599"/>
    </row>
    <row r="600" spans="1:2">
      <c r="A600"/>
      <c r="B600"/>
    </row>
    <row r="601" spans="1:2">
      <c r="A601"/>
      <c r="B601"/>
    </row>
    <row r="602" spans="1:2">
      <c r="A602"/>
      <c r="B602"/>
    </row>
    <row r="603" spans="1:2">
      <c r="A603"/>
      <c r="B603"/>
    </row>
    <row r="604" spans="1:2">
      <c r="A604"/>
      <c r="B604"/>
    </row>
    <row r="605" spans="1:2">
      <c r="A605"/>
      <c r="B605"/>
    </row>
    <row r="606" spans="1:2">
      <c r="A606"/>
      <c r="B606"/>
    </row>
    <row r="607" spans="1:2">
      <c r="A607"/>
      <c r="B607"/>
    </row>
    <row r="608" spans="1:2">
      <c r="A608"/>
      <c r="B608"/>
    </row>
    <row r="609" spans="1:2">
      <c r="A609"/>
      <c r="B609"/>
    </row>
    <row r="610" spans="1:2">
      <c r="A610"/>
      <c r="B610"/>
    </row>
    <row r="611" spans="1:2">
      <c r="A611"/>
      <c r="B611"/>
    </row>
    <row r="612" spans="1:2">
      <c r="A612"/>
      <c r="B612"/>
    </row>
    <row r="613" spans="1:2">
      <c r="A613"/>
      <c r="B613"/>
    </row>
    <row r="614" spans="1:2">
      <c r="A614"/>
      <c r="B614"/>
    </row>
    <row r="615" spans="1:2">
      <c r="A615"/>
      <c r="B615"/>
    </row>
    <row r="616" spans="1:2">
      <c r="A616"/>
      <c r="B616"/>
    </row>
    <row r="617" spans="1:2">
      <c r="A617"/>
      <c r="B617"/>
    </row>
    <row r="618" spans="1:2">
      <c r="A618"/>
      <c r="B618"/>
    </row>
    <row r="619" spans="1:2">
      <c r="A619"/>
      <c r="B619"/>
    </row>
    <row r="620" spans="1:2">
      <c r="A620"/>
      <c r="B620"/>
    </row>
    <row r="621" spans="1:2">
      <c r="A621"/>
      <c r="B621"/>
    </row>
    <row r="622" spans="1:2">
      <c r="A622"/>
      <c r="B622"/>
    </row>
    <row r="623" spans="1:2">
      <c r="A623"/>
      <c r="B623"/>
    </row>
    <row r="624" spans="1:2">
      <c r="A624"/>
      <c r="B624"/>
    </row>
    <row r="625" spans="1:2">
      <c r="A625"/>
      <c r="B625"/>
    </row>
    <row r="626" spans="1:2">
      <c r="A626"/>
      <c r="B626"/>
    </row>
    <row r="627" spans="1:2">
      <c r="A627"/>
      <c r="B627"/>
    </row>
    <row r="628" spans="1:2">
      <c r="A628"/>
      <c r="B628"/>
    </row>
    <row r="629" spans="1:2">
      <c r="A629"/>
      <c r="B629"/>
    </row>
    <row r="630" spans="1:2">
      <c r="A630"/>
      <c r="B630"/>
    </row>
    <row r="631" spans="1:2">
      <c r="A631"/>
      <c r="B631"/>
    </row>
    <row r="632" spans="1:2">
      <c r="A632"/>
      <c r="B632"/>
    </row>
    <row r="633" spans="1:2">
      <c r="A633"/>
      <c r="B633"/>
    </row>
    <row r="634" spans="1:2">
      <c r="A634"/>
      <c r="B634"/>
    </row>
    <row r="635" spans="1:2">
      <c r="A635"/>
      <c r="B635"/>
    </row>
    <row r="636" spans="1:2">
      <c r="A636"/>
      <c r="B636"/>
    </row>
    <row r="637" spans="1:2">
      <c r="A637"/>
      <c r="B637"/>
    </row>
    <row r="638" spans="1:2">
      <c r="A638"/>
      <c r="B638"/>
    </row>
    <row r="639" spans="1:2">
      <c r="A639"/>
      <c r="B639"/>
    </row>
    <row r="640" spans="1:2">
      <c r="A640"/>
      <c r="B640"/>
    </row>
    <row r="641" spans="1:2">
      <c r="A641"/>
      <c r="B641"/>
    </row>
    <row r="642" spans="1:2">
      <c r="A642"/>
      <c r="B642"/>
    </row>
    <row r="643" spans="1:2">
      <c r="A643"/>
      <c r="B643"/>
    </row>
    <row r="644" spans="1:2">
      <c r="A644"/>
      <c r="B644"/>
    </row>
    <row r="645" spans="1:2">
      <c r="A645"/>
      <c r="B645"/>
    </row>
    <row r="646" spans="1:2">
      <c r="A646"/>
      <c r="B646"/>
    </row>
    <row r="647" spans="1:2">
      <c r="A647"/>
      <c r="B647"/>
    </row>
    <row r="648" spans="1:2">
      <c r="A648"/>
      <c r="B648"/>
    </row>
    <row r="649" spans="1:2">
      <c r="A649"/>
      <c r="B649"/>
    </row>
    <row r="650" spans="1:2">
      <c r="A650"/>
      <c r="B650"/>
    </row>
    <row r="651" spans="1:2">
      <c r="A651"/>
      <c r="B651"/>
    </row>
    <row r="652" spans="1:2">
      <c r="A652"/>
      <c r="B652"/>
    </row>
    <row r="653" spans="1:2">
      <c r="A653"/>
      <c r="B653"/>
    </row>
    <row r="654" spans="1:2">
      <c r="A654"/>
      <c r="B654"/>
    </row>
    <row r="655" spans="1:2">
      <c r="A655"/>
      <c r="B655"/>
    </row>
    <row r="656" spans="1:2">
      <c r="A656"/>
      <c r="B656"/>
    </row>
    <row r="657" spans="1:2">
      <c r="A657"/>
      <c r="B657"/>
    </row>
    <row r="658" spans="1:2">
      <c r="A658"/>
      <c r="B658"/>
    </row>
    <row r="659" spans="1:2">
      <c r="A659"/>
      <c r="B659"/>
    </row>
    <row r="660" spans="1:2">
      <c r="A660"/>
      <c r="B660"/>
    </row>
    <row r="661" spans="1:2">
      <c r="A661"/>
      <c r="B661"/>
    </row>
    <row r="662" spans="1:2">
      <c r="A662"/>
      <c r="B662"/>
    </row>
    <row r="663" spans="1:2">
      <c r="A663"/>
      <c r="B663"/>
    </row>
    <row r="664" spans="1:2">
      <c r="A664"/>
      <c r="B664"/>
    </row>
    <row r="665" spans="1:2">
      <c r="A665"/>
      <c r="B665"/>
    </row>
    <row r="666" spans="1:2">
      <c r="A666"/>
      <c r="B666"/>
    </row>
    <row r="667" spans="1:2">
      <c r="A667"/>
      <c r="B667"/>
    </row>
    <row r="668" spans="1:2">
      <c r="A668"/>
      <c r="B668"/>
    </row>
    <row r="669" spans="1:2">
      <c r="A669"/>
      <c r="B669"/>
    </row>
    <row r="670" spans="1:2">
      <c r="A670"/>
      <c r="B670"/>
    </row>
    <row r="671" spans="1:2">
      <c r="A671"/>
      <c r="B671"/>
    </row>
    <row r="672" spans="1:2">
      <c r="A672"/>
      <c r="B672"/>
    </row>
    <row r="673" spans="1:2">
      <c r="A673"/>
      <c r="B673"/>
    </row>
    <row r="674" spans="1:2">
      <c r="A674"/>
      <c r="B674"/>
    </row>
    <row r="675" spans="1:2">
      <c r="A675"/>
      <c r="B675"/>
    </row>
    <row r="676" spans="1:2">
      <c r="A676"/>
      <c r="B676"/>
    </row>
    <row r="677" spans="1:2">
      <c r="A677"/>
      <c r="B677"/>
    </row>
    <row r="678" spans="1:2">
      <c r="A678"/>
      <c r="B678"/>
    </row>
    <row r="679" spans="1:2">
      <c r="A679"/>
      <c r="B679"/>
    </row>
    <row r="680" spans="1:2">
      <c r="A680"/>
      <c r="B680"/>
    </row>
    <row r="681" spans="1:2">
      <c r="A681"/>
      <c r="B681"/>
    </row>
    <row r="682" spans="1:2">
      <c r="A682"/>
      <c r="B682"/>
    </row>
    <row r="683" spans="1:2">
      <c r="A683"/>
      <c r="B683"/>
    </row>
    <row r="684" spans="1:2">
      <c r="A684"/>
      <c r="B684"/>
    </row>
    <row r="685" spans="1:2">
      <c r="A685"/>
      <c r="B685"/>
    </row>
    <row r="686" spans="1:2">
      <c r="A686"/>
      <c r="B686"/>
    </row>
    <row r="687" spans="1:2">
      <c r="A687"/>
      <c r="B687"/>
    </row>
    <row r="688" spans="1:2">
      <c r="A688"/>
      <c r="B688"/>
    </row>
    <row r="689" spans="1:2">
      <c r="A689"/>
      <c r="B689"/>
    </row>
    <row r="690" spans="1:2">
      <c r="A690"/>
      <c r="B690"/>
    </row>
    <row r="691" spans="1:2">
      <c r="A691"/>
      <c r="B691"/>
    </row>
    <row r="692" spans="1:2">
      <c r="A692"/>
      <c r="B692"/>
    </row>
    <row r="693" spans="1:2">
      <c r="A693"/>
      <c r="B693"/>
    </row>
    <row r="694" spans="1:2">
      <c r="A694"/>
      <c r="B694"/>
    </row>
    <row r="695" spans="1:2">
      <c r="A695"/>
      <c r="B695"/>
    </row>
    <row r="696" spans="1:2">
      <c r="A696"/>
      <c r="B696"/>
    </row>
    <row r="697" spans="1:2">
      <c r="A697"/>
      <c r="B697"/>
    </row>
    <row r="698" spans="1:2">
      <c r="A698"/>
      <c r="B698"/>
    </row>
    <row r="699" spans="1:2">
      <c r="A699"/>
      <c r="B699"/>
    </row>
    <row r="700" spans="1:2">
      <c r="A700"/>
      <c r="B700"/>
    </row>
    <row r="701" spans="1:2">
      <c r="A701"/>
      <c r="B701"/>
    </row>
    <row r="702" spans="1:2">
      <c r="A702"/>
      <c r="B702"/>
    </row>
    <row r="703" spans="1:2">
      <c r="A703"/>
      <c r="B703"/>
    </row>
    <row r="704" spans="1:2">
      <c r="A704"/>
      <c r="B704"/>
    </row>
    <row r="705" spans="1:2">
      <c r="A705"/>
      <c r="B705"/>
    </row>
    <row r="706" spans="1:2">
      <c r="A706"/>
      <c r="B706"/>
    </row>
    <row r="707" spans="1:2">
      <c r="A707"/>
      <c r="B707"/>
    </row>
    <row r="708" spans="1:2">
      <c r="A708"/>
      <c r="B708"/>
    </row>
    <row r="709" spans="1:2">
      <c r="A709"/>
      <c r="B709"/>
    </row>
    <row r="710" spans="1:2">
      <c r="A710"/>
      <c r="B710"/>
    </row>
    <row r="711" spans="1:2">
      <c r="A711"/>
      <c r="B711"/>
    </row>
    <row r="712" spans="1:2">
      <c r="A712"/>
      <c r="B712"/>
    </row>
    <row r="713" spans="1:2">
      <c r="A713"/>
      <c r="B713"/>
    </row>
    <row r="714" spans="1:2">
      <c r="A714"/>
      <c r="B714"/>
    </row>
    <row r="715" spans="1:2">
      <c r="A715"/>
      <c r="B715"/>
    </row>
    <row r="716" spans="1:2">
      <c r="A716"/>
      <c r="B716"/>
    </row>
    <row r="717" spans="1:2">
      <c r="A717"/>
      <c r="B717"/>
    </row>
    <row r="718" spans="1:2">
      <c r="A718"/>
      <c r="B718"/>
    </row>
    <row r="719" spans="1:2">
      <c r="A719"/>
      <c r="B719"/>
    </row>
    <row r="720" spans="1:2">
      <c r="A720"/>
      <c r="B720"/>
    </row>
    <row r="721" spans="1:2">
      <c r="A721"/>
      <c r="B721"/>
    </row>
    <row r="722" spans="1:2">
      <c r="A722"/>
      <c r="B722"/>
    </row>
    <row r="723" spans="1:2">
      <c r="A723"/>
      <c r="B723"/>
    </row>
    <row r="724" spans="1:2">
      <c r="A724"/>
      <c r="B724"/>
    </row>
    <row r="725" spans="1:2">
      <c r="A725"/>
      <c r="B725"/>
    </row>
    <row r="726" spans="1:2">
      <c r="A726"/>
      <c r="B726"/>
    </row>
    <row r="727" spans="1:2">
      <c r="A727"/>
      <c r="B727"/>
    </row>
    <row r="728" spans="1:2">
      <c r="A728"/>
      <c r="B728"/>
    </row>
    <row r="729" spans="1:2">
      <c r="A729"/>
      <c r="B729"/>
    </row>
    <row r="730" spans="1:2">
      <c r="A730"/>
      <c r="B730"/>
    </row>
    <row r="731" spans="1:2">
      <c r="A731"/>
      <c r="B731"/>
    </row>
    <row r="732" spans="1:2">
      <c r="A732"/>
      <c r="B732"/>
    </row>
    <row r="733" spans="1:2">
      <c r="A733"/>
      <c r="B733"/>
    </row>
    <row r="734" spans="1:2">
      <c r="A734"/>
      <c r="B734"/>
    </row>
    <row r="735" spans="1:2">
      <c r="A735"/>
      <c r="B735"/>
    </row>
    <row r="736" spans="1:2">
      <c r="A736"/>
      <c r="B736"/>
    </row>
    <row r="737" spans="1:2">
      <c r="A737"/>
      <c r="B737"/>
    </row>
    <row r="738" spans="1:2">
      <c r="A738"/>
      <c r="B738"/>
    </row>
    <row r="739" spans="1:2">
      <c r="A739"/>
      <c r="B739"/>
    </row>
    <row r="740" spans="1:2">
      <c r="A740"/>
      <c r="B740"/>
    </row>
    <row r="741" spans="1:2">
      <c r="A741"/>
      <c r="B741"/>
    </row>
    <row r="742" spans="1:2">
      <c r="A742"/>
      <c r="B742"/>
    </row>
    <row r="743" spans="1:2">
      <c r="A743"/>
      <c r="B743"/>
    </row>
    <row r="744" spans="1:2">
      <c r="A744"/>
      <c r="B744"/>
    </row>
    <row r="745" spans="1:2">
      <c r="A745"/>
      <c r="B745"/>
    </row>
    <row r="746" spans="1:2">
      <c r="A746"/>
      <c r="B746"/>
    </row>
    <row r="747" spans="1:2">
      <c r="A747"/>
      <c r="B747"/>
    </row>
    <row r="748" spans="1:2">
      <c r="A748"/>
      <c r="B748"/>
    </row>
    <row r="749" spans="1:2">
      <c r="A749"/>
      <c r="B749"/>
    </row>
    <row r="750" spans="1:2">
      <c r="A750"/>
      <c r="B750"/>
    </row>
    <row r="751" spans="1:2">
      <c r="A751"/>
      <c r="B751"/>
    </row>
    <row r="752" spans="1:2">
      <c r="A752"/>
      <c r="B752"/>
    </row>
    <row r="753" spans="1:2">
      <c r="A753"/>
      <c r="B753"/>
    </row>
    <row r="754" spans="1:2">
      <c r="A754"/>
      <c r="B754"/>
    </row>
    <row r="755" spans="1:2">
      <c r="A755"/>
      <c r="B755"/>
    </row>
    <row r="756" spans="1:2">
      <c r="A756"/>
      <c r="B756"/>
    </row>
    <row r="757" spans="1:2">
      <c r="A757"/>
      <c r="B757"/>
    </row>
    <row r="758" spans="1:2">
      <c r="A758"/>
      <c r="B758"/>
    </row>
    <row r="759" spans="1:2">
      <c r="A759"/>
      <c r="B759"/>
    </row>
    <row r="760" spans="1:2">
      <c r="A760"/>
      <c r="B760"/>
    </row>
    <row r="761" spans="1:2">
      <c r="A761"/>
      <c r="B761"/>
    </row>
    <row r="762" spans="1:2">
      <c r="A762"/>
      <c r="B762"/>
    </row>
    <row r="763" spans="1:2">
      <c r="A763"/>
      <c r="B763"/>
    </row>
    <row r="764" spans="1:2">
      <c r="A764"/>
      <c r="B764"/>
    </row>
    <row r="765" spans="1:2">
      <c r="A765"/>
      <c r="B765"/>
    </row>
    <row r="766" spans="1:2">
      <c r="A766"/>
      <c r="B766"/>
    </row>
    <row r="767" spans="1:2">
      <c r="A767"/>
      <c r="B767"/>
    </row>
    <row r="768" spans="1:2">
      <c r="A768"/>
      <c r="B768"/>
    </row>
    <row r="769" spans="1:2">
      <c r="A769"/>
      <c r="B769"/>
    </row>
    <row r="770" spans="1:2">
      <c r="A770"/>
      <c r="B770"/>
    </row>
    <row r="771" spans="1:2">
      <c r="A771"/>
      <c r="B771"/>
    </row>
    <row r="772" spans="1:2">
      <c r="A772"/>
      <c r="B772"/>
    </row>
    <row r="773" spans="1:2">
      <c r="A773"/>
      <c r="B773"/>
    </row>
    <row r="774" spans="1:2">
      <c r="A774"/>
      <c r="B774"/>
    </row>
    <row r="775" spans="1:2">
      <c r="A775"/>
      <c r="B775"/>
    </row>
    <row r="776" spans="1:2">
      <c r="A776"/>
      <c r="B776"/>
    </row>
    <row r="777" spans="1:2">
      <c r="A777"/>
      <c r="B777"/>
    </row>
    <row r="778" spans="1:2">
      <c r="A778"/>
      <c r="B778"/>
    </row>
    <row r="779" spans="1:2">
      <c r="A779"/>
      <c r="B779"/>
    </row>
    <row r="780" spans="1:2">
      <c r="A780"/>
      <c r="B780"/>
    </row>
    <row r="781" spans="1:2">
      <c r="A781"/>
      <c r="B781"/>
    </row>
    <row r="782" spans="1:2">
      <c r="A782"/>
      <c r="B782"/>
    </row>
    <row r="783" spans="1:2">
      <c r="A783"/>
      <c r="B783"/>
    </row>
    <row r="784" spans="1:2">
      <c r="A784"/>
      <c r="B784"/>
    </row>
    <row r="785" spans="1:2">
      <c r="A785"/>
      <c r="B785"/>
    </row>
    <row r="786" spans="1:2">
      <c r="A786"/>
      <c r="B786"/>
    </row>
    <row r="787" spans="1:2">
      <c r="A787"/>
      <c r="B787"/>
    </row>
    <row r="788" spans="1:2">
      <c r="A788"/>
      <c r="B788"/>
    </row>
    <row r="789" spans="1:2">
      <c r="A789"/>
      <c r="B789"/>
    </row>
    <row r="790" spans="1:2">
      <c r="A790"/>
      <c r="B790"/>
    </row>
    <row r="791" spans="1:2">
      <c r="A791"/>
      <c r="B791"/>
    </row>
    <row r="792" spans="1:2">
      <c r="A792"/>
      <c r="B792"/>
    </row>
    <row r="793" spans="1:2">
      <c r="A793"/>
      <c r="B793"/>
    </row>
    <row r="794" spans="1:2">
      <c r="A794"/>
      <c r="B794"/>
    </row>
    <row r="795" spans="1:2">
      <c r="A795"/>
      <c r="B795"/>
    </row>
    <row r="796" spans="1:2">
      <c r="A796"/>
      <c r="B796"/>
    </row>
    <row r="797" spans="1:2">
      <c r="A797"/>
      <c r="B797"/>
    </row>
    <row r="798" spans="1:2">
      <c r="A798"/>
      <c r="B798"/>
    </row>
    <row r="799" spans="1:2">
      <c r="A799"/>
      <c r="B799"/>
    </row>
    <row r="800" spans="1:2">
      <c r="A800"/>
      <c r="B800"/>
    </row>
    <row r="801" spans="1:2">
      <c r="A801"/>
      <c r="B801"/>
    </row>
    <row r="802" spans="1:2">
      <c r="A802"/>
      <c r="B802"/>
    </row>
    <row r="803" spans="1:2">
      <c r="A803"/>
      <c r="B803"/>
    </row>
    <row r="804" spans="1:2">
      <c r="A804"/>
      <c r="B804"/>
    </row>
    <row r="805" spans="1:2">
      <c r="A805"/>
      <c r="B805"/>
    </row>
    <row r="806" spans="1:2">
      <c r="A806"/>
      <c r="B806"/>
    </row>
    <row r="807" spans="1:2">
      <c r="A807"/>
      <c r="B807"/>
    </row>
    <row r="808" spans="1:2">
      <c r="A808"/>
      <c r="B808"/>
    </row>
    <row r="809" spans="1:2">
      <c r="A809"/>
      <c r="B809"/>
    </row>
    <row r="810" spans="1:2">
      <c r="A810"/>
      <c r="B810"/>
    </row>
    <row r="811" spans="1:2">
      <c r="A811"/>
      <c r="B811"/>
    </row>
    <row r="812" spans="1:2">
      <c r="A812"/>
      <c r="B812"/>
    </row>
    <row r="813" spans="1:2">
      <c r="A813"/>
      <c r="B813"/>
    </row>
    <row r="814" spans="1:2">
      <c r="A814"/>
      <c r="B814"/>
    </row>
    <row r="815" spans="1:2">
      <c r="A815"/>
      <c r="B815"/>
    </row>
    <row r="816" spans="1:2">
      <c r="A816"/>
      <c r="B816"/>
    </row>
    <row r="817" spans="1:2">
      <c r="A817"/>
      <c r="B817"/>
    </row>
    <row r="818" spans="1:2">
      <c r="A818"/>
      <c r="B818"/>
    </row>
    <row r="819" spans="1:2">
      <c r="A819"/>
      <c r="B819"/>
    </row>
    <row r="820" spans="1:2">
      <c r="A820"/>
      <c r="B820"/>
    </row>
    <row r="821" spans="1:2">
      <c r="A821"/>
      <c r="B821"/>
    </row>
    <row r="822" spans="1:2">
      <c r="A822"/>
      <c r="B822"/>
    </row>
    <row r="823" spans="1:2">
      <c r="A823"/>
      <c r="B823"/>
    </row>
    <row r="824" spans="1:2">
      <c r="A824"/>
      <c r="B824"/>
    </row>
    <row r="825" spans="1:2">
      <c r="A825"/>
      <c r="B825"/>
    </row>
    <row r="826" spans="1:2">
      <c r="A826"/>
      <c r="B826"/>
    </row>
    <row r="827" spans="1:2">
      <c r="A827"/>
      <c r="B827"/>
    </row>
    <row r="828" spans="1:2">
      <c r="A828"/>
      <c r="B828"/>
    </row>
    <row r="829" spans="1:2">
      <c r="A829"/>
      <c r="B829"/>
    </row>
    <row r="830" spans="1:2">
      <c r="A830"/>
      <c r="B830"/>
    </row>
    <row r="831" spans="1:2">
      <c r="A831"/>
      <c r="B831"/>
    </row>
    <row r="832" spans="1:2">
      <c r="A832"/>
      <c r="B832"/>
    </row>
    <row r="833" spans="1:2">
      <c r="A833"/>
      <c r="B833"/>
    </row>
    <row r="834" spans="1:2">
      <c r="A834"/>
      <c r="B834"/>
    </row>
    <row r="835" spans="1:2">
      <c r="A835"/>
      <c r="B835"/>
    </row>
    <row r="836" spans="1:2">
      <c r="A836"/>
      <c r="B836"/>
    </row>
    <row r="837" spans="1:2">
      <c r="A837"/>
      <c r="B837"/>
    </row>
    <row r="838" spans="1:2">
      <c r="A838"/>
      <c r="B838"/>
    </row>
    <row r="839" spans="1:2">
      <c r="A839"/>
      <c r="B839"/>
    </row>
    <row r="840" spans="1:2">
      <c r="A840"/>
      <c r="B840"/>
    </row>
    <row r="841" spans="1:2">
      <c r="A841"/>
      <c r="B841"/>
    </row>
    <row r="842" spans="1:2">
      <c r="A842"/>
      <c r="B842"/>
    </row>
    <row r="843" spans="1:2">
      <c r="A843"/>
      <c r="B843"/>
    </row>
    <row r="844" spans="1:2">
      <c r="A844"/>
      <c r="B844"/>
    </row>
    <row r="845" spans="1:2">
      <c r="A845"/>
      <c r="B845"/>
    </row>
    <row r="846" spans="1:2">
      <c r="A846"/>
      <c r="B846"/>
    </row>
    <row r="847" spans="1:2">
      <c r="A847"/>
      <c r="B847"/>
    </row>
    <row r="848" spans="1:2">
      <c r="A848"/>
      <c r="B848"/>
    </row>
    <row r="849" spans="1:2">
      <c r="A849"/>
      <c r="B849"/>
    </row>
    <row r="850" spans="1:2">
      <c r="A850"/>
      <c r="B850"/>
    </row>
    <row r="851" spans="1:2">
      <c r="A851"/>
      <c r="B851"/>
    </row>
    <row r="852" spans="1:2">
      <c r="A852"/>
      <c r="B852"/>
    </row>
    <row r="853" spans="1:2">
      <c r="A853"/>
      <c r="B853"/>
    </row>
    <row r="854" spans="1:2">
      <c r="A854"/>
      <c r="B854"/>
    </row>
    <row r="855" spans="1:2">
      <c r="A855"/>
      <c r="B855"/>
    </row>
    <row r="856" spans="1:2">
      <c r="A856"/>
      <c r="B856"/>
    </row>
    <row r="857" spans="1:2">
      <c r="A857"/>
      <c r="B857"/>
    </row>
    <row r="858" spans="1:2">
      <c r="A858"/>
      <c r="B858"/>
    </row>
    <row r="859" spans="1:2">
      <c r="A859"/>
      <c r="B859"/>
    </row>
    <row r="860" spans="1:2">
      <c r="A860"/>
      <c r="B860"/>
    </row>
    <row r="861" spans="1:2">
      <c r="A861"/>
      <c r="B861"/>
    </row>
    <row r="862" spans="1:2">
      <c r="A862"/>
      <c r="B862"/>
    </row>
    <row r="863" spans="1:2">
      <c r="A863"/>
      <c r="B863"/>
    </row>
    <row r="864" spans="1:2">
      <c r="A864"/>
      <c r="B864"/>
    </row>
    <row r="865" spans="1:2">
      <c r="A865"/>
      <c r="B865"/>
    </row>
    <row r="866" spans="1:2">
      <c r="A866"/>
      <c r="B866"/>
    </row>
    <row r="867" spans="1:2">
      <c r="A867"/>
      <c r="B867"/>
    </row>
    <row r="868" spans="1:2">
      <c r="A868"/>
      <c r="B868"/>
    </row>
    <row r="869" spans="1:2">
      <c r="A869"/>
      <c r="B869"/>
    </row>
    <row r="870" spans="1:2">
      <c r="A870"/>
      <c r="B870"/>
    </row>
    <row r="871" spans="1:2">
      <c r="A871"/>
      <c r="B871"/>
    </row>
    <row r="872" spans="1:2">
      <c r="A872"/>
      <c r="B872"/>
    </row>
    <row r="873" spans="1:2">
      <c r="A873"/>
      <c r="B873"/>
    </row>
    <row r="874" spans="1:2">
      <c r="A874"/>
      <c r="B874"/>
    </row>
    <row r="875" spans="1:2">
      <c r="A875"/>
      <c r="B875"/>
    </row>
    <row r="876" spans="1:2">
      <c r="A876"/>
      <c r="B876"/>
    </row>
    <row r="877" spans="1:2">
      <c r="A877"/>
      <c r="B877"/>
    </row>
    <row r="878" spans="1:2">
      <c r="A878"/>
      <c r="B878"/>
    </row>
    <row r="879" spans="1:2">
      <c r="A879"/>
      <c r="B879"/>
    </row>
    <row r="880" spans="1:2">
      <c r="A880"/>
      <c r="B880"/>
    </row>
    <row r="881" spans="1:2">
      <c r="A881"/>
      <c r="B881"/>
    </row>
    <row r="882" spans="1:2">
      <c r="A882"/>
      <c r="B882"/>
    </row>
    <row r="883" spans="1:2">
      <c r="A883"/>
      <c r="B883"/>
    </row>
    <row r="884" spans="1:2">
      <c r="A884"/>
      <c r="B884"/>
    </row>
    <row r="885" spans="1:2">
      <c r="A885"/>
    </row>
    <row r="886" spans="1:2">
      <c r="A886"/>
    </row>
    <row r="887" spans="1:2">
      <c r="A887"/>
    </row>
    <row r="888" spans="1:2">
      <c r="A888"/>
    </row>
    <row r="889" spans="1:2">
      <c r="A889"/>
    </row>
    <row r="890" spans="1:2">
      <c r="A890"/>
    </row>
    <row r="891" spans="1:2">
      <c r="A891"/>
    </row>
    <row r="892" spans="1:2">
      <c r="A892"/>
    </row>
    <row r="893" spans="1:2">
      <c r="A893"/>
    </row>
    <row r="894" spans="1:2">
      <c r="A894"/>
    </row>
    <row r="895" spans="1:2">
      <c r="A895"/>
    </row>
    <row r="896" spans="1:2">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sheetData>
  <autoFilter ref="A108:CX371">
    <filterColumn colId="2">
      <filters>
        <filter val="0.26%"/>
        <filter val="0.30%"/>
        <filter val="0.34%"/>
        <filter val="0.36%"/>
        <filter val="0.37%"/>
        <filter val="0.42%"/>
        <filter val="0.62%"/>
        <filter val="0.64%"/>
        <filter val="0.70%"/>
        <filter val="0.75%"/>
        <filter val="0.88%"/>
        <filter val="0.99%"/>
        <filter val="1.01%"/>
        <filter val="1.04%"/>
        <filter val="1.09%"/>
        <filter val="1.14%"/>
        <filter val="1.19%"/>
        <filter val="1.23%"/>
        <filter val="1.26%"/>
        <filter val="1.32%"/>
        <filter val="1.35%"/>
        <filter val="1.43%"/>
        <filter val="1.63%"/>
        <filter val="1.68%"/>
        <filter val="1.74%"/>
        <filter val="10.31%"/>
        <filter val="10.79%"/>
        <filter val="11.97%"/>
        <filter val="12.31%"/>
        <filter val="12.82%"/>
        <filter val="14.49%"/>
        <filter val="14.62%"/>
        <filter val="15.63%"/>
        <filter val="15.79%"/>
        <filter val="17.19%"/>
        <filter val="17.37%"/>
        <filter val="17.48%"/>
        <filter val="18.02%"/>
        <filter val="19.99%"/>
        <filter val="2.01%"/>
        <filter val="2.11%"/>
        <filter val="2.27%"/>
        <filter val="2.31%"/>
        <filter val="2.68%"/>
        <filter val="2.69%"/>
        <filter val="2.75%"/>
        <filter val="2.76%"/>
        <filter val="23.31%"/>
        <filter val="23.66%"/>
        <filter val="28.73%"/>
        <filter val="3.09%"/>
        <filter val="3.13%"/>
        <filter val="3.35%"/>
        <filter val="3.42%"/>
        <filter val="3.46%"/>
        <filter val="3.48%"/>
        <filter val="3.50%"/>
        <filter val="3.53%"/>
        <filter val="3.56%"/>
        <filter val="3.57%"/>
        <filter val="3.71%"/>
        <filter val="3.73%"/>
        <filter val="3.85%"/>
        <filter val="35.00%"/>
        <filter val="36.10%"/>
        <filter val="4.03%"/>
        <filter val="4.08%"/>
        <filter val="4.26%"/>
        <filter val="4.51%"/>
        <filter val="4.70%"/>
        <filter val="4.93%"/>
        <filter val="5.12%"/>
        <filter val="5.90%"/>
        <filter val="6.25%"/>
        <filter val="6.62%"/>
        <filter val="6.86%"/>
        <filter val="62.81%"/>
        <filter val="642.14%"/>
        <filter val="7.39%"/>
        <filter val="7.53%"/>
        <filter val="8.09%"/>
        <filter val="8.36%"/>
        <filter val="8.99%"/>
        <filter val="9.09%"/>
        <filter val="9.11%"/>
        <filter val="9.71%"/>
        <filter val="Sum of % of Appeal Covered by ARC"/>
      </filters>
    </filterColumn>
  </autoFilter>
  <pageMargins left="0.7" right="0.7" top="0.75" bottom="0.75" header="0.3" footer="0.3"/>
  <drawing r:id="rId4"/>
</worksheet>
</file>

<file path=xl/worksheets/sheet9.xml><?xml version="1.0" encoding="utf-8"?>
<worksheet xmlns="http://schemas.openxmlformats.org/spreadsheetml/2006/main" xmlns:r="http://schemas.openxmlformats.org/officeDocument/2006/relationships">
  <sheetPr codeName="Sheet7"/>
  <dimension ref="A2:D83"/>
  <sheetViews>
    <sheetView topLeftCell="A64" workbookViewId="0">
      <selection activeCell="H31" sqref="H31"/>
    </sheetView>
  </sheetViews>
  <sheetFormatPr defaultRowHeight="12.75"/>
  <cols>
    <col min="1" max="1" width="22.5703125" customWidth="1"/>
    <col min="2" max="2" width="17" customWidth="1"/>
    <col min="3" max="3" width="11.140625" customWidth="1"/>
    <col min="4" max="4" width="11.7109375" customWidth="1"/>
    <col min="5" max="5" width="27.85546875" customWidth="1"/>
    <col min="6" max="7" width="26.7109375" customWidth="1"/>
    <col min="8" max="8" width="23.5703125" customWidth="1"/>
    <col min="9" max="18" width="5" customWidth="1"/>
    <col min="19" max="19" width="11.7109375" bestFit="1" customWidth="1"/>
  </cols>
  <sheetData>
    <row r="2" spans="1:4">
      <c r="A2" s="767" t="s">
        <v>477</v>
      </c>
      <c r="B2" t="s">
        <v>362</v>
      </c>
    </row>
    <row r="3" spans="1:4">
      <c r="A3" s="767" t="s">
        <v>1960</v>
      </c>
      <c r="B3" t="s">
        <v>1768</v>
      </c>
    </row>
    <row r="5" spans="1:4">
      <c r="A5" s="767" t="s">
        <v>1718</v>
      </c>
      <c r="B5" s="767" t="s">
        <v>2121</v>
      </c>
    </row>
    <row r="6" spans="1:4">
      <c r="A6" s="767" t="s">
        <v>2108</v>
      </c>
      <c r="B6" t="s">
        <v>2123</v>
      </c>
      <c r="C6" t="s">
        <v>2122</v>
      </c>
      <c r="D6" t="s">
        <v>1207</v>
      </c>
    </row>
    <row r="7" spans="1:4">
      <c r="A7" s="70">
        <v>2007</v>
      </c>
      <c r="B7" s="611">
        <v>3</v>
      </c>
      <c r="C7" s="611">
        <v>5</v>
      </c>
      <c r="D7" s="611">
        <v>8</v>
      </c>
    </row>
    <row r="8" spans="1:4">
      <c r="A8" s="70">
        <v>2008</v>
      </c>
      <c r="B8" s="611">
        <v>4</v>
      </c>
      <c r="C8" s="611">
        <v>3</v>
      </c>
      <c r="D8" s="611">
        <v>7</v>
      </c>
    </row>
    <row r="9" spans="1:4">
      <c r="A9" s="70">
        <v>2009</v>
      </c>
      <c r="B9" s="611">
        <v>5</v>
      </c>
      <c r="C9" s="611">
        <v>2</v>
      </c>
      <c r="D9" s="611">
        <v>7</v>
      </c>
    </row>
    <row r="10" spans="1:4">
      <c r="A10" s="70">
        <v>2010</v>
      </c>
      <c r="B10" s="611">
        <v>2</v>
      </c>
      <c r="C10" s="611">
        <v>3</v>
      </c>
      <c r="D10" s="611">
        <v>5</v>
      </c>
    </row>
    <row r="11" spans="1:4">
      <c r="A11" s="70">
        <v>2011</v>
      </c>
      <c r="B11" s="611">
        <v>5</v>
      </c>
      <c r="C11" s="611">
        <v>2</v>
      </c>
      <c r="D11" s="611">
        <v>7</v>
      </c>
    </row>
    <row r="12" spans="1:4">
      <c r="A12" s="70" t="s">
        <v>1207</v>
      </c>
      <c r="B12" s="611">
        <v>19</v>
      </c>
      <c r="C12" s="611">
        <v>15</v>
      </c>
      <c r="D12" s="611">
        <v>34</v>
      </c>
    </row>
    <row r="30" spans="1:2">
      <c r="A30" s="767" t="s">
        <v>477</v>
      </c>
      <c r="B30" t="s">
        <v>362</v>
      </c>
    </row>
    <row r="31" spans="1:2">
      <c r="A31" s="767" t="s">
        <v>1960</v>
      </c>
      <c r="B31" t="s">
        <v>1884</v>
      </c>
    </row>
    <row r="33" spans="1:4">
      <c r="A33" s="767" t="s">
        <v>1718</v>
      </c>
      <c r="B33" s="767" t="s">
        <v>2121</v>
      </c>
    </row>
    <row r="34" spans="1:4">
      <c r="A34" s="767" t="s">
        <v>2108</v>
      </c>
      <c r="B34" t="s">
        <v>2123</v>
      </c>
      <c r="C34" t="s">
        <v>2122</v>
      </c>
      <c r="D34" t="s">
        <v>1207</v>
      </c>
    </row>
    <row r="35" spans="1:4">
      <c r="A35" s="70">
        <v>2007</v>
      </c>
      <c r="B35" s="611"/>
      <c r="C35" s="611">
        <v>2</v>
      </c>
      <c r="D35" s="611">
        <v>2</v>
      </c>
    </row>
    <row r="36" spans="1:4">
      <c r="A36" s="70">
        <v>2008</v>
      </c>
      <c r="B36" s="611">
        <v>1</v>
      </c>
      <c r="C36" s="611">
        <v>1</v>
      </c>
      <c r="D36" s="611">
        <v>2</v>
      </c>
    </row>
    <row r="37" spans="1:4">
      <c r="A37" s="70">
        <v>2009</v>
      </c>
      <c r="B37" s="611"/>
      <c r="C37" s="611">
        <v>1</v>
      </c>
      <c r="D37" s="611">
        <v>1</v>
      </c>
    </row>
    <row r="38" spans="1:4">
      <c r="A38" s="70">
        <v>2010</v>
      </c>
      <c r="B38" s="611"/>
      <c r="C38" s="611">
        <v>3</v>
      </c>
      <c r="D38" s="611">
        <v>3</v>
      </c>
    </row>
    <row r="39" spans="1:4">
      <c r="A39" s="70">
        <v>2011</v>
      </c>
      <c r="B39" s="611"/>
      <c r="C39" s="611">
        <v>1</v>
      </c>
      <c r="D39" s="611">
        <v>1</v>
      </c>
    </row>
    <row r="40" spans="1:4">
      <c r="A40" s="70" t="s">
        <v>1207</v>
      </c>
      <c r="B40" s="611">
        <v>1</v>
      </c>
      <c r="C40" s="611">
        <v>8</v>
      </c>
      <c r="D40" s="611">
        <v>9</v>
      </c>
    </row>
    <row r="47" spans="1:4">
      <c r="A47" s="767" t="s">
        <v>477</v>
      </c>
      <c r="B47" t="s">
        <v>362</v>
      </c>
    </row>
    <row r="48" spans="1:4">
      <c r="A48" s="767" t="s">
        <v>1960</v>
      </c>
      <c r="B48" t="s">
        <v>1768</v>
      </c>
    </row>
    <row r="50" spans="1:4">
      <c r="A50" s="767" t="s">
        <v>1718</v>
      </c>
      <c r="B50" s="767" t="s">
        <v>2121</v>
      </c>
    </row>
    <row r="51" spans="1:4">
      <c r="A51" s="767" t="s">
        <v>2108</v>
      </c>
      <c r="B51" t="s">
        <v>2123</v>
      </c>
      <c r="C51" t="s">
        <v>2122</v>
      </c>
      <c r="D51" t="s">
        <v>1207</v>
      </c>
    </row>
    <row r="52" spans="1:4">
      <c r="A52" s="70">
        <v>2007</v>
      </c>
      <c r="B52" s="611">
        <v>1</v>
      </c>
      <c r="C52" s="611">
        <v>7</v>
      </c>
      <c r="D52" s="611">
        <v>8</v>
      </c>
    </row>
    <row r="53" spans="1:4">
      <c r="A53" s="70">
        <v>2008</v>
      </c>
      <c r="B53" s="611">
        <v>3</v>
      </c>
      <c r="C53" s="611">
        <v>3</v>
      </c>
      <c r="D53" s="611">
        <v>6</v>
      </c>
    </row>
    <row r="54" spans="1:4">
      <c r="A54" s="70">
        <v>2009</v>
      </c>
      <c r="B54" s="611"/>
      <c r="C54" s="611">
        <v>1</v>
      </c>
      <c r="D54" s="611">
        <v>1</v>
      </c>
    </row>
    <row r="55" spans="1:4">
      <c r="A55" s="70">
        <v>2010</v>
      </c>
      <c r="B55" s="611">
        <v>3</v>
      </c>
      <c r="C55" s="611"/>
      <c r="D55" s="611">
        <v>3</v>
      </c>
    </row>
    <row r="56" spans="1:4">
      <c r="A56" s="70">
        <v>2011</v>
      </c>
      <c r="B56" s="611">
        <v>1</v>
      </c>
      <c r="C56" s="611">
        <v>1</v>
      </c>
      <c r="D56" s="611">
        <v>2</v>
      </c>
    </row>
    <row r="57" spans="1:4">
      <c r="A57" s="70" t="s">
        <v>1207</v>
      </c>
      <c r="B57" s="611">
        <v>8</v>
      </c>
      <c r="C57" s="611">
        <v>12</v>
      </c>
      <c r="D57" s="611">
        <v>20</v>
      </c>
    </row>
    <row r="63" spans="1:4">
      <c r="A63" s="767" t="s">
        <v>477</v>
      </c>
      <c r="B63" t="s">
        <v>362</v>
      </c>
    </row>
    <row r="64" spans="1:4">
      <c r="A64" s="767" t="s">
        <v>1960</v>
      </c>
      <c r="B64" t="s">
        <v>1768</v>
      </c>
    </row>
    <row r="66" spans="1:4">
      <c r="A66" s="767" t="s">
        <v>1718</v>
      </c>
      <c r="B66" s="767" t="s">
        <v>2121</v>
      </c>
    </row>
    <row r="67" spans="1:4">
      <c r="A67" s="767" t="s">
        <v>2108</v>
      </c>
      <c r="B67" t="s">
        <v>2123</v>
      </c>
      <c r="C67" t="s">
        <v>2122</v>
      </c>
      <c r="D67" t="s">
        <v>1207</v>
      </c>
    </row>
    <row r="68" spans="1:4">
      <c r="A68" s="70">
        <v>2007</v>
      </c>
      <c r="B68" s="611">
        <v>1</v>
      </c>
      <c r="C68" s="611">
        <v>3</v>
      </c>
      <c r="D68" s="611">
        <v>4</v>
      </c>
    </row>
    <row r="69" spans="1:4">
      <c r="A69" s="70">
        <v>2008</v>
      </c>
      <c r="B69" s="611">
        <v>4</v>
      </c>
      <c r="C69" s="611">
        <v>4</v>
      </c>
      <c r="D69" s="611">
        <v>8</v>
      </c>
    </row>
    <row r="70" spans="1:4">
      <c r="A70" s="70">
        <v>2009</v>
      </c>
      <c r="B70" s="611">
        <v>1</v>
      </c>
      <c r="C70" s="611">
        <v>1</v>
      </c>
      <c r="D70" s="611">
        <v>2</v>
      </c>
    </row>
    <row r="71" spans="1:4">
      <c r="A71" s="70">
        <v>2010</v>
      </c>
      <c r="B71" s="611"/>
      <c r="C71" s="611">
        <v>2</v>
      </c>
      <c r="D71" s="611">
        <v>2</v>
      </c>
    </row>
    <row r="72" spans="1:4">
      <c r="A72" s="70">
        <v>2011</v>
      </c>
      <c r="B72" s="611">
        <v>1</v>
      </c>
      <c r="C72" s="611">
        <v>1</v>
      </c>
      <c r="D72" s="611">
        <v>2</v>
      </c>
    </row>
    <row r="73" spans="1:4">
      <c r="A73" s="70" t="s">
        <v>1207</v>
      </c>
      <c r="B73" s="611">
        <v>7</v>
      </c>
      <c r="C73" s="611">
        <v>11</v>
      </c>
      <c r="D73" s="611">
        <v>18</v>
      </c>
    </row>
    <row r="76" spans="1:4">
      <c r="A76" s="767" t="s">
        <v>477</v>
      </c>
      <c r="B76" t="s">
        <v>362</v>
      </c>
    </row>
    <row r="77" spans="1:4">
      <c r="A77" s="767" t="s">
        <v>1960</v>
      </c>
      <c r="B77" t="s">
        <v>1874</v>
      </c>
    </row>
    <row r="79" spans="1:4">
      <c r="A79" s="767" t="s">
        <v>1718</v>
      </c>
      <c r="B79" s="767" t="s">
        <v>2121</v>
      </c>
    </row>
    <row r="80" spans="1:4">
      <c r="A80" s="767" t="s">
        <v>2108</v>
      </c>
      <c r="B80" t="s">
        <v>2123</v>
      </c>
      <c r="C80" t="s">
        <v>2122</v>
      </c>
      <c r="D80" t="s">
        <v>1207</v>
      </c>
    </row>
    <row r="81" spans="1:4">
      <c r="A81" s="70">
        <v>2009</v>
      </c>
      <c r="B81" s="611">
        <v>1</v>
      </c>
      <c r="C81" s="611">
        <v>1</v>
      </c>
      <c r="D81" s="611">
        <v>2</v>
      </c>
    </row>
    <row r="82" spans="1:4">
      <c r="A82" s="70">
        <v>2011</v>
      </c>
      <c r="B82" s="611"/>
      <c r="C82" s="611">
        <v>1</v>
      </c>
      <c r="D82" s="611">
        <v>1</v>
      </c>
    </row>
    <row r="83" spans="1:4">
      <c r="A83" s="70" t="s">
        <v>1207</v>
      </c>
      <c r="B83" s="611">
        <v>1</v>
      </c>
      <c r="C83" s="611">
        <v>2</v>
      </c>
      <c r="D83" s="611">
        <v>3</v>
      </c>
    </row>
  </sheetData>
  <pageMargins left="0.7" right="0.7" top="0.75" bottom="0.75" header="0.3" footer="0.3"/>
  <drawing r:id="rId6"/>
</worksheet>
</file>

<file path=xl/worksheets/sheet10.xml><?xml version="1.0" encoding="utf-8"?>
<worksheet xmlns="http://schemas.openxmlformats.org/spreadsheetml/2006/main" xmlns:r="http://schemas.openxmlformats.org/officeDocument/2006/relationships">
  <sheetPr codeName="Sheet8"/>
  <dimension ref="A1:B127"/>
  <sheetViews>
    <sheetView workbookViewId="0">
      <selection activeCell="F135" sqref="F135"/>
    </sheetView>
  </sheetViews>
  <sheetFormatPr defaultRowHeight="12.75"/>
  <cols>
    <col min="1" max="1" width="46.28515625" customWidth="1"/>
    <col min="2" max="2" width="25.7109375" customWidth="1"/>
  </cols>
  <sheetData>
    <row r="1" spans="1:2">
      <c r="A1" s="4" t="s">
        <v>2127</v>
      </c>
      <c r="B1" s="4" t="s">
        <v>2126</v>
      </c>
    </row>
    <row r="2" spans="1:2">
      <c r="A2">
        <v>2008</v>
      </c>
      <c r="B2">
        <v>31</v>
      </c>
    </row>
    <row r="3" spans="1:2">
      <c r="A3">
        <v>2009</v>
      </c>
      <c r="B3">
        <v>23</v>
      </c>
    </row>
    <row r="4" spans="1:2">
      <c r="A4">
        <v>2010</v>
      </c>
      <c r="B4">
        <v>30</v>
      </c>
    </row>
    <row r="5" spans="1:2">
      <c r="A5">
        <v>2011</v>
      </c>
      <c r="B5">
        <v>24</v>
      </c>
    </row>
    <row r="8" spans="1:2">
      <c r="A8" s="767" t="s">
        <v>2108</v>
      </c>
      <c r="B8" t="s">
        <v>291</v>
      </c>
    </row>
    <row r="9" spans="1:2">
      <c r="A9" s="70">
        <v>2007</v>
      </c>
      <c r="B9" s="59">
        <v>6205000</v>
      </c>
    </row>
    <row r="10" spans="1:2">
      <c r="A10" s="768" t="s">
        <v>1803</v>
      </c>
      <c r="B10" s="59">
        <v>150000</v>
      </c>
    </row>
    <row r="11" spans="1:2">
      <c r="A11" s="768" t="s">
        <v>1801</v>
      </c>
      <c r="B11" s="59">
        <v>50000</v>
      </c>
    </row>
    <row r="12" spans="1:2">
      <c r="A12" s="768" t="s">
        <v>452</v>
      </c>
      <c r="B12" s="59">
        <v>5000</v>
      </c>
    </row>
    <row r="13" spans="1:2">
      <c r="A13" s="768" t="s">
        <v>1782</v>
      </c>
      <c r="B13" s="59">
        <v>50000</v>
      </c>
    </row>
    <row r="14" spans="1:2">
      <c r="A14" s="768" t="s">
        <v>275</v>
      </c>
      <c r="B14" s="59">
        <v>85000</v>
      </c>
    </row>
    <row r="15" spans="1:2">
      <c r="A15" s="768" t="s">
        <v>1806</v>
      </c>
      <c r="B15" s="59">
        <v>200000</v>
      </c>
    </row>
    <row r="16" spans="1:2">
      <c r="A16" s="768" t="s">
        <v>458</v>
      </c>
      <c r="B16" s="59">
        <v>102000</v>
      </c>
    </row>
    <row r="17" spans="1:2">
      <c r="A17" s="768" t="s">
        <v>453</v>
      </c>
      <c r="B17" s="59">
        <v>20000</v>
      </c>
    </row>
    <row r="18" spans="1:2">
      <c r="A18" s="768" t="s">
        <v>1238</v>
      </c>
      <c r="B18" s="59">
        <v>1889600</v>
      </c>
    </row>
    <row r="19" spans="1:2">
      <c r="A19" s="768" t="s">
        <v>1804</v>
      </c>
      <c r="B19" s="59">
        <v>245000</v>
      </c>
    </row>
    <row r="20" spans="1:2">
      <c r="A20" s="768" t="s">
        <v>1774</v>
      </c>
      <c r="B20" s="59">
        <v>793500</v>
      </c>
    </row>
    <row r="21" spans="1:2">
      <c r="A21" s="768" t="s">
        <v>1809</v>
      </c>
      <c r="B21" s="59">
        <v>5000</v>
      </c>
    </row>
    <row r="22" spans="1:2">
      <c r="A22" s="768" t="s">
        <v>456</v>
      </c>
      <c r="B22" s="59">
        <v>50000</v>
      </c>
    </row>
    <row r="23" spans="1:2">
      <c r="A23" s="768" t="s">
        <v>277</v>
      </c>
      <c r="B23" s="59">
        <v>150000</v>
      </c>
    </row>
    <row r="24" spans="1:2">
      <c r="A24" s="768" t="s">
        <v>278</v>
      </c>
      <c r="B24" s="59">
        <v>100000</v>
      </c>
    </row>
    <row r="25" spans="1:2">
      <c r="A25" s="768" t="s">
        <v>442</v>
      </c>
      <c r="B25" s="59">
        <v>2000000</v>
      </c>
    </row>
    <row r="26" spans="1:2">
      <c r="A26" s="768" t="s">
        <v>101</v>
      </c>
      <c r="B26" s="59">
        <v>200000</v>
      </c>
    </row>
    <row r="27" spans="1:2">
      <c r="A27" s="768" t="s">
        <v>102</v>
      </c>
      <c r="B27" s="59">
        <v>46900</v>
      </c>
    </row>
    <row r="28" spans="1:2">
      <c r="A28" s="768" t="s">
        <v>1771</v>
      </c>
      <c r="B28" s="59">
        <v>63000</v>
      </c>
    </row>
    <row r="29" spans="1:2">
      <c r="A29" s="70">
        <v>2008</v>
      </c>
      <c r="B29" s="59">
        <v>14927075</v>
      </c>
    </row>
    <row r="30" spans="1:2">
      <c r="A30" s="768" t="s">
        <v>431</v>
      </c>
      <c r="B30" s="59">
        <v>1356654</v>
      </c>
    </row>
    <row r="31" spans="1:2">
      <c r="A31" s="768" t="s">
        <v>88</v>
      </c>
      <c r="B31" s="59">
        <v>124500</v>
      </c>
    </row>
    <row r="32" spans="1:2">
      <c r="A32" s="768" t="s">
        <v>91</v>
      </c>
      <c r="B32" s="59">
        <v>2000</v>
      </c>
    </row>
    <row r="33" spans="1:2">
      <c r="A33" s="768" t="s">
        <v>349</v>
      </c>
      <c r="B33" s="59">
        <v>867000</v>
      </c>
    </row>
    <row r="34" spans="1:2">
      <c r="A34" s="768" t="s">
        <v>92</v>
      </c>
      <c r="B34" s="59">
        <v>245000</v>
      </c>
    </row>
    <row r="35" spans="1:2">
      <c r="A35" s="768" t="s">
        <v>93</v>
      </c>
      <c r="B35" s="59">
        <v>100000</v>
      </c>
    </row>
    <row r="36" spans="1:2">
      <c r="A36" s="768" t="s">
        <v>94</v>
      </c>
      <c r="B36" s="59">
        <v>40000</v>
      </c>
    </row>
    <row r="37" spans="1:2">
      <c r="A37" s="768" t="s">
        <v>95</v>
      </c>
      <c r="B37" s="59">
        <v>12400</v>
      </c>
    </row>
    <row r="38" spans="1:2">
      <c r="A38" s="768" t="s">
        <v>445</v>
      </c>
      <c r="B38" s="59">
        <v>335745</v>
      </c>
    </row>
    <row r="39" spans="1:2">
      <c r="A39" s="768" t="s">
        <v>440</v>
      </c>
      <c r="B39" s="59">
        <v>120000</v>
      </c>
    </row>
    <row r="40" spans="1:2">
      <c r="A40" s="768" t="s">
        <v>437</v>
      </c>
      <c r="B40" s="59">
        <v>3000</v>
      </c>
    </row>
    <row r="41" spans="1:2">
      <c r="A41" s="768" t="s">
        <v>96</v>
      </c>
      <c r="B41" s="59">
        <v>519000</v>
      </c>
    </row>
    <row r="42" spans="1:2">
      <c r="A42" s="768" t="s">
        <v>350</v>
      </c>
      <c r="B42" s="59">
        <v>300000</v>
      </c>
    </row>
    <row r="43" spans="1:2">
      <c r="A43" s="768" t="s">
        <v>348</v>
      </c>
      <c r="B43" s="59">
        <v>50000</v>
      </c>
    </row>
    <row r="44" spans="1:2">
      <c r="A44" s="768" t="s">
        <v>97</v>
      </c>
      <c r="B44" s="59">
        <v>1900000</v>
      </c>
    </row>
    <row r="45" spans="1:2">
      <c r="A45" s="768" t="s">
        <v>62</v>
      </c>
      <c r="B45" s="59">
        <v>3400000</v>
      </c>
    </row>
    <row r="46" spans="1:2">
      <c r="A46" s="768" t="s">
        <v>1145</v>
      </c>
      <c r="B46" s="59">
        <v>50000</v>
      </c>
    </row>
    <row r="47" spans="1:2">
      <c r="A47" s="768" t="s">
        <v>451</v>
      </c>
      <c r="B47" s="59">
        <v>295000</v>
      </c>
    </row>
    <row r="48" spans="1:2">
      <c r="A48" s="768" t="s">
        <v>98</v>
      </c>
      <c r="B48" s="59">
        <v>23750</v>
      </c>
    </row>
    <row r="49" spans="1:2">
      <c r="A49" s="768" t="s">
        <v>99</v>
      </c>
      <c r="B49" s="59">
        <v>3400000</v>
      </c>
    </row>
    <row r="50" spans="1:2">
      <c r="A50" s="768" t="s">
        <v>346</v>
      </c>
      <c r="B50" s="59">
        <v>185000</v>
      </c>
    </row>
    <row r="51" spans="1:2">
      <c r="A51" s="768" t="s">
        <v>100</v>
      </c>
      <c r="B51" s="59">
        <v>10000</v>
      </c>
    </row>
    <row r="52" spans="1:2">
      <c r="A52" s="768" t="s">
        <v>890</v>
      </c>
      <c r="B52" s="59">
        <v>348500</v>
      </c>
    </row>
    <row r="53" spans="1:2">
      <c r="A53" s="768" t="s">
        <v>101</v>
      </c>
      <c r="B53" s="59">
        <v>714000</v>
      </c>
    </row>
    <row r="54" spans="1:2">
      <c r="A54" s="768" t="s">
        <v>102</v>
      </c>
      <c r="B54" s="59">
        <v>153400</v>
      </c>
    </row>
    <row r="55" spans="1:2">
      <c r="A55" s="768" t="s">
        <v>103</v>
      </c>
      <c r="B55" s="59">
        <v>19970</v>
      </c>
    </row>
    <row r="56" spans="1:2">
      <c r="A56" s="768" t="s">
        <v>434</v>
      </c>
      <c r="B56" s="59">
        <v>199568</v>
      </c>
    </row>
    <row r="57" spans="1:2">
      <c r="A57" s="768" t="s">
        <v>104</v>
      </c>
      <c r="B57" s="59">
        <v>17400</v>
      </c>
    </row>
    <row r="58" spans="1:2">
      <c r="A58" s="768" t="s">
        <v>105</v>
      </c>
      <c r="B58" s="59">
        <v>20188</v>
      </c>
    </row>
    <row r="59" spans="1:2">
      <c r="A59" s="768" t="s">
        <v>199</v>
      </c>
      <c r="B59" s="59">
        <v>115000</v>
      </c>
    </row>
    <row r="60" spans="1:2">
      <c r="A60" s="70">
        <v>2009</v>
      </c>
      <c r="B60" s="59">
        <v>8281561</v>
      </c>
    </row>
    <row r="61" spans="1:2">
      <c r="A61" s="768" t="s">
        <v>83</v>
      </c>
      <c r="B61" s="59">
        <v>200000</v>
      </c>
    </row>
    <row r="62" spans="1:2">
      <c r="A62" s="768" t="s">
        <v>873</v>
      </c>
      <c r="B62" s="59">
        <v>1520000</v>
      </c>
    </row>
    <row r="63" spans="1:2">
      <c r="A63" s="768" t="s">
        <v>29</v>
      </c>
      <c r="B63" s="59">
        <v>0</v>
      </c>
    </row>
    <row r="64" spans="1:2">
      <c r="A64" s="768" t="s">
        <v>1843</v>
      </c>
      <c r="B64" s="59">
        <v>0</v>
      </c>
    </row>
    <row r="65" spans="1:2">
      <c r="A65" s="768" t="s">
        <v>1844</v>
      </c>
      <c r="B65" s="59">
        <v>121044</v>
      </c>
    </row>
    <row r="66" spans="1:2">
      <c r="A66" s="768" t="s">
        <v>343</v>
      </c>
      <c r="B66" s="59">
        <v>246683</v>
      </c>
    </row>
    <row r="67" spans="1:2">
      <c r="A67" s="768" t="s">
        <v>441</v>
      </c>
      <c r="B67" s="59">
        <v>30000</v>
      </c>
    </row>
    <row r="68" spans="1:2">
      <c r="A68" s="768" t="s">
        <v>557</v>
      </c>
      <c r="B68" s="59">
        <v>74200</v>
      </c>
    </row>
    <row r="69" spans="1:2">
      <c r="A69" s="768" t="s">
        <v>344</v>
      </c>
      <c r="B69" s="59">
        <v>1129943</v>
      </c>
    </row>
    <row r="70" spans="1:2">
      <c r="A70" s="768" t="s">
        <v>1845</v>
      </c>
      <c r="B70" s="59">
        <v>0</v>
      </c>
    </row>
    <row r="71" spans="1:2">
      <c r="A71" s="768" t="s">
        <v>1846</v>
      </c>
      <c r="B71" s="59">
        <v>921250</v>
      </c>
    </row>
    <row r="72" spans="1:2">
      <c r="A72" s="768" t="s">
        <v>558</v>
      </c>
      <c r="B72" s="59">
        <v>100000</v>
      </c>
    </row>
    <row r="73" spans="1:2">
      <c r="A73" s="768" t="s">
        <v>345</v>
      </c>
      <c r="B73" s="59">
        <v>1532876</v>
      </c>
    </row>
    <row r="74" spans="1:2">
      <c r="A74" s="768" t="s">
        <v>338</v>
      </c>
      <c r="B74" s="59">
        <v>0</v>
      </c>
    </row>
    <row r="75" spans="1:2">
      <c r="A75" s="768" t="s">
        <v>403</v>
      </c>
      <c r="B75" s="59">
        <v>981315</v>
      </c>
    </row>
    <row r="76" spans="1:2">
      <c r="A76" s="768" t="s">
        <v>56</v>
      </c>
      <c r="B76" s="59">
        <v>44250</v>
      </c>
    </row>
    <row r="77" spans="1:2">
      <c r="A77" s="768" t="s">
        <v>82</v>
      </c>
      <c r="B77" s="59">
        <v>50000</v>
      </c>
    </row>
    <row r="78" spans="1:2">
      <c r="A78" s="768" t="s">
        <v>1145</v>
      </c>
      <c r="B78" s="59">
        <v>50000</v>
      </c>
    </row>
    <row r="79" spans="1:2">
      <c r="A79" s="768" t="s">
        <v>635</v>
      </c>
      <c r="B79" s="59">
        <v>100000</v>
      </c>
    </row>
    <row r="80" spans="1:2">
      <c r="A80" s="768" t="s">
        <v>2004</v>
      </c>
      <c r="B80" s="59">
        <v>330000</v>
      </c>
    </row>
    <row r="81" spans="1:2">
      <c r="A81" s="768" t="s">
        <v>342</v>
      </c>
      <c r="B81" s="59">
        <v>100000</v>
      </c>
    </row>
    <row r="82" spans="1:2">
      <c r="A82" s="768" t="s">
        <v>442</v>
      </c>
      <c r="B82" s="59">
        <v>500000</v>
      </c>
    </row>
    <row r="83" spans="1:2">
      <c r="A83" s="768" t="s">
        <v>559</v>
      </c>
      <c r="B83" s="59"/>
    </row>
    <row r="84" spans="1:2">
      <c r="A84" s="768" t="s">
        <v>337</v>
      </c>
      <c r="B84" s="59">
        <v>50000</v>
      </c>
    </row>
    <row r="85" spans="1:2">
      <c r="A85" s="768" t="s">
        <v>560</v>
      </c>
      <c r="B85" s="59">
        <v>50000</v>
      </c>
    </row>
    <row r="86" spans="1:2">
      <c r="A86" s="768" t="s">
        <v>561</v>
      </c>
      <c r="B86" s="59">
        <v>50000</v>
      </c>
    </row>
    <row r="87" spans="1:2">
      <c r="A87" s="768" t="s">
        <v>336</v>
      </c>
      <c r="B87" s="59">
        <v>100000</v>
      </c>
    </row>
    <row r="88" spans="1:2">
      <c r="A88" s="70">
        <v>2010</v>
      </c>
      <c r="B88" s="59">
        <v>14143037.859999999</v>
      </c>
    </row>
    <row r="89" spans="1:2">
      <c r="A89" s="768" t="s">
        <v>53</v>
      </c>
      <c r="B89" s="59">
        <v>6400000</v>
      </c>
    </row>
    <row r="90" spans="1:2">
      <c r="A90" s="768" t="s">
        <v>1070</v>
      </c>
      <c r="B90" s="59">
        <v>1000000</v>
      </c>
    </row>
    <row r="91" spans="1:2">
      <c r="A91" s="768" t="s">
        <v>508</v>
      </c>
      <c r="B91" s="59">
        <v>274845</v>
      </c>
    </row>
    <row r="92" spans="1:2">
      <c r="A92" s="768" t="s">
        <v>1810</v>
      </c>
      <c r="B92" s="59">
        <v>0</v>
      </c>
    </row>
    <row r="93" spans="1:2">
      <c r="A93" s="768" t="s">
        <v>1830</v>
      </c>
      <c r="B93" s="59">
        <v>190000</v>
      </c>
    </row>
    <row r="94" spans="1:2">
      <c r="A94" s="768" t="s">
        <v>334</v>
      </c>
      <c r="B94" s="59">
        <v>0</v>
      </c>
    </row>
    <row r="95" spans="1:2">
      <c r="A95" s="768" t="s">
        <v>38</v>
      </c>
      <c r="B95" s="59">
        <v>100000</v>
      </c>
    </row>
    <row r="96" spans="1:2">
      <c r="A96" s="768" t="s">
        <v>1601</v>
      </c>
      <c r="B96" s="59">
        <v>200000</v>
      </c>
    </row>
    <row r="97" spans="1:2">
      <c r="A97" s="768" t="s">
        <v>329</v>
      </c>
      <c r="B97" s="59">
        <v>259500</v>
      </c>
    </row>
    <row r="98" spans="1:2">
      <c r="A98" s="768" t="s">
        <v>1359</v>
      </c>
      <c r="B98" s="59">
        <v>145000</v>
      </c>
    </row>
    <row r="99" spans="1:2">
      <c r="A99" s="768" t="s">
        <v>1624</v>
      </c>
      <c r="B99" s="59">
        <v>50000</v>
      </c>
    </row>
    <row r="100" spans="1:2">
      <c r="A100" s="768" t="s">
        <v>46</v>
      </c>
      <c r="B100" s="59">
        <v>100000</v>
      </c>
    </row>
    <row r="101" spans="1:2">
      <c r="A101" s="768" t="s">
        <v>545</v>
      </c>
      <c r="B101" s="59">
        <v>1168000</v>
      </c>
    </row>
    <row r="102" spans="1:2">
      <c r="A102" s="768" t="s">
        <v>544</v>
      </c>
      <c r="B102" s="59">
        <v>2150000</v>
      </c>
    </row>
    <row r="103" spans="1:2">
      <c r="A103" s="768" t="s">
        <v>340</v>
      </c>
      <c r="B103" s="59">
        <v>50000</v>
      </c>
    </row>
    <row r="104" spans="1:2">
      <c r="A104" s="768" t="s">
        <v>357</v>
      </c>
      <c r="B104" s="59">
        <v>11500</v>
      </c>
    </row>
    <row r="105" spans="1:2">
      <c r="A105" s="768" t="s">
        <v>51</v>
      </c>
      <c r="B105" s="59">
        <v>200000</v>
      </c>
    </row>
    <row r="106" spans="1:2">
      <c r="A106" s="768" t="s">
        <v>1648</v>
      </c>
      <c r="B106" s="59">
        <v>180000</v>
      </c>
    </row>
    <row r="107" spans="1:2">
      <c r="A107" s="768" t="s">
        <v>547</v>
      </c>
      <c r="B107" s="59">
        <v>0</v>
      </c>
    </row>
    <row r="108" spans="1:2">
      <c r="A108" s="768" t="s">
        <v>546</v>
      </c>
      <c r="B108" s="59">
        <v>0</v>
      </c>
    </row>
    <row r="109" spans="1:2">
      <c r="A109" s="768" t="s">
        <v>1358</v>
      </c>
      <c r="B109" s="59">
        <v>1664192.8599999999</v>
      </c>
    </row>
    <row r="110" spans="1:2">
      <c r="A110" s="70">
        <v>2011</v>
      </c>
      <c r="B110" s="59">
        <v>11011862</v>
      </c>
    </row>
    <row r="111" spans="1:2">
      <c r="A111" s="768" t="s">
        <v>1279</v>
      </c>
      <c r="B111" s="59">
        <v>80000</v>
      </c>
    </row>
    <row r="112" spans="1:2">
      <c r="A112" s="768" t="s">
        <v>1803</v>
      </c>
      <c r="B112" s="59">
        <v>182000</v>
      </c>
    </row>
    <row r="113" spans="1:2">
      <c r="A113" s="768" t="s">
        <v>1278</v>
      </c>
      <c r="B113" s="59">
        <v>145000</v>
      </c>
    </row>
    <row r="114" spans="1:2">
      <c r="A114" s="768" t="s">
        <v>1160</v>
      </c>
      <c r="B114" s="59">
        <v>240000</v>
      </c>
    </row>
    <row r="115" spans="1:2">
      <c r="A115" s="768" t="s">
        <v>532</v>
      </c>
      <c r="B115" s="59">
        <v>322330</v>
      </c>
    </row>
    <row r="116" spans="1:2">
      <c r="A116" s="768" t="s">
        <v>1277</v>
      </c>
      <c r="B116" s="59">
        <v>50000</v>
      </c>
    </row>
    <row r="117" spans="1:2">
      <c r="A117" s="768" t="s">
        <v>97</v>
      </c>
      <c r="B117" s="59">
        <v>200000</v>
      </c>
    </row>
    <row r="118" spans="1:2">
      <c r="A118" s="768" t="s">
        <v>82</v>
      </c>
      <c r="B118" s="59">
        <v>50000</v>
      </c>
    </row>
    <row r="119" spans="1:2">
      <c r="A119" s="768" t="s">
        <v>577</v>
      </c>
      <c r="B119" s="59">
        <v>826450</v>
      </c>
    </row>
    <row r="120" spans="1:2">
      <c r="A120" s="768" t="s">
        <v>12</v>
      </c>
      <c r="B120" s="59">
        <v>440270</v>
      </c>
    </row>
    <row r="121" spans="1:2">
      <c r="A121" s="768" t="s">
        <v>1600</v>
      </c>
      <c r="B121" s="59">
        <v>8200000</v>
      </c>
    </row>
    <row r="122" spans="1:2">
      <c r="A122" s="768" t="s">
        <v>1808</v>
      </c>
      <c r="B122" s="59">
        <v>9812</v>
      </c>
    </row>
    <row r="123" spans="1:2">
      <c r="A123" s="768" t="s">
        <v>21</v>
      </c>
      <c r="B123" s="59">
        <v>56000</v>
      </c>
    </row>
    <row r="124" spans="1:2">
      <c r="A124" s="768" t="s">
        <v>1918</v>
      </c>
      <c r="B124" s="59">
        <v>30000</v>
      </c>
    </row>
    <row r="125" spans="1:2">
      <c r="A125" s="768" t="s">
        <v>560</v>
      </c>
      <c r="B125" s="59">
        <v>30000</v>
      </c>
    </row>
    <row r="126" spans="1:2">
      <c r="A126" s="768" t="s">
        <v>580</v>
      </c>
      <c r="B126" s="59">
        <v>150000</v>
      </c>
    </row>
    <row r="127" spans="1:2">
      <c r="A127" s="70" t="s">
        <v>1207</v>
      </c>
      <c r="B127" s="59">
        <v>54568535.859999999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sheetPr codeName="Sheet9"/>
  <dimension ref="A2:C48"/>
  <sheetViews>
    <sheetView topLeftCell="A7" workbookViewId="0">
      <selection activeCell="E80" sqref="E80"/>
    </sheetView>
  </sheetViews>
  <sheetFormatPr defaultRowHeight="12.75"/>
  <cols>
    <col min="1" max="1" width="21.85546875" customWidth="1"/>
    <col min="2" max="2" width="38.42578125" customWidth="1"/>
    <col min="3" max="3" width="35.140625" customWidth="1"/>
    <col min="4" max="4" width="25.7109375" customWidth="1"/>
    <col min="5" max="7" width="12" customWidth="1"/>
    <col min="8" max="8" width="11" customWidth="1"/>
    <col min="9" max="9" width="12" customWidth="1"/>
    <col min="10" max="10" width="7" customWidth="1"/>
    <col min="11" max="19" width="12" customWidth="1"/>
    <col min="20" max="20" width="5" customWidth="1"/>
    <col min="21" max="21" width="17" bestFit="1" customWidth="1"/>
    <col min="22" max="22" width="7.140625" customWidth="1"/>
    <col min="23" max="23" width="11.7109375" bestFit="1" customWidth="1"/>
  </cols>
  <sheetData>
    <row r="2" spans="1:3">
      <c r="A2" s="767" t="s">
        <v>477</v>
      </c>
      <c r="B2" t="s">
        <v>362</v>
      </c>
    </row>
    <row r="3" spans="1:3">
      <c r="A3" s="767" t="s">
        <v>2064</v>
      </c>
      <c r="B3" t="s">
        <v>1752</v>
      </c>
    </row>
    <row r="4" spans="1:3">
      <c r="A4" s="767" t="s">
        <v>210</v>
      </c>
      <c r="B4" t="s">
        <v>1768</v>
      </c>
    </row>
    <row r="6" spans="1:3">
      <c r="B6" s="767" t="s">
        <v>2110</v>
      </c>
    </row>
    <row r="7" spans="1:3">
      <c r="A7" s="767" t="s">
        <v>2108</v>
      </c>
      <c r="B7" t="s">
        <v>2216</v>
      </c>
      <c r="C7" t="s">
        <v>2217</v>
      </c>
    </row>
    <row r="8" spans="1:3">
      <c r="A8" s="70" t="s">
        <v>1210</v>
      </c>
      <c r="B8" s="790">
        <v>1.3087236963385167E-2</v>
      </c>
      <c r="C8" s="790">
        <v>0.52222222222222225</v>
      </c>
    </row>
    <row r="9" spans="1:3">
      <c r="A9" s="70" t="s">
        <v>570</v>
      </c>
      <c r="B9" s="790">
        <v>2.1906157781419716E-2</v>
      </c>
      <c r="C9" s="790">
        <v>0.5</v>
      </c>
    </row>
    <row r="10" spans="1:3">
      <c r="A10" s="70" t="s">
        <v>1211</v>
      </c>
      <c r="B10" s="790">
        <v>8.2046078988988094E-2</v>
      </c>
      <c r="C10" s="790">
        <v>0.70250000000000001</v>
      </c>
    </row>
    <row r="11" spans="1:3">
      <c r="A11" s="70" t="s">
        <v>1207</v>
      </c>
      <c r="B11" s="790">
        <v>3.2791963807712238E-2</v>
      </c>
      <c r="C11" s="790">
        <v>0.55611111111111111</v>
      </c>
    </row>
    <row r="39" spans="1:3">
      <c r="A39" s="767" t="s">
        <v>477</v>
      </c>
      <c r="B39" t="s">
        <v>362</v>
      </c>
    </row>
    <row r="40" spans="1:3">
      <c r="A40" s="767" t="s">
        <v>2064</v>
      </c>
      <c r="B40" t="s">
        <v>362</v>
      </c>
    </row>
    <row r="41" spans="1:3">
      <c r="A41" s="767" t="s">
        <v>210</v>
      </c>
      <c r="B41" t="s">
        <v>1768</v>
      </c>
    </row>
    <row r="43" spans="1:3">
      <c r="B43" s="767" t="s">
        <v>2110</v>
      </c>
    </row>
    <row r="44" spans="1:3">
      <c r="A44" s="767" t="s">
        <v>2108</v>
      </c>
      <c r="B44" t="s">
        <v>2216</v>
      </c>
      <c r="C44" t="s">
        <v>2217</v>
      </c>
    </row>
    <row r="45" spans="1:3">
      <c r="A45" s="70" t="s">
        <v>1210</v>
      </c>
      <c r="B45" s="790">
        <v>2.6910831868118667E-2</v>
      </c>
      <c r="C45" s="790">
        <v>0.89</v>
      </c>
    </row>
    <row r="46" spans="1:3">
      <c r="A46" s="70" t="s">
        <v>570</v>
      </c>
      <c r="B46" s="790">
        <v>4.9418896153077103E-2</v>
      </c>
      <c r="C46" s="790">
        <v>0.7038461538461539</v>
      </c>
    </row>
    <row r="47" spans="1:3">
      <c r="A47" s="70" t="s">
        <v>1211</v>
      </c>
      <c r="B47" s="790">
        <v>0.15862354088095307</v>
      </c>
      <c r="C47" s="790">
        <v>0.89857142857142847</v>
      </c>
    </row>
    <row r="48" spans="1:3">
      <c r="A48" s="70" t="s">
        <v>1207</v>
      </c>
      <c r="B48" s="790">
        <v>7.4100626638778311E-2</v>
      </c>
      <c r="C48" s="790">
        <v>0.77761904761904754</v>
      </c>
    </row>
  </sheetData>
  <pageMargins left="0.7" right="0.7" top="0.75" bottom="0.75" header="0.3" footer="0.3"/>
  <drawing r:id="rId3"/>
</worksheet>
</file>

<file path=xl/worksheets/sheet12.xml><?xml version="1.0" encoding="utf-8"?>
<worksheet xmlns="http://schemas.openxmlformats.org/spreadsheetml/2006/main" xmlns:r="http://schemas.openxmlformats.org/officeDocument/2006/relationships">
  <sheetPr codeName="Sheet10"/>
  <dimension ref="A1:IV726"/>
  <sheetViews>
    <sheetView workbookViewId="0">
      <pane ySplit="3" topLeftCell="A149" activePane="bottomLeft" state="frozen"/>
      <selection pane="bottomLeft" activeCell="F157" sqref="F157"/>
    </sheetView>
  </sheetViews>
  <sheetFormatPr defaultRowHeight="12.75"/>
  <cols>
    <col min="1" max="1" width="5.7109375" style="89" customWidth="1"/>
    <col min="2" max="2" width="21.28515625" style="88" customWidth="1"/>
    <col min="3" max="3" width="22" style="88" customWidth="1"/>
    <col min="4" max="4" width="26.28515625" style="89" customWidth="1"/>
    <col min="5" max="5" width="37.7109375" style="90" customWidth="1"/>
    <col min="6" max="6" width="17.5703125" style="90" customWidth="1"/>
    <col min="7" max="7" width="22.28515625" style="90" customWidth="1"/>
    <col min="8" max="8" width="9.85546875" style="90" customWidth="1"/>
    <col min="9" max="9" width="12.7109375" style="106" customWidth="1"/>
    <col min="10" max="10" width="15.140625" style="109" customWidth="1"/>
    <col min="11" max="11" width="12.85546875" style="109" customWidth="1"/>
    <col min="12" max="12" width="14.140625" style="109" customWidth="1"/>
    <col min="13" max="13" width="8" style="109" customWidth="1"/>
    <col min="14" max="14" width="37.7109375" style="124" customWidth="1"/>
    <col min="15" max="15" width="17.7109375" style="87" customWidth="1"/>
    <col min="16" max="16" width="18.85546875" style="87" customWidth="1"/>
    <col min="17" max="17" width="17.7109375" style="87" customWidth="1"/>
    <col min="18" max="18" width="23" style="87" customWidth="1"/>
    <col min="19" max="19" width="13.85546875" style="87" customWidth="1"/>
    <col min="20" max="20" width="14.85546875" style="87" customWidth="1"/>
    <col min="21" max="21" width="15.28515625" style="87" customWidth="1"/>
    <col min="22" max="22" width="34.140625" style="87" customWidth="1"/>
    <col min="23" max="23" width="14.140625" style="87" customWidth="1"/>
    <col min="24" max="24" width="25.42578125" style="87" customWidth="1"/>
    <col min="25" max="27" width="9.7109375" style="87" customWidth="1"/>
    <col min="28" max="28" width="18.7109375" style="87" customWidth="1"/>
    <col min="29" max="29" width="17.85546875" style="87" customWidth="1"/>
    <col min="30" max="30" width="16.5703125" style="87" customWidth="1"/>
    <col min="31" max="32" width="17" style="87" customWidth="1"/>
    <col min="33" max="51" width="9.7109375" style="87" customWidth="1"/>
    <col min="52" max="52" width="9.7109375" style="144" customWidth="1"/>
    <col min="53" max="67" width="9.7109375" style="87" customWidth="1"/>
    <col min="68" max="96" width="230.7109375" style="87" bestFit="1" customWidth="1"/>
    <col min="97" max="97" width="10.5703125" style="87" bestFit="1" customWidth="1"/>
    <col min="98" max="16384" width="9.140625" style="87"/>
  </cols>
  <sheetData>
    <row r="1" spans="1:52" ht="15.75">
      <c r="A1" s="103" t="s">
        <v>602</v>
      </c>
      <c r="C1" s="87"/>
      <c r="E1" s="104" t="s">
        <v>111</v>
      </c>
      <c r="F1" s="104"/>
      <c r="G1" s="87"/>
    </row>
    <row r="2" spans="1:52" ht="9.75" customHeight="1">
      <c r="A2" s="104"/>
      <c r="B2" s="103"/>
      <c r="C2" s="87"/>
      <c r="D2" s="104"/>
      <c r="E2" s="87"/>
      <c r="F2" s="87"/>
      <c r="G2" s="87"/>
    </row>
    <row r="3" spans="1:52" s="115" customFormat="1" ht="49.5" customHeight="1">
      <c r="A3" s="105" t="s">
        <v>218</v>
      </c>
      <c r="B3" s="105" t="s">
        <v>983</v>
      </c>
      <c r="C3" s="105" t="s">
        <v>1035</v>
      </c>
      <c r="D3" s="105" t="s">
        <v>702</v>
      </c>
      <c r="E3" s="105" t="s">
        <v>703</v>
      </c>
      <c r="F3" s="105" t="s">
        <v>229</v>
      </c>
      <c r="G3" s="105" t="s">
        <v>956</v>
      </c>
      <c r="H3" s="113" t="s">
        <v>704</v>
      </c>
      <c r="I3" s="113" t="s">
        <v>705</v>
      </c>
      <c r="J3" s="114" t="s">
        <v>373</v>
      </c>
      <c r="K3" s="114" t="s">
        <v>375</v>
      </c>
      <c r="L3" s="114" t="s">
        <v>572</v>
      </c>
      <c r="M3" s="114" t="s">
        <v>520</v>
      </c>
      <c r="N3" s="125" t="s">
        <v>524</v>
      </c>
      <c r="O3" s="105" t="s">
        <v>1036</v>
      </c>
      <c r="P3" s="105" t="s">
        <v>1228</v>
      </c>
      <c r="AZ3" s="145"/>
    </row>
    <row r="4" spans="1:52" s="118" customFormat="1" ht="25.5" customHeight="1">
      <c r="A4" s="93">
        <v>1</v>
      </c>
      <c r="B4" s="93" t="s">
        <v>1394</v>
      </c>
      <c r="C4" s="93" t="s">
        <v>1945</v>
      </c>
      <c r="D4" s="93" t="s">
        <v>1062</v>
      </c>
      <c r="E4" s="93" t="s">
        <v>1063</v>
      </c>
      <c r="F4" s="93" t="s">
        <v>238</v>
      </c>
      <c r="G4" s="93" t="s">
        <v>1394</v>
      </c>
      <c r="H4" s="91">
        <v>39652</v>
      </c>
      <c r="I4" s="107">
        <v>39683</v>
      </c>
      <c r="J4" s="120" t="s">
        <v>1035</v>
      </c>
      <c r="K4" s="120" t="s">
        <v>380</v>
      </c>
      <c r="L4" s="120" t="s">
        <v>1818</v>
      </c>
      <c r="M4" s="120" t="s">
        <v>521</v>
      </c>
      <c r="N4" s="126"/>
      <c r="O4" s="93" t="s">
        <v>1064</v>
      </c>
      <c r="AZ4" s="146"/>
    </row>
    <row r="5" spans="1:52" s="92" customFormat="1" ht="25.5" customHeight="1">
      <c r="A5" s="97">
        <v>1</v>
      </c>
      <c r="B5" s="121" t="s">
        <v>1817</v>
      </c>
      <c r="C5" s="97" t="s">
        <v>2023</v>
      </c>
      <c r="D5" s="97" t="s">
        <v>1037</v>
      </c>
      <c r="E5" s="97" t="s">
        <v>1534</v>
      </c>
      <c r="F5" s="97" t="s">
        <v>238</v>
      </c>
      <c r="G5" s="97" t="s">
        <v>1605</v>
      </c>
      <c r="H5" s="116">
        <v>39749</v>
      </c>
      <c r="I5" s="117">
        <v>39789</v>
      </c>
      <c r="J5" s="130" t="s">
        <v>1035</v>
      </c>
      <c r="K5" s="120" t="s">
        <v>378</v>
      </c>
      <c r="L5" s="112" t="s">
        <v>377</v>
      </c>
      <c r="M5" s="112" t="s">
        <v>522</v>
      </c>
      <c r="N5" s="128" t="s">
        <v>1210</v>
      </c>
      <c r="O5" s="99" t="s">
        <v>1535</v>
      </c>
      <c r="AZ5" s="147"/>
    </row>
    <row r="6" spans="1:52" s="92" customFormat="1" ht="25.5" customHeight="1">
      <c r="A6" s="93">
        <v>1</v>
      </c>
      <c r="B6" s="119" t="s">
        <v>1532</v>
      </c>
      <c r="C6" s="93" t="s">
        <v>2023</v>
      </c>
      <c r="D6" s="93" t="s">
        <v>709</v>
      </c>
      <c r="E6" s="93" t="s">
        <v>1533</v>
      </c>
      <c r="F6" s="93" t="s">
        <v>844</v>
      </c>
      <c r="G6" s="93"/>
      <c r="H6" s="91">
        <v>39747</v>
      </c>
      <c r="I6" s="107">
        <v>39760</v>
      </c>
      <c r="J6" s="120" t="s">
        <v>1035</v>
      </c>
      <c r="K6" s="120" t="s">
        <v>378</v>
      </c>
      <c r="L6" s="110" t="s">
        <v>377</v>
      </c>
      <c r="M6" s="110" t="s">
        <v>521</v>
      </c>
      <c r="N6" s="126" t="s">
        <v>1210</v>
      </c>
      <c r="O6" s="94" t="s">
        <v>970</v>
      </c>
      <c r="AZ6" s="147"/>
    </row>
    <row r="7" spans="1:52" s="92" customFormat="1" ht="25.5" customHeight="1">
      <c r="A7" s="93">
        <v>1</v>
      </c>
      <c r="B7" s="93" t="s">
        <v>1565</v>
      </c>
      <c r="C7" s="93" t="s">
        <v>1311</v>
      </c>
      <c r="D7" s="93" t="s">
        <v>1057</v>
      </c>
      <c r="E7" s="93" t="s">
        <v>1040</v>
      </c>
      <c r="F7" s="93" t="s">
        <v>238</v>
      </c>
      <c r="G7" s="93" t="s">
        <v>1565</v>
      </c>
      <c r="H7" s="91">
        <v>39820</v>
      </c>
      <c r="I7" s="107">
        <v>39921</v>
      </c>
      <c r="J7" s="110" t="s">
        <v>374</v>
      </c>
      <c r="K7" s="120" t="s">
        <v>379</v>
      </c>
      <c r="L7" s="110" t="s">
        <v>377</v>
      </c>
      <c r="M7" s="110" t="s">
        <v>522</v>
      </c>
      <c r="N7" s="127" t="s">
        <v>523</v>
      </c>
      <c r="O7" s="94" t="s">
        <v>1041</v>
      </c>
      <c r="AZ7" s="147"/>
    </row>
    <row r="8" spans="1:52" s="92" customFormat="1" ht="25.5" customHeight="1">
      <c r="A8" s="93">
        <v>1</v>
      </c>
      <c r="B8" s="93" t="s">
        <v>1565</v>
      </c>
      <c r="C8" s="93" t="s">
        <v>1311</v>
      </c>
      <c r="D8" s="93" t="s">
        <v>1042</v>
      </c>
      <c r="E8" s="93" t="s">
        <v>1040</v>
      </c>
      <c r="F8" s="93" t="s">
        <v>238</v>
      </c>
      <c r="G8" s="93" t="s">
        <v>1565</v>
      </c>
      <c r="H8" s="91">
        <v>39820</v>
      </c>
      <c r="I8" s="107">
        <v>39862</v>
      </c>
      <c r="J8" s="110" t="s">
        <v>374</v>
      </c>
      <c r="K8" s="120" t="s">
        <v>379</v>
      </c>
      <c r="L8" s="110" t="s">
        <v>377</v>
      </c>
      <c r="M8" s="110" t="s">
        <v>522</v>
      </c>
      <c r="N8" s="127" t="s">
        <v>523</v>
      </c>
      <c r="O8" s="94" t="s">
        <v>1041</v>
      </c>
      <c r="AZ8" s="147"/>
    </row>
    <row r="9" spans="1:52" s="92" customFormat="1" ht="25.5" customHeight="1">
      <c r="A9" s="93">
        <v>1</v>
      </c>
      <c r="B9" s="93" t="s">
        <v>1048</v>
      </c>
      <c r="C9" s="93" t="s">
        <v>1940</v>
      </c>
      <c r="D9" s="93" t="s">
        <v>1049</v>
      </c>
      <c r="E9" s="93" t="s">
        <v>1632</v>
      </c>
      <c r="F9" s="93" t="s">
        <v>233</v>
      </c>
      <c r="G9" s="93" t="s">
        <v>1637</v>
      </c>
      <c r="H9" s="91">
        <v>39945</v>
      </c>
      <c r="I9" s="107">
        <v>39973</v>
      </c>
      <c r="J9" s="110" t="s">
        <v>1035</v>
      </c>
      <c r="K9" s="120" t="s">
        <v>380</v>
      </c>
      <c r="L9" s="110" t="s">
        <v>377</v>
      </c>
      <c r="M9" s="110" t="s">
        <v>521</v>
      </c>
      <c r="N9" s="127" t="s">
        <v>523</v>
      </c>
      <c r="O9" s="94" t="s">
        <v>1050</v>
      </c>
      <c r="AZ9" s="147"/>
    </row>
    <row r="10" spans="1:52" s="92" customFormat="1" ht="25.5" customHeight="1">
      <c r="A10" s="93">
        <v>1</v>
      </c>
      <c r="B10" s="93" t="s">
        <v>1054</v>
      </c>
      <c r="C10" s="93" t="s">
        <v>1055</v>
      </c>
      <c r="D10" s="93" t="s">
        <v>1056</v>
      </c>
      <c r="E10" s="93" t="s">
        <v>1105</v>
      </c>
      <c r="F10" s="93" t="s">
        <v>233</v>
      </c>
      <c r="G10" s="93" t="s">
        <v>1943</v>
      </c>
      <c r="H10" s="91">
        <v>39994</v>
      </c>
      <c r="I10" s="107">
        <v>40026</v>
      </c>
      <c r="J10" s="110" t="s">
        <v>1035</v>
      </c>
      <c r="K10" s="120" t="s">
        <v>380</v>
      </c>
      <c r="L10" s="110" t="s">
        <v>377</v>
      </c>
      <c r="M10" s="110" t="s">
        <v>521</v>
      </c>
      <c r="N10" s="127" t="s">
        <v>523</v>
      </c>
      <c r="O10" s="94" t="s">
        <v>711</v>
      </c>
      <c r="AZ10" s="147"/>
    </row>
    <row r="11" spans="1:52" s="92" customFormat="1" ht="25.5" customHeight="1">
      <c r="A11" s="93">
        <v>1</v>
      </c>
      <c r="B11" s="121" t="s">
        <v>1083</v>
      </c>
      <c r="C11" s="93" t="s">
        <v>1311</v>
      </c>
      <c r="D11" s="93" t="s">
        <v>1058</v>
      </c>
      <c r="E11" s="93" t="s">
        <v>1084</v>
      </c>
      <c r="F11" s="93" t="s">
        <v>241</v>
      </c>
      <c r="G11" s="93" t="s">
        <v>981</v>
      </c>
      <c r="H11" s="91">
        <v>39713</v>
      </c>
      <c r="I11" s="107">
        <v>39529</v>
      </c>
      <c r="J11" s="110" t="s">
        <v>374</v>
      </c>
      <c r="K11" s="120" t="s">
        <v>376</v>
      </c>
      <c r="L11" s="110" t="s">
        <v>377</v>
      </c>
      <c r="M11" s="110" t="s">
        <v>522</v>
      </c>
      <c r="N11" s="128" t="s">
        <v>363</v>
      </c>
      <c r="O11" s="99" t="s">
        <v>1041</v>
      </c>
      <c r="AZ11" s="147"/>
    </row>
    <row r="12" spans="1:52" s="92" customFormat="1" ht="25.5" customHeight="1">
      <c r="A12" s="122">
        <v>1</v>
      </c>
      <c r="B12" s="95" t="s">
        <v>1604</v>
      </c>
      <c r="C12" s="93" t="s">
        <v>1311</v>
      </c>
      <c r="D12" s="119" t="s">
        <v>1046</v>
      </c>
      <c r="E12" s="95" t="s">
        <v>597</v>
      </c>
      <c r="F12" s="95" t="s">
        <v>1076</v>
      </c>
      <c r="G12" s="95" t="s">
        <v>957</v>
      </c>
      <c r="H12" s="91">
        <v>39904</v>
      </c>
      <c r="I12" s="107">
        <v>39933</v>
      </c>
      <c r="J12" s="110" t="s">
        <v>374</v>
      </c>
      <c r="K12" s="120" t="s">
        <v>380</v>
      </c>
      <c r="L12" s="110" t="s">
        <v>377</v>
      </c>
      <c r="M12" s="110" t="s">
        <v>522</v>
      </c>
      <c r="N12" s="131" t="s">
        <v>363</v>
      </c>
      <c r="O12" s="96" t="s">
        <v>1039</v>
      </c>
      <c r="AZ12" s="147"/>
    </row>
    <row r="13" spans="1:52" s="92" customFormat="1" ht="25.5" customHeight="1">
      <c r="A13" s="93">
        <v>1</v>
      </c>
      <c r="B13" s="93" t="s">
        <v>1052</v>
      </c>
      <c r="C13" s="93" t="s">
        <v>1311</v>
      </c>
      <c r="D13" s="93" t="s">
        <v>706</v>
      </c>
      <c r="E13" s="98" t="s">
        <v>255</v>
      </c>
      <c r="F13" s="98" t="s">
        <v>238</v>
      </c>
      <c r="G13" s="98" t="s">
        <v>957</v>
      </c>
      <c r="H13" s="91">
        <v>39986</v>
      </c>
      <c r="I13" s="107">
        <v>40009</v>
      </c>
      <c r="J13" s="110" t="s">
        <v>374</v>
      </c>
      <c r="K13" s="120" t="s">
        <v>380</v>
      </c>
      <c r="L13" s="110" t="s">
        <v>377</v>
      </c>
      <c r="M13" s="110" t="s">
        <v>522</v>
      </c>
      <c r="N13" s="127" t="s">
        <v>363</v>
      </c>
      <c r="O13" s="94" t="s">
        <v>1039</v>
      </c>
      <c r="AZ13" s="147"/>
    </row>
    <row r="14" spans="1:52" s="92" customFormat="1" ht="25.5" customHeight="1">
      <c r="A14" s="93">
        <v>1</v>
      </c>
      <c r="B14" s="93" t="s">
        <v>1052</v>
      </c>
      <c r="C14" s="93" t="s">
        <v>1311</v>
      </c>
      <c r="D14" s="93" t="s">
        <v>1056</v>
      </c>
      <c r="E14" s="93" t="s">
        <v>1536</v>
      </c>
      <c r="F14" s="93" t="s">
        <v>238</v>
      </c>
      <c r="G14" s="93" t="s">
        <v>957</v>
      </c>
      <c r="H14" s="91">
        <v>39783</v>
      </c>
      <c r="I14" s="107">
        <v>39451</v>
      </c>
      <c r="J14" s="110" t="s">
        <v>374</v>
      </c>
      <c r="K14" s="120" t="s">
        <v>378</v>
      </c>
      <c r="L14" s="110" t="s">
        <v>377</v>
      </c>
      <c r="M14" s="110" t="s">
        <v>521</v>
      </c>
      <c r="N14" s="127" t="s">
        <v>363</v>
      </c>
      <c r="O14" s="94" t="s">
        <v>1537</v>
      </c>
      <c r="AZ14" s="147"/>
    </row>
    <row r="15" spans="1:52" s="92" customFormat="1" ht="25.5" customHeight="1">
      <c r="A15" s="93">
        <v>1</v>
      </c>
      <c r="B15" s="93" t="s">
        <v>1083</v>
      </c>
      <c r="C15" s="93" t="s">
        <v>1311</v>
      </c>
      <c r="D15" s="93" t="s">
        <v>708</v>
      </c>
      <c r="E15" s="93" t="s">
        <v>1439</v>
      </c>
      <c r="F15" s="93" t="s">
        <v>232</v>
      </c>
      <c r="G15" s="93" t="s">
        <v>984</v>
      </c>
      <c r="H15" s="91">
        <v>39965</v>
      </c>
      <c r="I15" s="107">
        <v>39985</v>
      </c>
      <c r="J15" s="110" t="s">
        <v>374</v>
      </c>
      <c r="K15" s="120" t="s">
        <v>380</v>
      </c>
      <c r="L15" s="110" t="s">
        <v>377</v>
      </c>
      <c r="M15" s="110" t="s">
        <v>521</v>
      </c>
      <c r="N15" s="126" t="s">
        <v>363</v>
      </c>
      <c r="O15" s="93" t="s">
        <v>709</v>
      </c>
      <c r="AZ15" s="147"/>
    </row>
    <row r="16" spans="1:52" s="92" customFormat="1" ht="25.5" customHeight="1">
      <c r="A16" s="93">
        <v>1</v>
      </c>
      <c r="B16" s="93" t="s">
        <v>1083</v>
      </c>
      <c r="C16" s="93" t="s">
        <v>1311</v>
      </c>
      <c r="D16" s="93" t="s">
        <v>711</v>
      </c>
      <c r="E16" s="93" t="s">
        <v>1418</v>
      </c>
      <c r="F16" s="93" t="s">
        <v>232</v>
      </c>
      <c r="G16" s="93" t="s">
        <v>984</v>
      </c>
      <c r="H16" s="91">
        <v>39985</v>
      </c>
      <c r="I16" s="107">
        <v>40004</v>
      </c>
      <c r="J16" s="110" t="s">
        <v>374</v>
      </c>
      <c r="K16" s="120" t="s">
        <v>380</v>
      </c>
      <c r="L16" s="110" t="s">
        <v>377</v>
      </c>
      <c r="M16" s="110" t="s">
        <v>521</v>
      </c>
      <c r="N16" s="127" t="s">
        <v>363</v>
      </c>
      <c r="O16" s="93" t="s">
        <v>2017</v>
      </c>
      <c r="AZ16" s="147"/>
    </row>
    <row r="17" spans="1:52" s="92" customFormat="1" ht="25.5" customHeight="1">
      <c r="A17" s="93">
        <v>1</v>
      </c>
      <c r="B17" s="93" t="s">
        <v>1051</v>
      </c>
      <c r="C17" s="93" t="s">
        <v>1311</v>
      </c>
      <c r="D17" s="93" t="s">
        <v>1419</v>
      </c>
      <c r="E17" s="93" t="s">
        <v>1104</v>
      </c>
      <c r="F17" s="93" t="s">
        <v>238</v>
      </c>
      <c r="G17" s="93" t="s">
        <v>984</v>
      </c>
      <c r="H17" s="91">
        <v>39986</v>
      </c>
      <c r="I17" s="107">
        <v>40003</v>
      </c>
      <c r="J17" s="110" t="s">
        <v>374</v>
      </c>
      <c r="K17" s="120" t="s">
        <v>380</v>
      </c>
      <c r="L17" s="110" t="s">
        <v>377</v>
      </c>
      <c r="M17" s="110" t="s">
        <v>521</v>
      </c>
      <c r="N17" s="127" t="s">
        <v>363</v>
      </c>
      <c r="O17" s="93" t="s">
        <v>1053</v>
      </c>
      <c r="AZ17" s="147"/>
    </row>
    <row r="18" spans="1:52" s="92" customFormat="1" ht="25.5" customHeight="1">
      <c r="A18" s="93">
        <v>1</v>
      </c>
      <c r="B18" s="93" t="s">
        <v>196</v>
      </c>
      <c r="C18" s="93" t="s">
        <v>1877</v>
      </c>
      <c r="D18" s="93" t="s">
        <v>1057</v>
      </c>
      <c r="E18" s="93" t="s">
        <v>1065</v>
      </c>
      <c r="F18" s="93" t="s">
        <v>230</v>
      </c>
      <c r="G18" s="93" t="s">
        <v>196</v>
      </c>
      <c r="H18" s="91">
        <v>39686</v>
      </c>
      <c r="I18" s="107">
        <v>39706</v>
      </c>
      <c r="J18" s="110" t="s">
        <v>1035</v>
      </c>
      <c r="K18" s="120" t="s">
        <v>376</v>
      </c>
      <c r="L18" s="110" t="s">
        <v>377</v>
      </c>
      <c r="M18" s="110" t="s">
        <v>522</v>
      </c>
      <c r="N18" s="126" t="s">
        <v>1211</v>
      </c>
      <c r="O18" s="93" t="s">
        <v>1066</v>
      </c>
      <c r="AZ18" s="147"/>
    </row>
    <row r="19" spans="1:52" s="92" customFormat="1" ht="25.5" customHeight="1">
      <c r="A19" s="93">
        <v>1</v>
      </c>
      <c r="B19" s="93" t="s">
        <v>196</v>
      </c>
      <c r="C19" s="93" t="s">
        <v>1877</v>
      </c>
      <c r="D19" s="93" t="s">
        <v>1067</v>
      </c>
      <c r="E19" s="93" t="s">
        <v>1065</v>
      </c>
      <c r="F19" s="93" t="s">
        <v>230</v>
      </c>
      <c r="G19" s="93" t="s">
        <v>196</v>
      </c>
      <c r="H19" s="91">
        <v>39686</v>
      </c>
      <c r="I19" s="107">
        <v>39706</v>
      </c>
      <c r="J19" s="110" t="s">
        <v>1035</v>
      </c>
      <c r="K19" s="120" t="s">
        <v>376</v>
      </c>
      <c r="L19" s="110" t="s">
        <v>377</v>
      </c>
      <c r="M19" s="110" t="s">
        <v>522</v>
      </c>
      <c r="N19" s="126" t="s">
        <v>1211</v>
      </c>
      <c r="O19" s="93" t="s">
        <v>1068</v>
      </c>
      <c r="AZ19" s="147"/>
    </row>
    <row r="20" spans="1:52" s="92" customFormat="1" ht="25.5" customHeight="1">
      <c r="A20" s="93">
        <v>1</v>
      </c>
      <c r="B20" s="119" t="s">
        <v>682</v>
      </c>
      <c r="C20" s="93" t="s">
        <v>1069</v>
      </c>
      <c r="D20" s="93" t="s">
        <v>1073</v>
      </c>
      <c r="E20" s="93" t="s">
        <v>519</v>
      </c>
      <c r="F20" s="93" t="s">
        <v>876</v>
      </c>
      <c r="G20" s="93" t="s">
        <v>682</v>
      </c>
      <c r="H20" s="91">
        <v>39694</v>
      </c>
      <c r="I20" s="107">
        <v>39751</v>
      </c>
      <c r="J20" s="110" t="s">
        <v>1035</v>
      </c>
      <c r="K20" s="120" t="s">
        <v>376</v>
      </c>
      <c r="L20" s="110" t="s">
        <v>377</v>
      </c>
      <c r="M20" s="110" t="s">
        <v>522</v>
      </c>
      <c r="N20" s="126" t="s">
        <v>1211</v>
      </c>
      <c r="O20" s="93" t="s">
        <v>1074</v>
      </c>
      <c r="AZ20" s="147"/>
    </row>
    <row r="21" spans="1:52" s="92" customFormat="1" ht="25.5" customHeight="1">
      <c r="A21" s="93">
        <v>1</v>
      </c>
      <c r="B21" s="119" t="s">
        <v>1891</v>
      </c>
      <c r="C21" s="93" t="s">
        <v>1892</v>
      </c>
      <c r="D21" s="93" t="s">
        <v>1075</v>
      </c>
      <c r="E21" s="93" t="s">
        <v>1076</v>
      </c>
      <c r="F21" s="93" t="s">
        <v>1076</v>
      </c>
      <c r="G21" s="93" t="s">
        <v>1891</v>
      </c>
      <c r="H21" s="91">
        <v>39695</v>
      </c>
      <c r="I21" s="107">
        <v>39716</v>
      </c>
      <c r="J21" s="110" t="s">
        <v>1035</v>
      </c>
      <c r="K21" s="120" t="s">
        <v>376</v>
      </c>
      <c r="L21" s="110" t="s">
        <v>377</v>
      </c>
      <c r="M21" s="110" t="s">
        <v>522</v>
      </c>
      <c r="N21" s="126" t="s">
        <v>1211</v>
      </c>
      <c r="O21" s="93" t="s">
        <v>1077</v>
      </c>
      <c r="AZ21" s="147"/>
    </row>
    <row r="22" spans="1:52" s="92" customFormat="1" ht="25.5" customHeight="1">
      <c r="A22" s="93">
        <v>1</v>
      </c>
      <c r="B22" s="119" t="s">
        <v>682</v>
      </c>
      <c r="C22" s="93" t="s">
        <v>1069</v>
      </c>
      <c r="D22" s="93" t="s">
        <v>1085</v>
      </c>
      <c r="E22" s="93" t="s">
        <v>383</v>
      </c>
      <c r="F22" s="93" t="s">
        <v>226</v>
      </c>
      <c r="G22" s="93" t="s">
        <v>682</v>
      </c>
      <c r="H22" s="91">
        <v>39722</v>
      </c>
      <c r="I22" s="107">
        <v>39777</v>
      </c>
      <c r="J22" s="110" t="s">
        <v>1035</v>
      </c>
      <c r="K22" s="120" t="s">
        <v>378</v>
      </c>
      <c r="L22" s="110" t="s">
        <v>377</v>
      </c>
      <c r="M22" s="110" t="s">
        <v>522</v>
      </c>
      <c r="N22" s="127" t="s">
        <v>1211</v>
      </c>
      <c r="O22" s="93" t="s">
        <v>1074</v>
      </c>
      <c r="AZ22" s="147"/>
    </row>
    <row r="23" spans="1:52" s="92" customFormat="1" ht="25.5" customHeight="1">
      <c r="A23" s="93">
        <v>1</v>
      </c>
      <c r="B23" s="93" t="s">
        <v>1878</v>
      </c>
      <c r="C23" s="93" t="s">
        <v>1884</v>
      </c>
      <c r="D23" s="93" t="s">
        <v>1043</v>
      </c>
      <c r="E23" s="93" t="s">
        <v>1044</v>
      </c>
      <c r="F23" s="93" t="s">
        <v>238</v>
      </c>
      <c r="G23" s="93" t="s">
        <v>1878</v>
      </c>
      <c r="H23" s="91">
        <v>39838</v>
      </c>
      <c r="I23" s="107">
        <v>39865</v>
      </c>
      <c r="J23" s="110" t="s">
        <v>1035</v>
      </c>
      <c r="K23" s="120" t="s">
        <v>379</v>
      </c>
      <c r="L23" s="110" t="s">
        <v>377</v>
      </c>
      <c r="M23" s="110" t="s">
        <v>522</v>
      </c>
      <c r="N23" s="127" t="s">
        <v>1211</v>
      </c>
      <c r="O23" s="93" t="s">
        <v>1045</v>
      </c>
      <c r="AZ23" s="147"/>
    </row>
    <row r="24" spans="1:52" s="92" customFormat="1" ht="25.5" customHeight="1">
      <c r="A24" s="93">
        <v>1</v>
      </c>
      <c r="B24" s="119" t="s">
        <v>1672</v>
      </c>
      <c r="C24" s="93" t="s">
        <v>1081</v>
      </c>
      <c r="D24" s="93" t="s">
        <v>1082</v>
      </c>
      <c r="E24" s="93" t="s">
        <v>372</v>
      </c>
      <c r="F24" s="93" t="s">
        <v>238</v>
      </c>
      <c r="G24" s="93" t="s">
        <v>1080</v>
      </c>
      <c r="H24" s="91">
        <v>39709</v>
      </c>
      <c r="I24" s="107" t="s">
        <v>1038</v>
      </c>
      <c r="J24" s="110" t="s">
        <v>374</v>
      </c>
      <c r="K24" s="120" t="s">
        <v>376</v>
      </c>
      <c r="L24" s="110" t="s">
        <v>377</v>
      </c>
      <c r="M24" s="110" t="s">
        <v>522</v>
      </c>
      <c r="N24" s="127" t="s">
        <v>1211</v>
      </c>
      <c r="O24" s="93" t="s">
        <v>1041</v>
      </c>
      <c r="AZ24" s="147"/>
    </row>
    <row r="25" spans="1:52" s="92" customFormat="1" ht="25.5" customHeight="1">
      <c r="A25" s="119">
        <v>1</v>
      </c>
      <c r="B25" s="93" t="s">
        <v>121</v>
      </c>
      <c r="C25" s="93" t="s">
        <v>1311</v>
      </c>
      <c r="D25" s="119" t="s">
        <v>1037</v>
      </c>
      <c r="E25" s="93" t="s">
        <v>985</v>
      </c>
      <c r="F25" s="93" t="s">
        <v>238</v>
      </c>
      <c r="G25" s="93" t="s">
        <v>121</v>
      </c>
      <c r="H25" s="91">
        <v>39814</v>
      </c>
      <c r="I25" s="107" t="s">
        <v>1038</v>
      </c>
      <c r="J25" s="110" t="s">
        <v>374</v>
      </c>
      <c r="K25" s="120" t="s">
        <v>379</v>
      </c>
      <c r="L25" s="110" t="s">
        <v>377</v>
      </c>
      <c r="M25" s="110" t="s">
        <v>522</v>
      </c>
      <c r="N25" s="127" t="s">
        <v>1211</v>
      </c>
      <c r="O25" s="93" t="s">
        <v>1039</v>
      </c>
      <c r="AZ25" s="147"/>
    </row>
    <row r="26" spans="1:52" s="92" customFormat="1" ht="25.5" customHeight="1">
      <c r="A26" s="93">
        <v>1</v>
      </c>
      <c r="B26" s="119" t="s">
        <v>682</v>
      </c>
      <c r="C26" s="93" t="s">
        <v>1069</v>
      </c>
      <c r="D26" s="93" t="s">
        <v>1078</v>
      </c>
      <c r="E26" s="93" t="s">
        <v>1079</v>
      </c>
      <c r="F26" s="93" t="s">
        <v>226</v>
      </c>
      <c r="G26" s="93" t="s">
        <v>682</v>
      </c>
      <c r="H26" s="91">
        <v>39697</v>
      </c>
      <c r="I26" s="107" t="s">
        <v>1060</v>
      </c>
      <c r="J26" s="110" t="s">
        <v>1035</v>
      </c>
      <c r="K26" s="120" t="s">
        <v>376</v>
      </c>
      <c r="L26" s="110" t="s">
        <v>377</v>
      </c>
      <c r="M26" s="110" t="s">
        <v>521</v>
      </c>
      <c r="N26" s="126" t="s">
        <v>1211</v>
      </c>
      <c r="O26" s="93" t="s">
        <v>1074</v>
      </c>
      <c r="AZ26" s="147"/>
    </row>
    <row r="27" spans="1:52" s="92" customFormat="1" ht="25.5" customHeight="1">
      <c r="A27" s="93">
        <v>1</v>
      </c>
      <c r="B27" s="119" t="s">
        <v>682</v>
      </c>
      <c r="C27" s="93" t="s">
        <v>1069</v>
      </c>
      <c r="D27" s="93" t="s">
        <v>1062</v>
      </c>
      <c r="E27" s="93" t="s">
        <v>382</v>
      </c>
      <c r="F27" s="93" t="s">
        <v>226</v>
      </c>
      <c r="G27" s="93" t="s">
        <v>682</v>
      </c>
      <c r="H27" s="91">
        <v>39697</v>
      </c>
      <c r="I27" s="107">
        <v>39724</v>
      </c>
      <c r="J27" s="110" t="s">
        <v>1035</v>
      </c>
      <c r="K27" s="120" t="s">
        <v>376</v>
      </c>
      <c r="L27" s="110" t="s">
        <v>377</v>
      </c>
      <c r="M27" s="110" t="s">
        <v>521</v>
      </c>
      <c r="N27" s="126" t="s">
        <v>1211</v>
      </c>
      <c r="O27" s="93" t="s">
        <v>1074</v>
      </c>
      <c r="AZ27" s="147"/>
    </row>
    <row r="28" spans="1:52" s="92" customFormat="1" ht="25.5" customHeight="1">
      <c r="A28" s="93">
        <v>1</v>
      </c>
      <c r="B28" s="119" t="s">
        <v>682</v>
      </c>
      <c r="C28" s="93" t="s">
        <v>1069</v>
      </c>
      <c r="D28" s="93" t="s">
        <v>1086</v>
      </c>
      <c r="E28" s="93" t="s">
        <v>1087</v>
      </c>
      <c r="F28" s="93" t="s">
        <v>226</v>
      </c>
      <c r="G28" s="93" t="s">
        <v>682</v>
      </c>
      <c r="H28" s="91">
        <v>39732</v>
      </c>
      <c r="I28" s="107">
        <v>39753</v>
      </c>
      <c r="J28" s="110" t="s">
        <v>1035</v>
      </c>
      <c r="K28" s="120" t="s">
        <v>378</v>
      </c>
      <c r="L28" s="110" t="s">
        <v>377</v>
      </c>
      <c r="M28" s="110" t="s">
        <v>521</v>
      </c>
      <c r="N28" s="126" t="s">
        <v>1211</v>
      </c>
      <c r="O28" s="93" t="s">
        <v>1074</v>
      </c>
      <c r="AZ28" s="147"/>
    </row>
    <row r="29" spans="1:52" s="92" customFormat="1" ht="25.5" customHeight="1">
      <c r="A29" s="93">
        <v>1</v>
      </c>
      <c r="B29" s="93" t="s">
        <v>1878</v>
      </c>
      <c r="C29" s="93" t="s">
        <v>1884</v>
      </c>
      <c r="D29" s="93" t="s">
        <v>381</v>
      </c>
      <c r="E29" s="93" t="s">
        <v>1044</v>
      </c>
      <c r="F29" s="93" t="s">
        <v>238</v>
      </c>
      <c r="G29" s="93" t="s">
        <v>1878</v>
      </c>
      <c r="H29" s="91">
        <v>39838</v>
      </c>
      <c r="I29" s="107">
        <v>39865</v>
      </c>
      <c r="J29" s="110" t="s">
        <v>1035</v>
      </c>
      <c r="K29" s="120" t="s">
        <v>379</v>
      </c>
      <c r="L29" s="110" t="s">
        <v>377</v>
      </c>
      <c r="M29" s="110" t="s">
        <v>521</v>
      </c>
      <c r="N29" s="127" t="s">
        <v>1211</v>
      </c>
      <c r="O29" s="93" t="s">
        <v>1045</v>
      </c>
      <c r="AZ29" s="147"/>
    </row>
    <row r="30" spans="1:52" s="92" customFormat="1" ht="25.5" customHeight="1">
      <c r="A30" s="93">
        <v>1</v>
      </c>
      <c r="B30" s="119" t="s">
        <v>1672</v>
      </c>
      <c r="C30" s="93" t="s">
        <v>1311</v>
      </c>
      <c r="D30" s="93" t="s">
        <v>1058</v>
      </c>
      <c r="E30" s="93" t="s">
        <v>1059</v>
      </c>
      <c r="F30" s="93" t="s">
        <v>241</v>
      </c>
      <c r="G30" s="93" t="s">
        <v>1047</v>
      </c>
      <c r="H30" s="91">
        <v>39636</v>
      </c>
      <c r="I30" s="107" t="s">
        <v>1061</v>
      </c>
      <c r="J30" s="110" t="s">
        <v>374</v>
      </c>
      <c r="K30" s="120" t="s">
        <v>376</v>
      </c>
      <c r="L30" s="110" t="s">
        <v>377</v>
      </c>
      <c r="M30" s="110" t="s">
        <v>522</v>
      </c>
      <c r="N30" s="126" t="s">
        <v>1047</v>
      </c>
      <c r="O30" s="93" t="s">
        <v>969</v>
      </c>
      <c r="AZ30" s="147"/>
    </row>
    <row r="31" spans="1:52" s="92" customFormat="1" ht="25.5" customHeight="1">
      <c r="A31" s="95">
        <v>1</v>
      </c>
      <c r="B31" s="95" t="s">
        <v>1672</v>
      </c>
      <c r="C31" s="95" t="s">
        <v>1633</v>
      </c>
      <c r="D31" s="95" t="s">
        <v>707</v>
      </c>
      <c r="E31" s="95" t="s">
        <v>1635</v>
      </c>
      <c r="F31" s="95" t="s">
        <v>239</v>
      </c>
      <c r="G31" s="95" t="s">
        <v>1047</v>
      </c>
      <c r="H31" s="139">
        <v>39936</v>
      </c>
      <c r="I31" s="140">
        <v>39957</v>
      </c>
      <c r="J31" s="141" t="s">
        <v>374</v>
      </c>
      <c r="K31" s="142" t="s">
        <v>380</v>
      </c>
      <c r="L31" s="141" t="s">
        <v>377</v>
      </c>
      <c r="M31" s="141" t="s">
        <v>522</v>
      </c>
      <c r="N31" s="131" t="s">
        <v>1047</v>
      </c>
      <c r="O31" s="95" t="s">
        <v>710</v>
      </c>
      <c r="AZ31" s="147"/>
    </row>
    <row r="32" spans="1:52" s="118" customFormat="1" ht="25.5" customHeight="1">
      <c r="A32" s="93">
        <v>1</v>
      </c>
      <c r="B32" s="93" t="s">
        <v>1420</v>
      </c>
      <c r="C32" s="93" t="s">
        <v>4</v>
      </c>
      <c r="D32" s="93" t="s">
        <v>1085</v>
      </c>
      <c r="E32" s="93" t="s">
        <v>1901</v>
      </c>
      <c r="F32" s="93" t="s">
        <v>876</v>
      </c>
      <c r="G32" s="93" t="s">
        <v>1420</v>
      </c>
      <c r="H32" s="91">
        <v>40066</v>
      </c>
      <c r="I32" s="107">
        <v>40098</v>
      </c>
      <c r="J32" s="110" t="s">
        <v>1035</v>
      </c>
      <c r="K32" s="120" t="s">
        <v>376</v>
      </c>
      <c r="L32" s="110" t="s">
        <v>107</v>
      </c>
      <c r="M32" s="110" t="s">
        <v>522</v>
      </c>
      <c r="N32" s="127" t="s">
        <v>1210</v>
      </c>
      <c r="O32" s="93" t="s">
        <v>1062</v>
      </c>
      <c r="P32" s="93" t="s">
        <v>993</v>
      </c>
      <c r="AZ32" s="146"/>
    </row>
    <row r="33" spans="1:52" s="118" customFormat="1" ht="25.5" customHeight="1">
      <c r="A33" s="93">
        <v>1</v>
      </c>
      <c r="B33" s="93" t="s">
        <v>1902</v>
      </c>
      <c r="C33" s="93" t="s">
        <v>4</v>
      </c>
      <c r="D33" s="95" t="s">
        <v>1905</v>
      </c>
      <c r="E33" s="93" t="s">
        <v>1903</v>
      </c>
      <c r="F33" s="93" t="s">
        <v>226</v>
      </c>
      <c r="G33" s="93" t="s">
        <v>1902</v>
      </c>
      <c r="H33" s="91">
        <v>40068</v>
      </c>
      <c r="I33" s="107">
        <v>40098</v>
      </c>
      <c r="J33" s="110" t="s">
        <v>1035</v>
      </c>
      <c r="K33" s="120" t="s">
        <v>376</v>
      </c>
      <c r="L33" s="110" t="s">
        <v>107</v>
      </c>
      <c r="M33" s="110" t="s">
        <v>522</v>
      </c>
      <c r="N33" s="127" t="s">
        <v>1210</v>
      </c>
      <c r="O33" s="93" t="s">
        <v>1062</v>
      </c>
      <c r="P33" s="93" t="s">
        <v>993</v>
      </c>
      <c r="AZ33" s="146"/>
    </row>
    <row r="34" spans="1:52" s="118" customFormat="1" ht="25.5" customHeight="1">
      <c r="A34" s="93">
        <v>1</v>
      </c>
      <c r="B34" s="93" t="s">
        <v>1902</v>
      </c>
      <c r="C34" s="93" t="s">
        <v>4</v>
      </c>
      <c r="D34" s="95" t="s">
        <v>1906</v>
      </c>
      <c r="E34" s="93" t="s">
        <v>1904</v>
      </c>
      <c r="F34" s="93" t="s">
        <v>226</v>
      </c>
      <c r="G34" s="93" t="s">
        <v>1902</v>
      </c>
      <c r="H34" s="91">
        <v>40068</v>
      </c>
      <c r="I34" s="107">
        <v>40098</v>
      </c>
      <c r="J34" s="110" t="s">
        <v>1035</v>
      </c>
      <c r="K34" s="120" t="s">
        <v>376</v>
      </c>
      <c r="L34" s="110" t="s">
        <v>107</v>
      </c>
      <c r="M34" s="110" t="s">
        <v>522</v>
      </c>
      <c r="N34" s="127" t="s">
        <v>1210</v>
      </c>
      <c r="O34" s="93" t="s">
        <v>1062</v>
      </c>
      <c r="P34" s="93" t="s">
        <v>993</v>
      </c>
      <c r="AZ34" s="146"/>
    </row>
    <row r="35" spans="1:52" s="118" customFormat="1" ht="25.5" customHeight="1">
      <c r="A35" s="93">
        <v>1</v>
      </c>
      <c r="B35" s="93" t="s">
        <v>1902</v>
      </c>
      <c r="C35" s="93" t="s">
        <v>4</v>
      </c>
      <c r="D35" s="95" t="s">
        <v>625</v>
      </c>
      <c r="E35" s="93" t="s">
        <v>1904</v>
      </c>
      <c r="F35" s="93" t="s">
        <v>226</v>
      </c>
      <c r="G35" s="93" t="s">
        <v>1902</v>
      </c>
      <c r="H35" s="91">
        <v>40068</v>
      </c>
      <c r="I35" s="107">
        <v>40098</v>
      </c>
      <c r="J35" s="110" t="s">
        <v>1035</v>
      </c>
      <c r="K35" s="120" t="s">
        <v>376</v>
      </c>
      <c r="L35" s="110" t="s">
        <v>107</v>
      </c>
      <c r="M35" s="110" t="s">
        <v>522</v>
      </c>
      <c r="N35" s="127" t="s">
        <v>1210</v>
      </c>
      <c r="O35" s="93" t="s">
        <v>1062</v>
      </c>
      <c r="P35" s="93" t="s">
        <v>993</v>
      </c>
      <c r="AZ35" s="146"/>
    </row>
    <row r="36" spans="1:52" s="118" customFormat="1" ht="25.5" customHeight="1">
      <c r="A36" s="93">
        <v>1</v>
      </c>
      <c r="B36" s="93" t="s">
        <v>1565</v>
      </c>
      <c r="C36" s="93" t="s">
        <v>626</v>
      </c>
      <c r="D36" s="95" t="s">
        <v>707</v>
      </c>
      <c r="E36" s="93" t="s">
        <v>992</v>
      </c>
      <c r="F36" s="93" t="s">
        <v>234</v>
      </c>
      <c r="G36" s="93" t="s">
        <v>1565</v>
      </c>
      <c r="H36" s="91">
        <v>40072</v>
      </c>
      <c r="I36" s="107">
        <v>40102</v>
      </c>
      <c r="J36" s="110" t="s">
        <v>1035</v>
      </c>
      <c r="K36" s="120" t="s">
        <v>376</v>
      </c>
      <c r="L36" s="110" t="s">
        <v>107</v>
      </c>
      <c r="M36" s="110" t="s">
        <v>522</v>
      </c>
      <c r="N36" s="127" t="s">
        <v>523</v>
      </c>
      <c r="O36" s="93" t="s">
        <v>1062</v>
      </c>
      <c r="P36" s="93" t="s">
        <v>993</v>
      </c>
      <c r="AZ36" s="146"/>
    </row>
    <row r="37" spans="1:52" s="118" customFormat="1" ht="25.5" customHeight="1">
      <c r="A37" s="93">
        <v>1</v>
      </c>
      <c r="B37" s="93" t="s">
        <v>2026</v>
      </c>
      <c r="C37" s="93" t="s">
        <v>1835</v>
      </c>
      <c r="D37" s="95" t="s">
        <v>707</v>
      </c>
      <c r="E37" s="93" t="s">
        <v>1834</v>
      </c>
      <c r="F37" s="93" t="s">
        <v>239</v>
      </c>
      <c r="G37" s="93" t="s">
        <v>982</v>
      </c>
      <c r="H37" s="91">
        <v>40102</v>
      </c>
      <c r="I37" s="107">
        <v>40163</v>
      </c>
      <c r="J37" s="110" t="s">
        <v>1035</v>
      </c>
      <c r="K37" s="120" t="s">
        <v>376</v>
      </c>
      <c r="L37" s="110" t="s">
        <v>107</v>
      </c>
      <c r="M37" s="110" t="s">
        <v>522</v>
      </c>
      <c r="N37" s="127" t="s">
        <v>523</v>
      </c>
      <c r="O37" s="93" t="s">
        <v>708</v>
      </c>
      <c r="P37" s="123">
        <v>2698</v>
      </c>
      <c r="AZ37" s="146"/>
    </row>
    <row r="38" spans="1:52" s="118" customFormat="1" ht="25.5" customHeight="1">
      <c r="A38" s="93">
        <v>1</v>
      </c>
      <c r="B38" s="93" t="s">
        <v>2026</v>
      </c>
      <c r="C38" s="93" t="s">
        <v>1835</v>
      </c>
      <c r="D38" s="95" t="s">
        <v>1836</v>
      </c>
      <c r="E38" s="93" t="s">
        <v>1837</v>
      </c>
      <c r="F38" s="93" t="s">
        <v>234</v>
      </c>
      <c r="G38" s="93" t="s">
        <v>982</v>
      </c>
      <c r="H38" s="91">
        <v>40091</v>
      </c>
      <c r="I38" s="107">
        <v>40122</v>
      </c>
      <c r="J38" s="110" t="s">
        <v>1035</v>
      </c>
      <c r="K38" s="120" t="s">
        <v>376</v>
      </c>
      <c r="L38" s="110" t="s">
        <v>107</v>
      </c>
      <c r="M38" s="110" t="s">
        <v>522</v>
      </c>
      <c r="N38" s="127" t="s">
        <v>523</v>
      </c>
      <c r="O38" s="93" t="s">
        <v>708</v>
      </c>
      <c r="P38" s="123">
        <v>2698</v>
      </c>
      <c r="AZ38" s="146"/>
    </row>
    <row r="39" spans="1:52" s="118" customFormat="1" ht="25.5" customHeight="1">
      <c r="A39" s="93">
        <v>1</v>
      </c>
      <c r="B39" s="93" t="s">
        <v>1947</v>
      </c>
      <c r="C39" s="93" t="s">
        <v>1835</v>
      </c>
      <c r="D39" s="95" t="s">
        <v>1838</v>
      </c>
      <c r="E39" s="93" t="s">
        <v>537</v>
      </c>
      <c r="F39" s="93" t="s">
        <v>238</v>
      </c>
      <c r="G39" s="93" t="s">
        <v>1947</v>
      </c>
      <c r="H39" s="91">
        <v>40102</v>
      </c>
      <c r="I39" s="107" t="s">
        <v>568</v>
      </c>
      <c r="J39" s="110" t="s">
        <v>1035</v>
      </c>
      <c r="K39" s="120" t="s">
        <v>376</v>
      </c>
      <c r="L39" s="110" t="s">
        <v>107</v>
      </c>
      <c r="M39" s="110" t="s">
        <v>521</v>
      </c>
      <c r="N39" s="127" t="s">
        <v>523</v>
      </c>
      <c r="O39" s="93" t="s">
        <v>711</v>
      </c>
      <c r="P39" s="123">
        <v>2698</v>
      </c>
      <c r="AZ39" s="146"/>
    </row>
    <row r="40" spans="1:52" s="118" customFormat="1" ht="25.5" customHeight="1">
      <c r="A40" s="93">
        <v>1</v>
      </c>
      <c r="B40" s="93" t="s">
        <v>1876</v>
      </c>
      <c r="C40" s="93" t="s">
        <v>329</v>
      </c>
      <c r="D40" s="95" t="s">
        <v>1089</v>
      </c>
      <c r="E40" s="93" t="s">
        <v>1090</v>
      </c>
      <c r="F40" s="93" t="s">
        <v>238</v>
      </c>
      <c r="G40" s="93" t="s">
        <v>1876</v>
      </c>
      <c r="H40" s="91">
        <v>40513</v>
      </c>
      <c r="I40" s="107">
        <v>40532</v>
      </c>
      <c r="J40" s="110" t="s">
        <v>1035</v>
      </c>
      <c r="K40" s="120" t="s">
        <v>376</v>
      </c>
      <c r="L40" s="110" t="s">
        <v>107</v>
      </c>
      <c r="M40" s="110" t="s">
        <v>522</v>
      </c>
      <c r="N40" s="127" t="s">
        <v>1211</v>
      </c>
      <c r="O40" s="93" t="s">
        <v>970</v>
      </c>
      <c r="P40" s="123"/>
      <c r="AZ40" s="146"/>
    </row>
    <row r="41" spans="1:52" s="118" customFormat="1" ht="25.5" customHeight="1">
      <c r="A41" s="93">
        <v>1</v>
      </c>
      <c r="B41" s="93" t="s">
        <v>1565</v>
      </c>
      <c r="C41" s="93" t="s">
        <v>1884</v>
      </c>
      <c r="D41" s="95" t="s">
        <v>711</v>
      </c>
      <c r="E41" s="93" t="s">
        <v>538</v>
      </c>
      <c r="F41" s="93" t="s">
        <v>239</v>
      </c>
      <c r="G41" s="93" t="s">
        <v>1565</v>
      </c>
      <c r="H41" s="91">
        <v>40105</v>
      </c>
      <c r="I41" s="107">
        <v>40127</v>
      </c>
      <c r="J41" s="110" t="s">
        <v>1035</v>
      </c>
      <c r="K41" s="120" t="s">
        <v>376</v>
      </c>
      <c r="L41" s="110" t="s">
        <v>107</v>
      </c>
      <c r="M41" s="110" t="s">
        <v>521</v>
      </c>
      <c r="N41" s="127" t="s">
        <v>523</v>
      </c>
      <c r="O41" s="93" t="s">
        <v>1842</v>
      </c>
      <c r="P41" s="123">
        <v>2930</v>
      </c>
      <c r="AZ41" s="146"/>
    </row>
    <row r="42" spans="1:52" s="118" customFormat="1" ht="25.5" customHeight="1">
      <c r="A42" s="93">
        <v>1</v>
      </c>
      <c r="B42" s="93" t="s">
        <v>682</v>
      </c>
      <c r="C42" s="93" t="s">
        <v>1877</v>
      </c>
      <c r="D42" s="95" t="s">
        <v>1085</v>
      </c>
      <c r="E42" s="93" t="s">
        <v>1213</v>
      </c>
      <c r="F42" s="93" t="s">
        <v>1076</v>
      </c>
      <c r="G42" s="93" t="s">
        <v>682</v>
      </c>
      <c r="H42" s="91">
        <v>40130</v>
      </c>
      <c r="I42" s="107">
        <v>40160</v>
      </c>
      <c r="J42" s="110" t="s">
        <v>1035</v>
      </c>
      <c r="K42" s="120" t="s">
        <v>378</v>
      </c>
      <c r="L42" s="110" t="s">
        <v>107</v>
      </c>
      <c r="M42" s="110" t="s">
        <v>522</v>
      </c>
      <c r="N42" s="127" t="s">
        <v>1211</v>
      </c>
      <c r="O42" s="93" t="s">
        <v>1043</v>
      </c>
      <c r="P42" s="123">
        <v>2885</v>
      </c>
      <c r="AZ42" s="146"/>
    </row>
    <row r="43" spans="1:52" s="118" customFormat="1" ht="25.5" customHeight="1">
      <c r="A43" s="93">
        <v>1</v>
      </c>
      <c r="B43" s="93" t="s">
        <v>1879</v>
      </c>
      <c r="C43" s="93" t="s">
        <v>1311</v>
      </c>
      <c r="D43" s="95" t="s">
        <v>1572</v>
      </c>
      <c r="E43" s="93" t="s">
        <v>1574</v>
      </c>
      <c r="F43" s="93" t="s">
        <v>232</v>
      </c>
      <c r="G43" s="93" t="s">
        <v>1573</v>
      </c>
      <c r="H43" s="91">
        <v>40146</v>
      </c>
      <c r="I43" s="107">
        <v>40169</v>
      </c>
      <c r="J43" s="110" t="s">
        <v>374</v>
      </c>
      <c r="K43" s="120" t="s">
        <v>378</v>
      </c>
      <c r="L43" s="110" t="s">
        <v>107</v>
      </c>
      <c r="M43" s="110" t="s">
        <v>521</v>
      </c>
      <c r="N43" s="127" t="s">
        <v>523</v>
      </c>
      <c r="O43" s="93" t="s">
        <v>970</v>
      </c>
      <c r="P43" s="123" t="s">
        <v>1575</v>
      </c>
      <c r="AZ43" s="146"/>
    </row>
    <row r="44" spans="1:52" s="118" customFormat="1" ht="25.5" customHeight="1">
      <c r="A44" s="93">
        <v>1</v>
      </c>
      <c r="B44" s="93" t="s">
        <v>35</v>
      </c>
      <c r="C44" s="93" t="s">
        <v>1311</v>
      </c>
      <c r="D44" s="95" t="s">
        <v>709</v>
      </c>
      <c r="E44" s="93" t="s">
        <v>986</v>
      </c>
      <c r="F44" s="93" t="s">
        <v>238</v>
      </c>
      <c r="G44" s="93" t="s">
        <v>35</v>
      </c>
      <c r="H44" s="91">
        <v>40117</v>
      </c>
      <c r="I44" s="107">
        <v>40152</v>
      </c>
      <c r="J44" s="110" t="s">
        <v>374</v>
      </c>
      <c r="K44" s="120" t="s">
        <v>378</v>
      </c>
      <c r="L44" s="110" t="s">
        <v>107</v>
      </c>
      <c r="M44" s="110" t="s">
        <v>521</v>
      </c>
      <c r="N44" s="127" t="s">
        <v>523</v>
      </c>
      <c r="O44" s="93" t="s">
        <v>970</v>
      </c>
      <c r="P44" s="123" t="s">
        <v>1216</v>
      </c>
      <c r="AZ44" s="146"/>
    </row>
    <row r="46" spans="1:52" s="200" customFormat="1" ht="3.75" customHeight="1">
      <c r="A46" s="193"/>
      <c r="B46" s="193"/>
      <c r="C46" s="193"/>
      <c r="D46" s="194"/>
      <c r="E46" s="193"/>
      <c r="F46" s="193"/>
      <c r="G46" s="193"/>
      <c r="H46" s="195"/>
      <c r="I46" s="196"/>
      <c r="J46" s="197"/>
      <c r="K46" s="197"/>
      <c r="L46" s="197"/>
      <c r="M46" s="197"/>
      <c r="N46" s="198"/>
      <c r="O46" s="193"/>
      <c r="P46" s="199"/>
      <c r="AZ46" s="201"/>
    </row>
    <row r="47" spans="1:52" s="118" customFormat="1" ht="25.5" customHeight="1">
      <c r="A47" s="143">
        <v>1</v>
      </c>
      <c r="B47" s="93" t="s">
        <v>682</v>
      </c>
      <c r="C47" s="93" t="s">
        <v>1884</v>
      </c>
      <c r="D47" s="95" t="s">
        <v>1062</v>
      </c>
      <c r="E47" s="93" t="s">
        <v>906</v>
      </c>
      <c r="F47" s="93" t="s">
        <v>226</v>
      </c>
      <c r="G47" s="93" t="s">
        <v>682</v>
      </c>
      <c r="H47" s="91">
        <v>40191</v>
      </c>
      <c r="I47" s="107">
        <v>40219</v>
      </c>
      <c r="J47" s="110" t="s">
        <v>1035</v>
      </c>
      <c r="K47" s="120" t="s">
        <v>379</v>
      </c>
      <c r="L47" s="110" t="s">
        <v>107</v>
      </c>
      <c r="M47" s="110" t="s">
        <v>521</v>
      </c>
      <c r="N47" s="127" t="s">
        <v>1211</v>
      </c>
      <c r="O47" s="93" t="s">
        <v>905</v>
      </c>
      <c r="P47" s="123">
        <v>2888</v>
      </c>
      <c r="AZ47" s="146"/>
    </row>
    <row r="48" spans="1:52" s="118" customFormat="1" ht="25.5" customHeight="1">
      <c r="A48" s="143">
        <v>1</v>
      </c>
      <c r="B48" s="93" t="s">
        <v>682</v>
      </c>
      <c r="C48" s="93" t="s">
        <v>1884</v>
      </c>
      <c r="D48" s="93" t="s">
        <v>1905</v>
      </c>
      <c r="E48" s="93" t="s">
        <v>904</v>
      </c>
      <c r="F48" s="93" t="s">
        <v>226</v>
      </c>
      <c r="G48" s="93" t="s">
        <v>682</v>
      </c>
      <c r="H48" s="91">
        <v>40191</v>
      </c>
      <c r="I48" s="107">
        <v>40213</v>
      </c>
      <c r="J48" s="110" t="s">
        <v>1035</v>
      </c>
      <c r="K48" s="120" t="s">
        <v>379</v>
      </c>
      <c r="L48" s="110" t="s">
        <v>107</v>
      </c>
      <c r="M48" s="110" t="s">
        <v>522</v>
      </c>
      <c r="N48" s="127" t="s">
        <v>1211</v>
      </c>
      <c r="O48" s="93" t="s">
        <v>905</v>
      </c>
      <c r="P48" s="123">
        <v>2888</v>
      </c>
      <c r="AZ48" s="146"/>
    </row>
    <row r="49" spans="1:52" s="118" customFormat="1" ht="25.5" customHeight="1">
      <c r="A49" s="143">
        <v>1</v>
      </c>
      <c r="B49" s="93" t="s">
        <v>682</v>
      </c>
      <c r="C49" s="93" t="s">
        <v>1884</v>
      </c>
      <c r="D49" s="95" t="s">
        <v>907</v>
      </c>
      <c r="E49" s="93" t="s">
        <v>943</v>
      </c>
      <c r="F49" s="93" t="s">
        <v>226</v>
      </c>
      <c r="G49" s="93" t="s">
        <v>682</v>
      </c>
      <c r="H49" s="91">
        <v>40191</v>
      </c>
      <c r="I49" s="107">
        <v>40208</v>
      </c>
      <c r="J49" s="110" t="s">
        <v>1035</v>
      </c>
      <c r="K49" s="120" t="s">
        <v>379</v>
      </c>
      <c r="L49" s="110" t="s">
        <v>107</v>
      </c>
      <c r="M49" s="110" t="s">
        <v>521</v>
      </c>
      <c r="N49" s="127" t="s">
        <v>1211</v>
      </c>
      <c r="O49" s="93" t="s">
        <v>905</v>
      </c>
      <c r="P49" s="123">
        <v>2888</v>
      </c>
      <c r="AZ49" s="146"/>
    </row>
    <row r="50" spans="1:52" s="118" customFormat="1" ht="25.5" customHeight="1">
      <c r="A50" s="143">
        <v>1</v>
      </c>
      <c r="B50" s="93" t="s">
        <v>682</v>
      </c>
      <c r="C50" s="93" t="s">
        <v>1884</v>
      </c>
      <c r="D50" s="95" t="s">
        <v>908</v>
      </c>
      <c r="E50" s="93" t="s">
        <v>943</v>
      </c>
      <c r="F50" s="93" t="s">
        <v>226</v>
      </c>
      <c r="G50" s="93" t="s">
        <v>682</v>
      </c>
      <c r="H50" s="91">
        <v>40191</v>
      </c>
      <c r="I50" s="107">
        <v>40208</v>
      </c>
      <c r="J50" s="110" t="s">
        <v>1035</v>
      </c>
      <c r="K50" s="120" t="s">
        <v>379</v>
      </c>
      <c r="L50" s="110" t="s">
        <v>107</v>
      </c>
      <c r="M50" s="110" t="s">
        <v>521</v>
      </c>
      <c r="N50" s="127" t="s">
        <v>1211</v>
      </c>
      <c r="O50" s="93" t="s">
        <v>905</v>
      </c>
      <c r="P50" s="123">
        <v>2888</v>
      </c>
      <c r="AZ50" s="146"/>
    </row>
    <row r="51" spans="1:52" s="118" customFormat="1" ht="25.5" customHeight="1">
      <c r="A51" s="143">
        <v>1</v>
      </c>
      <c r="B51" s="93" t="s">
        <v>682</v>
      </c>
      <c r="C51" s="93" t="s">
        <v>1884</v>
      </c>
      <c r="D51" s="95" t="s">
        <v>1073</v>
      </c>
      <c r="E51" s="93" t="s">
        <v>943</v>
      </c>
      <c r="F51" s="93" t="s">
        <v>226</v>
      </c>
      <c r="G51" s="93" t="s">
        <v>682</v>
      </c>
      <c r="H51" s="91">
        <v>40191</v>
      </c>
      <c r="I51" s="107">
        <v>40208</v>
      </c>
      <c r="J51" s="110" t="s">
        <v>1035</v>
      </c>
      <c r="K51" s="120" t="s">
        <v>379</v>
      </c>
      <c r="L51" s="110" t="s">
        <v>107</v>
      </c>
      <c r="M51" s="110" t="s">
        <v>522</v>
      </c>
      <c r="N51" s="127" t="s">
        <v>1211</v>
      </c>
      <c r="O51" s="93" t="s">
        <v>905</v>
      </c>
      <c r="P51" s="123">
        <v>2888</v>
      </c>
      <c r="AZ51" s="146"/>
    </row>
    <row r="52" spans="1:52" s="118" customFormat="1" ht="25.5" customHeight="1">
      <c r="A52" s="143">
        <v>1</v>
      </c>
      <c r="B52" s="93" t="s">
        <v>682</v>
      </c>
      <c r="C52" s="93" t="s">
        <v>1884</v>
      </c>
      <c r="D52" s="95" t="s">
        <v>915</v>
      </c>
      <c r="E52" s="93" t="s">
        <v>931</v>
      </c>
      <c r="F52" s="93" t="s">
        <v>241</v>
      </c>
      <c r="G52" s="93" t="s">
        <v>682</v>
      </c>
      <c r="H52" s="91">
        <v>40197</v>
      </c>
      <c r="I52" s="107">
        <v>40237</v>
      </c>
      <c r="J52" s="110" t="s">
        <v>1035</v>
      </c>
      <c r="K52" s="120" t="s">
        <v>379</v>
      </c>
      <c r="L52" s="110" t="s">
        <v>107</v>
      </c>
      <c r="M52" s="110" t="s">
        <v>521</v>
      </c>
      <c r="N52" s="127" t="s">
        <v>1211</v>
      </c>
      <c r="O52" s="93" t="s">
        <v>905</v>
      </c>
      <c r="P52" s="123">
        <v>2888</v>
      </c>
      <c r="AZ52" s="146"/>
    </row>
    <row r="53" spans="1:52" s="118" customFormat="1" ht="25.5" customHeight="1">
      <c r="A53" s="143">
        <v>1</v>
      </c>
      <c r="B53" s="93" t="s">
        <v>682</v>
      </c>
      <c r="C53" s="93" t="s">
        <v>1884</v>
      </c>
      <c r="D53" s="95" t="s">
        <v>1042</v>
      </c>
      <c r="E53" s="93" t="s">
        <v>946</v>
      </c>
      <c r="F53" s="93" t="s">
        <v>230</v>
      </c>
      <c r="G53" s="93" t="s">
        <v>682</v>
      </c>
      <c r="H53" s="91">
        <v>40191</v>
      </c>
      <c r="I53" s="107">
        <v>40223</v>
      </c>
      <c r="J53" s="110" t="s">
        <v>1035</v>
      </c>
      <c r="K53" s="120" t="s">
        <v>379</v>
      </c>
      <c r="L53" s="110" t="s">
        <v>107</v>
      </c>
      <c r="M53" s="110" t="s">
        <v>522</v>
      </c>
      <c r="N53" s="127" t="s">
        <v>1211</v>
      </c>
      <c r="O53" s="93" t="s">
        <v>905</v>
      </c>
      <c r="P53" s="123">
        <v>2888</v>
      </c>
      <c r="AZ53" s="146"/>
    </row>
    <row r="54" spans="1:52" s="118" customFormat="1" ht="25.5" customHeight="1">
      <c r="A54" s="143">
        <v>1</v>
      </c>
      <c r="B54" s="93" t="s">
        <v>682</v>
      </c>
      <c r="C54" s="93" t="s">
        <v>1884</v>
      </c>
      <c r="D54" s="95" t="s">
        <v>1067</v>
      </c>
      <c r="E54" s="93" t="s">
        <v>946</v>
      </c>
      <c r="F54" s="93" t="s">
        <v>230</v>
      </c>
      <c r="G54" s="93" t="s">
        <v>682</v>
      </c>
      <c r="H54" s="91">
        <v>40191</v>
      </c>
      <c r="I54" s="107">
        <v>40223</v>
      </c>
      <c r="J54" s="110" t="s">
        <v>1035</v>
      </c>
      <c r="K54" s="120" t="s">
        <v>379</v>
      </c>
      <c r="L54" s="110" t="s">
        <v>107</v>
      </c>
      <c r="M54" s="110" t="s">
        <v>522</v>
      </c>
      <c r="N54" s="127" t="s">
        <v>1211</v>
      </c>
      <c r="O54" s="93" t="s">
        <v>905</v>
      </c>
      <c r="P54" s="123">
        <v>2888</v>
      </c>
      <c r="AZ54" s="146"/>
    </row>
    <row r="55" spans="1:52" s="118" customFormat="1" ht="25.5" customHeight="1">
      <c r="A55" s="143">
        <v>1</v>
      </c>
      <c r="B55" s="93" t="s">
        <v>682</v>
      </c>
      <c r="C55" s="93" t="s">
        <v>1884</v>
      </c>
      <c r="D55" s="95" t="s">
        <v>916</v>
      </c>
      <c r="E55" s="93" t="s">
        <v>944</v>
      </c>
      <c r="F55" s="93" t="s">
        <v>239</v>
      </c>
      <c r="G55" s="93" t="s">
        <v>682</v>
      </c>
      <c r="H55" s="91">
        <v>40202</v>
      </c>
      <c r="I55" s="107">
        <v>40209</v>
      </c>
      <c r="J55" s="110" t="s">
        <v>1035</v>
      </c>
      <c r="K55" s="120" t="s">
        <v>379</v>
      </c>
      <c r="L55" s="110" t="s">
        <v>107</v>
      </c>
      <c r="M55" s="110" t="s">
        <v>521</v>
      </c>
      <c r="N55" s="127" t="s">
        <v>1211</v>
      </c>
      <c r="O55" s="93" t="s">
        <v>905</v>
      </c>
      <c r="P55" s="123">
        <v>2888</v>
      </c>
      <c r="AZ55" s="146"/>
    </row>
    <row r="56" spans="1:52" s="118" customFormat="1" ht="25.5" customHeight="1">
      <c r="A56" s="143">
        <v>1</v>
      </c>
      <c r="B56" s="93" t="s">
        <v>682</v>
      </c>
      <c r="C56" s="93" t="s">
        <v>1884</v>
      </c>
      <c r="D56" s="95" t="s">
        <v>918</v>
      </c>
      <c r="E56" s="93" t="s">
        <v>931</v>
      </c>
      <c r="F56" s="93" t="s">
        <v>241</v>
      </c>
      <c r="G56" s="93" t="s">
        <v>682</v>
      </c>
      <c r="H56" s="91">
        <v>40203</v>
      </c>
      <c r="I56" s="107">
        <v>40213</v>
      </c>
      <c r="J56" s="110" t="s">
        <v>1035</v>
      </c>
      <c r="K56" s="120" t="s">
        <v>379</v>
      </c>
      <c r="L56" s="110" t="s">
        <v>107</v>
      </c>
      <c r="M56" s="110" t="s">
        <v>521</v>
      </c>
      <c r="N56" s="127" t="s">
        <v>1211</v>
      </c>
      <c r="O56" s="93" t="s">
        <v>905</v>
      </c>
      <c r="P56" s="123">
        <v>2888</v>
      </c>
      <c r="AZ56" s="146"/>
    </row>
    <row r="57" spans="1:52" s="118" customFormat="1" ht="25.5" customHeight="1">
      <c r="A57" s="143">
        <v>1</v>
      </c>
      <c r="B57" s="93" t="s">
        <v>682</v>
      </c>
      <c r="C57" s="93" t="s">
        <v>1884</v>
      </c>
      <c r="D57" s="95" t="s">
        <v>917</v>
      </c>
      <c r="E57" s="93" t="s">
        <v>931</v>
      </c>
      <c r="F57" s="93" t="s">
        <v>241</v>
      </c>
      <c r="G57" s="93" t="s">
        <v>682</v>
      </c>
      <c r="H57" s="91">
        <v>40203</v>
      </c>
      <c r="I57" s="107">
        <v>40223</v>
      </c>
      <c r="J57" s="110" t="s">
        <v>1035</v>
      </c>
      <c r="K57" s="120" t="s">
        <v>379</v>
      </c>
      <c r="L57" s="110" t="s">
        <v>107</v>
      </c>
      <c r="M57" s="110" t="s">
        <v>522</v>
      </c>
      <c r="N57" s="127" t="s">
        <v>1211</v>
      </c>
      <c r="O57" s="93" t="s">
        <v>905</v>
      </c>
      <c r="P57" s="123">
        <v>2888</v>
      </c>
      <c r="AZ57" s="146"/>
    </row>
    <row r="58" spans="1:52" s="118" customFormat="1" ht="25.5" customHeight="1">
      <c r="A58" s="143">
        <v>1</v>
      </c>
      <c r="B58" s="93" t="s">
        <v>682</v>
      </c>
      <c r="C58" s="93" t="s">
        <v>1884</v>
      </c>
      <c r="D58" s="95" t="s">
        <v>921</v>
      </c>
      <c r="E58" s="93" t="s">
        <v>945</v>
      </c>
      <c r="F58" s="93" t="s">
        <v>876</v>
      </c>
      <c r="G58" s="93" t="s">
        <v>682</v>
      </c>
      <c r="H58" s="91">
        <v>40200</v>
      </c>
      <c r="I58" s="107">
        <v>40215</v>
      </c>
      <c r="J58" s="110" t="s">
        <v>1035</v>
      </c>
      <c r="K58" s="120" t="s">
        <v>379</v>
      </c>
      <c r="L58" s="110" t="s">
        <v>107</v>
      </c>
      <c r="M58" s="110" t="s">
        <v>521</v>
      </c>
      <c r="N58" s="127" t="s">
        <v>1211</v>
      </c>
      <c r="O58" s="93" t="s">
        <v>905</v>
      </c>
      <c r="P58" s="123">
        <v>2888</v>
      </c>
      <c r="AZ58" s="146"/>
    </row>
    <row r="59" spans="1:52" s="118" customFormat="1" ht="25.5" customHeight="1">
      <c r="A59" s="143">
        <v>1</v>
      </c>
      <c r="B59" s="93" t="s">
        <v>682</v>
      </c>
      <c r="C59" s="93" t="s">
        <v>1884</v>
      </c>
      <c r="D59" s="95" t="s">
        <v>706</v>
      </c>
      <c r="E59" s="93" t="s">
        <v>943</v>
      </c>
      <c r="F59" s="93" t="s">
        <v>226</v>
      </c>
      <c r="G59" s="93" t="s">
        <v>682</v>
      </c>
      <c r="H59" s="91">
        <v>40200</v>
      </c>
      <c r="I59" s="107">
        <v>40225</v>
      </c>
      <c r="J59" s="110" t="s">
        <v>1035</v>
      </c>
      <c r="K59" s="120" t="s">
        <v>379</v>
      </c>
      <c r="L59" s="110" t="s">
        <v>107</v>
      </c>
      <c r="M59" s="110" t="s">
        <v>522</v>
      </c>
      <c r="N59" s="127" t="s">
        <v>1211</v>
      </c>
      <c r="O59" s="93" t="s">
        <v>905</v>
      </c>
      <c r="P59" s="123">
        <v>2888</v>
      </c>
      <c r="AZ59" s="146"/>
    </row>
    <row r="60" spans="1:52" s="118" customFormat="1" ht="25.5" customHeight="1">
      <c r="A60" s="143">
        <v>1</v>
      </c>
      <c r="B60" s="93" t="s">
        <v>682</v>
      </c>
      <c r="C60" s="93" t="s">
        <v>1884</v>
      </c>
      <c r="D60" s="95" t="s">
        <v>625</v>
      </c>
      <c r="E60" s="93" t="s">
        <v>943</v>
      </c>
      <c r="F60" s="93" t="s">
        <v>226</v>
      </c>
      <c r="G60" s="93" t="s">
        <v>682</v>
      </c>
      <c r="H60" s="91">
        <v>40209</v>
      </c>
      <c r="I60" s="107">
        <v>40235</v>
      </c>
      <c r="J60" s="110" t="s">
        <v>1035</v>
      </c>
      <c r="K60" s="120" t="s">
        <v>379</v>
      </c>
      <c r="L60" s="110" t="s">
        <v>107</v>
      </c>
      <c r="M60" s="110" t="s">
        <v>522</v>
      </c>
      <c r="N60" s="127" t="s">
        <v>1211</v>
      </c>
      <c r="O60" s="93" t="s">
        <v>905</v>
      </c>
      <c r="P60" s="123">
        <v>2888</v>
      </c>
      <c r="AZ60" s="146"/>
    </row>
    <row r="61" spans="1:52" s="118" customFormat="1" ht="25.5" customHeight="1">
      <c r="A61" s="143">
        <v>1</v>
      </c>
      <c r="B61" s="93" t="s">
        <v>682</v>
      </c>
      <c r="C61" s="93" t="s">
        <v>1884</v>
      </c>
      <c r="D61" s="95" t="s">
        <v>928</v>
      </c>
      <c r="E61" s="93" t="s">
        <v>943</v>
      </c>
      <c r="F61" s="93" t="s">
        <v>226</v>
      </c>
      <c r="G61" s="93" t="s">
        <v>682</v>
      </c>
      <c r="H61" s="91">
        <v>40209</v>
      </c>
      <c r="I61" s="107">
        <v>40235</v>
      </c>
      <c r="J61" s="110" t="s">
        <v>1035</v>
      </c>
      <c r="K61" s="120" t="s">
        <v>379</v>
      </c>
      <c r="L61" s="110" t="s">
        <v>107</v>
      </c>
      <c r="M61" s="110" t="s">
        <v>522</v>
      </c>
      <c r="N61" s="127" t="s">
        <v>1211</v>
      </c>
      <c r="O61" s="93" t="s">
        <v>905</v>
      </c>
      <c r="P61" s="123">
        <v>2888</v>
      </c>
      <c r="AZ61" s="146"/>
    </row>
    <row r="62" spans="1:52" s="118" customFormat="1" ht="25.5" customHeight="1">
      <c r="A62" s="143">
        <v>1</v>
      </c>
      <c r="B62" s="93" t="s">
        <v>682</v>
      </c>
      <c r="C62" s="93" t="s">
        <v>1884</v>
      </c>
      <c r="D62" s="95" t="s">
        <v>909</v>
      </c>
      <c r="E62" s="93" t="s">
        <v>906</v>
      </c>
      <c r="F62" s="93" t="s">
        <v>226</v>
      </c>
      <c r="G62" s="93" t="s">
        <v>682</v>
      </c>
      <c r="H62" s="91">
        <v>40209</v>
      </c>
      <c r="I62" s="107">
        <v>40235</v>
      </c>
      <c r="J62" s="110" t="s">
        <v>1035</v>
      </c>
      <c r="K62" s="120" t="s">
        <v>379</v>
      </c>
      <c r="L62" s="110" t="s">
        <v>107</v>
      </c>
      <c r="M62" s="110" t="s">
        <v>522</v>
      </c>
      <c r="N62" s="127" t="s">
        <v>1211</v>
      </c>
      <c r="O62" s="93" t="s">
        <v>905</v>
      </c>
      <c r="P62" s="123">
        <v>2888</v>
      </c>
      <c r="AZ62" s="146"/>
    </row>
    <row r="63" spans="1:52" s="118" customFormat="1" ht="25.5" customHeight="1">
      <c r="A63" s="143">
        <v>1</v>
      </c>
      <c r="B63" s="93" t="s">
        <v>682</v>
      </c>
      <c r="C63" s="93" t="s">
        <v>1884</v>
      </c>
      <c r="D63" s="95" t="s">
        <v>929</v>
      </c>
      <c r="E63" s="93" t="s">
        <v>943</v>
      </c>
      <c r="F63" s="93" t="s">
        <v>226</v>
      </c>
      <c r="G63" s="93" t="s">
        <v>682</v>
      </c>
      <c r="H63" s="91">
        <v>40209</v>
      </c>
      <c r="I63" s="107">
        <v>40235</v>
      </c>
      <c r="J63" s="110" t="s">
        <v>1035</v>
      </c>
      <c r="K63" s="120" t="s">
        <v>379</v>
      </c>
      <c r="L63" s="110" t="s">
        <v>107</v>
      </c>
      <c r="M63" s="110" t="s">
        <v>522</v>
      </c>
      <c r="N63" s="127" t="s">
        <v>1211</v>
      </c>
      <c r="O63" s="93" t="s">
        <v>905</v>
      </c>
      <c r="P63" s="123">
        <v>2888</v>
      </c>
      <c r="AZ63" s="146"/>
    </row>
    <row r="64" spans="1:52" s="118" customFormat="1" ht="25.5" customHeight="1">
      <c r="A64" s="143">
        <v>1</v>
      </c>
      <c r="B64" s="93" t="s">
        <v>682</v>
      </c>
      <c r="C64" s="93" t="s">
        <v>1884</v>
      </c>
      <c r="D64" s="95" t="s">
        <v>930</v>
      </c>
      <c r="E64" s="93" t="s">
        <v>943</v>
      </c>
      <c r="F64" s="93" t="s">
        <v>226</v>
      </c>
      <c r="G64" s="93" t="s">
        <v>682</v>
      </c>
      <c r="H64" s="91">
        <v>40209</v>
      </c>
      <c r="I64" s="107">
        <v>40235</v>
      </c>
      <c r="J64" s="110" t="s">
        <v>1035</v>
      </c>
      <c r="K64" s="120" t="s">
        <v>379</v>
      </c>
      <c r="L64" s="110" t="s">
        <v>107</v>
      </c>
      <c r="M64" s="110" t="s">
        <v>522</v>
      </c>
      <c r="N64" s="127" t="s">
        <v>1211</v>
      </c>
      <c r="O64" s="93" t="s">
        <v>905</v>
      </c>
      <c r="P64" s="123">
        <v>2888</v>
      </c>
      <c r="AZ64" s="146"/>
    </row>
    <row r="65" spans="1:52" s="118" customFormat="1" ht="25.5" customHeight="1">
      <c r="A65" s="143">
        <v>1</v>
      </c>
      <c r="B65" s="93" t="s">
        <v>682</v>
      </c>
      <c r="C65" s="93" t="s">
        <v>1884</v>
      </c>
      <c r="D65" s="95" t="s">
        <v>910</v>
      </c>
      <c r="E65" s="93" t="s">
        <v>943</v>
      </c>
      <c r="F65" s="93" t="s">
        <v>226</v>
      </c>
      <c r="G65" s="93" t="s">
        <v>682</v>
      </c>
      <c r="H65" s="91">
        <v>40212</v>
      </c>
      <c r="I65" s="107">
        <v>40235</v>
      </c>
      <c r="J65" s="110" t="s">
        <v>1035</v>
      </c>
      <c r="K65" s="120" t="s">
        <v>379</v>
      </c>
      <c r="L65" s="110" t="s">
        <v>107</v>
      </c>
      <c r="M65" s="110" t="s">
        <v>522</v>
      </c>
      <c r="N65" s="127" t="s">
        <v>1211</v>
      </c>
      <c r="O65" s="93" t="s">
        <v>905</v>
      </c>
      <c r="P65" s="123">
        <v>2888</v>
      </c>
      <c r="AZ65" s="146"/>
    </row>
    <row r="66" spans="1:52" s="118" customFormat="1" ht="25.5" customHeight="1">
      <c r="A66" s="143">
        <v>1</v>
      </c>
      <c r="B66" s="93" t="s">
        <v>682</v>
      </c>
      <c r="C66" s="93" t="s">
        <v>1884</v>
      </c>
      <c r="D66" s="95" t="s">
        <v>1043</v>
      </c>
      <c r="E66" s="93" t="s">
        <v>947</v>
      </c>
      <c r="F66" s="93" t="s">
        <v>243</v>
      </c>
      <c r="G66" s="93" t="s">
        <v>682</v>
      </c>
      <c r="H66" s="91">
        <v>40209</v>
      </c>
      <c r="I66" s="107">
        <v>40269</v>
      </c>
      <c r="J66" s="110" t="s">
        <v>1035</v>
      </c>
      <c r="K66" s="120" t="s">
        <v>379</v>
      </c>
      <c r="L66" s="110" t="s">
        <v>107</v>
      </c>
      <c r="M66" s="110" t="s">
        <v>521</v>
      </c>
      <c r="N66" s="127" t="s">
        <v>1211</v>
      </c>
      <c r="O66" s="93" t="s">
        <v>905</v>
      </c>
      <c r="P66" s="123">
        <v>2888</v>
      </c>
      <c r="AZ66" s="146"/>
    </row>
    <row r="67" spans="1:52" s="118" customFormat="1" ht="25.5" customHeight="1">
      <c r="A67" s="143">
        <v>1</v>
      </c>
      <c r="B67" s="93" t="s">
        <v>682</v>
      </c>
      <c r="C67" s="93" t="s">
        <v>1884</v>
      </c>
      <c r="D67" s="95" t="s">
        <v>911</v>
      </c>
      <c r="E67" s="93" t="s">
        <v>947</v>
      </c>
      <c r="F67" s="93" t="s">
        <v>243</v>
      </c>
      <c r="G67" s="93" t="s">
        <v>682</v>
      </c>
      <c r="H67" s="91">
        <v>40209</v>
      </c>
      <c r="I67" s="107">
        <v>40235</v>
      </c>
      <c r="J67" s="110" t="s">
        <v>1035</v>
      </c>
      <c r="K67" s="120" t="s">
        <v>379</v>
      </c>
      <c r="L67" s="110" t="s">
        <v>107</v>
      </c>
      <c r="M67" s="110" t="s">
        <v>521</v>
      </c>
      <c r="N67" s="127" t="s">
        <v>1211</v>
      </c>
      <c r="O67" s="93" t="s">
        <v>905</v>
      </c>
      <c r="P67" s="123">
        <v>2888</v>
      </c>
      <c r="AZ67" s="146"/>
    </row>
    <row r="68" spans="1:52" s="118" customFormat="1" ht="25.5" customHeight="1">
      <c r="A68" s="143">
        <v>1</v>
      </c>
      <c r="B68" s="93" t="s">
        <v>682</v>
      </c>
      <c r="C68" s="93" t="s">
        <v>1884</v>
      </c>
      <c r="D68" s="95" t="s">
        <v>912</v>
      </c>
      <c r="E68" s="93" t="s">
        <v>947</v>
      </c>
      <c r="F68" s="93" t="s">
        <v>243</v>
      </c>
      <c r="G68" s="93" t="s">
        <v>682</v>
      </c>
      <c r="H68" s="91">
        <v>40211</v>
      </c>
      <c r="I68" s="107">
        <v>40235</v>
      </c>
      <c r="J68" s="110" t="s">
        <v>1035</v>
      </c>
      <c r="K68" s="120" t="s">
        <v>379</v>
      </c>
      <c r="L68" s="110" t="s">
        <v>107</v>
      </c>
      <c r="M68" s="110" t="s">
        <v>522</v>
      </c>
      <c r="N68" s="127" t="s">
        <v>1211</v>
      </c>
      <c r="O68" s="93" t="s">
        <v>905</v>
      </c>
      <c r="P68" s="123">
        <v>2888</v>
      </c>
      <c r="AZ68" s="146"/>
    </row>
    <row r="69" spans="1:52" s="118" customFormat="1" ht="25.5" customHeight="1">
      <c r="A69" s="143">
        <v>1</v>
      </c>
      <c r="B69" s="93" t="s">
        <v>682</v>
      </c>
      <c r="C69" s="93" t="s">
        <v>1884</v>
      </c>
      <c r="D69" s="95" t="s">
        <v>913</v>
      </c>
      <c r="E69" s="93" t="s">
        <v>947</v>
      </c>
      <c r="F69" s="93" t="s">
        <v>243</v>
      </c>
      <c r="G69" s="93" t="s">
        <v>682</v>
      </c>
      <c r="H69" s="91">
        <v>40211</v>
      </c>
      <c r="I69" s="107">
        <v>40235</v>
      </c>
      <c r="J69" s="110" t="s">
        <v>1035</v>
      </c>
      <c r="K69" s="120" t="s">
        <v>379</v>
      </c>
      <c r="L69" s="110" t="s">
        <v>107</v>
      </c>
      <c r="M69" s="110" t="s">
        <v>522</v>
      </c>
      <c r="N69" s="127" t="s">
        <v>1211</v>
      </c>
      <c r="O69" s="93" t="s">
        <v>905</v>
      </c>
      <c r="P69" s="123">
        <v>2888</v>
      </c>
      <c r="AZ69" s="146"/>
    </row>
    <row r="70" spans="1:52" s="118" customFormat="1" ht="25.5" customHeight="1">
      <c r="A70" s="143">
        <v>1</v>
      </c>
      <c r="B70" s="93" t="s">
        <v>682</v>
      </c>
      <c r="C70" s="93" t="s">
        <v>1884</v>
      </c>
      <c r="D70" s="95" t="s">
        <v>914</v>
      </c>
      <c r="E70" s="93" t="s">
        <v>947</v>
      </c>
      <c r="F70" s="93" t="s">
        <v>243</v>
      </c>
      <c r="G70" s="93" t="s">
        <v>682</v>
      </c>
      <c r="H70" s="91">
        <v>40222</v>
      </c>
      <c r="I70" s="107">
        <v>40271</v>
      </c>
      <c r="J70" s="110" t="s">
        <v>1035</v>
      </c>
      <c r="K70" s="120" t="s">
        <v>379</v>
      </c>
      <c r="L70" s="110" t="s">
        <v>107</v>
      </c>
      <c r="M70" s="110" t="s">
        <v>521</v>
      </c>
      <c r="N70" s="127" t="s">
        <v>1211</v>
      </c>
      <c r="O70" s="93" t="s">
        <v>905</v>
      </c>
      <c r="P70" s="123">
        <v>2888</v>
      </c>
      <c r="AZ70" s="146"/>
    </row>
    <row r="71" spans="1:52" s="118" customFormat="1" ht="25.5" customHeight="1">
      <c r="A71" s="143">
        <v>1</v>
      </c>
      <c r="B71" s="93" t="s">
        <v>682</v>
      </c>
      <c r="C71" s="93" t="s">
        <v>1884</v>
      </c>
      <c r="D71" s="95" t="s">
        <v>936</v>
      </c>
      <c r="E71" s="93" t="s">
        <v>949</v>
      </c>
      <c r="F71" s="93" t="s">
        <v>239</v>
      </c>
      <c r="G71" s="93" t="s">
        <v>682</v>
      </c>
      <c r="H71" s="91">
        <v>40226</v>
      </c>
      <c r="I71" s="107">
        <v>40240</v>
      </c>
      <c r="J71" s="110" t="s">
        <v>1035</v>
      </c>
      <c r="K71" s="120" t="s">
        <v>379</v>
      </c>
      <c r="L71" s="110" t="s">
        <v>107</v>
      </c>
      <c r="M71" s="110" t="s">
        <v>521</v>
      </c>
      <c r="N71" s="127" t="s">
        <v>1211</v>
      </c>
      <c r="O71" s="93" t="s">
        <v>905</v>
      </c>
      <c r="P71" s="123">
        <v>2888</v>
      </c>
      <c r="AZ71" s="146"/>
    </row>
    <row r="72" spans="1:52" s="118" customFormat="1" ht="25.5" customHeight="1">
      <c r="A72" s="143">
        <v>1</v>
      </c>
      <c r="B72" s="93" t="s">
        <v>682</v>
      </c>
      <c r="C72" s="93" t="s">
        <v>1884</v>
      </c>
      <c r="D72" s="95" t="s">
        <v>937</v>
      </c>
      <c r="E72" s="93" t="s">
        <v>948</v>
      </c>
      <c r="F72" s="93" t="s">
        <v>239</v>
      </c>
      <c r="G72" s="93" t="s">
        <v>682</v>
      </c>
      <c r="H72" s="91">
        <v>40226</v>
      </c>
      <c r="I72" s="107">
        <v>40271</v>
      </c>
      <c r="J72" s="110" t="s">
        <v>1035</v>
      </c>
      <c r="K72" s="120" t="s">
        <v>379</v>
      </c>
      <c r="L72" s="110" t="s">
        <v>107</v>
      </c>
      <c r="M72" s="110" t="s">
        <v>521</v>
      </c>
      <c r="N72" s="127" t="s">
        <v>1211</v>
      </c>
      <c r="O72" s="93" t="s">
        <v>905</v>
      </c>
      <c r="P72" s="123">
        <v>2888</v>
      </c>
      <c r="AZ72" s="146"/>
    </row>
    <row r="73" spans="1:52" s="118" customFormat="1" ht="25.5" customHeight="1">
      <c r="A73" s="143">
        <v>1</v>
      </c>
      <c r="B73" s="93" t="s">
        <v>682</v>
      </c>
      <c r="C73" s="93" t="s">
        <v>1884</v>
      </c>
      <c r="D73" s="95" t="s">
        <v>941</v>
      </c>
      <c r="E73" s="93" t="s">
        <v>931</v>
      </c>
      <c r="F73" s="93" t="s">
        <v>241</v>
      </c>
      <c r="G73" s="93" t="s">
        <v>682</v>
      </c>
      <c r="H73" s="91">
        <v>40223</v>
      </c>
      <c r="I73" s="107">
        <v>40247</v>
      </c>
      <c r="J73" s="110" t="s">
        <v>1035</v>
      </c>
      <c r="K73" s="120" t="s">
        <v>379</v>
      </c>
      <c r="L73" s="110" t="s">
        <v>107</v>
      </c>
      <c r="M73" s="110" t="s">
        <v>522</v>
      </c>
      <c r="N73" s="127" t="s">
        <v>1211</v>
      </c>
      <c r="O73" s="93" t="s">
        <v>905</v>
      </c>
      <c r="P73" s="123">
        <v>2888</v>
      </c>
      <c r="AZ73" s="146"/>
    </row>
    <row r="74" spans="1:52" s="118" customFormat="1" ht="25.5" customHeight="1">
      <c r="A74" s="143">
        <v>1</v>
      </c>
      <c r="B74" s="93" t="s">
        <v>682</v>
      </c>
      <c r="C74" s="93" t="s">
        <v>1884</v>
      </c>
      <c r="D74" s="95" t="s">
        <v>935</v>
      </c>
      <c r="E74" s="93" t="s">
        <v>950</v>
      </c>
      <c r="F74" s="93" t="s">
        <v>239</v>
      </c>
      <c r="G74" s="93" t="s">
        <v>682</v>
      </c>
      <c r="H74" s="91">
        <v>40217</v>
      </c>
      <c r="I74" s="107">
        <v>40268</v>
      </c>
      <c r="J74" s="110" t="s">
        <v>1035</v>
      </c>
      <c r="K74" s="120" t="s">
        <v>379</v>
      </c>
      <c r="L74" s="110" t="s">
        <v>107</v>
      </c>
      <c r="M74" s="110" t="s">
        <v>521</v>
      </c>
      <c r="N74" s="127" t="s">
        <v>1211</v>
      </c>
      <c r="O74" s="93" t="s">
        <v>905</v>
      </c>
      <c r="P74" s="123">
        <v>2888</v>
      </c>
      <c r="AZ74" s="146"/>
    </row>
    <row r="75" spans="1:52" s="143" customFormat="1" ht="25.5" customHeight="1">
      <c r="A75" s="143">
        <v>1</v>
      </c>
      <c r="B75" s="93" t="s">
        <v>682</v>
      </c>
      <c r="C75" s="93" t="s">
        <v>1884</v>
      </c>
      <c r="D75" s="93" t="s">
        <v>932</v>
      </c>
      <c r="E75" s="93" t="s">
        <v>946</v>
      </c>
      <c r="F75" s="93" t="s">
        <v>230</v>
      </c>
      <c r="G75" s="93" t="s">
        <v>682</v>
      </c>
      <c r="H75" s="91">
        <v>40222</v>
      </c>
      <c r="I75" s="91">
        <v>40271</v>
      </c>
      <c r="J75" s="110" t="s">
        <v>1035</v>
      </c>
      <c r="K75" s="120" t="s">
        <v>379</v>
      </c>
      <c r="L75" s="110" t="s">
        <v>107</v>
      </c>
      <c r="M75" s="110" t="s">
        <v>522</v>
      </c>
      <c r="N75" s="127" t="s">
        <v>1211</v>
      </c>
      <c r="O75" s="93" t="s">
        <v>905</v>
      </c>
      <c r="P75" s="123">
        <v>2888</v>
      </c>
      <c r="AZ75" s="148"/>
    </row>
    <row r="76" spans="1:52" s="143" customFormat="1" ht="25.5" customHeight="1">
      <c r="A76" s="143">
        <v>1</v>
      </c>
      <c r="B76" s="93" t="s">
        <v>682</v>
      </c>
      <c r="C76" s="93" t="s">
        <v>1884</v>
      </c>
      <c r="D76" s="93" t="s">
        <v>1838</v>
      </c>
      <c r="E76" s="93" t="s">
        <v>161</v>
      </c>
      <c r="F76" s="93" t="s">
        <v>242</v>
      </c>
      <c r="G76" s="93" t="s">
        <v>682</v>
      </c>
      <c r="H76" s="91">
        <v>40212</v>
      </c>
      <c r="I76" s="91">
        <v>40240</v>
      </c>
      <c r="J76" s="110" t="s">
        <v>1035</v>
      </c>
      <c r="K76" s="120" t="s">
        <v>379</v>
      </c>
      <c r="L76" s="110" t="s">
        <v>107</v>
      </c>
      <c r="M76" s="110" t="s">
        <v>521</v>
      </c>
      <c r="N76" s="127" t="s">
        <v>1211</v>
      </c>
      <c r="O76" s="93" t="s">
        <v>905</v>
      </c>
      <c r="P76" s="123">
        <v>2888</v>
      </c>
      <c r="AZ76" s="148"/>
    </row>
    <row r="77" spans="1:52" s="143" customFormat="1" ht="25.5" customHeight="1">
      <c r="A77" s="143">
        <v>1</v>
      </c>
      <c r="B77" s="93" t="s">
        <v>682</v>
      </c>
      <c r="C77" s="93" t="s">
        <v>1884</v>
      </c>
      <c r="D77" s="93" t="s">
        <v>938</v>
      </c>
      <c r="E77" s="93" t="s">
        <v>162</v>
      </c>
      <c r="F77" s="93" t="s">
        <v>242</v>
      </c>
      <c r="G77" s="93" t="s">
        <v>682</v>
      </c>
      <c r="H77" s="91">
        <v>40222</v>
      </c>
      <c r="I77" s="91">
        <v>40240</v>
      </c>
      <c r="J77" s="110" t="s">
        <v>1035</v>
      </c>
      <c r="K77" s="120" t="s">
        <v>379</v>
      </c>
      <c r="L77" s="110" t="s">
        <v>107</v>
      </c>
      <c r="M77" s="110" t="s">
        <v>521</v>
      </c>
      <c r="N77" s="127" t="s">
        <v>1211</v>
      </c>
      <c r="O77" s="93" t="s">
        <v>905</v>
      </c>
      <c r="P77" s="123">
        <v>2888</v>
      </c>
      <c r="AZ77" s="148"/>
    </row>
    <row r="78" spans="1:52" s="143" customFormat="1" ht="25.5" customHeight="1">
      <c r="A78" s="143">
        <v>1</v>
      </c>
      <c r="B78" s="93" t="s">
        <v>682</v>
      </c>
      <c r="C78" s="93" t="s">
        <v>1884</v>
      </c>
      <c r="D78" s="93" t="s">
        <v>939</v>
      </c>
      <c r="E78" s="93" t="s">
        <v>162</v>
      </c>
      <c r="F78" s="93" t="s">
        <v>242</v>
      </c>
      <c r="G78" s="93" t="s">
        <v>682</v>
      </c>
      <c r="H78" s="91">
        <v>40222</v>
      </c>
      <c r="I78" s="91">
        <v>40240</v>
      </c>
      <c r="J78" s="110" t="s">
        <v>1035</v>
      </c>
      <c r="K78" s="120" t="s">
        <v>379</v>
      </c>
      <c r="L78" s="110" t="s">
        <v>107</v>
      </c>
      <c r="M78" s="110" t="s">
        <v>522</v>
      </c>
      <c r="N78" s="127" t="s">
        <v>1211</v>
      </c>
      <c r="O78" s="93" t="s">
        <v>905</v>
      </c>
      <c r="P78" s="123">
        <v>2888</v>
      </c>
      <c r="AZ78" s="148"/>
    </row>
    <row r="79" spans="1:52" s="143" customFormat="1" ht="25.5" customHeight="1">
      <c r="A79" s="143">
        <v>1</v>
      </c>
      <c r="B79" s="93" t="s">
        <v>682</v>
      </c>
      <c r="C79" s="93" t="s">
        <v>1884</v>
      </c>
      <c r="D79" s="93" t="s">
        <v>940</v>
      </c>
      <c r="E79" s="93" t="s">
        <v>162</v>
      </c>
      <c r="F79" s="93" t="s">
        <v>242</v>
      </c>
      <c r="G79" s="93" t="s">
        <v>682</v>
      </c>
      <c r="H79" s="91">
        <v>40222</v>
      </c>
      <c r="I79" s="91">
        <v>40240</v>
      </c>
      <c r="J79" s="110" t="s">
        <v>1035</v>
      </c>
      <c r="K79" s="120" t="s">
        <v>379</v>
      </c>
      <c r="L79" s="110" t="s">
        <v>107</v>
      </c>
      <c r="M79" s="110" t="s">
        <v>522</v>
      </c>
      <c r="N79" s="127" t="s">
        <v>1211</v>
      </c>
      <c r="O79" s="93" t="s">
        <v>905</v>
      </c>
      <c r="P79" s="123">
        <v>2888</v>
      </c>
      <c r="AZ79" s="148"/>
    </row>
    <row r="80" spans="1:52" s="143" customFormat="1" ht="25.5" customHeight="1">
      <c r="A80" s="143">
        <v>1</v>
      </c>
      <c r="B80" s="93" t="s">
        <v>682</v>
      </c>
      <c r="C80" s="93" t="s">
        <v>1884</v>
      </c>
      <c r="D80" s="93" t="s">
        <v>942</v>
      </c>
      <c r="E80" s="93" t="s">
        <v>162</v>
      </c>
      <c r="F80" s="93" t="s">
        <v>242</v>
      </c>
      <c r="G80" s="93" t="s">
        <v>682</v>
      </c>
      <c r="H80" s="91">
        <v>40217</v>
      </c>
      <c r="I80" s="91">
        <v>40240</v>
      </c>
      <c r="J80" s="110" t="s">
        <v>1035</v>
      </c>
      <c r="K80" s="120" t="s">
        <v>379</v>
      </c>
      <c r="L80" s="110" t="s">
        <v>107</v>
      </c>
      <c r="M80" s="110" t="s">
        <v>522</v>
      </c>
      <c r="N80" s="127" t="s">
        <v>1211</v>
      </c>
      <c r="O80" s="93" t="s">
        <v>905</v>
      </c>
      <c r="P80" s="123">
        <v>2888</v>
      </c>
      <c r="AZ80" s="148"/>
    </row>
    <row r="81" spans="1:52" s="143" customFormat="1" ht="25.5" customHeight="1">
      <c r="A81" s="143">
        <v>1</v>
      </c>
      <c r="B81" s="93" t="s">
        <v>682</v>
      </c>
      <c r="C81" s="93" t="s">
        <v>1884</v>
      </c>
      <c r="D81" s="93" t="s">
        <v>1086</v>
      </c>
      <c r="E81" s="93" t="s">
        <v>951</v>
      </c>
      <c r="F81" s="93" t="s">
        <v>242</v>
      </c>
      <c r="G81" s="93" t="s">
        <v>682</v>
      </c>
      <c r="H81" s="91">
        <v>40217</v>
      </c>
      <c r="I81" s="91">
        <v>40227</v>
      </c>
      <c r="J81" s="110" t="s">
        <v>1035</v>
      </c>
      <c r="K81" s="120" t="s">
        <v>379</v>
      </c>
      <c r="L81" s="110" t="s">
        <v>107</v>
      </c>
      <c r="M81" s="110" t="s">
        <v>522</v>
      </c>
      <c r="N81" s="127" t="s">
        <v>1211</v>
      </c>
      <c r="O81" s="93" t="s">
        <v>905</v>
      </c>
      <c r="P81" s="123">
        <v>2888</v>
      </c>
      <c r="AZ81" s="148"/>
    </row>
    <row r="82" spans="1:52" s="143" customFormat="1" ht="25.5" customHeight="1">
      <c r="A82" s="143">
        <v>1</v>
      </c>
      <c r="B82" s="93" t="s">
        <v>682</v>
      </c>
      <c r="C82" s="93" t="s">
        <v>1884</v>
      </c>
      <c r="D82" s="93" t="s">
        <v>1049</v>
      </c>
      <c r="E82" s="93" t="s">
        <v>952</v>
      </c>
      <c r="F82" s="93" t="s">
        <v>876</v>
      </c>
      <c r="G82" s="93" t="s">
        <v>682</v>
      </c>
      <c r="H82" s="91">
        <v>40216</v>
      </c>
      <c r="I82" s="91">
        <v>40245</v>
      </c>
      <c r="J82" s="110" t="s">
        <v>1035</v>
      </c>
      <c r="K82" s="120" t="s">
        <v>379</v>
      </c>
      <c r="L82" s="110" t="s">
        <v>107</v>
      </c>
      <c r="M82" s="110" t="s">
        <v>522</v>
      </c>
      <c r="N82" s="127" t="s">
        <v>1211</v>
      </c>
      <c r="O82" s="93" t="s">
        <v>905</v>
      </c>
      <c r="P82" s="123">
        <v>2888</v>
      </c>
      <c r="AZ82" s="148"/>
    </row>
    <row r="83" spans="1:52" s="143" customFormat="1" ht="25.5" customHeight="1">
      <c r="A83" s="143">
        <v>1</v>
      </c>
      <c r="B83" s="93" t="s">
        <v>682</v>
      </c>
      <c r="C83" s="93" t="s">
        <v>1884</v>
      </c>
      <c r="D83" s="93" t="s">
        <v>1082</v>
      </c>
      <c r="E83" s="93" t="s">
        <v>954</v>
      </c>
      <c r="F83" s="93" t="s">
        <v>241</v>
      </c>
      <c r="G83" s="93" t="s">
        <v>1540</v>
      </c>
      <c r="H83" s="91">
        <v>40197</v>
      </c>
      <c r="I83" s="91">
        <v>40224</v>
      </c>
      <c r="J83" s="110" t="s">
        <v>1035</v>
      </c>
      <c r="K83" s="120" t="s">
        <v>379</v>
      </c>
      <c r="L83" s="110" t="s">
        <v>107</v>
      </c>
      <c r="M83" s="110" t="s">
        <v>521</v>
      </c>
      <c r="N83" s="127" t="s">
        <v>1211</v>
      </c>
      <c r="O83" s="93" t="s">
        <v>905</v>
      </c>
      <c r="P83" s="123">
        <v>2888</v>
      </c>
      <c r="AZ83" s="148"/>
    </row>
    <row r="84" spans="1:52" s="143" customFormat="1" ht="25.5" customHeight="1">
      <c r="A84" s="143">
        <v>1</v>
      </c>
      <c r="B84" s="93" t="s">
        <v>682</v>
      </c>
      <c r="C84" s="93" t="s">
        <v>1884</v>
      </c>
      <c r="D84" s="93" t="s">
        <v>918</v>
      </c>
      <c r="E84" s="93" t="s">
        <v>953</v>
      </c>
      <c r="F84" s="93" t="s">
        <v>241</v>
      </c>
      <c r="G84" s="93" t="s">
        <v>957</v>
      </c>
      <c r="H84" s="91">
        <v>40190</v>
      </c>
      <c r="I84" s="91">
        <v>40202</v>
      </c>
      <c r="J84" s="110" t="s">
        <v>1035</v>
      </c>
      <c r="K84" s="120" t="s">
        <v>379</v>
      </c>
      <c r="L84" s="110" t="s">
        <v>107</v>
      </c>
      <c r="M84" s="110" t="s">
        <v>521</v>
      </c>
      <c r="N84" s="127" t="s">
        <v>1211</v>
      </c>
      <c r="O84" s="93" t="s">
        <v>905</v>
      </c>
      <c r="P84" s="123">
        <v>2888</v>
      </c>
      <c r="AZ84" s="148"/>
    </row>
    <row r="85" spans="1:52" s="143" customFormat="1" ht="25.5" customHeight="1">
      <c r="A85" s="143">
        <v>1</v>
      </c>
      <c r="B85" s="93" t="s">
        <v>682</v>
      </c>
      <c r="C85" s="93" t="s">
        <v>1884</v>
      </c>
      <c r="D85" s="93" t="s">
        <v>927</v>
      </c>
      <c r="E85" s="93" t="s">
        <v>955</v>
      </c>
      <c r="F85" s="93" t="s">
        <v>239</v>
      </c>
      <c r="G85" s="93" t="s">
        <v>957</v>
      </c>
      <c r="H85" s="91">
        <v>40196</v>
      </c>
      <c r="I85" s="91">
        <v>40225</v>
      </c>
      <c r="J85" s="110" t="s">
        <v>1035</v>
      </c>
      <c r="K85" s="120" t="s">
        <v>379</v>
      </c>
      <c r="L85" s="110" t="s">
        <v>107</v>
      </c>
      <c r="M85" s="110" t="s">
        <v>522</v>
      </c>
      <c r="N85" s="127" t="s">
        <v>1211</v>
      </c>
      <c r="O85" s="93" t="s">
        <v>905</v>
      </c>
      <c r="P85" s="123">
        <v>2888</v>
      </c>
      <c r="AZ85" s="148"/>
    </row>
    <row r="86" spans="1:52" s="143" customFormat="1" ht="25.5" customHeight="1">
      <c r="A86" s="143">
        <v>1</v>
      </c>
      <c r="B86" s="93" t="s">
        <v>682</v>
      </c>
      <c r="C86" s="93" t="s">
        <v>1884</v>
      </c>
      <c r="D86" s="93" t="s">
        <v>1086</v>
      </c>
      <c r="E86" s="93" t="s">
        <v>1375</v>
      </c>
      <c r="F86" s="93" t="s">
        <v>843</v>
      </c>
      <c r="G86" s="93" t="s">
        <v>1047</v>
      </c>
      <c r="H86" s="91">
        <v>40196</v>
      </c>
      <c r="I86" s="91">
        <v>40209</v>
      </c>
      <c r="J86" s="110" t="s">
        <v>1035</v>
      </c>
      <c r="K86" s="120" t="s">
        <v>379</v>
      </c>
      <c r="L86" s="110" t="s">
        <v>107</v>
      </c>
      <c r="M86" s="110" t="s">
        <v>522</v>
      </c>
      <c r="N86" s="127" t="s">
        <v>1211</v>
      </c>
      <c r="O86" s="93" t="s">
        <v>905</v>
      </c>
      <c r="P86" s="123">
        <v>2888</v>
      </c>
      <c r="AZ86" s="148"/>
    </row>
    <row r="87" spans="1:52" s="143" customFormat="1" ht="25.5" customHeight="1">
      <c r="A87" s="143">
        <v>1</v>
      </c>
      <c r="B87" s="93" t="s">
        <v>682</v>
      </c>
      <c r="C87" s="93" t="s">
        <v>1884</v>
      </c>
      <c r="D87" s="93" t="s">
        <v>923</v>
      </c>
      <c r="E87" s="93" t="s">
        <v>987</v>
      </c>
      <c r="F87" s="93" t="s">
        <v>1819</v>
      </c>
      <c r="G87" s="93" t="s">
        <v>682</v>
      </c>
      <c r="H87" s="91">
        <v>40190</v>
      </c>
      <c r="I87" s="91">
        <v>40209</v>
      </c>
      <c r="J87" s="110" t="s">
        <v>1035</v>
      </c>
      <c r="K87" s="120" t="s">
        <v>379</v>
      </c>
      <c r="L87" s="110" t="s">
        <v>107</v>
      </c>
      <c r="M87" s="110" t="s">
        <v>522</v>
      </c>
      <c r="N87" s="127" t="s">
        <v>1211</v>
      </c>
      <c r="O87" s="93" t="s">
        <v>905</v>
      </c>
      <c r="P87" s="123">
        <v>2888</v>
      </c>
      <c r="AZ87" s="148"/>
    </row>
    <row r="88" spans="1:52" s="143" customFormat="1" ht="25.5" customHeight="1">
      <c r="A88" s="143">
        <v>1</v>
      </c>
      <c r="B88" s="93" t="s">
        <v>682</v>
      </c>
      <c r="C88" s="93" t="s">
        <v>1884</v>
      </c>
      <c r="D88" s="93" t="s">
        <v>910</v>
      </c>
      <c r="E88" s="93" t="s">
        <v>989</v>
      </c>
      <c r="F88" s="93" t="s">
        <v>1819</v>
      </c>
      <c r="G88" s="93" t="s">
        <v>682</v>
      </c>
      <c r="H88" s="91">
        <v>40201</v>
      </c>
      <c r="I88" s="91">
        <v>40211</v>
      </c>
      <c r="J88" s="110" t="s">
        <v>1035</v>
      </c>
      <c r="K88" s="120" t="s">
        <v>379</v>
      </c>
      <c r="L88" s="110" t="s">
        <v>107</v>
      </c>
      <c r="M88" s="110" t="s">
        <v>522</v>
      </c>
      <c r="N88" s="127" t="s">
        <v>1211</v>
      </c>
      <c r="O88" s="93" t="s">
        <v>905</v>
      </c>
      <c r="P88" s="123">
        <v>2888</v>
      </c>
      <c r="AZ88" s="148"/>
    </row>
    <row r="89" spans="1:52" s="143" customFormat="1" ht="25.5" customHeight="1">
      <c r="A89" s="143">
        <v>1</v>
      </c>
      <c r="B89" s="93" t="s">
        <v>682</v>
      </c>
      <c r="C89" s="93" t="s">
        <v>1884</v>
      </c>
      <c r="D89" s="93" t="s">
        <v>924</v>
      </c>
      <c r="E89" s="93" t="s">
        <v>989</v>
      </c>
      <c r="F89" s="93" t="s">
        <v>1819</v>
      </c>
      <c r="G89" s="93" t="s">
        <v>682</v>
      </c>
      <c r="H89" s="91">
        <v>40199</v>
      </c>
      <c r="I89" s="91">
        <v>40230</v>
      </c>
      <c r="J89" s="110" t="s">
        <v>1035</v>
      </c>
      <c r="K89" s="120" t="s">
        <v>379</v>
      </c>
      <c r="L89" s="110" t="s">
        <v>107</v>
      </c>
      <c r="M89" s="110" t="s">
        <v>522</v>
      </c>
      <c r="N89" s="127" t="s">
        <v>1211</v>
      </c>
      <c r="O89" s="93" t="s">
        <v>905</v>
      </c>
      <c r="P89" s="123">
        <v>2888</v>
      </c>
      <c r="AZ89" s="148"/>
    </row>
    <row r="90" spans="1:52" s="143" customFormat="1" ht="25.5" customHeight="1">
      <c r="A90" s="143">
        <v>1</v>
      </c>
      <c r="B90" s="93" t="s">
        <v>682</v>
      </c>
      <c r="C90" s="93" t="s">
        <v>1884</v>
      </c>
      <c r="D90" s="93" t="s">
        <v>933</v>
      </c>
      <c r="E90" s="93" t="s">
        <v>988</v>
      </c>
      <c r="F90" s="93" t="s">
        <v>1819</v>
      </c>
      <c r="G90" s="93" t="s">
        <v>682</v>
      </c>
      <c r="H90" s="91">
        <v>40200</v>
      </c>
      <c r="I90" s="91">
        <v>40218</v>
      </c>
      <c r="J90" s="110" t="s">
        <v>1035</v>
      </c>
      <c r="K90" s="120" t="s">
        <v>379</v>
      </c>
      <c r="L90" s="110" t="s">
        <v>107</v>
      </c>
      <c r="M90" s="110" t="s">
        <v>521</v>
      </c>
      <c r="N90" s="127" t="s">
        <v>1211</v>
      </c>
      <c r="O90" s="93" t="s">
        <v>905</v>
      </c>
      <c r="P90" s="123">
        <v>2888</v>
      </c>
      <c r="AZ90" s="148"/>
    </row>
    <row r="91" spans="1:52" s="143" customFormat="1" ht="25.5" customHeight="1">
      <c r="A91" s="143">
        <v>1</v>
      </c>
      <c r="B91" s="93" t="s">
        <v>682</v>
      </c>
      <c r="C91" s="93" t="s">
        <v>1884</v>
      </c>
      <c r="D91" s="93" t="s">
        <v>922</v>
      </c>
      <c r="E91" s="93" t="s">
        <v>990</v>
      </c>
      <c r="F91" s="93" t="s">
        <v>1819</v>
      </c>
      <c r="G91" s="93" t="s">
        <v>682</v>
      </c>
      <c r="H91" s="91">
        <v>40200</v>
      </c>
      <c r="I91" s="91">
        <v>40219</v>
      </c>
      <c r="J91" s="110" t="s">
        <v>1035</v>
      </c>
      <c r="K91" s="120" t="s">
        <v>379</v>
      </c>
      <c r="L91" s="110" t="s">
        <v>107</v>
      </c>
      <c r="M91" s="110" t="s">
        <v>521</v>
      </c>
      <c r="N91" s="127" t="s">
        <v>1211</v>
      </c>
      <c r="O91" s="93" t="s">
        <v>905</v>
      </c>
      <c r="P91" s="123">
        <v>2888</v>
      </c>
      <c r="AZ91" s="148"/>
    </row>
    <row r="92" spans="1:52" s="143" customFormat="1" ht="25.5" customHeight="1">
      <c r="A92" s="143">
        <v>1</v>
      </c>
      <c r="B92" s="93" t="s">
        <v>682</v>
      </c>
      <c r="C92" s="93" t="s">
        <v>1884</v>
      </c>
      <c r="D92" s="93" t="s">
        <v>934</v>
      </c>
      <c r="E92" s="93" t="s">
        <v>991</v>
      </c>
      <c r="F92" s="93" t="s">
        <v>1819</v>
      </c>
      <c r="G92" s="93" t="s">
        <v>682</v>
      </c>
      <c r="H92" s="91">
        <v>40213</v>
      </c>
      <c r="I92" s="91">
        <v>40269</v>
      </c>
      <c r="J92" s="110" t="s">
        <v>1035</v>
      </c>
      <c r="K92" s="120" t="s">
        <v>379</v>
      </c>
      <c r="L92" s="110" t="s">
        <v>107</v>
      </c>
      <c r="M92" s="110" t="s">
        <v>522</v>
      </c>
      <c r="N92" s="127" t="s">
        <v>1211</v>
      </c>
      <c r="O92" s="93" t="s">
        <v>905</v>
      </c>
      <c r="P92" s="123">
        <v>2888</v>
      </c>
      <c r="AZ92" s="148"/>
    </row>
    <row r="93" spans="1:52" s="143" customFormat="1" ht="25.5" customHeight="1">
      <c r="A93" s="143">
        <v>1</v>
      </c>
      <c r="B93" s="93" t="s">
        <v>682</v>
      </c>
      <c r="C93" s="93" t="s">
        <v>1884</v>
      </c>
      <c r="D93" s="93" t="s">
        <v>926</v>
      </c>
      <c r="E93" s="93" t="s">
        <v>1371</v>
      </c>
      <c r="F93" s="93" t="s">
        <v>1819</v>
      </c>
      <c r="G93" s="93" t="s">
        <v>682</v>
      </c>
      <c r="H93" s="91">
        <v>40197</v>
      </c>
      <c r="I93" s="91">
        <v>40209</v>
      </c>
      <c r="J93" s="110" t="s">
        <v>1035</v>
      </c>
      <c r="K93" s="120" t="s">
        <v>379</v>
      </c>
      <c r="L93" s="110" t="s">
        <v>107</v>
      </c>
      <c r="M93" s="110" t="s">
        <v>521</v>
      </c>
      <c r="N93" s="127" t="s">
        <v>1211</v>
      </c>
      <c r="O93" s="93" t="s">
        <v>905</v>
      </c>
      <c r="P93" s="123">
        <v>2888</v>
      </c>
      <c r="AZ93" s="148"/>
    </row>
    <row r="94" spans="1:52" s="143" customFormat="1" ht="25.5" customHeight="1">
      <c r="A94" s="143">
        <v>1</v>
      </c>
      <c r="B94" s="93" t="s">
        <v>682</v>
      </c>
      <c r="C94" s="93" t="s">
        <v>1884</v>
      </c>
      <c r="D94" s="93" t="s">
        <v>925</v>
      </c>
      <c r="E94" s="93" t="s">
        <v>1371</v>
      </c>
      <c r="F94" s="93" t="s">
        <v>1819</v>
      </c>
      <c r="G94" s="93" t="s">
        <v>682</v>
      </c>
      <c r="H94" s="91">
        <v>40197</v>
      </c>
      <c r="I94" s="91">
        <v>40209</v>
      </c>
      <c r="J94" s="110" t="s">
        <v>1035</v>
      </c>
      <c r="K94" s="120" t="s">
        <v>379</v>
      </c>
      <c r="L94" s="110" t="s">
        <v>107</v>
      </c>
      <c r="M94" s="110" t="s">
        <v>521</v>
      </c>
      <c r="N94" s="127" t="s">
        <v>1211</v>
      </c>
      <c r="O94" s="93" t="s">
        <v>905</v>
      </c>
      <c r="P94" s="123">
        <v>2888</v>
      </c>
      <c r="AZ94" s="148"/>
    </row>
    <row r="95" spans="1:52" s="143" customFormat="1" ht="25.5" customHeight="1">
      <c r="A95" s="143">
        <v>1</v>
      </c>
      <c r="B95" s="93" t="s">
        <v>682</v>
      </c>
      <c r="C95" s="93" t="s">
        <v>1884</v>
      </c>
      <c r="D95" s="93" t="s">
        <v>919</v>
      </c>
      <c r="E95" s="93" t="s">
        <v>1372</v>
      </c>
      <c r="F95" s="93" t="s">
        <v>1819</v>
      </c>
      <c r="G95" s="93" t="s">
        <v>682</v>
      </c>
      <c r="H95" s="91">
        <v>40200</v>
      </c>
      <c r="I95" s="91">
        <v>40216</v>
      </c>
      <c r="J95" s="110" t="s">
        <v>1035</v>
      </c>
      <c r="K95" s="120" t="s">
        <v>379</v>
      </c>
      <c r="L95" s="110" t="s">
        <v>107</v>
      </c>
      <c r="M95" s="110" t="s">
        <v>522</v>
      </c>
      <c r="N95" s="127" t="s">
        <v>1211</v>
      </c>
      <c r="O95" s="93" t="s">
        <v>905</v>
      </c>
      <c r="P95" s="123">
        <v>2888</v>
      </c>
      <c r="AZ95" s="148"/>
    </row>
    <row r="96" spans="1:52" s="143" customFormat="1" ht="25.5" customHeight="1">
      <c r="A96" s="143">
        <v>1</v>
      </c>
      <c r="B96" s="93" t="s">
        <v>682</v>
      </c>
      <c r="C96" s="93" t="s">
        <v>1884</v>
      </c>
      <c r="D96" s="93" t="s">
        <v>920</v>
      </c>
      <c r="E96" s="93" t="s">
        <v>1373</v>
      </c>
      <c r="F96" s="93" t="s">
        <v>1819</v>
      </c>
      <c r="G96" s="93" t="s">
        <v>682</v>
      </c>
      <c r="H96" s="91">
        <v>40213</v>
      </c>
      <c r="I96" s="91">
        <v>40269</v>
      </c>
      <c r="J96" s="110" t="s">
        <v>1035</v>
      </c>
      <c r="K96" s="120" t="s">
        <v>379</v>
      </c>
      <c r="L96" s="110" t="s">
        <v>107</v>
      </c>
      <c r="M96" s="110" t="s">
        <v>521</v>
      </c>
      <c r="N96" s="127" t="s">
        <v>1211</v>
      </c>
      <c r="O96" s="93" t="s">
        <v>905</v>
      </c>
      <c r="P96" s="123">
        <v>2888</v>
      </c>
      <c r="AZ96" s="148"/>
    </row>
    <row r="97" spans="1:52" s="143" customFormat="1" ht="25.5" customHeight="1">
      <c r="A97" s="143">
        <v>1</v>
      </c>
      <c r="B97" s="93" t="s">
        <v>682</v>
      </c>
      <c r="C97" s="93" t="s">
        <v>1884</v>
      </c>
      <c r="D97" s="93" t="s">
        <v>1057</v>
      </c>
      <c r="E97" s="93" t="s">
        <v>1374</v>
      </c>
      <c r="F97" s="93" t="s">
        <v>843</v>
      </c>
      <c r="G97" s="93" t="s">
        <v>1047</v>
      </c>
      <c r="H97" s="91">
        <v>40198</v>
      </c>
      <c r="I97" s="91">
        <v>40230</v>
      </c>
      <c r="J97" s="110" t="s">
        <v>1035</v>
      </c>
      <c r="K97" s="120" t="s">
        <v>379</v>
      </c>
      <c r="L97" s="110" t="s">
        <v>107</v>
      </c>
      <c r="M97" s="110" t="s">
        <v>522</v>
      </c>
      <c r="N97" s="127" t="s">
        <v>1211</v>
      </c>
      <c r="O97" s="93" t="s">
        <v>905</v>
      </c>
      <c r="P97" s="123">
        <v>2888</v>
      </c>
      <c r="AZ97" s="148"/>
    </row>
    <row r="98" spans="1:52" s="143" customFormat="1" ht="25.5" customHeight="1">
      <c r="A98" s="143">
        <v>1</v>
      </c>
      <c r="B98" s="93" t="s">
        <v>682</v>
      </c>
      <c r="C98" s="93" t="s">
        <v>1884</v>
      </c>
      <c r="D98" s="93" t="s">
        <v>575</v>
      </c>
      <c r="E98" s="93" t="s">
        <v>576</v>
      </c>
      <c r="F98" s="93" t="s">
        <v>1819</v>
      </c>
      <c r="G98" s="93" t="s">
        <v>682</v>
      </c>
      <c r="H98" s="91">
        <v>40210</v>
      </c>
      <c r="I98" s="91">
        <v>40252</v>
      </c>
      <c r="J98" s="110" t="s">
        <v>1035</v>
      </c>
      <c r="K98" s="120" t="s">
        <v>379</v>
      </c>
      <c r="L98" s="110" t="s">
        <v>107</v>
      </c>
      <c r="M98" s="110" t="s">
        <v>521</v>
      </c>
      <c r="N98" s="127" t="s">
        <v>1211</v>
      </c>
      <c r="O98" s="93" t="s">
        <v>905</v>
      </c>
      <c r="P98" s="123"/>
      <c r="AZ98" s="148"/>
    </row>
    <row r="99" spans="1:52" s="143" customFormat="1" ht="25.5" customHeight="1">
      <c r="A99" s="143">
        <v>1</v>
      </c>
      <c r="B99" s="93" t="s">
        <v>682</v>
      </c>
      <c r="C99" s="93" t="s">
        <v>1884</v>
      </c>
      <c r="D99" s="93" t="s">
        <v>927</v>
      </c>
      <c r="E99" s="93" t="s">
        <v>906</v>
      </c>
      <c r="F99" s="93" t="s">
        <v>226</v>
      </c>
      <c r="G99" s="93" t="s">
        <v>682</v>
      </c>
      <c r="H99" s="91">
        <v>40230</v>
      </c>
      <c r="I99" s="91">
        <v>40262</v>
      </c>
      <c r="J99" s="110" t="s">
        <v>1035</v>
      </c>
      <c r="K99" s="120" t="s">
        <v>379</v>
      </c>
      <c r="L99" s="110" t="s">
        <v>107</v>
      </c>
      <c r="M99" s="110" t="s">
        <v>522</v>
      </c>
      <c r="N99" s="127" t="s">
        <v>1211</v>
      </c>
      <c r="O99" s="93" t="s">
        <v>905</v>
      </c>
      <c r="P99" s="123">
        <v>2888</v>
      </c>
      <c r="AZ99" s="148"/>
    </row>
    <row r="100" spans="1:52" s="143" customFormat="1" ht="25.5" customHeight="1">
      <c r="A100" s="143">
        <v>1</v>
      </c>
      <c r="B100" s="93" t="s">
        <v>682</v>
      </c>
      <c r="C100" s="93" t="s">
        <v>1884</v>
      </c>
      <c r="D100" s="93" t="s">
        <v>1046</v>
      </c>
      <c r="E100" s="93" t="s">
        <v>943</v>
      </c>
      <c r="F100" s="93" t="s">
        <v>226</v>
      </c>
      <c r="G100" s="93" t="s">
        <v>682</v>
      </c>
      <c r="H100" s="91">
        <v>40230</v>
      </c>
      <c r="I100" s="91">
        <v>40262</v>
      </c>
      <c r="J100" s="110" t="s">
        <v>1035</v>
      </c>
      <c r="K100" s="120" t="s">
        <v>379</v>
      </c>
      <c r="L100" s="110" t="s">
        <v>107</v>
      </c>
      <c r="M100" s="110" t="s">
        <v>522</v>
      </c>
      <c r="N100" s="127" t="s">
        <v>1211</v>
      </c>
      <c r="O100" s="93" t="s">
        <v>905</v>
      </c>
      <c r="P100" s="123">
        <v>2888</v>
      </c>
      <c r="AZ100" s="148"/>
    </row>
    <row r="101" spans="1:52" s="143" customFormat="1" ht="25.5" customHeight="1">
      <c r="A101" s="143">
        <v>1</v>
      </c>
      <c r="B101" s="93" t="s">
        <v>682</v>
      </c>
      <c r="C101" s="93" t="s">
        <v>1884</v>
      </c>
      <c r="D101" s="93" t="s">
        <v>574</v>
      </c>
      <c r="E101" s="93" t="s">
        <v>943</v>
      </c>
      <c r="F101" s="93" t="s">
        <v>226</v>
      </c>
      <c r="G101" s="93" t="s">
        <v>682</v>
      </c>
      <c r="H101" s="91">
        <v>40230</v>
      </c>
      <c r="I101" s="91">
        <v>40262</v>
      </c>
      <c r="J101" s="110" t="s">
        <v>1035</v>
      </c>
      <c r="K101" s="120" t="s">
        <v>379</v>
      </c>
      <c r="L101" s="110" t="s">
        <v>107</v>
      </c>
      <c r="M101" s="110" t="s">
        <v>521</v>
      </c>
      <c r="N101" s="127" t="s">
        <v>1211</v>
      </c>
      <c r="O101" s="93" t="s">
        <v>905</v>
      </c>
      <c r="P101" s="123">
        <v>2888</v>
      </c>
      <c r="AZ101" s="148"/>
    </row>
    <row r="102" spans="1:52" s="143" customFormat="1" ht="25.5" customHeight="1">
      <c r="A102" s="143">
        <v>1</v>
      </c>
      <c r="B102" s="93" t="s">
        <v>682</v>
      </c>
      <c r="C102" s="93" t="s">
        <v>1884</v>
      </c>
      <c r="D102" s="93" t="s">
        <v>163</v>
      </c>
      <c r="E102" s="93" t="s">
        <v>943</v>
      </c>
      <c r="F102" s="93" t="s">
        <v>226</v>
      </c>
      <c r="G102" s="93" t="s">
        <v>682</v>
      </c>
      <c r="H102" s="91">
        <v>40230</v>
      </c>
      <c r="I102" s="91">
        <v>40262</v>
      </c>
      <c r="J102" s="110" t="s">
        <v>1035</v>
      </c>
      <c r="K102" s="120" t="s">
        <v>379</v>
      </c>
      <c r="L102" s="110" t="s">
        <v>107</v>
      </c>
      <c r="M102" s="110" t="s">
        <v>522</v>
      </c>
      <c r="N102" s="127" t="s">
        <v>1211</v>
      </c>
      <c r="O102" s="93" t="s">
        <v>905</v>
      </c>
      <c r="P102" s="123">
        <v>2888</v>
      </c>
      <c r="AZ102" s="148"/>
    </row>
    <row r="103" spans="1:52" s="143" customFormat="1" ht="25.5" customHeight="1">
      <c r="A103" s="143">
        <v>1</v>
      </c>
      <c r="B103" s="93" t="s">
        <v>682</v>
      </c>
      <c r="C103" s="93" t="s">
        <v>1884</v>
      </c>
      <c r="D103" s="93" t="s">
        <v>1332</v>
      </c>
      <c r="E103" s="93" t="s">
        <v>943</v>
      </c>
      <c r="F103" s="93" t="s">
        <v>226</v>
      </c>
      <c r="G103" s="93" t="s">
        <v>682</v>
      </c>
      <c r="H103" s="91">
        <v>40230</v>
      </c>
      <c r="I103" s="91">
        <v>40262</v>
      </c>
      <c r="J103" s="110" t="s">
        <v>1035</v>
      </c>
      <c r="K103" s="120" t="s">
        <v>379</v>
      </c>
      <c r="L103" s="110" t="s">
        <v>107</v>
      </c>
      <c r="M103" s="110" t="s">
        <v>522</v>
      </c>
      <c r="N103" s="127" t="s">
        <v>1211</v>
      </c>
      <c r="O103" s="93" t="s">
        <v>905</v>
      </c>
      <c r="P103" s="123">
        <v>2888</v>
      </c>
      <c r="AZ103" s="148"/>
    </row>
    <row r="104" spans="1:52" s="143" customFormat="1" ht="25.5" customHeight="1">
      <c r="A104" s="143">
        <v>1</v>
      </c>
      <c r="B104" s="93" t="s">
        <v>682</v>
      </c>
      <c r="C104" s="93" t="s">
        <v>1884</v>
      </c>
      <c r="D104" s="93" t="s">
        <v>164</v>
      </c>
      <c r="E104" s="93" t="s">
        <v>943</v>
      </c>
      <c r="F104" s="93" t="s">
        <v>226</v>
      </c>
      <c r="G104" s="93" t="s">
        <v>682</v>
      </c>
      <c r="H104" s="91">
        <v>40243</v>
      </c>
      <c r="I104" s="91">
        <v>40262</v>
      </c>
      <c r="J104" s="110" t="s">
        <v>1035</v>
      </c>
      <c r="K104" s="120" t="s">
        <v>379</v>
      </c>
      <c r="L104" s="110" t="s">
        <v>107</v>
      </c>
      <c r="M104" s="110" t="s">
        <v>522</v>
      </c>
      <c r="N104" s="127" t="s">
        <v>1211</v>
      </c>
      <c r="O104" s="93" t="s">
        <v>905</v>
      </c>
      <c r="P104" s="123">
        <v>2888</v>
      </c>
      <c r="AZ104" s="148"/>
    </row>
    <row r="105" spans="1:52" s="143" customFormat="1" ht="25.5" customHeight="1">
      <c r="A105" s="143">
        <v>1</v>
      </c>
      <c r="B105" s="93" t="s">
        <v>682</v>
      </c>
      <c r="C105" s="93" t="s">
        <v>1884</v>
      </c>
      <c r="D105" s="93" t="s">
        <v>165</v>
      </c>
      <c r="E105" s="93" t="s">
        <v>1374</v>
      </c>
      <c r="F105" s="93" t="s">
        <v>239</v>
      </c>
      <c r="G105" s="93" t="s">
        <v>1047</v>
      </c>
      <c r="H105" s="91">
        <v>40231</v>
      </c>
      <c r="I105" s="91">
        <v>40258</v>
      </c>
      <c r="J105" s="110" t="s">
        <v>1035</v>
      </c>
      <c r="K105" s="120" t="s">
        <v>379</v>
      </c>
      <c r="L105" s="110" t="s">
        <v>107</v>
      </c>
      <c r="M105" s="110" t="s">
        <v>522</v>
      </c>
      <c r="N105" s="127" t="s">
        <v>1211</v>
      </c>
      <c r="O105" s="93" t="s">
        <v>905</v>
      </c>
      <c r="P105" s="123">
        <v>2888</v>
      </c>
      <c r="AZ105" s="148"/>
    </row>
    <row r="106" spans="1:52" s="143" customFormat="1" ht="25.5" customHeight="1">
      <c r="A106" s="143">
        <v>1</v>
      </c>
      <c r="B106" s="93" t="s">
        <v>682</v>
      </c>
      <c r="C106" s="93" t="s">
        <v>1884</v>
      </c>
      <c r="D106" s="93" t="s">
        <v>166</v>
      </c>
      <c r="E106" s="93" t="s">
        <v>167</v>
      </c>
      <c r="F106" s="93" t="s">
        <v>842</v>
      </c>
      <c r="G106" s="93" t="s">
        <v>1047</v>
      </c>
      <c r="H106" s="91">
        <v>40231</v>
      </c>
      <c r="I106" s="91">
        <v>40258</v>
      </c>
      <c r="J106" s="110" t="s">
        <v>1035</v>
      </c>
      <c r="K106" s="120" t="s">
        <v>379</v>
      </c>
      <c r="L106" s="110" t="s">
        <v>107</v>
      </c>
      <c r="M106" s="110" t="s">
        <v>521</v>
      </c>
      <c r="N106" s="127" t="s">
        <v>1211</v>
      </c>
      <c r="O106" s="93" t="s">
        <v>168</v>
      </c>
      <c r="P106" s="123"/>
      <c r="AZ106" s="148"/>
    </row>
    <row r="107" spans="1:52" s="143" customFormat="1" ht="25.5" customHeight="1">
      <c r="A107" s="143">
        <v>1</v>
      </c>
      <c r="B107" s="93" t="s">
        <v>682</v>
      </c>
      <c r="C107" s="93" t="s">
        <v>1884</v>
      </c>
      <c r="D107" s="93" t="s">
        <v>169</v>
      </c>
      <c r="E107" s="93" t="s">
        <v>170</v>
      </c>
      <c r="F107" s="93" t="s">
        <v>239</v>
      </c>
      <c r="G107" s="93" t="s">
        <v>682</v>
      </c>
      <c r="H107" s="91">
        <v>40224</v>
      </c>
      <c r="I107" s="91">
        <v>40268</v>
      </c>
      <c r="J107" s="110" t="s">
        <v>1035</v>
      </c>
      <c r="K107" s="120" t="s">
        <v>379</v>
      </c>
      <c r="L107" s="110" t="s">
        <v>107</v>
      </c>
      <c r="M107" s="110" t="s">
        <v>522</v>
      </c>
      <c r="N107" s="127" t="s">
        <v>1211</v>
      </c>
      <c r="O107" s="93" t="s">
        <v>905</v>
      </c>
      <c r="P107" s="123">
        <v>2888</v>
      </c>
      <c r="AZ107" s="148"/>
    </row>
    <row r="108" spans="1:52" s="143" customFormat="1" ht="25.5" customHeight="1">
      <c r="A108" s="143">
        <v>1</v>
      </c>
      <c r="B108" s="93" t="s">
        <v>682</v>
      </c>
      <c r="C108" s="93" t="s">
        <v>1884</v>
      </c>
      <c r="D108" s="93" t="s">
        <v>171</v>
      </c>
      <c r="E108" s="93" t="s">
        <v>172</v>
      </c>
      <c r="F108" s="93" t="s">
        <v>239</v>
      </c>
      <c r="G108" s="93" t="s">
        <v>1047</v>
      </c>
      <c r="H108" s="91">
        <v>40217</v>
      </c>
      <c r="I108" s="91">
        <v>40244</v>
      </c>
      <c r="J108" s="110" t="s">
        <v>1035</v>
      </c>
      <c r="K108" s="120" t="s">
        <v>379</v>
      </c>
      <c r="L108" s="110" t="s">
        <v>107</v>
      </c>
      <c r="M108" s="110" t="s">
        <v>521</v>
      </c>
      <c r="N108" s="127" t="s">
        <v>1211</v>
      </c>
      <c r="O108" s="93" t="s">
        <v>905</v>
      </c>
      <c r="P108" s="123">
        <v>2888</v>
      </c>
      <c r="AZ108" s="148"/>
    </row>
    <row r="109" spans="1:52" s="143" customFormat="1" ht="25.5" customHeight="1">
      <c r="A109" s="143">
        <v>1</v>
      </c>
      <c r="B109" s="93" t="s">
        <v>682</v>
      </c>
      <c r="C109" s="93" t="s">
        <v>1884</v>
      </c>
      <c r="D109" s="93" t="s">
        <v>603</v>
      </c>
      <c r="E109" s="93" t="s">
        <v>906</v>
      </c>
      <c r="F109" s="93" t="s">
        <v>226</v>
      </c>
      <c r="G109" s="93" t="s">
        <v>682</v>
      </c>
      <c r="H109" s="91">
        <v>40259</v>
      </c>
      <c r="I109" s="91">
        <v>40289</v>
      </c>
      <c r="J109" s="110" t="s">
        <v>1035</v>
      </c>
      <c r="K109" s="120" t="s">
        <v>379</v>
      </c>
      <c r="L109" s="110" t="s">
        <v>107</v>
      </c>
      <c r="M109" s="110" t="s">
        <v>522</v>
      </c>
      <c r="N109" s="127" t="s">
        <v>1211</v>
      </c>
      <c r="O109" s="93" t="s">
        <v>905</v>
      </c>
      <c r="P109" s="123">
        <v>2888</v>
      </c>
      <c r="AZ109" s="148"/>
    </row>
    <row r="110" spans="1:52" s="143" customFormat="1" ht="25.5" customHeight="1">
      <c r="A110" s="143">
        <v>1</v>
      </c>
      <c r="B110" s="93" t="s">
        <v>682</v>
      </c>
      <c r="C110" s="93" t="s">
        <v>1884</v>
      </c>
      <c r="D110" s="93" t="s">
        <v>1365</v>
      </c>
      <c r="E110" s="93" t="s">
        <v>943</v>
      </c>
      <c r="F110" s="93" t="s">
        <v>226</v>
      </c>
      <c r="G110" s="93" t="s">
        <v>682</v>
      </c>
      <c r="H110" s="91">
        <v>40259</v>
      </c>
      <c r="I110" s="91">
        <v>40289</v>
      </c>
      <c r="J110" s="110" t="s">
        <v>1035</v>
      </c>
      <c r="K110" s="120" t="s">
        <v>379</v>
      </c>
      <c r="L110" s="110" t="s">
        <v>107</v>
      </c>
      <c r="M110" s="110" t="s">
        <v>522</v>
      </c>
      <c r="N110" s="127" t="s">
        <v>1211</v>
      </c>
      <c r="O110" s="93" t="s">
        <v>905</v>
      </c>
      <c r="P110" s="123">
        <v>2888</v>
      </c>
      <c r="AZ110" s="148"/>
    </row>
    <row r="111" spans="1:52" s="143" customFormat="1" ht="25.5" customHeight="1">
      <c r="A111" s="143">
        <v>1</v>
      </c>
      <c r="B111" s="93" t="s">
        <v>682</v>
      </c>
      <c r="C111" s="93" t="s">
        <v>1884</v>
      </c>
      <c r="D111" s="93" t="s">
        <v>1366</v>
      </c>
      <c r="E111" s="93" t="s">
        <v>943</v>
      </c>
      <c r="F111" s="93" t="s">
        <v>226</v>
      </c>
      <c r="G111" s="93" t="s">
        <v>682</v>
      </c>
      <c r="H111" s="91">
        <v>40259</v>
      </c>
      <c r="I111" s="91">
        <v>40289</v>
      </c>
      <c r="J111" s="110" t="s">
        <v>1035</v>
      </c>
      <c r="K111" s="120" t="s">
        <v>379</v>
      </c>
      <c r="L111" s="110" t="s">
        <v>107</v>
      </c>
      <c r="M111" s="110" t="s">
        <v>522</v>
      </c>
      <c r="N111" s="127" t="s">
        <v>1211</v>
      </c>
      <c r="O111" s="93" t="s">
        <v>905</v>
      </c>
      <c r="P111" s="123">
        <v>2888</v>
      </c>
      <c r="AZ111" s="148"/>
    </row>
    <row r="112" spans="1:52" s="143" customFormat="1" ht="25.5" customHeight="1">
      <c r="A112" s="143">
        <v>1</v>
      </c>
      <c r="B112" s="93" t="s">
        <v>682</v>
      </c>
      <c r="C112" s="93" t="s">
        <v>1884</v>
      </c>
      <c r="D112" s="93" t="s">
        <v>166</v>
      </c>
      <c r="E112" s="93" t="s">
        <v>1368</v>
      </c>
      <c r="F112" s="93" t="s">
        <v>842</v>
      </c>
      <c r="G112" s="93" t="s">
        <v>682</v>
      </c>
      <c r="H112" s="91">
        <v>40257</v>
      </c>
      <c r="I112" s="91">
        <v>40298</v>
      </c>
      <c r="J112" s="110" t="s">
        <v>1035</v>
      </c>
      <c r="K112" s="120" t="s">
        <v>379</v>
      </c>
      <c r="L112" s="110" t="s">
        <v>107</v>
      </c>
      <c r="M112" s="110" t="s">
        <v>521</v>
      </c>
      <c r="N112" s="127" t="s">
        <v>1211</v>
      </c>
      <c r="O112" s="93" t="s">
        <v>905</v>
      </c>
      <c r="P112" s="123">
        <v>2888</v>
      </c>
      <c r="AZ112" s="148"/>
    </row>
    <row r="113" spans="1:52" s="143" customFormat="1" ht="25.5" customHeight="1">
      <c r="A113" s="143">
        <v>1</v>
      </c>
      <c r="B113" s="93" t="s">
        <v>682</v>
      </c>
      <c r="C113" s="93" t="s">
        <v>1884</v>
      </c>
      <c r="D113" s="93" t="s">
        <v>707</v>
      </c>
      <c r="E113" s="93" t="s">
        <v>1367</v>
      </c>
      <c r="F113" s="93" t="s">
        <v>243</v>
      </c>
      <c r="G113" s="93" t="s">
        <v>682</v>
      </c>
      <c r="H113" s="91">
        <v>40257</v>
      </c>
      <c r="I113" s="91">
        <v>40278</v>
      </c>
      <c r="J113" s="110" t="s">
        <v>1035</v>
      </c>
      <c r="K113" s="120" t="s">
        <v>379</v>
      </c>
      <c r="L113" s="110" t="s">
        <v>107</v>
      </c>
      <c r="M113" s="110" t="s">
        <v>522</v>
      </c>
      <c r="N113" s="127" t="s">
        <v>1211</v>
      </c>
      <c r="O113" s="93" t="s">
        <v>905</v>
      </c>
      <c r="P113" s="123">
        <v>2888</v>
      </c>
      <c r="AZ113" s="148"/>
    </row>
    <row r="114" spans="1:52" s="143" customFormat="1" ht="25.5" customHeight="1">
      <c r="A114" s="143">
        <v>1</v>
      </c>
      <c r="B114" s="93" t="s">
        <v>682</v>
      </c>
      <c r="C114" s="93" t="s">
        <v>1884</v>
      </c>
      <c r="D114" s="93" t="s">
        <v>911</v>
      </c>
      <c r="E114" s="93" t="s">
        <v>1367</v>
      </c>
      <c r="F114" s="93" t="s">
        <v>243</v>
      </c>
      <c r="G114" s="93" t="s">
        <v>682</v>
      </c>
      <c r="H114" s="91">
        <v>40250</v>
      </c>
      <c r="I114" s="91">
        <v>40269</v>
      </c>
      <c r="J114" s="110" t="s">
        <v>1035</v>
      </c>
      <c r="K114" s="120" t="s">
        <v>379</v>
      </c>
      <c r="L114" s="110" t="s">
        <v>107</v>
      </c>
      <c r="M114" s="110" t="s">
        <v>521</v>
      </c>
      <c r="N114" s="127" t="s">
        <v>1211</v>
      </c>
      <c r="O114" s="93" t="s">
        <v>905</v>
      </c>
      <c r="P114" s="123">
        <v>2888</v>
      </c>
      <c r="AZ114" s="148"/>
    </row>
    <row r="115" spans="1:52" s="143" customFormat="1" ht="25.5" customHeight="1">
      <c r="A115" s="143">
        <v>1</v>
      </c>
      <c r="B115" s="93" t="s">
        <v>682</v>
      </c>
      <c r="C115" s="93" t="s">
        <v>1884</v>
      </c>
      <c r="D115" s="93" t="s">
        <v>1369</v>
      </c>
      <c r="E115" s="93" t="s">
        <v>1367</v>
      </c>
      <c r="F115" s="93" t="s">
        <v>243</v>
      </c>
      <c r="G115" s="93" t="s">
        <v>682</v>
      </c>
      <c r="H115" s="91">
        <v>40264</v>
      </c>
      <c r="I115" s="91">
        <v>40289</v>
      </c>
      <c r="J115" s="110" t="s">
        <v>1035</v>
      </c>
      <c r="K115" s="120" t="s">
        <v>379</v>
      </c>
      <c r="L115" s="110" t="s">
        <v>107</v>
      </c>
      <c r="M115" s="110" t="s">
        <v>522</v>
      </c>
      <c r="N115" s="127" t="s">
        <v>1211</v>
      </c>
      <c r="O115" s="93" t="s">
        <v>905</v>
      </c>
      <c r="P115" s="123">
        <v>2888</v>
      </c>
      <c r="AZ115" s="148"/>
    </row>
    <row r="116" spans="1:52" s="143" customFormat="1" ht="25.5" customHeight="1">
      <c r="A116" s="143">
        <v>1</v>
      </c>
      <c r="B116" s="93" t="s">
        <v>682</v>
      </c>
      <c r="C116" s="93" t="s">
        <v>1884</v>
      </c>
      <c r="D116" s="93" t="s">
        <v>1370</v>
      </c>
      <c r="E116" s="93" t="s">
        <v>1367</v>
      </c>
      <c r="F116" s="93" t="s">
        <v>243</v>
      </c>
      <c r="G116" s="93" t="s">
        <v>682</v>
      </c>
      <c r="H116" s="91">
        <v>40264</v>
      </c>
      <c r="I116" s="91">
        <v>40289</v>
      </c>
      <c r="J116" s="110" t="s">
        <v>1035</v>
      </c>
      <c r="K116" s="120" t="s">
        <v>379</v>
      </c>
      <c r="L116" s="110" t="s">
        <v>107</v>
      </c>
      <c r="M116" s="110" t="s">
        <v>522</v>
      </c>
      <c r="N116" s="127" t="s">
        <v>1211</v>
      </c>
      <c r="O116" s="93" t="s">
        <v>905</v>
      </c>
      <c r="P116" s="123">
        <v>2888</v>
      </c>
      <c r="AZ116" s="148"/>
    </row>
    <row r="117" spans="1:52" s="143" customFormat="1" ht="25.5" customHeight="1">
      <c r="A117" s="143">
        <v>1</v>
      </c>
      <c r="B117" s="93" t="s">
        <v>682</v>
      </c>
      <c r="C117" s="93" t="s">
        <v>1884</v>
      </c>
      <c r="D117" s="93" t="s">
        <v>1042</v>
      </c>
      <c r="E117" s="93" t="s">
        <v>1374</v>
      </c>
      <c r="F117" s="93" t="s">
        <v>843</v>
      </c>
      <c r="G117" s="93" t="s">
        <v>1047</v>
      </c>
      <c r="H117" s="91">
        <v>40259</v>
      </c>
      <c r="I117" s="91">
        <v>40283</v>
      </c>
      <c r="J117" s="110" t="s">
        <v>1035</v>
      </c>
      <c r="K117" s="120" t="s">
        <v>379</v>
      </c>
      <c r="L117" s="110" t="s">
        <v>107</v>
      </c>
      <c r="M117" s="110" t="s">
        <v>522</v>
      </c>
      <c r="N117" s="127" t="s">
        <v>1211</v>
      </c>
      <c r="O117" s="93" t="s">
        <v>905</v>
      </c>
      <c r="P117" s="123">
        <v>2888</v>
      </c>
      <c r="AZ117" s="148"/>
    </row>
    <row r="118" spans="1:52" s="143" customFormat="1" ht="25.5" customHeight="1">
      <c r="A118" s="143">
        <v>1</v>
      </c>
      <c r="B118" s="93" t="s">
        <v>682</v>
      </c>
      <c r="C118" s="93" t="s">
        <v>1884</v>
      </c>
      <c r="D118" s="93" t="s">
        <v>940</v>
      </c>
      <c r="E118" s="93" t="s">
        <v>1374</v>
      </c>
      <c r="F118" s="93" t="s">
        <v>843</v>
      </c>
      <c r="G118" s="93" t="s">
        <v>1047</v>
      </c>
      <c r="H118" s="91">
        <v>40259</v>
      </c>
      <c r="I118" s="91">
        <v>40283</v>
      </c>
      <c r="J118" s="110" t="s">
        <v>1035</v>
      </c>
      <c r="K118" s="120" t="s">
        <v>379</v>
      </c>
      <c r="L118" s="110" t="s">
        <v>107</v>
      </c>
      <c r="M118" s="110" t="s">
        <v>522</v>
      </c>
      <c r="N118" s="127" t="s">
        <v>1211</v>
      </c>
      <c r="O118" s="93" t="s">
        <v>905</v>
      </c>
      <c r="P118" s="123">
        <v>2888</v>
      </c>
      <c r="AZ118" s="148"/>
    </row>
    <row r="119" spans="1:52" s="143" customFormat="1" ht="25.5" customHeight="1">
      <c r="A119" s="143">
        <v>1</v>
      </c>
      <c r="B119" s="93" t="s">
        <v>682</v>
      </c>
      <c r="C119" s="93" t="s">
        <v>1884</v>
      </c>
      <c r="D119" s="93" t="s">
        <v>472</v>
      </c>
      <c r="E119" s="93" t="s">
        <v>1762</v>
      </c>
      <c r="F119" s="93" t="s">
        <v>843</v>
      </c>
      <c r="G119" s="93" t="s">
        <v>1047</v>
      </c>
      <c r="H119" s="91">
        <v>40225</v>
      </c>
      <c r="I119" s="91">
        <v>40252</v>
      </c>
      <c r="J119" s="110" t="s">
        <v>1035</v>
      </c>
      <c r="K119" s="120" t="s">
        <v>379</v>
      </c>
      <c r="L119" s="110" t="s">
        <v>107</v>
      </c>
      <c r="M119" s="110" t="s">
        <v>522</v>
      </c>
      <c r="N119" s="127" t="s">
        <v>1211</v>
      </c>
      <c r="O119" s="93" t="s">
        <v>905</v>
      </c>
      <c r="P119" s="123">
        <v>2888</v>
      </c>
      <c r="AZ119" s="148"/>
    </row>
    <row r="120" spans="1:52" s="143" customFormat="1" ht="25.5" customHeight="1">
      <c r="A120" s="143">
        <v>1</v>
      </c>
      <c r="B120" s="93" t="s">
        <v>682</v>
      </c>
      <c r="C120" s="93" t="s">
        <v>1884</v>
      </c>
      <c r="D120" s="93" t="s">
        <v>1761</v>
      </c>
      <c r="E120" s="93" t="s">
        <v>1762</v>
      </c>
      <c r="F120" s="93" t="s">
        <v>843</v>
      </c>
      <c r="G120" s="93" t="s">
        <v>1047</v>
      </c>
      <c r="H120" s="91">
        <v>40253</v>
      </c>
      <c r="I120" s="91">
        <v>40283</v>
      </c>
      <c r="J120" s="110" t="s">
        <v>1035</v>
      </c>
      <c r="K120" s="120" t="s">
        <v>379</v>
      </c>
      <c r="L120" s="110" t="s">
        <v>107</v>
      </c>
      <c r="M120" s="110" t="s">
        <v>522</v>
      </c>
      <c r="N120" s="127" t="s">
        <v>1211</v>
      </c>
      <c r="O120" s="93" t="s">
        <v>905</v>
      </c>
      <c r="P120" s="123">
        <v>2888</v>
      </c>
      <c r="AZ120" s="148"/>
    </row>
    <row r="121" spans="1:52" s="143" customFormat="1" ht="25.5" customHeight="1">
      <c r="A121" s="143">
        <v>1</v>
      </c>
      <c r="B121" s="93" t="s">
        <v>682</v>
      </c>
      <c r="C121" s="93" t="s">
        <v>1884</v>
      </c>
      <c r="D121" s="93" t="s">
        <v>473</v>
      </c>
      <c r="E121" s="93" t="s">
        <v>1819</v>
      </c>
      <c r="F121" s="93" t="s">
        <v>1819</v>
      </c>
      <c r="G121" s="93" t="s">
        <v>682</v>
      </c>
      <c r="H121" s="91">
        <v>40229</v>
      </c>
      <c r="I121" s="91">
        <v>40250</v>
      </c>
      <c r="J121" s="110" t="s">
        <v>1035</v>
      </c>
      <c r="K121" s="120" t="s">
        <v>379</v>
      </c>
      <c r="L121" s="110" t="s">
        <v>107</v>
      </c>
      <c r="M121" s="110" t="s">
        <v>521</v>
      </c>
      <c r="N121" s="127" t="s">
        <v>1211</v>
      </c>
      <c r="O121" s="93" t="s">
        <v>905</v>
      </c>
      <c r="P121" s="123">
        <v>2888</v>
      </c>
      <c r="AZ121" s="148"/>
    </row>
    <row r="122" spans="1:52" s="143" customFormat="1" ht="25.5" customHeight="1">
      <c r="A122" s="143">
        <v>1</v>
      </c>
      <c r="B122" s="93" t="s">
        <v>682</v>
      </c>
      <c r="C122" s="93" t="s">
        <v>1884</v>
      </c>
      <c r="D122" s="93" t="s">
        <v>1820</v>
      </c>
      <c r="E122" s="93" t="s">
        <v>1821</v>
      </c>
      <c r="F122" s="93" t="s">
        <v>1819</v>
      </c>
      <c r="G122" s="93" t="s">
        <v>682</v>
      </c>
      <c r="H122" s="91">
        <v>40261</v>
      </c>
      <c r="I122" s="91">
        <v>40289</v>
      </c>
      <c r="J122" s="110" t="s">
        <v>1035</v>
      </c>
      <c r="K122" s="120" t="s">
        <v>379</v>
      </c>
      <c r="L122" s="110" t="s">
        <v>107</v>
      </c>
      <c r="M122" s="110" t="s">
        <v>521</v>
      </c>
      <c r="N122" s="127" t="s">
        <v>1211</v>
      </c>
      <c r="O122" s="93" t="s">
        <v>905</v>
      </c>
      <c r="P122" s="123">
        <v>2888</v>
      </c>
      <c r="AZ122" s="148"/>
    </row>
    <row r="123" spans="1:52" s="143" customFormat="1" ht="25.5" customHeight="1">
      <c r="A123" s="143">
        <v>1</v>
      </c>
      <c r="B123" s="93" t="s">
        <v>682</v>
      </c>
      <c r="C123" s="93" t="s">
        <v>1884</v>
      </c>
      <c r="D123" s="93" t="s">
        <v>711</v>
      </c>
      <c r="E123" s="93" t="s">
        <v>525</v>
      </c>
      <c r="F123" s="93" t="s">
        <v>1819</v>
      </c>
      <c r="G123" s="93" t="s">
        <v>682</v>
      </c>
      <c r="H123" s="91">
        <v>40248</v>
      </c>
      <c r="I123" s="91">
        <v>40271</v>
      </c>
      <c r="J123" s="110" t="s">
        <v>1035</v>
      </c>
      <c r="K123" s="120" t="s">
        <v>379</v>
      </c>
      <c r="L123" s="110" t="s">
        <v>107</v>
      </c>
      <c r="M123" s="110" t="s">
        <v>521</v>
      </c>
      <c r="N123" s="127" t="s">
        <v>1211</v>
      </c>
      <c r="O123" s="93" t="s">
        <v>905</v>
      </c>
      <c r="P123" s="123">
        <v>2888</v>
      </c>
      <c r="AZ123" s="148"/>
    </row>
    <row r="124" spans="1:52" s="143" customFormat="1" ht="25.5" customHeight="1">
      <c r="A124" s="143">
        <v>1</v>
      </c>
      <c r="B124" s="93" t="s">
        <v>682</v>
      </c>
      <c r="C124" s="93" t="s">
        <v>1884</v>
      </c>
      <c r="D124" s="93" t="s">
        <v>180</v>
      </c>
      <c r="E124" s="93" t="s">
        <v>943</v>
      </c>
      <c r="F124" s="93" t="s">
        <v>226</v>
      </c>
      <c r="G124" s="93" t="s">
        <v>682</v>
      </c>
      <c r="H124" s="91">
        <v>40275</v>
      </c>
      <c r="I124" s="91">
        <v>40297</v>
      </c>
      <c r="J124" s="110" t="s">
        <v>1035</v>
      </c>
      <c r="K124" s="120" t="s">
        <v>380</v>
      </c>
      <c r="L124" s="110" t="s">
        <v>107</v>
      </c>
      <c r="M124" s="110" t="s">
        <v>521</v>
      </c>
      <c r="N124" s="127" t="s">
        <v>1211</v>
      </c>
      <c r="O124" s="93" t="s">
        <v>905</v>
      </c>
      <c r="P124" s="123">
        <v>2888</v>
      </c>
      <c r="AZ124" s="148"/>
    </row>
    <row r="125" spans="1:52" s="143" customFormat="1" ht="25.5" customHeight="1">
      <c r="A125" s="143">
        <v>1</v>
      </c>
      <c r="B125" s="93" t="s">
        <v>682</v>
      </c>
      <c r="C125" s="93" t="s">
        <v>1884</v>
      </c>
      <c r="D125" s="93" t="s">
        <v>181</v>
      </c>
      <c r="E125" s="93" t="s">
        <v>943</v>
      </c>
      <c r="F125" s="93" t="s">
        <v>226</v>
      </c>
      <c r="G125" s="93" t="s">
        <v>682</v>
      </c>
      <c r="H125" s="91">
        <v>40275</v>
      </c>
      <c r="I125" s="91">
        <v>40297</v>
      </c>
      <c r="J125" s="110" t="s">
        <v>1035</v>
      </c>
      <c r="K125" s="120" t="s">
        <v>380</v>
      </c>
      <c r="L125" s="110" t="s">
        <v>107</v>
      </c>
      <c r="M125" s="110" t="s">
        <v>521</v>
      </c>
      <c r="N125" s="127" t="s">
        <v>1211</v>
      </c>
      <c r="O125" s="93" t="s">
        <v>905</v>
      </c>
      <c r="P125" s="123">
        <v>2888</v>
      </c>
      <c r="AZ125" s="148"/>
    </row>
    <row r="126" spans="1:52" s="143" customFormat="1" ht="25.5" customHeight="1">
      <c r="A126" s="143">
        <v>1</v>
      </c>
      <c r="B126" s="93" t="s">
        <v>682</v>
      </c>
      <c r="C126" s="93" t="s">
        <v>1884</v>
      </c>
      <c r="D126" s="93" t="s">
        <v>182</v>
      </c>
      <c r="E126" s="93" t="s">
        <v>1367</v>
      </c>
      <c r="F126" s="93" t="s">
        <v>243</v>
      </c>
      <c r="G126" s="93" t="s">
        <v>682</v>
      </c>
      <c r="H126" s="91">
        <v>40272</v>
      </c>
      <c r="I126" s="91">
        <v>40291</v>
      </c>
      <c r="J126" s="110" t="s">
        <v>1035</v>
      </c>
      <c r="K126" s="120" t="s">
        <v>380</v>
      </c>
      <c r="L126" s="110" t="s">
        <v>107</v>
      </c>
      <c r="M126" s="110" t="s">
        <v>521</v>
      </c>
      <c r="N126" s="127" t="s">
        <v>1211</v>
      </c>
      <c r="O126" s="93" t="s">
        <v>905</v>
      </c>
      <c r="P126" s="123">
        <v>2888</v>
      </c>
      <c r="AZ126" s="148"/>
    </row>
    <row r="127" spans="1:52" s="143" customFormat="1" ht="25.5" customHeight="1">
      <c r="A127" s="143">
        <v>1</v>
      </c>
      <c r="B127" s="93" t="s">
        <v>682</v>
      </c>
      <c r="C127" s="93" t="s">
        <v>1884</v>
      </c>
      <c r="D127" s="93" t="s">
        <v>183</v>
      </c>
      <c r="E127" s="93" t="s">
        <v>1367</v>
      </c>
      <c r="F127" s="93" t="s">
        <v>243</v>
      </c>
      <c r="G127" s="93" t="s">
        <v>682</v>
      </c>
      <c r="H127" s="91">
        <v>40275</v>
      </c>
      <c r="I127" s="91">
        <v>40304</v>
      </c>
      <c r="J127" s="110" t="s">
        <v>1035</v>
      </c>
      <c r="K127" s="120" t="s">
        <v>380</v>
      </c>
      <c r="L127" s="110" t="s">
        <v>107</v>
      </c>
      <c r="M127" s="110" t="s">
        <v>522</v>
      </c>
      <c r="N127" s="127" t="s">
        <v>1211</v>
      </c>
      <c r="O127" s="93" t="s">
        <v>905</v>
      </c>
      <c r="P127" s="123">
        <v>2888</v>
      </c>
      <c r="AZ127" s="148"/>
    </row>
    <row r="128" spans="1:52" s="143" customFormat="1" ht="25.5" customHeight="1">
      <c r="A128" s="143">
        <v>1</v>
      </c>
      <c r="B128" s="93" t="s">
        <v>682</v>
      </c>
      <c r="C128" s="93" t="s">
        <v>1884</v>
      </c>
      <c r="D128" s="93" t="s">
        <v>709</v>
      </c>
      <c r="E128" s="93" t="s">
        <v>1367</v>
      </c>
      <c r="F128" s="93" t="s">
        <v>243</v>
      </c>
      <c r="G128" s="93" t="s">
        <v>682</v>
      </c>
      <c r="H128" s="91">
        <v>40273</v>
      </c>
      <c r="I128" s="91">
        <v>40284</v>
      </c>
      <c r="J128" s="110" t="s">
        <v>1035</v>
      </c>
      <c r="K128" s="120" t="s">
        <v>380</v>
      </c>
      <c r="L128" s="110" t="s">
        <v>107</v>
      </c>
      <c r="M128" s="110" t="s">
        <v>521</v>
      </c>
      <c r="N128" s="127" t="s">
        <v>1211</v>
      </c>
      <c r="O128" s="93" t="s">
        <v>905</v>
      </c>
      <c r="P128" s="123">
        <v>2888</v>
      </c>
      <c r="AZ128" s="148"/>
    </row>
    <row r="129" spans="1:251" s="143" customFormat="1" ht="25.5" customHeight="1">
      <c r="A129" s="143">
        <v>1</v>
      </c>
      <c r="B129" s="93" t="s">
        <v>682</v>
      </c>
      <c r="C129" s="93" t="s">
        <v>1884</v>
      </c>
      <c r="D129" s="93" t="s">
        <v>914</v>
      </c>
      <c r="E129" s="93" t="s">
        <v>1367</v>
      </c>
      <c r="F129" s="93" t="s">
        <v>243</v>
      </c>
      <c r="G129" s="93" t="s">
        <v>682</v>
      </c>
      <c r="H129" s="91">
        <v>40302</v>
      </c>
      <c r="I129" s="91">
        <v>40308</v>
      </c>
      <c r="J129" s="110" t="s">
        <v>1035</v>
      </c>
      <c r="K129" s="120" t="s">
        <v>380</v>
      </c>
      <c r="L129" s="110" t="s">
        <v>107</v>
      </c>
      <c r="M129" s="127" t="s">
        <v>521</v>
      </c>
      <c r="N129" s="127" t="s">
        <v>1211</v>
      </c>
      <c r="O129" s="93" t="s">
        <v>905</v>
      </c>
      <c r="P129" s="123">
        <v>2888</v>
      </c>
      <c r="AZ129" s="148"/>
    </row>
    <row r="130" spans="1:251" s="143" customFormat="1" ht="25.5" customHeight="1">
      <c r="A130" s="143">
        <v>1</v>
      </c>
      <c r="B130" s="93" t="s">
        <v>682</v>
      </c>
      <c r="C130" s="93" t="s">
        <v>1884</v>
      </c>
      <c r="D130" s="93" t="s">
        <v>708</v>
      </c>
      <c r="E130" s="93" t="s">
        <v>286</v>
      </c>
      <c r="F130" s="93" t="s">
        <v>1819</v>
      </c>
      <c r="G130" s="93" t="s">
        <v>682</v>
      </c>
      <c r="H130" s="91">
        <v>40323</v>
      </c>
      <c r="I130" s="91">
        <v>40331</v>
      </c>
      <c r="J130" s="110" t="s">
        <v>1035</v>
      </c>
      <c r="K130" s="120" t="s">
        <v>380</v>
      </c>
      <c r="L130" s="110" t="s">
        <v>107</v>
      </c>
      <c r="M130" s="127" t="s">
        <v>521</v>
      </c>
      <c r="N130" s="127" t="s">
        <v>1211</v>
      </c>
      <c r="O130" s="93" t="s">
        <v>905</v>
      </c>
      <c r="P130" s="123">
        <v>2888</v>
      </c>
      <c r="AZ130" s="148"/>
    </row>
    <row r="131" spans="1:251" s="143" customFormat="1" ht="25.5" customHeight="1">
      <c r="A131" s="143">
        <v>1</v>
      </c>
      <c r="B131" s="93" t="s">
        <v>682</v>
      </c>
      <c r="C131" s="93" t="s">
        <v>1884</v>
      </c>
      <c r="D131" s="93" t="s">
        <v>1572</v>
      </c>
      <c r="E131" s="93" t="s">
        <v>285</v>
      </c>
      <c r="F131" s="93" t="s">
        <v>1819</v>
      </c>
      <c r="G131" s="93" t="s">
        <v>682</v>
      </c>
      <c r="H131" s="91">
        <v>40302</v>
      </c>
      <c r="I131" s="91">
        <v>40353</v>
      </c>
      <c r="J131" s="110" t="s">
        <v>1035</v>
      </c>
      <c r="K131" s="120" t="s">
        <v>380</v>
      </c>
      <c r="L131" s="110" t="s">
        <v>107</v>
      </c>
      <c r="M131" s="110" t="s">
        <v>521</v>
      </c>
      <c r="N131" s="127" t="s">
        <v>1211</v>
      </c>
      <c r="O131" s="93" t="s">
        <v>905</v>
      </c>
      <c r="P131" s="123">
        <v>2888</v>
      </c>
      <c r="Q131" s="93"/>
      <c r="AZ131" s="148"/>
    </row>
    <row r="132" spans="1:251" s="143" customFormat="1" ht="11.25" customHeight="1">
      <c r="A132" s="193"/>
      <c r="B132" s="193"/>
      <c r="C132" s="193"/>
      <c r="D132" s="194"/>
      <c r="E132" s="193"/>
      <c r="F132" s="193"/>
      <c r="G132" s="193"/>
      <c r="H132" s="195"/>
      <c r="I132" s="196"/>
      <c r="J132" s="197"/>
      <c r="K132" s="197"/>
      <c r="L132" s="197"/>
      <c r="M132" s="198"/>
      <c r="N132" s="193"/>
      <c r="O132" s="200"/>
      <c r="P132" s="200"/>
      <c r="Q132" s="200"/>
      <c r="Y132" s="200"/>
      <c r="Z132" s="200"/>
      <c r="AM132" s="200"/>
      <c r="AN132" s="200"/>
      <c r="AO132" s="200"/>
      <c r="AP132" s="200"/>
      <c r="AQ132" s="200"/>
      <c r="AR132" s="200"/>
      <c r="AS132" s="200"/>
      <c r="AT132" s="200"/>
      <c r="AU132" s="200"/>
      <c r="AV132" s="200"/>
      <c r="AW132" s="201"/>
      <c r="AX132" s="200"/>
      <c r="AY132" s="200"/>
      <c r="AZ132" s="200"/>
      <c r="BA132" s="200"/>
      <c r="BB132" s="200"/>
      <c r="BC132" s="200"/>
      <c r="BD132" s="200"/>
      <c r="BE132" s="200"/>
      <c r="BF132" s="200"/>
      <c r="BG132" s="200"/>
      <c r="BH132" s="200"/>
      <c r="BI132" s="200"/>
      <c r="BJ132" s="200"/>
      <c r="BK132" s="200"/>
      <c r="BL132" s="200"/>
      <c r="BM132" s="200"/>
      <c r="BN132" s="200"/>
      <c r="BO132" s="200"/>
      <c r="BP132" s="200"/>
      <c r="BQ132" s="200"/>
      <c r="BR132" s="200"/>
      <c r="BS132" s="200"/>
      <c r="BT132" s="200"/>
      <c r="BU132" s="200"/>
      <c r="BV132" s="200"/>
      <c r="BW132" s="200"/>
      <c r="BX132" s="200"/>
      <c r="BY132" s="200"/>
      <c r="BZ132" s="200"/>
      <c r="CA132" s="200"/>
      <c r="CB132" s="200"/>
      <c r="CC132" s="200"/>
      <c r="CD132" s="200"/>
      <c r="CE132" s="200"/>
      <c r="CF132" s="200"/>
      <c r="CG132" s="200"/>
      <c r="CH132" s="200"/>
      <c r="CI132" s="200"/>
      <c r="CJ132" s="200"/>
      <c r="CK132" s="200"/>
      <c r="CL132" s="200"/>
      <c r="CM132" s="200"/>
      <c r="CN132" s="200"/>
      <c r="CO132" s="200"/>
      <c r="CP132" s="200"/>
      <c r="CQ132" s="200"/>
      <c r="CR132" s="200"/>
      <c r="CS132" s="200"/>
      <c r="CT132" s="200"/>
      <c r="CU132" s="200"/>
      <c r="CV132" s="200"/>
      <c r="CW132" s="200"/>
      <c r="CX132" s="200"/>
      <c r="CY132" s="200"/>
      <c r="CZ132" s="200"/>
      <c r="DA132" s="200"/>
      <c r="DB132" s="200"/>
      <c r="DC132" s="200"/>
      <c r="DD132" s="200"/>
      <c r="DE132" s="200"/>
      <c r="DF132" s="200"/>
      <c r="DG132" s="200"/>
      <c r="DH132" s="200"/>
      <c r="DI132" s="200"/>
      <c r="DJ132" s="200"/>
      <c r="DK132" s="200"/>
      <c r="DL132" s="200"/>
      <c r="DM132" s="200"/>
      <c r="DN132" s="200"/>
      <c r="DO132" s="200"/>
      <c r="DP132" s="200"/>
      <c r="DQ132" s="200"/>
      <c r="DR132" s="200"/>
      <c r="DS132" s="200"/>
      <c r="DT132" s="200"/>
      <c r="DU132" s="200"/>
      <c r="DV132" s="200"/>
      <c r="DW132" s="200"/>
      <c r="DX132" s="200"/>
      <c r="DY132" s="200"/>
      <c r="DZ132" s="200"/>
      <c r="EA132" s="200"/>
      <c r="EB132" s="200"/>
      <c r="EC132" s="200"/>
      <c r="ED132" s="200"/>
      <c r="EE132" s="200"/>
      <c r="EF132" s="200"/>
      <c r="EG132" s="200"/>
      <c r="EH132" s="200"/>
      <c r="EI132" s="200"/>
      <c r="EJ132" s="200"/>
      <c r="EK132" s="200"/>
      <c r="EL132" s="200"/>
      <c r="EM132" s="200"/>
      <c r="EN132" s="200"/>
      <c r="EO132" s="200"/>
      <c r="EP132" s="200"/>
      <c r="EQ132" s="200"/>
      <c r="ER132" s="200"/>
      <c r="ES132" s="200"/>
      <c r="ET132" s="200"/>
      <c r="EU132" s="200"/>
      <c r="EV132" s="200"/>
      <c r="EW132" s="200"/>
      <c r="EX132" s="200"/>
      <c r="EY132" s="200"/>
      <c r="EZ132" s="200"/>
      <c r="FA132" s="200"/>
      <c r="FB132" s="200"/>
      <c r="FC132" s="200"/>
      <c r="FD132" s="200"/>
      <c r="FE132" s="200"/>
      <c r="FF132" s="200"/>
      <c r="FG132" s="200"/>
      <c r="FH132" s="200"/>
      <c r="FI132" s="200"/>
      <c r="FJ132" s="200"/>
      <c r="FK132" s="200"/>
      <c r="FL132" s="200"/>
      <c r="FM132" s="200"/>
      <c r="FN132" s="200"/>
      <c r="FO132" s="200"/>
      <c r="FP132" s="200"/>
      <c r="FQ132" s="200"/>
      <c r="FR132" s="200"/>
      <c r="FS132" s="200"/>
      <c r="FT132" s="200"/>
      <c r="FU132" s="200"/>
      <c r="FV132" s="200"/>
      <c r="FW132" s="200"/>
      <c r="FX132" s="200"/>
      <c r="FY132" s="200"/>
      <c r="FZ132" s="200"/>
      <c r="GA132" s="200"/>
      <c r="GB132" s="200"/>
      <c r="GC132" s="200"/>
      <c r="GD132" s="200"/>
      <c r="GE132" s="200"/>
      <c r="GF132" s="200"/>
      <c r="GG132" s="200"/>
      <c r="GH132" s="200"/>
      <c r="GI132" s="200"/>
      <c r="GJ132" s="200"/>
      <c r="GK132" s="200"/>
      <c r="GL132" s="200"/>
      <c r="GM132" s="200"/>
      <c r="GN132" s="200"/>
      <c r="GO132" s="200"/>
      <c r="GP132" s="200"/>
      <c r="GQ132" s="200"/>
      <c r="GR132" s="200"/>
      <c r="GS132" s="200"/>
      <c r="GT132" s="200"/>
      <c r="GU132" s="200"/>
      <c r="GV132" s="200"/>
      <c r="GW132" s="200"/>
      <c r="GX132" s="200"/>
      <c r="GY132" s="200"/>
      <c r="GZ132" s="200"/>
      <c r="HA132" s="200"/>
      <c r="HB132" s="200"/>
      <c r="HC132" s="200"/>
      <c r="HD132" s="200"/>
      <c r="HE132" s="200"/>
      <c r="HF132" s="200"/>
      <c r="HG132" s="200"/>
      <c r="HH132" s="200"/>
      <c r="HI132" s="200"/>
      <c r="HJ132" s="200"/>
      <c r="HK132" s="200"/>
      <c r="HL132" s="200"/>
      <c r="HM132" s="200"/>
      <c r="HN132" s="200"/>
      <c r="HO132" s="200"/>
      <c r="HP132" s="200"/>
      <c r="HQ132" s="200"/>
      <c r="HR132" s="200"/>
      <c r="HS132" s="200"/>
      <c r="HT132" s="200"/>
      <c r="HU132" s="200"/>
      <c r="HV132" s="200"/>
      <c r="HW132" s="200"/>
      <c r="HX132" s="200"/>
      <c r="HY132" s="200"/>
      <c r="HZ132" s="200"/>
      <c r="IA132" s="200"/>
      <c r="IB132" s="200"/>
      <c r="IC132" s="200"/>
      <c r="ID132" s="200"/>
      <c r="IE132" s="200"/>
      <c r="IF132" s="200"/>
      <c r="IG132" s="200"/>
      <c r="IH132" s="200"/>
      <c r="II132" s="200"/>
      <c r="IJ132" s="200"/>
      <c r="IK132" s="200"/>
      <c r="IL132" s="200"/>
      <c r="IM132" s="200"/>
      <c r="IN132" s="200"/>
      <c r="IO132" s="200"/>
      <c r="IP132" s="200"/>
      <c r="IQ132" s="200"/>
    </row>
    <row r="133" spans="1:251" s="143" customFormat="1" ht="25.5" customHeight="1">
      <c r="A133" s="143">
        <v>1</v>
      </c>
      <c r="B133" s="93" t="s">
        <v>1400</v>
      </c>
      <c r="C133" s="93" t="s">
        <v>1884</v>
      </c>
      <c r="D133" s="93" t="s">
        <v>1093</v>
      </c>
      <c r="E133" s="93" t="s">
        <v>1095</v>
      </c>
      <c r="F133" s="93" t="s">
        <v>1095</v>
      </c>
      <c r="G133" s="93" t="s">
        <v>1400</v>
      </c>
      <c r="H133" s="91">
        <v>40239</v>
      </c>
      <c r="I133" s="93"/>
      <c r="J133" s="110" t="s">
        <v>1035</v>
      </c>
      <c r="K133" s="120" t="s">
        <v>379</v>
      </c>
      <c r="L133" s="110" t="s">
        <v>107</v>
      </c>
      <c r="M133" s="127" t="s">
        <v>521</v>
      </c>
      <c r="N133" s="127" t="s">
        <v>1211</v>
      </c>
      <c r="O133" s="93" t="s">
        <v>1097</v>
      </c>
      <c r="P133" s="123">
        <v>2896</v>
      </c>
      <c r="AZ133" s="148"/>
    </row>
    <row r="134" spans="1:251" s="143" customFormat="1" ht="25.5" customHeight="1">
      <c r="A134" s="143">
        <v>1</v>
      </c>
      <c r="B134" s="93" t="s">
        <v>1400</v>
      </c>
      <c r="C134" s="93" t="s">
        <v>1884</v>
      </c>
      <c r="D134" s="93" t="s">
        <v>1094</v>
      </c>
      <c r="E134" s="93" t="s">
        <v>1096</v>
      </c>
      <c r="F134" s="93" t="s">
        <v>239</v>
      </c>
      <c r="G134" s="93" t="s">
        <v>1400</v>
      </c>
      <c r="H134" s="91">
        <v>40255</v>
      </c>
      <c r="I134" s="91">
        <v>40268</v>
      </c>
      <c r="J134" s="110" t="s">
        <v>1035</v>
      </c>
      <c r="K134" s="120" t="s">
        <v>379</v>
      </c>
      <c r="L134" s="110" t="s">
        <v>107</v>
      </c>
      <c r="M134" s="127" t="s">
        <v>521</v>
      </c>
      <c r="N134" s="127" t="s">
        <v>1211</v>
      </c>
      <c r="O134" s="93" t="s">
        <v>1097</v>
      </c>
      <c r="P134" s="123">
        <v>2896</v>
      </c>
      <c r="AZ134" s="148"/>
    </row>
    <row r="135" spans="1:251" s="143" customFormat="1" ht="25.5" customHeight="1">
      <c r="A135" s="143">
        <v>1</v>
      </c>
      <c r="B135" s="93" t="s">
        <v>1668</v>
      </c>
      <c r="C135" s="93" t="s">
        <v>1877</v>
      </c>
      <c r="D135" s="93" t="s">
        <v>164</v>
      </c>
      <c r="E135" s="93" t="s">
        <v>414</v>
      </c>
      <c r="F135" s="93" t="s">
        <v>1095</v>
      </c>
      <c r="G135" s="93" t="s">
        <v>1668</v>
      </c>
      <c r="H135" s="91"/>
      <c r="I135" s="91"/>
      <c r="J135" s="110" t="s">
        <v>1035</v>
      </c>
      <c r="K135" s="120" t="s">
        <v>379</v>
      </c>
      <c r="L135" s="110" t="s">
        <v>107</v>
      </c>
      <c r="M135" s="127" t="s">
        <v>521</v>
      </c>
      <c r="N135" s="127" t="s">
        <v>523</v>
      </c>
      <c r="O135" s="93" t="s">
        <v>905</v>
      </c>
      <c r="P135" s="123"/>
      <c r="AZ135" s="148"/>
    </row>
    <row r="136" spans="1:251" s="143" customFormat="1" ht="25.5" customHeight="1">
      <c r="A136" s="143">
        <v>1</v>
      </c>
      <c r="B136" s="93" t="s">
        <v>1668</v>
      </c>
      <c r="C136" s="93" t="s">
        <v>1877</v>
      </c>
      <c r="D136" s="93" t="s">
        <v>927</v>
      </c>
      <c r="E136" s="93" t="s">
        <v>1095</v>
      </c>
      <c r="F136" s="93" t="s">
        <v>1095</v>
      </c>
      <c r="G136" s="93" t="s">
        <v>1668</v>
      </c>
      <c r="H136" s="91">
        <v>40417</v>
      </c>
      <c r="I136" s="91">
        <v>40451</v>
      </c>
      <c r="J136" s="110" t="s">
        <v>1035</v>
      </c>
      <c r="K136" s="120" t="s">
        <v>376</v>
      </c>
      <c r="L136" s="110" t="s">
        <v>184</v>
      </c>
      <c r="M136" s="110" t="s">
        <v>522</v>
      </c>
      <c r="N136" s="127" t="s">
        <v>523</v>
      </c>
      <c r="O136" s="93" t="s">
        <v>905</v>
      </c>
      <c r="P136" s="123">
        <v>2699</v>
      </c>
      <c r="AZ136" s="148"/>
    </row>
    <row r="137" spans="1:251" s="143" customFormat="1" ht="25.5" customHeight="1">
      <c r="A137" s="143">
        <v>1</v>
      </c>
      <c r="B137" s="93" t="s">
        <v>1668</v>
      </c>
      <c r="C137" s="93" t="s">
        <v>1877</v>
      </c>
      <c r="D137" s="93" t="s">
        <v>928</v>
      </c>
      <c r="E137" s="93" t="s">
        <v>1095</v>
      </c>
      <c r="F137" s="93" t="s">
        <v>1095</v>
      </c>
      <c r="G137" s="93" t="s">
        <v>1668</v>
      </c>
      <c r="H137" s="91">
        <v>40417</v>
      </c>
      <c r="I137" s="91">
        <v>40451</v>
      </c>
      <c r="J137" s="110" t="s">
        <v>1035</v>
      </c>
      <c r="K137" s="120" t="s">
        <v>376</v>
      </c>
      <c r="L137" s="110" t="s">
        <v>184</v>
      </c>
      <c r="M137" s="110" t="s">
        <v>522</v>
      </c>
      <c r="N137" s="127" t="s">
        <v>523</v>
      </c>
      <c r="O137" s="93" t="s">
        <v>905</v>
      </c>
      <c r="P137" s="123">
        <v>2699</v>
      </c>
      <c r="AZ137" s="148"/>
    </row>
    <row r="138" spans="1:251" s="143" customFormat="1" ht="25.5" customHeight="1">
      <c r="A138" s="143">
        <v>1</v>
      </c>
      <c r="B138" s="93" t="s">
        <v>682</v>
      </c>
      <c r="C138" s="93" t="s">
        <v>1639</v>
      </c>
      <c r="D138" s="93" t="s">
        <v>1287</v>
      </c>
      <c r="E138" s="93" t="s">
        <v>1288</v>
      </c>
      <c r="F138" s="93" t="s">
        <v>238</v>
      </c>
      <c r="G138" s="93" t="s">
        <v>682</v>
      </c>
      <c r="H138" s="91">
        <v>40476</v>
      </c>
      <c r="I138" s="91">
        <v>40482</v>
      </c>
      <c r="J138" s="110" t="s">
        <v>1035</v>
      </c>
      <c r="K138" s="120" t="s">
        <v>378</v>
      </c>
      <c r="L138" s="110" t="s">
        <v>184</v>
      </c>
      <c r="M138" s="110" t="s">
        <v>521</v>
      </c>
      <c r="N138" s="127" t="s">
        <v>1211</v>
      </c>
      <c r="O138" s="93" t="s">
        <v>1289</v>
      </c>
      <c r="P138" s="123">
        <v>2888</v>
      </c>
      <c r="AZ138" s="148"/>
    </row>
    <row r="139" spans="1:251" s="143" customFormat="1" ht="25.5" customHeight="1">
      <c r="A139" s="143">
        <v>1</v>
      </c>
      <c r="B139" s="93" t="s">
        <v>682</v>
      </c>
      <c r="C139" s="93" t="s">
        <v>1639</v>
      </c>
      <c r="D139" s="93" t="s">
        <v>183</v>
      </c>
      <c r="E139" s="93" t="s">
        <v>1290</v>
      </c>
      <c r="F139" s="93" t="s">
        <v>238</v>
      </c>
      <c r="G139" s="93" t="s">
        <v>682</v>
      </c>
      <c r="H139" s="91">
        <v>40476</v>
      </c>
      <c r="I139" s="91">
        <v>40482</v>
      </c>
      <c r="J139" s="110" t="s">
        <v>1035</v>
      </c>
      <c r="K139" s="120" t="s">
        <v>378</v>
      </c>
      <c r="L139" s="110" t="s">
        <v>184</v>
      </c>
      <c r="M139" s="110" t="s">
        <v>521</v>
      </c>
      <c r="N139" s="127" t="s">
        <v>1211</v>
      </c>
      <c r="O139" s="93" t="s">
        <v>1289</v>
      </c>
      <c r="P139" s="123">
        <v>2888</v>
      </c>
      <c r="AZ139" s="148"/>
    </row>
    <row r="140" spans="1:251" s="143" customFormat="1" ht="25.5" customHeight="1">
      <c r="A140" s="143">
        <v>1</v>
      </c>
      <c r="B140" s="93" t="s">
        <v>682</v>
      </c>
      <c r="C140" s="93" t="s">
        <v>1639</v>
      </c>
      <c r="D140" s="93" t="s">
        <v>1291</v>
      </c>
      <c r="E140" s="93" t="s">
        <v>1911</v>
      </c>
      <c r="F140" s="93" t="s">
        <v>238</v>
      </c>
      <c r="G140" s="93" t="s">
        <v>682</v>
      </c>
      <c r="H140" s="91">
        <v>40476</v>
      </c>
      <c r="I140" s="91">
        <v>40482</v>
      </c>
      <c r="J140" s="110" t="s">
        <v>1035</v>
      </c>
      <c r="K140" s="120" t="s">
        <v>378</v>
      </c>
      <c r="L140" s="110" t="s">
        <v>184</v>
      </c>
      <c r="M140" s="110" t="s">
        <v>521</v>
      </c>
      <c r="N140" s="127" t="s">
        <v>1211</v>
      </c>
      <c r="O140" s="93" t="s">
        <v>1289</v>
      </c>
      <c r="P140" s="123">
        <v>2888</v>
      </c>
      <c r="AZ140" s="148"/>
    </row>
    <row r="141" spans="1:251" s="102" customFormat="1" ht="29.25" customHeight="1">
      <c r="A141" s="143">
        <v>1</v>
      </c>
      <c r="B141" s="93" t="s">
        <v>682</v>
      </c>
      <c r="C141" s="93" t="s">
        <v>1639</v>
      </c>
      <c r="D141" s="93" t="s">
        <v>1912</v>
      </c>
      <c r="E141" s="93" t="s">
        <v>1913</v>
      </c>
      <c r="F141" s="93" t="s">
        <v>238</v>
      </c>
      <c r="G141" s="93" t="s">
        <v>682</v>
      </c>
      <c r="H141" s="91">
        <v>40476</v>
      </c>
      <c r="I141" s="91">
        <v>40482</v>
      </c>
      <c r="J141" s="110" t="s">
        <v>1035</v>
      </c>
      <c r="K141" s="120" t="s">
        <v>378</v>
      </c>
      <c r="L141" s="110" t="s">
        <v>184</v>
      </c>
      <c r="M141" s="110" t="s">
        <v>521</v>
      </c>
      <c r="N141" s="127" t="s">
        <v>1211</v>
      </c>
      <c r="O141" s="93" t="s">
        <v>1289</v>
      </c>
      <c r="P141" s="123">
        <v>2888</v>
      </c>
      <c r="AZ141" s="149"/>
    </row>
    <row r="142" spans="1:251" s="102" customFormat="1" ht="29.25" customHeight="1">
      <c r="A142" s="143">
        <v>1</v>
      </c>
      <c r="B142" s="93" t="s">
        <v>682</v>
      </c>
      <c r="C142" s="93" t="s">
        <v>1639</v>
      </c>
      <c r="D142" s="93" t="s">
        <v>1914</v>
      </c>
      <c r="E142" s="93" t="s">
        <v>1915</v>
      </c>
      <c r="F142" s="93" t="s">
        <v>238</v>
      </c>
      <c r="G142" s="93" t="s">
        <v>682</v>
      </c>
      <c r="H142" s="91">
        <v>40476</v>
      </c>
      <c r="I142" s="91">
        <v>40482</v>
      </c>
      <c r="J142" s="110" t="s">
        <v>1035</v>
      </c>
      <c r="K142" s="120" t="s">
        <v>378</v>
      </c>
      <c r="L142" s="110" t="s">
        <v>184</v>
      </c>
      <c r="M142" s="110" t="s">
        <v>521</v>
      </c>
      <c r="N142" s="127" t="s">
        <v>1211</v>
      </c>
      <c r="O142" s="93" t="s">
        <v>1289</v>
      </c>
      <c r="P142" s="123">
        <v>2888</v>
      </c>
      <c r="AZ142" s="149"/>
    </row>
    <row r="143" spans="1:251" s="102" customFormat="1" ht="29.25" customHeight="1">
      <c r="A143" s="143">
        <v>1</v>
      </c>
      <c r="B143" s="93" t="s">
        <v>682</v>
      </c>
      <c r="C143" s="93" t="s">
        <v>1639</v>
      </c>
      <c r="D143" s="93" t="s">
        <v>1916</v>
      </c>
      <c r="E143" s="93" t="s">
        <v>1917</v>
      </c>
      <c r="F143" s="93" t="s">
        <v>238</v>
      </c>
      <c r="G143" s="93" t="s">
        <v>682</v>
      </c>
      <c r="H143" s="91">
        <v>40474</v>
      </c>
      <c r="I143" s="91">
        <v>40480</v>
      </c>
      <c r="J143" s="110" t="s">
        <v>1035</v>
      </c>
      <c r="K143" s="120" t="s">
        <v>378</v>
      </c>
      <c r="L143" s="110" t="s">
        <v>184</v>
      </c>
      <c r="M143" s="110" t="s">
        <v>521</v>
      </c>
      <c r="N143" s="127" t="s">
        <v>1211</v>
      </c>
      <c r="O143" s="93" t="s">
        <v>1289</v>
      </c>
      <c r="P143" s="123">
        <v>2888</v>
      </c>
      <c r="AZ143" s="149"/>
    </row>
    <row r="144" spans="1:251" s="93" customFormat="1" ht="26.25" customHeight="1">
      <c r="A144" s="93">
        <v>1</v>
      </c>
      <c r="B144" s="93" t="s">
        <v>121</v>
      </c>
      <c r="C144" s="93" t="s">
        <v>1156</v>
      </c>
      <c r="D144" s="93" t="s">
        <v>1333</v>
      </c>
      <c r="E144" s="93" t="s">
        <v>1157</v>
      </c>
      <c r="F144" s="93" t="s">
        <v>243</v>
      </c>
      <c r="G144" s="93" t="s">
        <v>121</v>
      </c>
      <c r="H144" s="91">
        <v>40497</v>
      </c>
      <c r="I144" s="91">
        <v>40529</v>
      </c>
      <c r="J144" s="126" t="s">
        <v>1035</v>
      </c>
      <c r="K144" s="120" t="s">
        <v>378</v>
      </c>
      <c r="L144" s="110" t="s">
        <v>184</v>
      </c>
      <c r="M144" s="126" t="s">
        <v>521</v>
      </c>
      <c r="N144" s="126" t="s">
        <v>1211</v>
      </c>
      <c r="O144" s="93" t="s">
        <v>1062</v>
      </c>
      <c r="P144" s="123">
        <v>2799</v>
      </c>
    </row>
    <row r="145" spans="1:256" s="102" customFormat="1" ht="24.75" customHeight="1">
      <c r="A145" s="143">
        <v>1</v>
      </c>
      <c r="B145" s="93" t="s">
        <v>1943</v>
      </c>
      <c r="C145" s="93" t="s">
        <v>1311</v>
      </c>
      <c r="D145" s="93" t="s">
        <v>1057</v>
      </c>
      <c r="E145" s="93" t="s">
        <v>1158</v>
      </c>
      <c r="F145" s="93"/>
      <c r="G145" s="93" t="s">
        <v>1943</v>
      </c>
      <c r="H145" s="91">
        <v>40497</v>
      </c>
      <c r="I145" s="91">
        <v>40516</v>
      </c>
      <c r="J145" s="110" t="s">
        <v>374</v>
      </c>
      <c r="K145" s="120" t="s">
        <v>378</v>
      </c>
      <c r="L145" s="110" t="s">
        <v>184</v>
      </c>
      <c r="M145" s="110" t="s">
        <v>522</v>
      </c>
      <c r="N145" s="127" t="s">
        <v>523</v>
      </c>
      <c r="O145" s="93" t="s">
        <v>1062</v>
      </c>
      <c r="P145" s="123"/>
      <c r="AZ145" s="149"/>
    </row>
    <row r="146" spans="1:256" s="102" customFormat="1" ht="30.75" customHeight="1">
      <c r="A146" s="143">
        <v>1</v>
      </c>
      <c r="B146" s="93" t="s">
        <v>12</v>
      </c>
      <c r="C146" s="93" t="s">
        <v>296</v>
      </c>
      <c r="D146" s="93" t="s">
        <v>13</v>
      </c>
      <c r="E146" s="93" t="s">
        <v>14</v>
      </c>
      <c r="F146" s="93" t="s">
        <v>14</v>
      </c>
      <c r="G146" s="93" t="s">
        <v>15</v>
      </c>
      <c r="H146" s="91">
        <v>40603</v>
      </c>
      <c r="I146" s="91">
        <v>40622</v>
      </c>
      <c r="J146" s="110" t="s">
        <v>1035</v>
      </c>
      <c r="K146" s="120" t="s">
        <v>379</v>
      </c>
      <c r="L146" s="110" t="s">
        <v>184</v>
      </c>
      <c r="M146" s="110" t="s">
        <v>522</v>
      </c>
      <c r="N146" s="127" t="s">
        <v>523</v>
      </c>
      <c r="O146" s="93" t="s">
        <v>1062</v>
      </c>
      <c r="P146" s="123">
        <v>2799</v>
      </c>
      <c r="AZ146" s="149"/>
    </row>
    <row r="147" spans="1:256" s="102" customFormat="1" ht="30.75" customHeight="1">
      <c r="A147" s="143">
        <v>1</v>
      </c>
      <c r="B147" s="93" t="s">
        <v>12</v>
      </c>
      <c r="C147" s="93" t="s">
        <v>296</v>
      </c>
      <c r="D147" s="93" t="s">
        <v>16</v>
      </c>
      <c r="E147" s="93" t="s">
        <v>17</v>
      </c>
      <c r="F147" s="93" t="s">
        <v>17</v>
      </c>
      <c r="G147" s="93" t="s">
        <v>15</v>
      </c>
      <c r="H147" s="91">
        <v>40604</v>
      </c>
      <c r="I147" s="91">
        <v>40626</v>
      </c>
      <c r="J147" s="110" t="s">
        <v>1035</v>
      </c>
      <c r="K147" s="120" t="s">
        <v>379</v>
      </c>
      <c r="L147" s="110" t="s">
        <v>184</v>
      </c>
      <c r="M147" s="110" t="s">
        <v>522</v>
      </c>
      <c r="N147" s="127" t="s">
        <v>523</v>
      </c>
      <c r="O147" s="93" t="s">
        <v>1062</v>
      </c>
      <c r="P147" s="123">
        <v>2799</v>
      </c>
      <c r="Q147" s="93"/>
      <c r="Y147" s="93"/>
      <c r="Z147" s="93"/>
      <c r="AM147" s="93"/>
      <c r="AN147" s="93"/>
      <c r="AO147" s="93"/>
      <c r="AP147" s="93"/>
      <c r="AQ147" s="93"/>
      <c r="AR147" s="93"/>
      <c r="AS147" s="93"/>
      <c r="AT147" s="93"/>
      <c r="AU147" s="93"/>
      <c r="AV147" s="93"/>
      <c r="AW147" s="93"/>
      <c r="AX147" s="93"/>
      <c r="AY147" s="93"/>
      <c r="AZ147" s="93"/>
      <c r="BA147" s="93"/>
      <c r="BB147" s="93"/>
      <c r="BC147" s="93"/>
      <c r="BD147" s="93"/>
      <c r="BE147" s="93"/>
      <c r="BF147" s="93"/>
      <c r="BG147" s="93"/>
      <c r="BH147" s="93"/>
      <c r="BI147" s="93"/>
      <c r="BJ147" s="93"/>
      <c r="BK147" s="93"/>
      <c r="BL147" s="93"/>
      <c r="BM147" s="93"/>
      <c r="BN147" s="93"/>
      <c r="BO147" s="93"/>
      <c r="BP147" s="93"/>
      <c r="BQ147" s="93"/>
      <c r="BR147" s="93"/>
      <c r="BS147" s="93"/>
      <c r="BT147" s="93"/>
      <c r="BU147" s="93"/>
      <c r="BV147" s="93"/>
      <c r="BW147" s="93"/>
      <c r="BX147" s="93"/>
      <c r="BY147" s="93"/>
      <c r="BZ147" s="93"/>
      <c r="CA147" s="93"/>
      <c r="CB147" s="93"/>
      <c r="CC147" s="93"/>
      <c r="CD147" s="93"/>
      <c r="CE147" s="93"/>
      <c r="CF147" s="93"/>
      <c r="CG147" s="93"/>
      <c r="CH147" s="93"/>
      <c r="CI147" s="93"/>
      <c r="CJ147" s="93"/>
      <c r="CK147" s="93"/>
      <c r="CL147" s="93"/>
      <c r="CM147" s="93"/>
      <c r="CN147" s="93"/>
      <c r="CO147" s="93"/>
      <c r="CP147" s="93"/>
      <c r="CQ147" s="93"/>
      <c r="CR147" s="93"/>
      <c r="CS147" s="93"/>
      <c r="CT147" s="93"/>
      <c r="CU147" s="93"/>
      <c r="CV147" s="93"/>
      <c r="CW147" s="93"/>
      <c r="CX147" s="93"/>
      <c r="CY147" s="93"/>
      <c r="CZ147" s="93"/>
      <c r="DA147" s="93"/>
      <c r="DB147" s="93"/>
      <c r="DC147" s="93"/>
      <c r="DD147" s="93"/>
      <c r="DE147" s="93"/>
      <c r="DF147" s="93"/>
      <c r="DG147" s="93"/>
      <c r="DH147" s="93"/>
      <c r="DI147" s="93"/>
      <c r="DJ147" s="93"/>
      <c r="DK147" s="93"/>
      <c r="DL147" s="93"/>
      <c r="DM147" s="93"/>
      <c r="DN147" s="93"/>
      <c r="DO147" s="93"/>
      <c r="DP147" s="93"/>
      <c r="DQ147" s="93"/>
      <c r="DR147" s="93"/>
      <c r="DS147" s="93"/>
      <c r="DT147" s="93"/>
      <c r="DU147" s="93"/>
      <c r="DV147" s="93"/>
      <c r="DW147" s="93"/>
      <c r="DX147" s="93"/>
      <c r="DY147" s="93"/>
      <c r="DZ147" s="93"/>
      <c r="EA147" s="93"/>
      <c r="EB147" s="93"/>
      <c r="EC147" s="93"/>
      <c r="ED147" s="93"/>
      <c r="EE147" s="93"/>
      <c r="EF147" s="93"/>
      <c r="EG147" s="93"/>
      <c r="EH147" s="93"/>
      <c r="EI147" s="93"/>
      <c r="EJ147" s="93"/>
      <c r="EK147" s="93"/>
      <c r="EL147" s="93"/>
      <c r="EM147" s="93"/>
      <c r="EN147" s="93"/>
      <c r="EO147" s="93"/>
      <c r="EP147" s="93"/>
      <c r="EQ147" s="93"/>
      <c r="ER147" s="93"/>
      <c r="ES147" s="93"/>
      <c r="ET147" s="93"/>
      <c r="EU147" s="93"/>
      <c r="EV147" s="93"/>
      <c r="EW147" s="93"/>
      <c r="EX147" s="93"/>
      <c r="EY147" s="93"/>
      <c r="EZ147" s="93"/>
      <c r="FA147" s="93"/>
      <c r="FB147" s="93"/>
      <c r="FC147" s="93"/>
      <c r="FD147" s="93"/>
      <c r="FE147" s="93"/>
      <c r="FF147" s="93"/>
      <c r="FG147" s="93"/>
      <c r="FH147" s="93"/>
      <c r="FI147" s="93"/>
      <c r="FJ147" s="93"/>
      <c r="FK147" s="93"/>
      <c r="FL147" s="93"/>
      <c r="FM147" s="93"/>
      <c r="FN147" s="93"/>
      <c r="FO147" s="93"/>
      <c r="FP147" s="93"/>
      <c r="FQ147" s="93"/>
      <c r="FR147" s="93"/>
      <c r="FS147" s="93"/>
      <c r="FT147" s="93"/>
      <c r="FU147" s="93"/>
      <c r="FV147" s="93"/>
      <c r="FW147" s="93"/>
      <c r="FX147" s="93"/>
      <c r="FY147" s="93"/>
      <c r="FZ147" s="93"/>
      <c r="GA147" s="93"/>
      <c r="GB147" s="93"/>
      <c r="GC147" s="93"/>
      <c r="GD147" s="93"/>
      <c r="GE147" s="93"/>
      <c r="GF147" s="93"/>
      <c r="GG147" s="93"/>
      <c r="GH147" s="93"/>
      <c r="GI147" s="93"/>
      <c r="GJ147" s="93"/>
      <c r="GK147" s="93"/>
      <c r="GL147" s="93"/>
      <c r="GM147" s="93"/>
      <c r="GN147" s="93"/>
      <c r="GO147" s="93"/>
      <c r="GP147" s="93"/>
      <c r="GQ147" s="93"/>
      <c r="GR147" s="93"/>
      <c r="GS147" s="93"/>
      <c r="GT147" s="93"/>
      <c r="GU147" s="93"/>
      <c r="GV147" s="93"/>
      <c r="GW147" s="93"/>
      <c r="GX147" s="93"/>
      <c r="GY147" s="93"/>
      <c r="GZ147" s="93"/>
      <c r="HA147" s="93"/>
      <c r="HB147" s="93"/>
      <c r="HC147" s="93"/>
      <c r="HD147" s="93"/>
      <c r="HE147" s="93"/>
      <c r="HF147" s="93"/>
      <c r="HG147" s="93"/>
      <c r="HH147" s="93"/>
      <c r="HI147" s="93"/>
      <c r="HJ147" s="93"/>
      <c r="HK147" s="93"/>
      <c r="HL147" s="93"/>
      <c r="HM147" s="93"/>
      <c r="HN147" s="93"/>
      <c r="HO147" s="93"/>
      <c r="HP147" s="93"/>
      <c r="HQ147" s="93"/>
      <c r="HR147" s="93"/>
      <c r="HS147" s="93"/>
      <c r="HT147" s="93"/>
      <c r="HU147" s="93"/>
      <c r="HV147" s="93"/>
      <c r="HW147" s="93"/>
      <c r="HX147" s="93"/>
      <c r="HY147" s="93"/>
      <c r="HZ147" s="93"/>
      <c r="IA147" s="93"/>
      <c r="IB147" s="93"/>
      <c r="IC147" s="93"/>
      <c r="ID147" s="93"/>
      <c r="IE147" s="93"/>
      <c r="IF147" s="93"/>
      <c r="IG147" s="93"/>
      <c r="IH147" s="93"/>
      <c r="II147" s="93"/>
      <c r="IJ147" s="93"/>
      <c r="IK147" s="93"/>
      <c r="IL147" s="93"/>
      <c r="IM147" s="93"/>
      <c r="IN147" s="93"/>
      <c r="IO147" s="93"/>
      <c r="IP147" s="93"/>
      <c r="IQ147" s="93"/>
      <c r="IR147" s="93"/>
      <c r="IS147" s="93"/>
      <c r="IT147" s="93"/>
      <c r="IU147" s="93"/>
      <c r="IV147" s="93"/>
    </row>
    <row r="148" spans="1:256" s="102" customFormat="1" ht="30.75" customHeight="1">
      <c r="A148" s="143">
        <v>1</v>
      </c>
      <c r="B148" s="93" t="s">
        <v>12</v>
      </c>
      <c r="C148" s="93" t="s">
        <v>296</v>
      </c>
      <c r="D148" s="93" t="s">
        <v>1062</v>
      </c>
      <c r="E148" s="93" t="s">
        <v>18</v>
      </c>
      <c r="F148" s="93" t="s">
        <v>18</v>
      </c>
      <c r="G148" s="93" t="s">
        <v>15</v>
      </c>
      <c r="H148" s="91">
        <v>40607</v>
      </c>
      <c r="I148" s="91">
        <v>40635</v>
      </c>
      <c r="J148" s="110" t="s">
        <v>1035</v>
      </c>
      <c r="K148" s="120" t="s">
        <v>379</v>
      </c>
      <c r="L148" s="110" t="s">
        <v>184</v>
      </c>
      <c r="M148" s="110" t="s">
        <v>522</v>
      </c>
      <c r="N148" s="127" t="s">
        <v>523</v>
      </c>
      <c r="O148" s="93" t="s">
        <v>1062</v>
      </c>
      <c r="P148" s="123">
        <v>2799</v>
      </c>
      <c r="AZ148" s="149"/>
    </row>
    <row r="149" spans="1:256" s="102" customFormat="1" ht="30.75" customHeight="1">
      <c r="A149" s="143">
        <v>1</v>
      </c>
      <c r="B149" s="93" t="s">
        <v>12</v>
      </c>
      <c r="C149" s="93" t="s">
        <v>296</v>
      </c>
      <c r="D149" s="93" t="s">
        <v>1049</v>
      </c>
      <c r="E149" s="93" t="s">
        <v>17</v>
      </c>
      <c r="F149" s="93" t="s">
        <v>17</v>
      </c>
      <c r="G149" s="93" t="s">
        <v>15</v>
      </c>
      <c r="H149" s="91">
        <v>40621</v>
      </c>
      <c r="I149" s="91"/>
      <c r="J149" s="110" t="s">
        <v>1035</v>
      </c>
      <c r="K149" s="120" t="s">
        <v>379</v>
      </c>
      <c r="L149" s="110" t="s">
        <v>184</v>
      </c>
      <c r="M149" s="110" t="s">
        <v>522</v>
      </c>
      <c r="N149" s="127" t="s">
        <v>523</v>
      </c>
      <c r="O149" s="93" t="s">
        <v>1025</v>
      </c>
      <c r="P149" s="123">
        <v>2799</v>
      </c>
      <c r="AZ149" s="149"/>
    </row>
    <row r="150" spans="1:256" s="102" customFormat="1" ht="30.75" customHeight="1">
      <c r="A150" s="143">
        <v>1</v>
      </c>
      <c r="B150" s="93" t="s">
        <v>12</v>
      </c>
      <c r="C150" s="93" t="s">
        <v>296</v>
      </c>
      <c r="D150" s="93" t="s">
        <v>603</v>
      </c>
      <c r="E150" s="93" t="s">
        <v>18</v>
      </c>
      <c r="F150" s="93" t="s">
        <v>18</v>
      </c>
      <c r="G150" s="93" t="s">
        <v>15</v>
      </c>
      <c r="H150" s="91">
        <v>40632</v>
      </c>
      <c r="I150" s="91">
        <v>40638</v>
      </c>
      <c r="J150" s="110" t="s">
        <v>1035</v>
      </c>
      <c r="K150" s="120" t="s">
        <v>379</v>
      </c>
      <c r="L150" s="110" t="s">
        <v>184</v>
      </c>
      <c r="M150" s="110" t="s">
        <v>522</v>
      </c>
      <c r="N150" s="127" t="s">
        <v>523</v>
      </c>
      <c r="O150" s="93" t="s">
        <v>1062</v>
      </c>
      <c r="P150" s="123">
        <v>2799</v>
      </c>
      <c r="AZ150" s="149"/>
    </row>
    <row r="151" spans="1:256" s="102" customFormat="1" ht="30.75" customHeight="1">
      <c r="A151" s="143">
        <v>1</v>
      </c>
      <c r="B151" s="93" t="s">
        <v>1936</v>
      </c>
      <c r="C151" s="93" t="s">
        <v>1016</v>
      </c>
      <c r="D151" s="93" t="s">
        <v>1017</v>
      </c>
      <c r="E151" s="93" t="s">
        <v>1018</v>
      </c>
      <c r="F151" s="93" t="s">
        <v>1019</v>
      </c>
      <c r="G151" s="93" t="s">
        <v>1936</v>
      </c>
      <c r="H151" s="91">
        <v>40636</v>
      </c>
      <c r="I151" s="91">
        <v>40662</v>
      </c>
      <c r="J151" s="110" t="s">
        <v>1035</v>
      </c>
      <c r="K151" s="120" t="s">
        <v>380</v>
      </c>
      <c r="L151" s="110" t="s">
        <v>184</v>
      </c>
      <c r="M151" s="110" t="s">
        <v>521</v>
      </c>
      <c r="N151" s="127" t="s">
        <v>523</v>
      </c>
      <c r="O151" s="93" t="s">
        <v>711</v>
      </c>
      <c r="P151" s="123" t="s">
        <v>1020</v>
      </c>
      <c r="AZ151" s="149"/>
    </row>
    <row r="152" spans="1:256" s="102" customFormat="1" ht="30.75" customHeight="1">
      <c r="A152" s="143">
        <v>1</v>
      </c>
      <c r="B152" s="93" t="s">
        <v>1936</v>
      </c>
      <c r="C152" s="93" t="s">
        <v>1016</v>
      </c>
      <c r="D152" s="93" t="s">
        <v>1021</v>
      </c>
      <c r="E152" s="93" t="s">
        <v>1022</v>
      </c>
      <c r="F152" s="93" t="s">
        <v>1023</v>
      </c>
      <c r="G152" s="93" t="s">
        <v>1936</v>
      </c>
      <c r="H152" s="91"/>
      <c r="I152" s="91"/>
      <c r="J152" s="110" t="s">
        <v>1035</v>
      </c>
      <c r="K152" s="120" t="s">
        <v>380</v>
      </c>
      <c r="L152" s="110" t="s">
        <v>184</v>
      </c>
      <c r="M152" s="110" t="s">
        <v>521</v>
      </c>
      <c r="N152" s="127" t="s">
        <v>523</v>
      </c>
      <c r="O152" s="93" t="s">
        <v>1024</v>
      </c>
      <c r="P152" s="123" t="s">
        <v>1020</v>
      </c>
      <c r="R152" s="89"/>
      <c r="S152" s="88"/>
      <c r="T152" s="88"/>
      <c r="U152" s="89"/>
      <c r="V152" s="90"/>
      <c r="AZ152" s="149"/>
    </row>
    <row r="153" spans="1:256" s="102" customFormat="1" ht="30.75" customHeight="1">
      <c r="A153" s="143">
        <v>1</v>
      </c>
      <c r="B153" s="93" t="s">
        <v>1936</v>
      </c>
      <c r="C153" s="93" t="s">
        <v>1016</v>
      </c>
      <c r="D153" s="93" t="s">
        <v>1085</v>
      </c>
      <c r="E153" s="93" t="s">
        <v>1018</v>
      </c>
      <c r="F153" s="93" t="s">
        <v>1019</v>
      </c>
      <c r="G153" s="93" t="s">
        <v>1936</v>
      </c>
      <c r="H153" s="91">
        <v>40659</v>
      </c>
      <c r="I153" s="91">
        <v>40687</v>
      </c>
      <c r="J153" s="110" t="s">
        <v>1035</v>
      </c>
      <c r="K153" s="120" t="s">
        <v>380</v>
      </c>
      <c r="L153" s="110" t="s">
        <v>184</v>
      </c>
      <c r="M153" s="110" t="s">
        <v>521</v>
      </c>
      <c r="N153" s="127" t="s">
        <v>523</v>
      </c>
      <c r="O153" s="93" t="s">
        <v>711</v>
      </c>
      <c r="P153" s="123" t="s">
        <v>1020</v>
      </c>
      <c r="R153" s="89"/>
      <c r="S153" s="88"/>
      <c r="T153" s="88"/>
      <c r="U153" s="89"/>
      <c r="V153" s="90"/>
      <c r="AZ153" s="149"/>
    </row>
    <row r="154" spans="1:256" s="102" customFormat="1" ht="30.75" customHeight="1">
      <c r="A154" s="143">
        <v>1</v>
      </c>
      <c r="B154" s="93" t="s">
        <v>1883</v>
      </c>
      <c r="C154" s="93" t="s">
        <v>1884</v>
      </c>
      <c r="D154" s="93" t="s">
        <v>708</v>
      </c>
      <c r="E154" s="93" t="s">
        <v>2128</v>
      </c>
      <c r="F154" s="93"/>
      <c r="G154" s="93" t="s">
        <v>1883</v>
      </c>
      <c r="H154" s="91">
        <v>40935</v>
      </c>
      <c r="I154" s="91">
        <v>40950</v>
      </c>
      <c r="J154" s="110" t="s">
        <v>1035</v>
      </c>
      <c r="K154" s="120" t="s">
        <v>378</v>
      </c>
      <c r="L154" s="110" t="s">
        <v>2129</v>
      </c>
      <c r="M154" s="110" t="s">
        <v>521</v>
      </c>
      <c r="N154" s="127" t="s">
        <v>523</v>
      </c>
      <c r="O154" s="93"/>
      <c r="P154" s="123"/>
      <c r="R154" s="89"/>
      <c r="S154" s="88"/>
      <c r="T154" s="88"/>
      <c r="U154" s="89"/>
      <c r="V154" s="90"/>
      <c r="AZ154" s="149"/>
    </row>
    <row r="155" spans="1:256" s="102" customFormat="1" ht="30.75" customHeight="1" thickBot="1">
      <c r="A155" s="143">
        <v>1</v>
      </c>
      <c r="B155" s="93" t="s">
        <v>1902</v>
      </c>
      <c r="C155" s="93" t="s">
        <v>2134</v>
      </c>
      <c r="D155" s="93" t="s">
        <v>915</v>
      </c>
      <c r="E155" s="93" t="s">
        <v>2135</v>
      </c>
      <c r="F155" s="93" t="s">
        <v>2138</v>
      </c>
      <c r="G155" s="93" t="s">
        <v>1902</v>
      </c>
      <c r="H155" s="110" t="s">
        <v>2136</v>
      </c>
      <c r="I155" s="110">
        <v>40981</v>
      </c>
      <c r="J155" s="110" t="s">
        <v>2137</v>
      </c>
      <c r="K155" s="110" t="s">
        <v>379</v>
      </c>
      <c r="L155" s="110" t="s">
        <v>2129</v>
      </c>
      <c r="M155" s="110" t="s">
        <v>522</v>
      </c>
      <c r="N155" s="127" t="s">
        <v>1210</v>
      </c>
      <c r="O155" s="795" t="s">
        <v>1062</v>
      </c>
      <c r="P155" s="123">
        <v>2002</v>
      </c>
      <c r="R155" s="89"/>
      <c r="S155" s="88"/>
      <c r="T155" s="88"/>
      <c r="U155" s="89"/>
      <c r="V155" s="90"/>
      <c r="AZ155" s="149"/>
    </row>
    <row r="156" spans="1:256" s="102" customFormat="1" ht="30.75" customHeight="1">
      <c r="A156" s="143"/>
      <c r="B156" s="93"/>
      <c r="C156" s="93"/>
      <c r="D156" s="93"/>
      <c r="E156" s="93"/>
      <c r="F156" s="93"/>
      <c r="G156" s="93"/>
      <c r="H156" s="91"/>
      <c r="I156" s="91"/>
      <c r="J156" s="110"/>
      <c r="K156" s="120"/>
      <c r="L156" s="110"/>
      <c r="M156" s="110"/>
      <c r="N156" s="127"/>
      <c r="O156" s="93"/>
      <c r="P156" s="123"/>
      <c r="R156" s="89"/>
      <c r="S156" s="88"/>
      <c r="T156" s="88"/>
      <c r="U156" s="89"/>
      <c r="V156" s="90"/>
      <c r="AZ156" s="149"/>
    </row>
    <row r="157" spans="1:256" s="102" customFormat="1" ht="30.75" customHeight="1">
      <c r="A157" s="143"/>
      <c r="B157" s="93"/>
      <c r="C157" s="93"/>
      <c r="D157" s="93"/>
      <c r="E157" s="93"/>
      <c r="F157" s="93"/>
      <c r="G157" s="93"/>
      <c r="H157" s="91"/>
      <c r="I157" s="91"/>
      <c r="J157" s="110"/>
      <c r="K157" s="120"/>
      <c r="L157" s="110"/>
      <c r="M157" s="110"/>
      <c r="N157" s="127"/>
      <c r="O157" s="93"/>
      <c r="P157" s="123"/>
      <c r="R157" s="89"/>
      <c r="S157" s="88"/>
      <c r="T157" s="88"/>
      <c r="U157" s="89"/>
      <c r="V157" s="90"/>
      <c r="AZ157" s="149"/>
    </row>
    <row r="158" spans="1:256" s="102" customFormat="1" ht="30.75" customHeight="1">
      <c r="A158" s="143"/>
      <c r="B158" s="93"/>
      <c r="C158" s="93"/>
      <c r="D158" s="93"/>
      <c r="E158" s="93"/>
      <c r="F158" s="93"/>
      <c r="G158" s="93"/>
      <c r="H158" s="91"/>
      <c r="I158" s="91"/>
      <c r="J158" s="110"/>
      <c r="K158" s="120"/>
      <c r="L158" s="110"/>
      <c r="M158" s="110"/>
      <c r="N158" s="127"/>
      <c r="O158" s="93"/>
      <c r="P158" s="123"/>
      <c r="R158" s="89"/>
      <c r="S158" s="88"/>
      <c r="T158" s="88"/>
      <c r="U158" s="89"/>
      <c r="V158" s="90"/>
      <c r="AZ158" s="149"/>
    </row>
    <row r="159" spans="1:256" s="102" customFormat="1" ht="30.75" customHeight="1">
      <c r="A159" s="143"/>
      <c r="B159" s="93"/>
      <c r="C159" s="93"/>
      <c r="D159" s="93"/>
      <c r="E159" s="93"/>
      <c r="F159" s="93"/>
      <c r="G159" s="93"/>
      <c r="H159" s="91"/>
      <c r="I159" s="91"/>
      <c r="J159" s="110"/>
      <c r="K159" s="120"/>
      <c r="L159" s="110"/>
      <c r="M159" s="110"/>
      <c r="N159" s="127"/>
      <c r="O159" s="93"/>
      <c r="P159" s="123"/>
      <c r="R159" s="89"/>
      <c r="S159" s="88"/>
      <c r="T159" s="88"/>
      <c r="U159" s="89"/>
      <c r="V159" s="90"/>
      <c r="AZ159" s="149"/>
    </row>
    <row r="160" spans="1:256" s="102" customFormat="1">
      <c r="A160" s="100"/>
      <c r="B160" s="202"/>
      <c r="C160" s="202"/>
      <c r="D160" s="202"/>
      <c r="E160" s="202"/>
      <c r="F160" s="202"/>
      <c r="G160" s="101"/>
      <c r="H160" s="101"/>
      <c r="I160" s="108"/>
      <c r="J160" s="111"/>
      <c r="K160" s="111"/>
      <c r="L160" s="111"/>
      <c r="M160" s="111"/>
      <c r="N160" s="129"/>
      <c r="AZ160" s="149"/>
    </row>
    <row r="161" spans="1:97" s="102" customFormat="1" ht="38.25">
      <c r="A161" s="100"/>
      <c r="C161" s="1026" t="s">
        <v>1266</v>
      </c>
      <c r="D161" s="1026"/>
      <c r="E161" s="1026"/>
      <c r="F161" s="1026"/>
      <c r="G161" s="1026"/>
      <c r="H161" s="206" t="s">
        <v>573</v>
      </c>
      <c r="I161" s="205">
        <f>SUM(69+14)</f>
        <v>83</v>
      </c>
      <c r="J161" s="207" t="s">
        <v>1871</v>
      </c>
      <c r="K161" s="217">
        <f>SUM(I161:I163)</f>
        <v>168</v>
      </c>
      <c r="L161" s="111"/>
      <c r="M161" s="111"/>
      <c r="N161" s="129"/>
      <c r="AZ161" s="149"/>
    </row>
    <row r="162" spans="1:97" s="102" customFormat="1">
      <c r="A162" s="100"/>
      <c r="B162" s="100"/>
      <c r="C162" s="202"/>
      <c r="D162" s="202"/>
      <c r="E162" s="202"/>
      <c r="F162" s="202"/>
      <c r="G162" s="202"/>
      <c r="H162" s="204" t="s">
        <v>185</v>
      </c>
      <c r="I162" s="203">
        <f>SUM(A47:A123)</f>
        <v>77</v>
      </c>
      <c r="L162" s="111"/>
      <c r="M162" s="111"/>
      <c r="N162" s="129"/>
      <c r="AZ162" s="149"/>
    </row>
    <row r="163" spans="1:97" s="102" customFormat="1">
      <c r="A163" s="100"/>
      <c r="B163" s="100"/>
      <c r="C163" s="202"/>
      <c r="D163" s="202"/>
      <c r="E163" s="202"/>
      <c r="F163" s="202"/>
      <c r="G163" s="202"/>
      <c r="H163" s="204" t="s">
        <v>186</v>
      </c>
      <c r="I163" s="203">
        <f>SUM(A124:A131)</f>
        <v>8</v>
      </c>
      <c r="J163" s="108"/>
      <c r="L163" s="111"/>
      <c r="M163" s="111"/>
      <c r="N163" s="129"/>
      <c r="AZ163" s="149"/>
    </row>
    <row r="164" spans="1:97" s="102" customFormat="1" ht="15.75">
      <c r="A164" s="100"/>
      <c r="B164" s="104"/>
      <c r="C164" s="103"/>
      <c r="D164" s="87"/>
      <c r="E164" s="104"/>
      <c r="F164" s="104"/>
      <c r="G164" s="87"/>
      <c r="H164" s="218" t="s">
        <v>187</v>
      </c>
      <c r="I164" s="100">
        <f>SUM(A47:A131)</f>
        <v>85</v>
      </c>
      <c r="J164" s="106"/>
      <c r="K164" s="109"/>
      <c r="L164" s="111"/>
      <c r="M164" s="111"/>
      <c r="N164" s="129"/>
      <c r="AZ164" s="149"/>
    </row>
    <row r="165" spans="1:97" s="102" customFormat="1">
      <c r="A165" s="100"/>
      <c r="B165" s="202"/>
      <c r="C165" s="202"/>
      <c r="D165" s="202"/>
      <c r="E165" s="202"/>
      <c r="F165" s="202"/>
      <c r="G165" s="101"/>
      <c r="H165" s="101"/>
      <c r="I165" s="108"/>
      <c r="J165" s="111"/>
      <c r="K165" s="111"/>
      <c r="L165" s="111"/>
      <c r="M165" s="111"/>
      <c r="N165" s="129"/>
      <c r="AZ165" s="149"/>
    </row>
    <row r="166" spans="1:97" s="102" customFormat="1">
      <c r="A166" s="100"/>
      <c r="B166" s="202"/>
      <c r="C166" s="202"/>
      <c r="D166" s="202"/>
      <c r="E166" s="202"/>
      <c r="F166" s="202"/>
      <c r="G166" s="101"/>
      <c r="H166" s="101"/>
      <c r="I166" s="108"/>
      <c r="J166" s="111"/>
      <c r="K166" s="111"/>
      <c r="L166" s="111"/>
      <c r="M166" s="111"/>
      <c r="N166" s="129"/>
      <c r="AZ166" s="149"/>
    </row>
    <row r="167" spans="1:97" s="102" customFormat="1">
      <c r="A167" s="100"/>
      <c r="B167" s="202"/>
      <c r="C167" s="202"/>
      <c r="D167" s="202"/>
      <c r="E167" s="202"/>
      <c r="F167" s="202"/>
      <c r="G167" s="101"/>
      <c r="H167" s="101"/>
      <c r="I167" s="108"/>
      <c r="J167" s="111"/>
      <c r="K167" s="111"/>
      <c r="L167" s="111"/>
      <c r="M167" s="111"/>
      <c r="N167" s="129"/>
      <c r="AZ167" s="149"/>
    </row>
    <row r="168" spans="1:97" s="102" customFormat="1">
      <c r="A168" s="100"/>
      <c r="B168" s="202"/>
      <c r="C168" s="202"/>
      <c r="D168" s="202"/>
      <c r="E168" s="202"/>
      <c r="F168" s="202"/>
      <c r="G168" s="101"/>
      <c r="H168" s="101"/>
      <c r="I168" s="108"/>
      <c r="J168" s="111"/>
      <c r="K168" s="111"/>
      <c r="L168" s="111"/>
      <c r="M168" s="111"/>
      <c r="N168" s="129"/>
      <c r="AZ168" s="149"/>
    </row>
    <row r="169" spans="1:97" s="102" customFormat="1">
      <c r="A169" s="100"/>
      <c r="B169" s="202"/>
      <c r="C169" s="202"/>
      <c r="D169" s="202"/>
      <c r="E169" s="202"/>
      <c r="F169" s="202"/>
      <c r="G169" s="101"/>
      <c r="H169" s="101"/>
      <c r="I169" s="108"/>
      <c r="J169" s="111"/>
      <c r="K169" s="115"/>
      <c r="L169" s="115"/>
      <c r="M169" s="115"/>
      <c r="N169" s="115"/>
      <c r="O169" s="115"/>
      <c r="P169" s="115"/>
      <c r="Q169" s="115"/>
      <c r="AZ169" s="149"/>
    </row>
    <row r="170" spans="1:97" s="102" customFormat="1">
      <c r="A170" s="100"/>
      <c r="B170" s="202"/>
      <c r="C170" s="202"/>
      <c r="D170" s="202"/>
      <c r="E170" s="202"/>
      <c r="F170" s="202"/>
      <c r="G170" s="101"/>
      <c r="H170" s="101"/>
      <c r="I170" s="108"/>
      <c r="J170" s="111"/>
      <c r="K170" s="118"/>
      <c r="L170" s="118"/>
      <c r="M170" s="118"/>
      <c r="N170" s="118"/>
      <c r="O170" s="118"/>
      <c r="P170" s="118"/>
      <c r="Q170" s="118"/>
      <c r="AZ170" s="149"/>
    </row>
    <row r="171" spans="1:97">
      <c r="B171"/>
      <c r="C171"/>
      <c r="D171"/>
      <c r="K171" s="89"/>
      <c r="L171"/>
      <c r="M171"/>
      <c r="N171"/>
      <c r="O171" s="90"/>
      <c r="P171" s="92"/>
      <c r="Q171" s="92"/>
    </row>
    <row r="172" spans="1:97">
      <c r="B172"/>
      <c r="C172"/>
      <c r="D172"/>
      <c r="K172" s="89"/>
      <c r="L172" t="s">
        <v>1979</v>
      </c>
      <c r="M172"/>
      <c r="N172"/>
      <c r="O172" s="90"/>
      <c r="P172" s="92"/>
      <c r="Q172" s="92"/>
    </row>
    <row r="173" spans="1:97">
      <c r="B173"/>
      <c r="C173"/>
      <c r="D173"/>
      <c r="K173" s="5"/>
      <c r="L173" s="12"/>
      <c r="M173" s="12"/>
      <c r="N173" s="12"/>
      <c r="O173" s="7"/>
      <c r="P173" s="92"/>
      <c r="Q173" s="92"/>
    </row>
    <row r="174" spans="1:97">
      <c r="K174" s="6" t="s">
        <v>572</v>
      </c>
      <c r="L174" s="6" t="s">
        <v>373</v>
      </c>
      <c r="M174" s="6" t="s">
        <v>1868</v>
      </c>
      <c r="N174" s="6" t="s">
        <v>702</v>
      </c>
      <c r="O174" s="691"/>
      <c r="P174" s="92"/>
      <c r="Q174" s="92"/>
    </row>
    <row r="175" spans="1:97">
      <c r="K175" s="5" t="s">
        <v>377</v>
      </c>
      <c r="L175" s="5" t="s">
        <v>1035</v>
      </c>
      <c r="M175" s="5" t="s">
        <v>1891</v>
      </c>
      <c r="N175" s="5" t="s">
        <v>1075</v>
      </c>
      <c r="O175" s="7"/>
      <c r="P175" s="92"/>
      <c r="Q175" s="92"/>
      <c r="Y175"/>
      <c r="Z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row>
    <row r="176" spans="1:97">
      <c r="F176" s="46"/>
      <c r="K176" s="13"/>
      <c r="L176" s="13"/>
      <c r="M176" s="5" t="s">
        <v>1054</v>
      </c>
      <c r="N176" s="5" t="s">
        <v>1056</v>
      </c>
      <c r="O176" s="691"/>
      <c r="P176" s="92"/>
      <c r="Q176" s="92"/>
      <c r="Y176"/>
      <c r="Z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row>
    <row r="177" spans="6:97">
      <c r="F177" s="46"/>
      <c r="G177"/>
      <c r="K177" s="13"/>
      <c r="L177" s="13"/>
      <c r="M177" s="5" t="s">
        <v>1878</v>
      </c>
      <c r="N177" s="5" t="s">
        <v>381</v>
      </c>
      <c r="O177" s="691"/>
      <c r="P177" s="92"/>
      <c r="Q177" s="92"/>
      <c r="Y177"/>
      <c r="Z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row>
    <row r="178" spans="6:97">
      <c r="F178" s="86"/>
      <c r="K178" s="13"/>
      <c r="L178" s="13"/>
      <c r="M178" s="13"/>
      <c r="N178" s="68" t="s">
        <v>1043</v>
      </c>
      <c r="O178" s="691"/>
      <c r="P178" s="92"/>
      <c r="Q178" s="92"/>
      <c r="Y178"/>
      <c r="Z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row>
    <row r="179" spans="6:97">
      <c r="F179" s="86"/>
      <c r="K179" s="13"/>
      <c r="L179" s="13"/>
      <c r="M179" s="5" t="s">
        <v>1532</v>
      </c>
      <c r="N179" s="5" t="s">
        <v>709</v>
      </c>
      <c r="O179" s="691"/>
      <c r="P179" s="92"/>
      <c r="Q179" s="92"/>
      <c r="Y179"/>
      <c r="Z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row>
    <row r="180" spans="6:97">
      <c r="F180" s="86"/>
      <c r="K180" s="13"/>
      <c r="L180" s="13"/>
      <c r="M180" s="5" t="s">
        <v>1817</v>
      </c>
      <c r="N180" s="5" t="s">
        <v>1037</v>
      </c>
      <c r="O180" s="691"/>
      <c r="P180" s="92"/>
      <c r="Q180" s="92"/>
      <c r="Y180"/>
      <c r="Z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row>
    <row r="181" spans="6:97">
      <c r="F181" s="86"/>
      <c r="K181" s="13"/>
      <c r="L181" s="13"/>
      <c r="M181" s="5" t="s">
        <v>682</v>
      </c>
      <c r="N181" s="5" t="s">
        <v>1073</v>
      </c>
      <c r="O181" s="691"/>
      <c r="P181" s="92"/>
      <c r="Q181" s="92"/>
      <c r="Y181"/>
      <c r="Z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row>
    <row r="182" spans="6:97">
      <c r="F182" s="86"/>
      <c r="K182" s="13"/>
      <c r="L182" s="13"/>
      <c r="M182" s="13"/>
      <c r="N182" s="68" t="s">
        <v>1062</v>
      </c>
      <c r="O182" s="691"/>
      <c r="P182" s="92"/>
      <c r="Q182" s="92"/>
      <c r="Y182"/>
      <c r="Z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row>
    <row r="183" spans="6:97">
      <c r="F183" s="86"/>
      <c r="K183" s="13"/>
      <c r="L183" s="13"/>
      <c r="M183" s="13"/>
      <c r="N183" s="68" t="s">
        <v>1086</v>
      </c>
      <c r="O183" s="691"/>
      <c r="P183" s="92"/>
      <c r="Q183" s="92"/>
      <c r="Y183"/>
      <c r="Z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row>
    <row r="184" spans="6:97">
      <c r="F184" s="86"/>
      <c r="K184" s="13"/>
      <c r="L184" s="13"/>
      <c r="M184" s="13"/>
      <c r="N184" s="68" t="s">
        <v>1085</v>
      </c>
      <c r="O184" s="691"/>
      <c r="P184" s="92"/>
      <c r="Q184" s="92"/>
      <c r="Y184"/>
      <c r="Z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row>
    <row r="185" spans="6:97">
      <c r="F185" s="86"/>
      <c r="K185" s="13"/>
      <c r="L185" s="13"/>
      <c r="M185" s="13"/>
      <c r="N185" s="68" t="s">
        <v>1078</v>
      </c>
      <c r="O185" s="691"/>
      <c r="P185" s="92"/>
      <c r="Q185" s="92"/>
      <c r="Y185"/>
      <c r="Z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row>
    <row r="186" spans="6:97">
      <c r="F186" s="86"/>
      <c r="K186" s="13"/>
      <c r="L186" s="13"/>
      <c r="M186" s="5" t="s">
        <v>1048</v>
      </c>
      <c r="N186" s="5" t="s">
        <v>1049</v>
      </c>
      <c r="O186" s="691"/>
      <c r="P186" s="92"/>
      <c r="Q186" s="92"/>
      <c r="Y186"/>
      <c r="Z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row>
    <row r="187" spans="6:97">
      <c r="F187" s="86"/>
      <c r="K187" s="13"/>
      <c r="L187" s="13"/>
      <c r="M187" s="5" t="s">
        <v>196</v>
      </c>
      <c r="N187" s="5" t="s">
        <v>1067</v>
      </c>
      <c r="O187" s="691"/>
      <c r="P187" s="92"/>
      <c r="Q187" s="92"/>
      <c r="Y187"/>
      <c r="Z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row>
    <row r="188" spans="6:97">
      <c r="F188" s="86"/>
      <c r="K188" s="13"/>
      <c r="L188" s="13"/>
      <c r="M188" s="13"/>
      <c r="N188" s="68" t="s">
        <v>1057</v>
      </c>
      <c r="O188" s="691"/>
      <c r="P188" s="92"/>
      <c r="Q188" s="92"/>
      <c r="Y188"/>
      <c r="Z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row>
    <row r="189" spans="6:97">
      <c r="F189" s="86"/>
      <c r="K189" s="13"/>
      <c r="L189" s="5" t="s">
        <v>1976</v>
      </c>
      <c r="M189" s="12"/>
      <c r="N189" s="12"/>
      <c r="O189" s="691"/>
      <c r="P189" s="92"/>
      <c r="Q189" s="92"/>
      <c r="Y189"/>
      <c r="Z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row>
    <row r="190" spans="6:97">
      <c r="F190" s="86"/>
      <c r="K190" s="13"/>
      <c r="L190" s="5" t="s">
        <v>374</v>
      </c>
      <c r="M190" s="5" t="s">
        <v>121</v>
      </c>
      <c r="N190" s="5" t="s">
        <v>1037</v>
      </c>
      <c r="O190" s="691"/>
      <c r="P190" s="92"/>
      <c r="Q190" s="92"/>
      <c r="Y190"/>
      <c r="Z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row>
    <row r="191" spans="6:97">
      <c r="F191" s="86"/>
      <c r="K191" s="13"/>
      <c r="L191" s="13"/>
      <c r="M191" s="5" t="s">
        <v>1565</v>
      </c>
      <c r="N191" s="5" t="s">
        <v>1042</v>
      </c>
      <c r="O191" s="691"/>
      <c r="P191" s="92"/>
      <c r="Q191" s="92"/>
      <c r="Y191"/>
      <c r="Z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row>
    <row r="192" spans="6:97">
      <c r="F192" s="86"/>
      <c r="K192" s="13"/>
      <c r="L192" s="13"/>
      <c r="M192" s="13"/>
      <c r="N192" s="68" t="s">
        <v>1057</v>
      </c>
      <c r="O192" s="691"/>
      <c r="P192" s="92"/>
      <c r="Q192" s="92"/>
      <c r="Y192"/>
      <c r="Z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row>
    <row r="193" spans="6:97">
      <c r="F193" s="86"/>
      <c r="K193" s="13"/>
      <c r="L193" s="13"/>
      <c r="M193" s="5" t="s">
        <v>1083</v>
      </c>
      <c r="N193" s="5" t="s">
        <v>711</v>
      </c>
      <c r="O193" s="691"/>
      <c r="P193" s="92"/>
      <c r="Q193" s="92"/>
      <c r="Y193"/>
      <c r="Z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row>
    <row r="194" spans="6:97">
      <c r="F194" s="86"/>
      <c r="K194" s="13"/>
      <c r="L194" s="13"/>
      <c r="M194" s="13"/>
      <c r="N194" s="68" t="s">
        <v>1058</v>
      </c>
      <c r="O194" s="691"/>
      <c r="P194" s="92"/>
      <c r="Q194" s="92"/>
      <c r="Y194"/>
      <c r="Z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row>
    <row r="195" spans="6:97">
      <c r="F195" s="86"/>
      <c r="K195" s="13"/>
      <c r="L195" s="13"/>
      <c r="M195" s="13"/>
      <c r="N195" s="68" t="s">
        <v>708</v>
      </c>
      <c r="O195" s="691"/>
      <c r="P195" s="92"/>
      <c r="Q195" s="92"/>
      <c r="Y195"/>
      <c r="Z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row>
    <row r="196" spans="6:97">
      <c r="F196" s="86"/>
      <c r="K196" s="13"/>
      <c r="L196" s="13"/>
      <c r="M196" s="5" t="s">
        <v>1051</v>
      </c>
      <c r="N196" s="5" t="s">
        <v>1419</v>
      </c>
      <c r="O196" s="691"/>
      <c r="P196" s="92"/>
      <c r="Q196" s="92"/>
      <c r="Y196"/>
      <c r="Z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row>
    <row r="197" spans="6:97">
      <c r="F197" s="86"/>
      <c r="K197" s="13"/>
      <c r="L197" s="13"/>
      <c r="M197" s="5" t="s">
        <v>1604</v>
      </c>
      <c r="N197" s="5" t="s">
        <v>1046</v>
      </c>
      <c r="O197" s="691"/>
      <c r="P197" s="92"/>
      <c r="Q197" s="92"/>
      <c r="Y197"/>
      <c r="Z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row>
    <row r="198" spans="6:97">
      <c r="F198" s="86"/>
      <c r="K198" s="13"/>
      <c r="L198" s="13"/>
      <c r="M198" s="5" t="s">
        <v>1052</v>
      </c>
      <c r="N198" s="5" t="s">
        <v>706</v>
      </c>
      <c r="O198" s="691"/>
      <c r="P198" s="118"/>
      <c r="Q198" s="118"/>
      <c r="Y198"/>
      <c r="Z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row>
    <row r="199" spans="6:97">
      <c r="F199" s="86"/>
      <c r="K199" s="13"/>
      <c r="L199" s="13"/>
      <c r="M199" s="13"/>
      <c r="N199" s="68" t="s">
        <v>1056</v>
      </c>
      <c r="O199" s="691"/>
      <c r="P199" s="118"/>
      <c r="Q199" s="118"/>
      <c r="Y199"/>
      <c r="Z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row>
    <row r="200" spans="6:97">
      <c r="F200" s="86"/>
      <c r="K200" s="13"/>
      <c r="L200" s="13"/>
      <c r="M200" s="5" t="s">
        <v>1672</v>
      </c>
      <c r="N200" s="5" t="s">
        <v>707</v>
      </c>
      <c r="O200" s="691"/>
      <c r="P200" s="118"/>
      <c r="Q200" s="118"/>
      <c r="Y200"/>
      <c r="Z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row>
    <row r="201" spans="6:97">
      <c r="F201" s="86"/>
      <c r="K201" s="13"/>
      <c r="L201" s="13"/>
      <c r="M201" s="13"/>
      <c r="N201" s="68" t="s">
        <v>1082</v>
      </c>
      <c r="O201" s="691"/>
      <c r="P201" s="118"/>
      <c r="Q201" s="118"/>
      <c r="Y201"/>
      <c r="Z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row>
    <row r="202" spans="6:97">
      <c r="F202" s="86"/>
      <c r="K202" s="13"/>
      <c r="L202" s="13"/>
      <c r="M202" s="13"/>
      <c r="N202" s="68" t="s">
        <v>1058</v>
      </c>
      <c r="O202" s="691"/>
      <c r="P202" s="118"/>
      <c r="Q202" s="118"/>
      <c r="Y202"/>
      <c r="Z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row>
    <row r="203" spans="6:97">
      <c r="F203" s="86"/>
      <c r="K203" s="13"/>
      <c r="L203" s="5" t="s">
        <v>1977</v>
      </c>
      <c r="M203" s="12"/>
      <c r="N203" s="12"/>
      <c r="O203" s="691"/>
      <c r="P203" s="118"/>
      <c r="Q203" s="118"/>
      <c r="Y203"/>
      <c r="Z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row>
    <row r="204" spans="6:97">
      <c r="F204" s="86"/>
      <c r="K204" s="5" t="s">
        <v>1974</v>
      </c>
      <c r="L204" s="12"/>
      <c r="M204" s="12"/>
      <c r="N204" s="12"/>
      <c r="O204" s="691"/>
      <c r="P204" s="118"/>
      <c r="Q204" s="118"/>
      <c r="Y204"/>
      <c r="Z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row>
    <row r="205" spans="6:97">
      <c r="F205" s="86"/>
      <c r="K205" s="5" t="s">
        <v>107</v>
      </c>
      <c r="L205" s="5" t="s">
        <v>1035</v>
      </c>
      <c r="M205" s="5" t="s">
        <v>1420</v>
      </c>
      <c r="N205" s="5" t="s">
        <v>1085</v>
      </c>
      <c r="O205" s="691"/>
      <c r="P205" s="118"/>
      <c r="Q205" s="118"/>
      <c r="Y205"/>
      <c r="Z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row>
    <row r="206" spans="6:97">
      <c r="F206" s="86"/>
      <c r="K206" s="13"/>
      <c r="L206" s="13"/>
      <c r="M206" s="5" t="s">
        <v>1400</v>
      </c>
      <c r="N206" s="5" t="s">
        <v>1093</v>
      </c>
      <c r="O206" s="691"/>
      <c r="P206" s="118"/>
      <c r="Q206" s="118"/>
      <c r="Y206"/>
      <c r="Z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row>
    <row r="207" spans="6:97">
      <c r="F207" s="86"/>
      <c r="K207" s="13"/>
      <c r="L207" s="13"/>
      <c r="M207" s="13"/>
      <c r="N207" s="68" t="s">
        <v>1094</v>
      </c>
      <c r="O207" s="691"/>
      <c r="P207" s="118"/>
      <c r="Q207" s="118"/>
      <c r="Y207"/>
      <c r="Z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row>
    <row r="208" spans="6:97">
      <c r="F208" s="86"/>
      <c r="K208" s="13"/>
      <c r="L208" s="13"/>
      <c r="M208" s="5" t="s">
        <v>682</v>
      </c>
      <c r="N208" s="5" t="s">
        <v>711</v>
      </c>
      <c r="O208" s="691"/>
      <c r="P208" s="118"/>
      <c r="Q208" s="118"/>
      <c r="Y208"/>
      <c r="Z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row>
    <row r="209" spans="6:97">
      <c r="F209" s="86"/>
      <c r="K209" s="13"/>
      <c r="L209" s="13"/>
      <c r="M209" s="13"/>
      <c r="N209" s="68" t="s">
        <v>180</v>
      </c>
      <c r="O209" s="691"/>
      <c r="P209" s="118"/>
      <c r="Q209" s="118"/>
      <c r="Y209"/>
      <c r="Z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row>
    <row r="210" spans="6:97">
      <c r="F210" s="86"/>
      <c r="K210" s="13"/>
      <c r="L210" s="13"/>
      <c r="M210" s="13"/>
      <c r="N210" s="68" t="s">
        <v>1572</v>
      </c>
      <c r="O210" s="691"/>
      <c r="P210" s="118"/>
      <c r="Q210" s="118"/>
      <c r="Y210"/>
      <c r="Z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row>
    <row r="211" spans="6:97">
      <c r="F211" s="86"/>
      <c r="K211" s="13"/>
      <c r="L211" s="13"/>
      <c r="M211" s="13"/>
      <c r="N211" s="68" t="s">
        <v>473</v>
      </c>
      <c r="O211" s="691"/>
      <c r="Y211"/>
      <c r="Z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row>
    <row r="212" spans="6:97">
      <c r="F212" s="86"/>
      <c r="K212" s="13"/>
      <c r="L212" s="13"/>
      <c r="M212" s="13"/>
      <c r="N212" s="68" t="s">
        <v>1369</v>
      </c>
      <c r="O212" s="691"/>
      <c r="P212" s="200"/>
      <c r="Q212" s="200"/>
      <c r="Y212"/>
      <c r="Z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row>
    <row r="213" spans="6:97">
      <c r="F213" s="86"/>
      <c r="K213" s="13"/>
      <c r="L213" s="13"/>
      <c r="M213" s="13"/>
      <c r="N213" s="68" t="s">
        <v>924</v>
      </c>
      <c r="O213" s="691"/>
      <c r="P213" s="118"/>
      <c r="Q213" s="118"/>
      <c r="Y213"/>
      <c r="Z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row>
    <row r="214" spans="6:97">
      <c r="F214" s="86"/>
      <c r="K214" s="13"/>
      <c r="L214" s="13"/>
      <c r="M214" s="13"/>
      <c r="N214" s="68" t="s">
        <v>1073</v>
      </c>
      <c r="O214" s="691"/>
      <c r="P214" s="118"/>
      <c r="Q214" s="118"/>
      <c r="Y214"/>
      <c r="Z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row>
    <row r="215" spans="6:97">
      <c r="F215" s="86"/>
      <c r="K215" s="13"/>
      <c r="L215" s="13"/>
      <c r="M215" s="13"/>
      <c r="N215" s="68" t="s">
        <v>472</v>
      </c>
      <c r="O215" s="691"/>
      <c r="P215" s="118"/>
      <c r="Q215" s="118"/>
      <c r="Y215"/>
      <c r="Z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row>
    <row r="216" spans="6:97">
      <c r="F216" s="86"/>
      <c r="K216" s="13"/>
      <c r="L216" s="13"/>
      <c r="M216" s="13"/>
      <c r="N216" s="68" t="s">
        <v>706</v>
      </c>
      <c r="O216" s="691"/>
      <c r="P216" s="118"/>
      <c r="Q216" s="118"/>
      <c r="Y216"/>
      <c r="Z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row>
    <row r="217" spans="6:97">
      <c r="F217" s="86"/>
      <c r="K217" s="13"/>
      <c r="L217" s="13"/>
      <c r="M217" s="13"/>
      <c r="N217" s="68" t="s">
        <v>1046</v>
      </c>
      <c r="O217" s="691"/>
      <c r="P217" s="118"/>
      <c r="Q217" s="118"/>
      <c r="Y217"/>
      <c r="Z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row>
    <row r="218" spans="6:97">
      <c r="F218" s="86"/>
      <c r="K218" s="13"/>
      <c r="L218" s="13"/>
      <c r="M218" s="13"/>
      <c r="N218" s="68" t="s">
        <v>909</v>
      </c>
      <c r="O218" s="691"/>
      <c r="P218" s="118"/>
      <c r="Q218" s="118"/>
      <c r="Y218"/>
      <c r="Z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row>
    <row r="219" spans="6:97">
      <c r="F219" s="86"/>
      <c r="K219" s="13"/>
      <c r="L219" s="13"/>
      <c r="M219" s="13"/>
      <c r="N219" s="68" t="s">
        <v>928</v>
      </c>
      <c r="O219" s="691"/>
      <c r="P219" s="118"/>
      <c r="Q219" s="118"/>
      <c r="Y219"/>
      <c r="Z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row>
    <row r="220" spans="6:97">
      <c r="F220" s="86"/>
      <c r="K220" s="13"/>
      <c r="L220" s="13"/>
      <c r="M220" s="13"/>
      <c r="N220" s="68" t="s">
        <v>1062</v>
      </c>
      <c r="O220" s="691"/>
      <c r="P220" s="118"/>
      <c r="Q220" s="118"/>
      <c r="Y220"/>
      <c r="Z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row>
    <row r="221" spans="6:97">
      <c r="F221" s="86"/>
      <c r="K221" s="13"/>
      <c r="L221" s="13"/>
      <c r="M221" s="13"/>
      <c r="N221" s="68" t="s">
        <v>707</v>
      </c>
      <c r="O221" s="691"/>
      <c r="P221" s="118"/>
      <c r="Q221" s="118"/>
    </row>
    <row r="222" spans="6:97">
      <c r="F222" s="86"/>
      <c r="K222" s="13"/>
      <c r="L222" s="13"/>
      <c r="M222" s="13"/>
      <c r="N222" s="68" t="s">
        <v>1082</v>
      </c>
      <c r="O222" s="691"/>
      <c r="P222" s="118"/>
      <c r="Q222" s="118"/>
    </row>
    <row r="223" spans="6:97">
      <c r="F223" s="86"/>
      <c r="K223" s="13"/>
      <c r="L223" s="13"/>
      <c r="M223" s="13"/>
      <c r="N223" s="68" t="s">
        <v>941</v>
      </c>
      <c r="O223" s="691"/>
      <c r="P223" s="118"/>
      <c r="Q223" s="118"/>
    </row>
    <row r="224" spans="6:97">
      <c r="F224" s="86"/>
      <c r="K224" s="13"/>
      <c r="L224" s="13"/>
      <c r="M224" s="13"/>
      <c r="N224" s="68" t="s">
        <v>1820</v>
      </c>
      <c r="O224" s="691"/>
      <c r="P224" s="118"/>
      <c r="Q224" s="118"/>
    </row>
    <row r="225" spans="6:17">
      <c r="F225" s="86"/>
      <c r="K225" s="13"/>
      <c r="L225" s="13"/>
      <c r="M225" s="13"/>
      <c r="N225" s="68" t="s">
        <v>1761</v>
      </c>
      <c r="O225" s="691"/>
      <c r="P225" s="118"/>
      <c r="Q225" s="118"/>
    </row>
    <row r="226" spans="6:17">
      <c r="F226" s="86"/>
      <c r="K226" s="13"/>
      <c r="L226" s="13"/>
      <c r="M226" s="13"/>
      <c r="N226" s="68" t="s">
        <v>907</v>
      </c>
      <c r="O226" s="691"/>
      <c r="P226" s="118"/>
      <c r="Q226" s="118"/>
    </row>
    <row r="227" spans="6:17">
      <c r="F227" s="86"/>
      <c r="K227" s="13"/>
      <c r="L227" s="13"/>
      <c r="M227" s="13"/>
      <c r="N227" s="68" t="s">
        <v>908</v>
      </c>
      <c r="O227" s="691"/>
      <c r="P227" s="118"/>
      <c r="Q227" s="118"/>
    </row>
    <row r="228" spans="6:17">
      <c r="F228" s="86"/>
      <c r="K228" s="13"/>
      <c r="L228" s="13"/>
      <c r="M228" s="13"/>
      <c r="N228" s="68" t="s">
        <v>183</v>
      </c>
      <c r="O228" s="691"/>
      <c r="P228" s="118"/>
      <c r="Q228" s="118"/>
    </row>
    <row r="229" spans="6:17">
      <c r="F229" s="86"/>
      <c r="K229" s="13"/>
      <c r="L229" s="13"/>
      <c r="M229" s="13"/>
      <c r="N229" s="68" t="s">
        <v>1049</v>
      </c>
      <c r="O229" s="691"/>
      <c r="P229" s="118"/>
      <c r="Q229" s="118"/>
    </row>
    <row r="230" spans="6:17">
      <c r="F230" s="86"/>
      <c r="K230" s="13"/>
      <c r="L230" s="13"/>
      <c r="M230" s="13"/>
      <c r="N230" s="68" t="s">
        <v>1042</v>
      </c>
      <c r="O230" s="691"/>
      <c r="P230" s="118"/>
      <c r="Q230" s="118"/>
    </row>
    <row r="231" spans="6:17">
      <c r="F231" s="86"/>
      <c r="K231" s="13"/>
      <c r="L231" s="13"/>
      <c r="M231" s="13"/>
      <c r="N231" s="68" t="s">
        <v>1086</v>
      </c>
      <c r="O231" s="691"/>
      <c r="P231" s="118"/>
      <c r="Q231" s="118"/>
    </row>
    <row r="232" spans="6:17">
      <c r="F232" s="86"/>
      <c r="K232" s="13"/>
      <c r="L232" s="13"/>
      <c r="M232" s="13"/>
      <c r="N232" s="68" t="s">
        <v>930</v>
      </c>
      <c r="O232" s="691"/>
      <c r="P232" s="118"/>
      <c r="Q232" s="118"/>
    </row>
    <row r="233" spans="6:17">
      <c r="F233" s="86"/>
      <c r="K233" s="13"/>
      <c r="L233" s="13"/>
      <c r="M233" s="13"/>
      <c r="N233" s="68" t="s">
        <v>913</v>
      </c>
      <c r="O233" s="691"/>
      <c r="P233" s="118"/>
      <c r="Q233" s="118"/>
    </row>
    <row r="234" spans="6:17">
      <c r="F234" s="86"/>
      <c r="K234" s="13"/>
      <c r="L234" s="13"/>
      <c r="M234" s="13"/>
      <c r="N234" s="68" t="s">
        <v>925</v>
      </c>
      <c r="O234" s="691"/>
      <c r="P234" s="118"/>
      <c r="Q234" s="118"/>
    </row>
    <row r="235" spans="6:17">
      <c r="F235" s="86"/>
      <c r="K235" s="13"/>
      <c r="L235" s="13"/>
      <c r="M235" s="13"/>
      <c r="N235" s="68" t="s">
        <v>1366</v>
      </c>
      <c r="O235" s="691"/>
      <c r="P235" s="118"/>
      <c r="Q235" s="118"/>
    </row>
    <row r="236" spans="6:17">
      <c r="F236" s="86"/>
      <c r="K236" s="13"/>
      <c r="L236" s="13"/>
      <c r="M236" s="13"/>
      <c r="N236" s="68" t="s">
        <v>1370</v>
      </c>
      <c r="O236" s="691"/>
      <c r="P236" s="118"/>
      <c r="Q236" s="118"/>
    </row>
    <row r="237" spans="6:17">
      <c r="F237" s="86"/>
      <c r="K237" s="13"/>
      <c r="L237" s="13"/>
      <c r="M237" s="13"/>
      <c r="N237" s="68" t="s">
        <v>916</v>
      </c>
      <c r="O237" s="691"/>
      <c r="P237" s="118"/>
      <c r="Q237" s="118"/>
    </row>
    <row r="238" spans="6:17">
      <c r="F238" s="86"/>
      <c r="K238" s="13"/>
      <c r="L238" s="13"/>
      <c r="M238" s="13"/>
      <c r="N238" s="68" t="s">
        <v>1085</v>
      </c>
      <c r="O238" s="691"/>
      <c r="P238" s="118"/>
      <c r="Q238" s="118"/>
    </row>
    <row r="239" spans="6:17">
      <c r="F239" s="86"/>
      <c r="K239" s="13"/>
      <c r="L239" s="13"/>
      <c r="M239" s="13"/>
      <c r="N239" s="68" t="s">
        <v>939</v>
      </c>
      <c r="O239" s="691"/>
      <c r="P239" s="118"/>
      <c r="Q239" s="118"/>
    </row>
    <row r="240" spans="6:17">
      <c r="F240" s="86"/>
      <c r="K240" s="13"/>
      <c r="L240" s="13"/>
      <c r="M240" s="13"/>
      <c r="N240" s="68" t="s">
        <v>926</v>
      </c>
      <c r="O240" s="691"/>
      <c r="P240" s="118"/>
      <c r="Q240" s="118"/>
    </row>
    <row r="241" spans="6:17">
      <c r="F241" s="86"/>
      <c r="K241" s="13"/>
      <c r="L241" s="13"/>
      <c r="M241" s="13"/>
      <c r="N241" s="68" t="s">
        <v>940</v>
      </c>
      <c r="O241" s="691"/>
      <c r="P241" s="143"/>
      <c r="Q241" s="143"/>
    </row>
    <row r="242" spans="6:17">
      <c r="F242" s="86"/>
      <c r="K242" s="13"/>
      <c r="L242" s="13"/>
      <c r="M242" s="13"/>
      <c r="N242" s="68" t="s">
        <v>1365</v>
      </c>
      <c r="O242" s="691"/>
      <c r="P242" s="143"/>
      <c r="Q242" s="143"/>
    </row>
    <row r="243" spans="6:17">
      <c r="F243" s="86"/>
      <c r="K243" s="13"/>
      <c r="L243" s="13"/>
      <c r="M243" s="13"/>
      <c r="N243" s="68" t="s">
        <v>910</v>
      </c>
      <c r="O243" s="691"/>
      <c r="P243" s="143"/>
      <c r="Q243" s="143"/>
    </row>
    <row r="244" spans="6:17">
      <c r="F244" s="86"/>
      <c r="K244" s="13"/>
      <c r="L244" s="13"/>
      <c r="M244" s="13"/>
      <c r="N244" s="68" t="s">
        <v>937</v>
      </c>
      <c r="O244" s="691"/>
      <c r="P244" s="143"/>
      <c r="Q244" s="143"/>
    </row>
    <row r="245" spans="6:17">
      <c r="F245" s="86"/>
      <c r="K245" s="13"/>
      <c r="L245" s="13"/>
      <c r="M245" s="13"/>
      <c r="N245" s="68" t="s">
        <v>603</v>
      </c>
      <c r="O245" s="691"/>
      <c r="P245" s="143"/>
      <c r="Q245" s="143"/>
    </row>
    <row r="246" spans="6:17">
      <c r="F246" s="86"/>
      <c r="K246" s="13"/>
      <c r="L246" s="13"/>
      <c r="M246" s="13"/>
      <c r="N246" s="68" t="s">
        <v>181</v>
      </c>
      <c r="O246" s="691"/>
      <c r="P246" s="143"/>
      <c r="Q246" s="143"/>
    </row>
    <row r="247" spans="6:17">
      <c r="F247" s="86"/>
      <c r="K247" s="13"/>
      <c r="L247" s="13"/>
      <c r="M247" s="13"/>
      <c r="N247" s="68" t="s">
        <v>942</v>
      </c>
      <c r="O247" s="691"/>
      <c r="P247" s="143"/>
      <c r="Q247" s="143"/>
    </row>
    <row r="248" spans="6:17">
      <c r="F248" s="86"/>
      <c r="K248" s="13"/>
      <c r="L248" s="13"/>
      <c r="M248" s="13"/>
      <c r="N248" s="68" t="s">
        <v>919</v>
      </c>
      <c r="O248" s="691"/>
      <c r="P248" s="143"/>
      <c r="Q248" s="143"/>
    </row>
    <row r="249" spans="6:17">
      <c r="F249" s="86"/>
      <c r="K249" s="13"/>
      <c r="L249" s="13"/>
      <c r="M249" s="13"/>
      <c r="N249" s="68" t="s">
        <v>921</v>
      </c>
      <c r="O249" s="691"/>
      <c r="P249" s="143"/>
      <c r="Q249" s="143"/>
    </row>
    <row r="250" spans="6:17">
      <c r="F250" s="86"/>
      <c r="K250" s="13"/>
      <c r="L250" s="13"/>
      <c r="M250" s="13"/>
      <c r="N250" s="68" t="s">
        <v>625</v>
      </c>
      <c r="O250" s="691"/>
      <c r="P250" s="143"/>
      <c r="Q250" s="143"/>
    </row>
    <row r="251" spans="6:17">
      <c r="F251" s="86"/>
      <c r="K251" s="13"/>
      <c r="L251" s="13"/>
      <c r="M251" s="13"/>
      <c r="N251" s="68" t="s">
        <v>171</v>
      </c>
      <c r="O251" s="691"/>
      <c r="P251" s="143"/>
      <c r="Q251" s="143"/>
    </row>
    <row r="252" spans="6:17">
      <c r="F252" s="86"/>
      <c r="K252" s="13"/>
      <c r="L252" s="13"/>
      <c r="M252" s="13"/>
      <c r="N252" s="68" t="s">
        <v>166</v>
      </c>
      <c r="O252" s="691"/>
      <c r="P252" s="143"/>
      <c r="Q252" s="143"/>
    </row>
    <row r="253" spans="6:17">
      <c r="F253" s="86"/>
      <c r="K253" s="13"/>
      <c r="L253" s="13"/>
      <c r="M253" s="13"/>
      <c r="N253" s="68" t="s">
        <v>1067</v>
      </c>
      <c r="O253" s="691"/>
      <c r="P253" s="143"/>
      <c r="Q253" s="143"/>
    </row>
    <row r="254" spans="6:17">
      <c r="F254" s="86"/>
      <c r="K254" s="13"/>
      <c r="L254" s="13"/>
      <c r="M254" s="13"/>
      <c r="N254" s="68" t="s">
        <v>917</v>
      </c>
      <c r="O254" s="691"/>
      <c r="P254" s="143"/>
      <c r="Q254" s="143"/>
    </row>
    <row r="255" spans="6:17">
      <c r="F255" s="86"/>
      <c r="K255" s="13"/>
      <c r="L255" s="13"/>
      <c r="M255" s="13"/>
      <c r="N255" s="68" t="s">
        <v>575</v>
      </c>
      <c r="O255" s="691"/>
      <c r="P255" s="143"/>
      <c r="Q255" s="143"/>
    </row>
    <row r="256" spans="6:17">
      <c r="F256" s="86"/>
      <c r="K256" s="13"/>
      <c r="L256" s="13"/>
      <c r="M256" s="13"/>
      <c r="N256" s="68" t="s">
        <v>938</v>
      </c>
      <c r="O256" s="691"/>
      <c r="P256" s="143"/>
      <c r="Q256" s="143"/>
    </row>
    <row r="257" spans="6:17">
      <c r="F257" s="86"/>
      <c r="K257" s="13"/>
      <c r="L257" s="13"/>
      <c r="M257" s="13"/>
      <c r="N257" s="68" t="s">
        <v>163</v>
      </c>
      <c r="O257" s="691"/>
      <c r="P257" s="143"/>
      <c r="Q257" s="143"/>
    </row>
    <row r="258" spans="6:17">
      <c r="F258" s="86"/>
      <c r="K258" s="13"/>
      <c r="L258" s="13"/>
      <c r="M258" s="13"/>
      <c r="N258" s="68" t="s">
        <v>1838</v>
      </c>
      <c r="O258" s="691"/>
      <c r="P258" s="143"/>
      <c r="Q258" s="143"/>
    </row>
    <row r="259" spans="6:17">
      <c r="F259" s="86"/>
      <c r="K259" s="13"/>
      <c r="L259" s="13"/>
      <c r="M259" s="13"/>
      <c r="N259" s="68" t="s">
        <v>922</v>
      </c>
      <c r="O259" s="691"/>
      <c r="P259" s="143"/>
      <c r="Q259" s="143"/>
    </row>
    <row r="260" spans="6:17">
      <c r="F260" s="86"/>
      <c r="K260" s="13"/>
      <c r="L260" s="13"/>
      <c r="M260" s="13"/>
      <c r="N260" s="68" t="s">
        <v>918</v>
      </c>
      <c r="O260" s="691"/>
      <c r="P260" s="143"/>
      <c r="Q260" s="143"/>
    </row>
    <row r="261" spans="6:17">
      <c r="F261" s="86"/>
      <c r="K261" s="13"/>
      <c r="L261" s="13"/>
      <c r="M261" s="13"/>
      <c r="N261" s="68" t="s">
        <v>1332</v>
      </c>
      <c r="O261" s="691"/>
      <c r="P261" s="143"/>
      <c r="Q261" s="143"/>
    </row>
    <row r="262" spans="6:17">
      <c r="F262" s="86"/>
      <c r="K262" s="13"/>
      <c r="L262" s="13"/>
      <c r="M262" s="13"/>
      <c r="N262" s="68" t="s">
        <v>911</v>
      </c>
      <c r="O262" s="691"/>
      <c r="P262" s="143"/>
      <c r="Q262" s="143"/>
    </row>
    <row r="263" spans="6:17">
      <c r="F263" s="86"/>
      <c r="K263" s="13"/>
      <c r="L263" s="13"/>
      <c r="M263" s="13"/>
      <c r="N263" s="68" t="s">
        <v>929</v>
      </c>
      <c r="O263" s="691"/>
      <c r="P263" s="143"/>
      <c r="Q263" s="143"/>
    </row>
    <row r="264" spans="6:17">
      <c r="F264" s="86"/>
      <c r="K264" s="13"/>
      <c r="L264" s="13"/>
      <c r="M264" s="13"/>
      <c r="N264" s="68" t="s">
        <v>164</v>
      </c>
      <c r="O264" s="691"/>
      <c r="P264" s="143"/>
      <c r="Q264" s="143"/>
    </row>
    <row r="265" spans="6:17">
      <c r="F265" s="86"/>
      <c r="K265" s="13"/>
      <c r="L265" s="13"/>
      <c r="M265" s="13"/>
      <c r="N265" s="68" t="s">
        <v>920</v>
      </c>
      <c r="O265" s="691"/>
      <c r="P265" s="143"/>
      <c r="Q265" s="143"/>
    </row>
    <row r="266" spans="6:17">
      <c r="F266" s="86"/>
      <c r="K266" s="13"/>
      <c r="L266" s="13"/>
      <c r="M266" s="13"/>
      <c r="N266" s="68" t="s">
        <v>927</v>
      </c>
      <c r="O266" s="691"/>
      <c r="P266" s="143"/>
      <c r="Q266" s="143"/>
    </row>
    <row r="267" spans="6:17">
      <c r="F267" s="86"/>
      <c r="K267" s="13"/>
      <c r="L267" s="13"/>
      <c r="M267" s="13"/>
      <c r="N267" s="68" t="s">
        <v>936</v>
      </c>
      <c r="O267" s="691"/>
      <c r="P267" s="143"/>
      <c r="Q267" s="143"/>
    </row>
    <row r="268" spans="6:17">
      <c r="F268" s="86"/>
      <c r="K268" s="13"/>
      <c r="L268" s="13"/>
      <c r="M268" s="13"/>
      <c r="N268" s="68" t="s">
        <v>914</v>
      </c>
      <c r="O268" s="691"/>
      <c r="P268" s="143"/>
      <c r="Q268" s="143"/>
    </row>
    <row r="269" spans="6:17">
      <c r="F269" s="86"/>
      <c r="K269" s="13"/>
      <c r="L269" s="13"/>
      <c r="M269" s="13"/>
      <c r="N269" s="68" t="s">
        <v>1057</v>
      </c>
      <c r="O269" s="691"/>
      <c r="P269" s="143"/>
      <c r="Q269" s="143"/>
    </row>
    <row r="270" spans="6:17">
      <c r="F270" s="86"/>
      <c r="K270" s="13"/>
      <c r="L270" s="13"/>
      <c r="M270" s="13"/>
      <c r="N270" s="68" t="s">
        <v>935</v>
      </c>
      <c r="O270" s="691"/>
      <c r="P270" s="143"/>
      <c r="Q270" s="143"/>
    </row>
    <row r="271" spans="6:17">
      <c r="F271" s="86"/>
      <c r="K271" s="13"/>
      <c r="L271" s="13"/>
      <c r="M271" s="13"/>
      <c r="N271" s="68" t="s">
        <v>915</v>
      </c>
      <c r="O271" s="691"/>
      <c r="P271" s="143"/>
      <c r="Q271" s="143"/>
    </row>
    <row r="272" spans="6:17">
      <c r="F272" s="86"/>
      <c r="K272" s="13"/>
      <c r="L272" s="13"/>
      <c r="M272" s="13"/>
      <c r="N272" s="68" t="s">
        <v>1043</v>
      </c>
      <c r="O272" s="691"/>
      <c r="P272" s="143"/>
      <c r="Q272" s="143"/>
    </row>
    <row r="273" spans="6:52">
      <c r="F273" s="86"/>
      <c r="K273" s="13"/>
      <c r="L273" s="13"/>
      <c r="M273" s="13"/>
      <c r="N273" s="68" t="s">
        <v>912</v>
      </c>
      <c r="O273" s="691"/>
      <c r="P273" s="143"/>
      <c r="Q273" s="143"/>
    </row>
    <row r="274" spans="6:52">
      <c r="F274" s="86"/>
      <c r="K274" s="13"/>
      <c r="L274" s="13"/>
      <c r="M274" s="13"/>
      <c r="N274" s="68" t="s">
        <v>574</v>
      </c>
      <c r="O274" s="691"/>
      <c r="P274" s="143"/>
      <c r="Q274" s="143"/>
    </row>
    <row r="275" spans="6:52">
      <c r="F275" s="86"/>
      <c r="K275" s="13"/>
      <c r="L275" s="13"/>
      <c r="M275" s="13"/>
      <c r="N275" s="68" t="s">
        <v>932</v>
      </c>
      <c r="O275" s="691"/>
      <c r="P275" s="143"/>
      <c r="Q275" s="143"/>
    </row>
    <row r="276" spans="6:52">
      <c r="F276" s="86"/>
      <c r="K276" s="13"/>
      <c r="L276" s="13"/>
      <c r="M276" s="13"/>
      <c r="N276" s="68" t="s">
        <v>708</v>
      </c>
      <c r="O276" s="691"/>
      <c r="P276" s="143"/>
      <c r="Q276" s="143"/>
    </row>
    <row r="277" spans="6:52">
      <c r="F277" s="86"/>
      <c r="K277" s="13"/>
      <c r="L277" s="13"/>
      <c r="M277" s="13"/>
      <c r="N277" s="68" t="s">
        <v>1905</v>
      </c>
      <c r="O277" s="691"/>
      <c r="P277" s="143"/>
      <c r="Q277" s="143"/>
    </row>
    <row r="278" spans="6:52">
      <c r="F278" s="86"/>
      <c r="K278" s="13"/>
      <c r="L278" s="13"/>
      <c r="M278" s="13"/>
      <c r="N278" s="68" t="s">
        <v>933</v>
      </c>
      <c r="O278" s="691"/>
      <c r="P278" s="143"/>
      <c r="Q278" s="143"/>
    </row>
    <row r="279" spans="6:52">
      <c r="F279" s="86"/>
      <c r="K279" s="13"/>
      <c r="L279" s="13"/>
      <c r="M279" s="13"/>
      <c r="N279" s="68" t="s">
        <v>169</v>
      </c>
      <c r="O279" s="691"/>
      <c r="P279" s="143"/>
      <c r="Q279" s="143"/>
    </row>
    <row r="280" spans="6:52">
      <c r="F280" s="86"/>
      <c r="K280" s="13"/>
      <c r="L280" s="13"/>
      <c r="M280" s="13"/>
      <c r="N280" s="68" t="s">
        <v>165</v>
      </c>
      <c r="O280" s="691"/>
      <c r="P280" s="143"/>
      <c r="Q280" s="143"/>
      <c r="AZ280" s="144">
        <f>583000000-AZ279-AZ281</f>
        <v>583000000</v>
      </c>
    </row>
    <row r="281" spans="6:52">
      <c r="F281" s="86"/>
      <c r="K281" s="13"/>
      <c r="L281" s="13"/>
      <c r="M281" s="13"/>
      <c r="N281" s="68" t="s">
        <v>934</v>
      </c>
      <c r="O281" s="691"/>
      <c r="P281" s="143"/>
      <c r="Q281" s="143"/>
    </row>
    <row r="282" spans="6:52">
      <c r="F282" s="86"/>
      <c r="K282" s="13"/>
      <c r="L282" s="13"/>
      <c r="M282" s="13"/>
      <c r="N282" s="68" t="s">
        <v>709</v>
      </c>
      <c r="O282" s="691"/>
      <c r="P282" s="143"/>
      <c r="Q282" s="143"/>
    </row>
    <row r="283" spans="6:52">
      <c r="F283" s="86"/>
      <c r="K283" s="13"/>
      <c r="L283" s="13"/>
      <c r="M283" s="13"/>
      <c r="N283" s="68" t="s">
        <v>182</v>
      </c>
      <c r="O283" s="691"/>
      <c r="P283" s="143"/>
      <c r="Q283" s="143"/>
    </row>
    <row r="284" spans="6:52">
      <c r="F284" s="86"/>
      <c r="K284" s="13"/>
      <c r="L284" s="13"/>
      <c r="M284" s="13"/>
      <c r="N284" s="68" t="s">
        <v>923</v>
      </c>
      <c r="O284" s="691"/>
      <c r="P284" s="143"/>
      <c r="Q284" s="143"/>
    </row>
    <row r="285" spans="6:52">
      <c r="F285" s="86"/>
      <c r="K285" s="13"/>
      <c r="L285" s="13"/>
      <c r="M285" s="5" t="s">
        <v>1565</v>
      </c>
      <c r="N285" s="5" t="s">
        <v>711</v>
      </c>
      <c r="O285" s="691"/>
      <c r="P285" s="143"/>
      <c r="Q285" s="143"/>
    </row>
    <row r="286" spans="6:52">
      <c r="F286" s="86"/>
      <c r="K286" s="13"/>
      <c r="L286" s="13"/>
      <c r="M286" s="13"/>
      <c r="N286" s="68" t="s">
        <v>707</v>
      </c>
      <c r="O286" s="691"/>
      <c r="P286" s="143"/>
      <c r="Q286" s="143"/>
    </row>
    <row r="287" spans="6:52">
      <c r="F287" s="86"/>
      <c r="K287" s="13"/>
      <c r="L287" s="13"/>
      <c r="M287" s="5" t="s">
        <v>1876</v>
      </c>
      <c r="N287" s="5" t="s">
        <v>1089</v>
      </c>
      <c r="O287" s="691"/>
      <c r="P287" s="143"/>
      <c r="Q287" s="143"/>
      <c r="AZ287" s="144">
        <v>24500000</v>
      </c>
    </row>
    <row r="288" spans="6:52">
      <c r="F288" s="86"/>
      <c r="K288" s="13"/>
      <c r="L288" s="13"/>
      <c r="M288" s="5" t="s">
        <v>1668</v>
      </c>
      <c r="N288" s="5" t="s">
        <v>164</v>
      </c>
      <c r="O288" s="691"/>
      <c r="P288" s="143"/>
      <c r="Q288" s="143"/>
    </row>
    <row r="289" spans="6:17">
      <c r="F289" s="86"/>
      <c r="K289" s="13"/>
      <c r="L289" s="13"/>
      <c r="M289" s="5" t="s">
        <v>2026</v>
      </c>
      <c r="N289" s="5" t="s">
        <v>707</v>
      </c>
      <c r="O289" s="691"/>
      <c r="P289" s="143"/>
      <c r="Q289" s="143"/>
    </row>
    <row r="290" spans="6:17">
      <c r="F290" s="86"/>
      <c r="K290" s="13"/>
      <c r="L290" s="13"/>
      <c r="M290" s="13"/>
      <c r="N290" s="68" t="s">
        <v>1836</v>
      </c>
      <c r="O290" s="691"/>
      <c r="P290" s="143"/>
      <c r="Q290" s="143"/>
    </row>
    <row r="291" spans="6:17">
      <c r="F291" s="86"/>
      <c r="K291" s="13"/>
      <c r="L291" s="13"/>
      <c r="M291" s="5" t="s">
        <v>1902</v>
      </c>
      <c r="N291" s="5" t="s">
        <v>625</v>
      </c>
      <c r="O291" s="691"/>
      <c r="P291" s="143"/>
      <c r="Q291" s="143"/>
    </row>
    <row r="292" spans="6:17">
      <c r="F292" s="86"/>
      <c r="K292" s="13"/>
      <c r="L292" s="13"/>
      <c r="M292" s="13"/>
      <c r="N292" s="68" t="s">
        <v>1906</v>
      </c>
      <c r="O292" s="691"/>
      <c r="P292" s="143"/>
      <c r="Q292" s="143"/>
    </row>
    <row r="293" spans="6:17">
      <c r="F293" s="86"/>
      <c r="K293" s="13"/>
      <c r="L293" s="13"/>
      <c r="M293" s="13"/>
      <c r="N293" s="68" t="s">
        <v>1905</v>
      </c>
      <c r="O293" s="691"/>
      <c r="P293" s="143"/>
      <c r="Q293" s="143"/>
    </row>
    <row r="294" spans="6:17">
      <c r="F294" s="86"/>
      <c r="K294" s="13"/>
      <c r="L294" s="13"/>
      <c r="M294" s="5" t="s">
        <v>1947</v>
      </c>
      <c r="N294" s="5" t="s">
        <v>1838</v>
      </c>
      <c r="O294" s="691"/>
      <c r="P294" s="143"/>
      <c r="Q294" s="143"/>
    </row>
    <row r="295" spans="6:17">
      <c r="F295" s="86"/>
      <c r="K295" s="13"/>
      <c r="L295" s="5" t="s">
        <v>1976</v>
      </c>
      <c r="M295" s="12"/>
      <c r="N295" s="12"/>
      <c r="O295" s="691"/>
      <c r="P295" s="143"/>
      <c r="Q295" s="143"/>
    </row>
    <row r="296" spans="6:17">
      <c r="F296" s="86"/>
      <c r="K296" s="13"/>
      <c r="L296" s="5" t="s">
        <v>374</v>
      </c>
      <c r="M296" s="5" t="s">
        <v>1879</v>
      </c>
      <c r="N296" s="5" t="s">
        <v>1572</v>
      </c>
      <c r="O296" s="691"/>
      <c r="P296" s="143"/>
      <c r="Q296" s="143"/>
    </row>
    <row r="297" spans="6:17">
      <c r="F297" s="86"/>
      <c r="K297" s="13"/>
      <c r="L297" s="13"/>
      <c r="M297" s="5" t="s">
        <v>35</v>
      </c>
      <c r="N297" s="5" t="s">
        <v>709</v>
      </c>
      <c r="O297" s="691"/>
      <c r="P297" s="143"/>
      <c r="Q297" s="143"/>
    </row>
    <row r="298" spans="6:17">
      <c r="F298" s="86"/>
      <c r="K298" s="13"/>
      <c r="L298" s="5" t="s">
        <v>1977</v>
      </c>
      <c r="M298" s="12"/>
      <c r="N298" s="12"/>
      <c r="O298" s="691"/>
      <c r="P298" s="143"/>
      <c r="Q298" s="143"/>
    </row>
    <row r="299" spans="6:17">
      <c r="F299" s="86"/>
      <c r="K299" s="5" t="s">
        <v>1975</v>
      </c>
      <c r="L299" s="12"/>
      <c r="M299" s="12"/>
      <c r="N299" s="12"/>
      <c r="O299" s="691"/>
      <c r="P299" s="143"/>
      <c r="Q299" s="143"/>
    </row>
    <row r="300" spans="6:17">
      <c r="F300" s="86"/>
      <c r="K300" s="5" t="s">
        <v>184</v>
      </c>
      <c r="L300" s="5" t="s">
        <v>1035</v>
      </c>
      <c r="M300" s="5" t="s">
        <v>121</v>
      </c>
      <c r="N300" s="5" t="s">
        <v>1333</v>
      </c>
      <c r="O300" s="691"/>
      <c r="P300" s="143"/>
      <c r="Q300" s="143"/>
    </row>
    <row r="301" spans="6:17">
      <c r="F301" s="86"/>
      <c r="K301" s="13"/>
      <c r="L301" s="13"/>
      <c r="M301" s="5" t="s">
        <v>682</v>
      </c>
      <c r="N301" s="5" t="s">
        <v>1287</v>
      </c>
      <c r="O301" s="691"/>
      <c r="P301" s="143"/>
      <c r="Q301" s="143"/>
    </row>
    <row r="302" spans="6:17">
      <c r="F302" s="86"/>
      <c r="K302" s="13"/>
      <c r="L302" s="13"/>
      <c r="M302" s="13"/>
      <c r="N302" s="68" t="s">
        <v>1291</v>
      </c>
      <c r="O302" s="691"/>
      <c r="P302" s="143"/>
      <c r="Q302" s="143"/>
    </row>
    <row r="303" spans="6:17">
      <c r="F303" s="86"/>
      <c r="K303" s="13"/>
      <c r="L303" s="13"/>
      <c r="M303" s="13"/>
      <c r="N303" s="68" t="s">
        <v>1914</v>
      </c>
      <c r="O303" s="691"/>
      <c r="P303" s="143"/>
      <c r="Q303" s="143"/>
    </row>
    <row r="304" spans="6:17">
      <c r="F304" s="86"/>
      <c r="K304" s="13"/>
      <c r="L304" s="13"/>
      <c r="M304" s="13"/>
      <c r="N304" s="68" t="s">
        <v>183</v>
      </c>
      <c r="O304" s="691"/>
      <c r="P304" s="143"/>
      <c r="Q304" s="143"/>
    </row>
    <row r="305" spans="2:17">
      <c r="F305" s="86"/>
      <c r="K305" s="13"/>
      <c r="L305" s="13"/>
      <c r="M305" s="13"/>
      <c r="N305" s="68" t="s">
        <v>1912</v>
      </c>
      <c r="O305" s="691"/>
      <c r="P305" s="143"/>
      <c r="Q305" s="143"/>
    </row>
    <row r="306" spans="2:17">
      <c r="F306" s="86"/>
      <c r="K306" s="13"/>
      <c r="L306" s="13"/>
      <c r="M306" s="13"/>
      <c r="N306" s="68" t="s">
        <v>1916</v>
      </c>
      <c r="O306" s="691"/>
      <c r="P306" s="102"/>
      <c r="Q306" s="102"/>
    </row>
    <row r="307" spans="2:17">
      <c r="F307" s="86"/>
      <c r="K307" s="13"/>
      <c r="L307" s="13"/>
      <c r="M307" s="5" t="s">
        <v>1668</v>
      </c>
      <c r="N307" s="5" t="s">
        <v>928</v>
      </c>
      <c r="O307" s="691"/>
      <c r="P307" s="102"/>
      <c r="Q307" s="102"/>
    </row>
    <row r="308" spans="2:17">
      <c r="F308" s="86"/>
      <c r="K308" s="13"/>
      <c r="L308" s="13"/>
      <c r="M308" s="13"/>
      <c r="N308" s="68" t="s">
        <v>927</v>
      </c>
      <c r="O308" s="691"/>
      <c r="P308" s="102"/>
      <c r="Q308" s="102"/>
    </row>
    <row r="309" spans="2:17">
      <c r="F309" s="86"/>
      <c r="K309" s="13"/>
      <c r="L309" s="5" t="s">
        <v>1976</v>
      </c>
      <c r="M309" s="12"/>
      <c r="N309" s="12"/>
      <c r="O309" s="691"/>
      <c r="P309" s="93"/>
      <c r="Q309" s="93"/>
    </row>
    <row r="310" spans="2:17">
      <c r="F310" s="86"/>
      <c r="K310" s="13"/>
      <c r="L310" s="5" t="s">
        <v>374</v>
      </c>
      <c r="M310" s="5" t="s">
        <v>1943</v>
      </c>
      <c r="N310" s="5" t="s">
        <v>1057</v>
      </c>
      <c r="O310" s="691"/>
      <c r="P310" s="102"/>
      <c r="Q310" s="102"/>
    </row>
    <row r="311" spans="2:17">
      <c r="F311" s="86"/>
      <c r="K311" s="13"/>
      <c r="L311" s="5" t="s">
        <v>1977</v>
      </c>
      <c r="M311" s="12"/>
      <c r="N311" s="12"/>
      <c r="O311" s="691"/>
      <c r="P311" s="102"/>
      <c r="Q311" s="102"/>
    </row>
    <row r="312" spans="2:17">
      <c r="F312" s="86"/>
      <c r="K312" s="5" t="s">
        <v>1978</v>
      </c>
      <c r="L312" s="12"/>
      <c r="M312" s="12"/>
      <c r="N312" s="12"/>
      <c r="O312" s="691"/>
      <c r="P312" s="102"/>
      <c r="Q312" s="102"/>
    </row>
    <row r="313" spans="2:17">
      <c r="F313" s="86"/>
      <c r="K313" s="9" t="s">
        <v>1207</v>
      </c>
      <c r="L313" s="16"/>
      <c r="M313" s="16"/>
      <c r="N313" s="16"/>
      <c r="O313" s="692"/>
      <c r="P313" s="102"/>
      <c r="Q313" s="102"/>
    </row>
    <row r="314" spans="2:17">
      <c r="F314" s="86"/>
      <c r="K314" s="89"/>
      <c r="L314" s="88"/>
      <c r="M314" s="88"/>
      <c r="N314" s="89"/>
      <c r="O314" s="90"/>
      <c r="P314" s="102"/>
      <c r="Q314" s="102"/>
    </row>
    <row r="315" spans="2:17">
      <c r="F315" s="86"/>
      <c r="K315" s="89"/>
      <c r="L315" s="88"/>
      <c r="M315" s="88"/>
      <c r="N315" s="89"/>
      <c r="O315" s="90"/>
      <c r="P315" s="102"/>
      <c r="Q315" s="102"/>
    </row>
    <row r="316" spans="2:17">
      <c r="K316" s="89"/>
      <c r="L316" s="88"/>
      <c r="M316" s="88"/>
      <c r="N316" s="89"/>
      <c r="O316" s="90"/>
      <c r="P316" s="102"/>
      <c r="Q316" s="102"/>
    </row>
    <row r="318" spans="2:17">
      <c r="B318"/>
      <c r="C318"/>
      <c r="D318"/>
      <c r="E318"/>
      <c r="F318"/>
      <c r="G318"/>
    </row>
    <row r="319" spans="2:17">
      <c r="B319"/>
      <c r="C319"/>
      <c r="D319"/>
      <c r="E319"/>
      <c r="F319"/>
      <c r="G319"/>
    </row>
    <row r="320" spans="2:17">
      <c r="B320"/>
      <c r="C320"/>
      <c r="D320"/>
      <c r="E320"/>
      <c r="F320"/>
      <c r="G320"/>
    </row>
    <row r="321" spans="2:7">
      <c r="B321"/>
      <c r="C321"/>
      <c r="D321"/>
      <c r="E321"/>
      <c r="F321"/>
      <c r="G321"/>
    </row>
    <row r="322" spans="2:7">
      <c r="B322"/>
      <c r="C322"/>
      <c r="D322"/>
      <c r="E322"/>
      <c r="F322"/>
      <c r="G322"/>
    </row>
    <row r="323" spans="2:7">
      <c r="B323"/>
      <c r="C323"/>
      <c r="D323"/>
      <c r="E323"/>
      <c r="F323"/>
      <c r="G323"/>
    </row>
    <row r="324" spans="2:7">
      <c r="B324"/>
      <c r="C324"/>
      <c r="D324"/>
      <c r="E324"/>
      <c r="F324"/>
      <c r="G324"/>
    </row>
    <row r="325" spans="2:7">
      <c r="B325"/>
      <c r="C325"/>
      <c r="D325"/>
      <c r="E325"/>
      <c r="F325"/>
      <c r="G325"/>
    </row>
    <row r="326" spans="2:7">
      <c r="B326"/>
      <c r="C326"/>
      <c r="D326"/>
      <c r="E326"/>
      <c r="F326"/>
      <c r="G326"/>
    </row>
    <row r="327" spans="2:7">
      <c r="B327"/>
      <c r="C327"/>
      <c r="D327"/>
      <c r="E327"/>
      <c r="F327"/>
      <c r="G327"/>
    </row>
    <row r="328" spans="2:7">
      <c r="B328"/>
      <c r="C328"/>
      <c r="D328"/>
      <c r="E328"/>
      <c r="F328"/>
      <c r="G328"/>
    </row>
    <row r="329" spans="2:7">
      <c r="B329"/>
      <c r="C329"/>
      <c r="D329"/>
      <c r="E329"/>
      <c r="F329"/>
      <c r="G329"/>
    </row>
    <row r="330" spans="2:7">
      <c r="B330"/>
      <c r="C330"/>
      <c r="D330"/>
      <c r="E330"/>
      <c r="F330"/>
      <c r="G330"/>
    </row>
    <row r="331" spans="2:7">
      <c r="B331"/>
      <c r="C331"/>
      <c r="D331"/>
      <c r="E331"/>
      <c r="F331"/>
      <c r="G331"/>
    </row>
    <row r="332" spans="2:7">
      <c r="B332"/>
      <c r="C332"/>
      <c r="D332"/>
      <c r="E332"/>
      <c r="F332"/>
      <c r="G332"/>
    </row>
    <row r="333" spans="2:7">
      <c r="B333"/>
      <c r="C333"/>
      <c r="D333"/>
      <c r="E333"/>
      <c r="F333"/>
      <c r="G333"/>
    </row>
    <row r="334" spans="2:7">
      <c r="B334"/>
      <c r="C334"/>
      <c r="D334"/>
      <c r="E334"/>
      <c r="F334"/>
      <c r="G334"/>
    </row>
    <row r="335" spans="2:7">
      <c r="B335"/>
      <c r="C335"/>
      <c r="D335"/>
      <c r="E335"/>
      <c r="F335"/>
      <c r="G335"/>
    </row>
    <row r="336" spans="2:7">
      <c r="B336"/>
      <c r="C336"/>
      <c r="D336"/>
      <c r="E336"/>
      <c r="F336"/>
      <c r="G336"/>
    </row>
    <row r="337" spans="2:7">
      <c r="B337"/>
      <c r="C337"/>
      <c r="D337"/>
      <c r="E337"/>
      <c r="F337"/>
      <c r="G337"/>
    </row>
    <row r="338" spans="2:7">
      <c r="B338"/>
      <c r="C338"/>
      <c r="D338"/>
      <c r="E338"/>
      <c r="F338"/>
      <c r="G338"/>
    </row>
    <row r="339" spans="2:7">
      <c r="B339"/>
      <c r="C339"/>
      <c r="D339"/>
      <c r="E339"/>
      <c r="F339"/>
      <c r="G339"/>
    </row>
    <row r="340" spans="2:7">
      <c r="B340"/>
      <c r="C340"/>
      <c r="D340"/>
      <c r="E340"/>
      <c r="F340"/>
      <c r="G340"/>
    </row>
    <row r="341" spans="2:7">
      <c r="B341"/>
      <c r="C341"/>
      <c r="D341"/>
      <c r="E341"/>
      <c r="F341"/>
      <c r="G341"/>
    </row>
    <row r="342" spans="2:7">
      <c r="B342"/>
      <c r="C342"/>
      <c r="D342"/>
      <c r="E342"/>
      <c r="F342"/>
      <c r="G342"/>
    </row>
    <row r="343" spans="2:7">
      <c r="B343"/>
      <c r="C343"/>
      <c r="D343"/>
      <c r="E343"/>
      <c r="F343"/>
      <c r="G343"/>
    </row>
    <row r="344" spans="2:7">
      <c r="B344"/>
      <c r="C344"/>
      <c r="D344"/>
      <c r="E344"/>
      <c r="F344"/>
      <c r="G344"/>
    </row>
    <row r="345" spans="2:7">
      <c r="B345"/>
      <c r="C345"/>
      <c r="D345"/>
      <c r="E345"/>
      <c r="F345"/>
      <c r="G345"/>
    </row>
    <row r="346" spans="2:7">
      <c r="B346"/>
      <c r="C346"/>
      <c r="D346"/>
      <c r="E346"/>
      <c r="F346"/>
      <c r="G346"/>
    </row>
    <row r="362" spans="52:52">
      <c r="AZ362" s="144">
        <v>3400000</v>
      </c>
    </row>
    <row r="376" spans="2:52">
      <c r="AZ376" s="144">
        <v>1900000</v>
      </c>
    </row>
    <row r="384" spans="2:52">
      <c r="B384" s="92"/>
      <c r="C384" s="90"/>
      <c r="D384" s="106"/>
      <c r="E384" s="109"/>
      <c r="F384" s="109"/>
      <c r="G384" s="109"/>
      <c r="H384" s="109"/>
      <c r="I384" s="92"/>
      <c r="J384" s="92"/>
      <c r="K384" s="92"/>
      <c r="L384" s="92"/>
      <c r="M384" s="92"/>
    </row>
    <row r="385" spans="2:52">
      <c r="B385" s="92"/>
      <c r="C385" s="90"/>
      <c r="D385" s="106"/>
      <c r="E385" s="109"/>
      <c r="F385" s="109"/>
      <c r="G385" s="109"/>
      <c r="H385" s="109"/>
      <c r="I385" s="92"/>
      <c r="J385" s="92"/>
      <c r="K385" s="92"/>
      <c r="L385" s="92"/>
      <c r="M385" s="92"/>
    </row>
    <row r="386" spans="2:52">
      <c r="B386" s="92"/>
      <c r="C386" s="6" t="s">
        <v>244</v>
      </c>
      <c r="D386" s="12"/>
      <c r="E386" s="12"/>
      <c r="F386" s="12"/>
      <c r="G386" s="12"/>
      <c r="H386" s="7"/>
      <c r="I386" s="92"/>
      <c r="J386" s="92"/>
      <c r="K386" s="92"/>
      <c r="L386" s="92"/>
      <c r="M386" s="92"/>
    </row>
    <row r="387" spans="2:52">
      <c r="B387" s="92"/>
      <c r="C387" s="6" t="s">
        <v>229</v>
      </c>
      <c r="D387" s="6" t="s">
        <v>572</v>
      </c>
      <c r="E387" s="6" t="s">
        <v>703</v>
      </c>
      <c r="F387" s="6" t="s">
        <v>983</v>
      </c>
      <c r="G387" s="6" t="s">
        <v>1035</v>
      </c>
      <c r="H387" s="7" t="s">
        <v>1871</v>
      </c>
      <c r="I387" s="92"/>
      <c r="J387" s="92"/>
      <c r="K387" s="92"/>
      <c r="L387" s="92"/>
      <c r="M387" s="92"/>
    </row>
    <row r="388" spans="2:52">
      <c r="B388" s="92"/>
      <c r="C388" s="5" t="s">
        <v>243</v>
      </c>
      <c r="D388" s="5" t="s">
        <v>107</v>
      </c>
      <c r="E388" s="5" t="s">
        <v>1367</v>
      </c>
      <c r="F388" s="5" t="s">
        <v>682</v>
      </c>
      <c r="G388" s="5" t="s">
        <v>1884</v>
      </c>
      <c r="H388" s="15">
        <v>8</v>
      </c>
      <c r="I388" s="92"/>
      <c r="J388" s="92"/>
      <c r="K388" s="92"/>
      <c r="L388" s="92"/>
      <c r="M388" s="92"/>
    </row>
    <row r="389" spans="2:52">
      <c r="B389" s="92"/>
      <c r="C389" s="13"/>
      <c r="D389" s="13"/>
      <c r="E389" s="13"/>
      <c r="F389" s="5" t="s">
        <v>609</v>
      </c>
      <c r="G389" s="12"/>
      <c r="H389" s="15">
        <v>8</v>
      </c>
      <c r="I389" s="92"/>
      <c r="J389" s="92"/>
      <c r="K389" s="92"/>
      <c r="L389" s="92"/>
      <c r="M389" s="92"/>
    </row>
    <row r="390" spans="2:52">
      <c r="B390" s="92"/>
      <c r="C390" s="13"/>
      <c r="D390" s="13"/>
      <c r="E390" s="5" t="s">
        <v>1177</v>
      </c>
      <c r="F390" s="12"/>
      <c r="G390" s="12"/>
      <c r="H390" s="15">
        <v>8</v>
      </c>
      <c r="I390" s="92"/>
      <c r="J390" s="92"/>
      <c r="K390" s="92"/>
      <c r="L390" s="92"/>
      <c r="M390" s="92"/>
      <c r="AZ390" s="144">
        <v>3400000</v>
      </c>
    </row>
    <row r="391" spans="2:52">
      <c r="B391" s="92"/>
      <c r="C391" s="13"/>
      <c r="D391" s="13"/>
      <c r="E391" s="5" t="s">
        <v>947</v>
      </c>
      <c r="F391" s="5" t="s">
        <v>682</v>
      </c>
      <c r="G391" s="5" t="s">
        <v>1884</v>
      </c>
      <c r="H391" s="15">
        <v>5</v>
      </c>
      <c r="I391" s="92"/>
      <c r="J391" s="92"/>
      <c r="K391" s="92"/>
      <c r="L391" s="92"/>
      <c r="M391" s="92"/>
      <c r="AZ391" s="144">
        <v>55000000</v>
      </c>
    </row>
    <row r="392" spans="2:52">
      <c r="B392" s="92"/>
      <c r="C392" s="13"/>
      <c r="D392" s="13"/>
      <c r="E392" s="13"/>
      <c r="F392" s="5" t="s">
        <v>609</v>
      </c>
      <c r="G392" s="12"/>
      <c r="H392" s="15">
        <v>5</v>
      </c>
      <c r="I392" s="92"/>
      <c r="J392" s="92"/>
      <c r="K392" s="92"/>
      <c r="L392" s="92"/>
      <c r="M392" s="92"/>
    </row>
    <row r="393" spans="2:52">
      <c r="B393" s="92"/>
      <c r="C393" s="13"/>
      <c r="D393" s="13"/>
      <c r="E393" s="5" t="s">
        <v>1178</v>
      </c>
      <c r="F393" s="12"/>
      <c r="G393" s="12"/>
      <c r="H393" s="15">
        <v>5</v>
      </c>
      <c r="I393" s="92"/>
      <c r="J393" s="92"/>
      <c r="K393" s="92"/>
      <c r="L393" s="92"/>
      <c r="M393" s="92"/>
    </row>
    <row r="394" spans="2:52">
      <c r="B394" s="92"/>
      <c r="C394" s="13"/>
      <c r="D394" s="5" t="s">
        <v>1975</v>
      </c>
      <c r="E394" s="12"/>
      <c r="F394" s="12"/>
      <c r="G394" s="12"/>
      <c r="H394" s="15">
        <v>13</v>
      </c>
      <c r="I394" s="92"/>
      <c r="J394" s="92"/>
      <c r="K394" s="92"/>
      <c r="L394" s="92"/>
      <c r="M394" s="92"/>
    </row>
    <row r="395" spans="2:52">
      <c r="B395" s="92"/>
      <c r="C395" s="13"/>
      <c r="D395" s="5" t="s">
        <v>184</v>
      </c>
      <c r="E395" s="5" t="s">
        <v>1157</v>
      </c>
      <c r="F395" s="5" t="s">
        <v>121</v>
      </c>
      <c r="G395" s="5" t="s">
        <v>1156</v>
      </c>
      <c r="H395" s="15">
        <v>1</v>
      </c>
      <c r="I395" s="92"/>
      <c r="J395" s="92"/>
      <c r="K395" s="92"/>
      <c r="L395" s="92"/>
      <c r="M395" s="92"/>
    </row>
    <row r="396" spans="2:52">
      <c r="B396" s="92"/>
      <c r="C396" s="13"/>
      <c r="D396" s="13"/>
      <c r="E396" s="13"/>
      <c r="F396" s="5" t="s">
        <v>1169</v>
      </c>
      <c r="G396" s="12"/>
      <c r="H396" s="15">
        <v>1</v>
      </c>
      <c r="I396" s="92"/>
      <c r="J396" s="92"/>
      <c r="K396" s="92"/>
      <c r="L396" s="92"/>
      <c r="M396" s="92"/>
    </row>
    <row r="397" spans="2:52">
      <c r="B397" s="92"/>
      <c r="C397" s="13"/>
      <c r="D397" s="13"/>
      <c r="E397" s="5" t="s">
        <v>828</v>
      </c>
      <c r="F397" s="12"/>
      <c r="G397" s="12"/>
      <c r="H397" s="15">
        <v>1</v>
      </c>
      <c r="I397" s="92"/>
      <c r="J397" s="92"/>
      <c r="K397" s="92"/>
      <c r="L397" s="92"/>
      <c r="M397" s="92"/>
    </row>
    <row r="398" spans="2:52">
      <c r="B398" s="92"/>
      <c r="C398" s="13"/>
      <c r="D398" s="5" t="s">
        <v>1978</v>
      </c>
      <c r="E398" s="12"/>
      <c r="F398" s="12"/>
      <c r="G398" s="12"/>
      <c r="H398" s="15">
        <v>1</v>
      </c>
      <c r="I398" s="92"/>
      <c r="J398" s="92"/>
      <c r="K398" s="92"/>
      <c r="L398" s="92"/>
      <c r="M398" s="92"/>
    </row>
    <row r="399" spans="2:52">
      <c r="B399" s="92"/>
      <c r="C399" s="5" t="s">
        <v>405</v>
      </c>
      <c r="D399" s="12"/>
      <c r="E399" s="12"/>
      <c r="F399" s="12"/>
      <c r="G399" s="12"/>
      <c r="H399" s="15">
        <v>14</v>
      </c>
      <c r="I399" s="92"/>
      <c r="J399" s="92"/>
      <c r="K399" s="92"/>
      <c r="L399" s="92"/>
      <c r="M399" s="92"/>
    </row>
    <row r="400" spans="2:52">
      <c r="B400" s="92"/>
      <c r="C400" s="5" t="s">
        <v>238</v>
      </c>
      <c r="D400" s="5" t="s">
        <v>1818</v>
      </c>
      <c r="E400" s="12"/>
      <c r="F400" s="12"/>
      <c r="G400" s="12"/>
      <c r="H400" s="15">
        <v>1</v>
      </c>
      <c r="I400" s="92"/>
      <c r="J400" s="92"/>
      <c r="K400" s="92"/>
      <c r="L400" s="92"/>
      <c r="M400" s="92"/>
    </row>
    <row r="401" spans="2:50">
      <c r="B401" s="92"/>
      <c r="C401" s="13"/>
      <c r="D401" s="5" t="s">
        <v>377</v>
      </c>
      <c r="E401" s="5" t="s">
        <v>1102</v>
      </c>
      <c r="F401" s="5" t="s">
        <v>1052</v>
      </c>
      <c r="G401" s="5" t="s">
        <v>1311</v>
      </c>
      <c r="H401" s="15">
        <v>1</v>
      </c>
      <c r="I401" s="92"/>
      <c r="J401" s="92"/>
      <c r="K401" s="92"/>
      <c r="L401" s="92"/>
      <c r="M401" s="92"/>
      <c r="AX401" s="87">
        <v>909194</v>
      </c>
    </row>
    <row r="402" spans="2:50">
      <c r="B402" s="92"/>
      <c r="C402" s="13"/>
      <c r="D402" s="13"/>
      <c r="E402" s="13"/>
      <c r="F402" s="5" t="s">
        <v>1167</v>
      </c>
      <c r="G402" s="12"/>
      <c r="H402" s="15">
        <v>1</v>
      </c>
      <c r="I402" s="92"/>
      <c r="J402" s="92"/>
      <c r="K402" s="92"/>
      <c r="L402" s="92"/>
      <c r="M402" s="92"/>
    </row>
    <row r="403" spans="2:50">
      <c r="B403" s="92"/>
      <c r="C403" s="13"/>
      <c r="D403" s="13"/>
      <c r="E403" s="5" t="s">
        <v>1102</v>
      </c>
      <c r="F403" s="12"/>
      <c r="G403" s="12"/>
      <c r="H403" s="15">
        <v>1</v>
      </c>
      <c r="I403" s="92"/>
      <c r="J403" s="92"/>
      <c r="K403" s="92"/>
      <c r="L403" s="92"/>
      <c r="M403" s="92"/>
    </row>
    <row r="404" spans="2:50">
      <c r="B404" s="92"/>
      <c r="C404" s="13"/>
      <c r="D404" s="13"/>
      <c r="E404" s="5" t="s">
        <v>1044</v>
      </c>
      <c r="F404" s="5" t="s">
        <v>1878</v>
      </c>
      <c r="G404" s="5" t="s">
        <v>1884</v>
      </c>
      <c r="H404" s="15">
        <v>2</v>
      </c>
      <c r="I404" s="92"/>
      <c r="J404" s="92"/>
      <c r="K404" s="92"/>
      <c r="L404" s="92"/>
      <c r="M404" s="92"/>
    </row>
    <row r="405" spans="2:50">
      <c r="B405" s="92"/>
      <c r="C405" s="13"/>
      <c r="D405" s="13"/>
      <c r="E405" s="13"/>
      <c r="F405" s="5" t="s">
        <v>606</v>
      </c>
      <c r="G405" s="12"/>
      <c r="H405" s="15">
        <v>2</v>
      </c>
      <c r="I405" s="92"/>
      <c r="J405" s="92"/>
      <c r="K405" s="92"/>
      <c r="L405" s="92"/>
      <c r="M405" s="92"/>
    </row>
    <row r="406" spans="2:50">
      <c r="B406" s="92"/>
      <c r="C406" s="13"/>
      <c r="D406" s="13"/>
      <c r="E406" s="5" t="s">
        <v>1124</v>
      </c>
      <c r="F406" s="12"/>
      <c r="G406" s="12"/>
      <c r="H406" s="15">
        <v>2</v>
      </c>
      <c r="I406" s="92"/>
      <c r="J406" s="92"/>
      <c r="K406" s="92"/>
      <c r="L406" s="92"/>
      <c r="M406" s="92"/>
    </row>
    <row r="407" spans="2:50">
      <c r="B407" s="92"/>
      <c r="C407" s="13"/>
      <c r="D407" s="13"/>
      <c r="E407" s="5" t="s">
        <v>1103</v>
      </c>
      <c r="F407" s="5" t="s">
        <v>1051</v>
      </c>
      <c r="G407" s="5" t="s">
        <v>1311</v>
      </c>
      <c r="H407" s="15">
        <v>1</v>
      </c>
      <c r="I407" s="92"/>
      <c r="J407" s="92"/>
      <c r="K407" s="92"/>
      <c r="L407" s="92"/>
      <c r="M407" s="92"/>
    </row>
    <row r="408" spans="2:50">
      <c r="B408" s="92"/>
      <c r="C408" s="13"/>
      <c r="D408" s="13"/>
      <c r="E408" s="13"/>
      <c r="F408" s="5" t="s">
        <v>1168</v>
      </c>
      <c r="G408" s="12"/>
      <c r="H408" s="15">
        <v>1</v>
      </c>
      <c r="I408" s="92"/>
      <c r="J408" s="92"/>
      <c r="K408" s="92"/>
      <c r="L408" s="92"/>
      <c r="M408" s="92"/>
    </row>
    <row r="409" spans="2:50">
      <c r="B409" s="92"/>
      <c r="C409" s="13"/>
      <c r="D409" s="13"/>
      <c r="E409" s="5" t="s">
        <v>1103</v>
      </c>
      <c r="F409" s="12"/>
      <c r="G409" s="12"/>
      <c r="H409" s="15">
        <v>1</v>
      </c>
      <c r="I409" s="92"/>
      <c r="J409" s="92"/>
      <c r="K409" s="92"/>
      <c r="L409" s="92"/>
      <c r="M409" s="92"/>
    </row>
    <row r="410" spans="2:50">
      <c r="B410" s="92"/>
      <c r="C410" s="13"/>
      <c r="D410" s="13"/>
      <c r="E410" s="5" t="s">
        <v>1534</v>
      </c>
      <c r="F410" s="5" t="s">
        <v>1817</v>
      </c>
      <c r="G410" s="5" t="s">
        <v>2023</v>
      </c>
      <c r="H410" s="15">
        <v>1</v>
      </c>
      <c r="I410" s="118"/>
      <c r="J410" s="92"/>
      <c r="K410" s="92"/>
      <c r="L410" s="92"/>
      <c r="M410" s="92"/>
    </row>
    <row r="411" spans="2:50">
      <c r="B411" s="118"/>
      <c r="C411" s="13"/>
      <c r="D411" s="13"/>
      <c r="E411" s="13"/>
      <c r="F411" s="5" t="s">
        <v>1174</v>
      </c>
      <c r="G411" s="12"/>
      <c r="H411" s="15">
        <v>1</v>
      </c>
      <c r="I411" s="118"/>
      <c r="J411" s="118"/>
      <c r="K411" s="118"/>
      <c r="L411" s="118"/>
      <c r="M411" s="118"/>
    </row>
    <row r="412" spans="2:50">
      <c r="B412" s="118"/>
      <c r="C412" s="13"/>
      <c r="D412" s="13"/>
      <c r="E412" s="5" t="s">
        <v>1140</v>
      </c>
      <c r="F412" s="12"/>
      <c r="G412" s="12"/>
      <c r="H412" s="15">
        <v>1</v>
      </c>
      <c r="I412" s="118"/>
      <c r="J412" s="118"/>
      <c r="K412" s="118"/>
      <c r="L412" s="118"/>
      <c r="M412" s="118"/>
    </row>
    <row r="413" spans="2:50">
      <c r="B413" s="118"/>
      <c r="C413" s="13"/>
      <c r="D413" s="13"/>
      <c r="E413" s="5" t="s">
        <v>985</v>
      </c>
      <c r="F413" s="5" t="s">
        <v>121</v>
      </c>
      <c r="G413" s="5" t="s">
        <v>1311</v>
      </c>
      <c r="H413" s="15">
        <v>1</v>
      </c>
      <c r="I413" s="118"/>
      <c r="J413" s="118"/>
      <c r="K413" s="118"/>
      <c r="L413" s="118"/>
      <c r="M413" s="118"/>
    </row>
    <row r="414" spans="2:50">
      <c r="B414" s="118"/>
      <c r="C414" s="13"/>
      <c r="D414" s="13"/>
      <c r="E414" s="13"/>
      <c r="F414" s="5" t="s">
        <v>1169</v>
      </c>
      <c r="G414" s="12"/>
      <c r="H414" s="15">
        <v>1</v>
      </c>
      <c r="I414" s="118"/>
      <c r="J414" s="118"/>
      <c r="K414" s="118"/>
      <c r="L414" s="118"/>
      <c r="M414" s="118"/>
    </row>
    <row r="415" spans="2:50">
      <c r="B415" s="118"/>
      <c r="C415" s="13"/>
      <c r="D415" s="13"/>
      <c r="E415" s="5" t="s">
        <v>1125</v>
      </c>
      <c r="F415" s="12"/>
      <c r="G415" s="12"/>
      <c r="H415" s="15">
        <v>1</v>
      </c>
      <c r="I415" s="118"/>
      <c r="J415" s="118"/>
      <c r="K415" s="118"/>
      <c r="L415" s="118"/>
      <c r="M415" s="118"/>
    </row>
    <row r="416" spans="2:50">
      <c r="B416" s="118"/>
      <c r="C416" s="13"/>
      <c r="D416" s="13"/>
      <c r="E416" s="5" t="s">
        <v>1536</v>
      </c>
      <c r="F416" s="5" t="s">
        <v>1052</v>
      </c>
      <c r="G416" s="5" t="s">
        <v>1311</v>
      </c>
      <c r="H416" s="15">
        <v>1</v>
      </c>
      <c r="I416" s="118"/>
      <c r="J416" s="118"/>
      <c r="K416" s="118"/>
      <c r="L416" s="118"/>
      <c r="M416" s="118"/>
    </row>
    <row r="417" spans="2:13">
      <c r="B417" s="118"/>
      <c r="C417" s="13"/>
      <c r="D417" s="13"/>
      <c r="E417" s="13"/>
      <c r="F417" s="5" t="s">
        <v>1167</v>
      </c>
      <c r="G417" s="12"/>
      <c r="H417" s="15">
        <v>1</v>
      </c>
      <c r="I417" s="118"/>
      <c r="J417" s="118"/>
      <c r="K417" s="118"/>
      <c r="L417" s="118"/>
      <c r="M417" s="118"/>
    </row>
    <row r="418" spans="2:13">
      <c r="B418" s="118"/>
      <c r="C418" s="13"/>
      <c r="D418" s="13"/>
      <c r="E418" s="5" t="s">
        <v>1126</v>
      </c>
      <c r="F418" s="12"/>
      <c r="G418" s="12"/>
      <c r="H418" s="15">
        <v>1</v>
      </c>
      <c r="I418" s="118"/>
      <c r="J418" s="118"/>
      <c r="K418" s="118"/>
      <c r="L418" s="118"/>
      <c r="M418" s="118"/>
    </row>
    <row r="419" spans="2:13">
      <c r="B419" s="118"/>
      <c r="C419" s="13"/>
      <c r="D419" s="13"/>
      <c r="E419" s="5" t="s">
        <v>1040</v>
      </c>
      <c r="F419" s="5" t="s">
        <v>1565</v>
      </c>
      <c r="G419" s="5" t="s">
        <v>1311</v>
      </c>
      <c r="H419" s="15">
        <v>2</v>
      </c>
      <c r="I419" s="118"/>
      <c r="J419" s="118"/>
      <c r="K419" s="118"/>
      <c r="L419" s="118"/>
      <c r="M419" s="118"/>
    </row>
    <row r="420" spans="2:13">
      <c r="B420" s="118"/>
      <c r="C420" s="13"/>
      <c r="D420" s="13"/>
      <c r="E420" s="13"/>
      <c r="F420" s="5" t="s">
        <v>611</v>
      </c>
      <c r="G420" s="12"/>
      <c r="H420" s="15">
        <v>2</v>
      </c>
      <c r="I420" s="118"/>
      <c r="J420" s="118"/>
      <c r="K420" s="118"/>
      <c r="L420" s="118"/>
      <c r="M420" s="118"/>
    </row>
    <row r="421" spans="2:13">
      <c r="B421" s="118"/>
      <c r="C421" s="13"/>
      <c r="D421" s="13"/>
      <c r="E421" s="5" t="s">
        <v>1127</v>
      </c>
      <c r="F421" s="12"/>
      <c r="G421" s="12"/>
      <c r="H421" s="15">
        <v>2</v>
      </c>
      <c r="I421" s="118"/>
      <c r="J421" s="118"/>
      <c r="K421" s="118"/>
      <c r="L421" s="118"/>
      <c r="M421" s="118"/>
    </row>
    <row r="422" spans="2:13">
      <c r="B422" s="118"/>
      <c r="C422" s="13"/>
      <c r="D422" s="13"/>
      <c r="E422" s="5" t="s">
        <v>372</v>
      </c>
      <c r="F422" s="5" t="s">
        <v>1672</v>
      </c>
      <c r="G422" s="5" t="s">
        <v>1081</v>
      </c>
      <c r="H422" s="15">
        <v>1</v>
      </c>
      <c r="I422" s="118"/>
      <c r="J422" s="118"/>
      <c r="K422" s="118"/>
      <c r="L422" s="118"/>
      <c r="M422" s="118"/>
    </row>
    <row r="423" spans="2:13">
      <c r="B423" s="118"/>
      <c r="C423" s="13"/>
      <c r="D423" s="13"/>
      <c r="E423" s="13"/>
      <c r="F423" s="5" t="s">
        <v>1170</v>
      </c>
      <c r="G423" s="12"/>
      <c r="H423" s="15">
        <v>1</v>
      </c>
      <c r="I423" s="87"/>
      <c r="J423" s="118"/>
      <c r="K423" s="118"/>
      <c r="L423" s="118"/>
      <c r="M423" s="118"/>
    </row>
    <row r="424" spans="2:13">
      <c r="B424" s="87"/>
      <c r="C424" s="13"/>
      <c r="D424" s="13"/>
      <c r="E424" s="5" t="s">
        <v>1128</v>
      </c>
      <c r="F424" s="12"/>
      <c r="G424" s="12"/>
      <c r="H424" s="15">
        <v>1</v>
      </c>
      <c r="I424" s="200"/>
      <c r="J424" s="87"/>
      <c r="K424" s="87"/>
      <c r="L424" s="87"/>
      <c r="M424" s="87"/>
    </row>
    <row r="425" spans="2:13">
      <c r="B425" s="200"/>
      <c r="C425" s="13"/>
      <c r="D425" s="5" t="s">
        <v>1974</v>
      </c>
      <c r="E425" s="12"/>
      <c r="F425" s="12"/>
      <c r="G425" s="12"/>
      <c r="H425" s="15">
        <v>10</v>
      </c>
      <c r="I425" s="118"/>
      <c r="J425" s="200"/>
      <c r="K425" s="200"/>
      <c r="L425" s="200"/>
      <c r="M425" s="200"/>
    </row>
    <row r="426" spans="2:13">
      <c r="B426" s="118"/>
      <c r="C426" s="13"/>
      <c r="D426" s="5" t="s">
        <v>107</v>
      </c>
      <c r="E426" s="5" t="s">
        <v>537</v>
      </c>
      <c r="F426" s="5" t="s">
        <v>1947</v>
      </c>
      <c r="G426" s="5" t="s">
        <v>1835</v>
      </c>
      <c r="H426" s="15">
        <v>1</v>
      </c>
      <c r="I426" s="118"/>
      <c r="J426" s="118"/>
      <c r="K426" s="118"/>
      <c r="L426" s="118"/>
      <c r="M426" s="118"/>
    </row>
    <row r="427" spans="2:13">
      <c r="B427" s="118"/>
      <c r="C427" s="13"/>
      <c r="D427" s="13"/>
      <c r="E427" s="13"/>
      <c r="F427" s="5" t="s">
        <v>664</v>
      </c>
      <c r="G427" s="12"/>
      <c r="H427" s="15">
        <v>1</v>
      </c>
      <c r="I427" s="118"/>
      <c r="J427" s="118"/>
      <c r="K427" s="118"/>
      <c r="L427" s="118"/>
      <c r="M427" s="118"/>
    </row>
    <row r="428" spans="2:13">
      <c r="B428" s="118"/>
      <c r="C428" s="13"/>
      <c r="D428" s="13"/>
      <c r="E428" s="5" t="s">
        <v>1180</v>
      </c>
      <c r="F428" s="12"/>
      <c r="G428" s="12"/>
      <c r="H428" s="15">
        <v>1</v>
      </c>
      <c r="I428" s="118"/>
      <c r="J428" s="118"/>
      <c r="K428" s="118"/>
      <c r="L428" s="118"/>
      <c r="M428" s="118"/>
    </row>
    <row r="429" spans="2:13">
      <c r="B429" s="118"/>
      <c r="C429" s="13"/>
      <c r="D429" s="13"/>
      <c r="E429" s="5" t="s">
        <v>1090</v>
      </c>
      <c r="F429" s="5" t="s">
        <v>1876</v>
      </c>
      <c r="G429" s="5" t="s">
        <v>329</v>
      </c>
      <c r="H429" s="15">
        <v>1</v>
      </c>
      <c r="I429" s="118"/>
      <c r="J429" s="118"/>
      <c r="K429" s="118"/>
      <c r="L429" s="118"/>
      <c r="M429" s="118"/>
    </row>
    <row r="430" spans="2:13">
      <c r="B430" s="118"/>
      <c r="C430" s="13"/>
      <c r="D430" s="13"/>
      <c r="E430" s="13"/>
      <c r="F430" s="5" t="s">
        <v>614</v>
      </c>
      <c r="G430" s="12"/>
      <c r="H430" s="15">
        <v>1</v>
      </c>
      <c r="I430" s="118"/>
      <c r="J430" s="118"/>
      <c r="K430" s="118"/>
      <c r="L430" s="118"/>
      <c r="M430" s="118"/>
    </row>
    <row r="431" spans="2:13">
      <c r="B431" s="118"/>
      <c r="C431" s="13"/>
      <c r="D431" s="13"/>
      <c r="E431" s="5" t="s">
        <v>1181</v>
      </c>
      <c r="F431" s="12"/>
      <c r="G431" s="12"/>
      <c r="H431" s="15">
        <v>1</v>
      </c>
      <c r="I431" s="118"/>
      <c r="J431" s="118"/>
      <c r="K431" s="118"/>
      <c r="L431" s="118"/>
      <c r="M431" s="118"/>
    </row>
    <row r="432" spans="2:13">
      <c r="B432" s="118"/>
      <c r="C432" s="13"/>
      <c r="D432" s="13"/>
      <c r="E432" s="5" t="s">
        <v>986</v>
      </c>
      <c r="F432" s="5" t="s">
        <v>35</v>
      </c>
      <c r="G432" s="5" t="s">
        <v>1311</v>
      </c>
      <c r="H432" s="15">
        <v>1</v>
      </c>
      <c r="I432" s="118"/>
      <c r="J432" s="118"/>
      <c r="K432" s="118"/>
      <c r="L432" s="118"/>
      <c r="M432" s="118"/>
    </row>
    <row r="433" spans="2:13">
      <c r="B433" s="118"/>
      <c r="C433" s="13"/>
      <c r="D433" s="13"/>
      <c r="E433" s="13"/>
      <c r="F433" s="5" t="s">
        <v>1182</v>
      </c>
      <c r="G433" s="12"/>
      <c r="H433" s="15">
        <v>1</v>
      </c>
      <c r="I433" s="118"/>
      <c r="J433" s="118"/>
      <c r="K433" s="118"/>
      <c r="L433" s="118"/>
      <c r="M433" s="118"/>
    </row>
    <row r="434" spans="2:13">
      <c r="B434" s="118"/>
      <c r="C434" s="13"/>
      <c r="D434" s="13"/>
      <c r="E434" s="5" t="s">
        <v>1183</v>
      </c>
      <c r="F434" s="12"/>
      <c r="G434" s="12"/>
      <c r="H434" s="15">
        <v>1</v>
      </c>
      <c r="I434" s="118"/>
      <c r="J434" s="118"/>
      <c r="K434" s="118"/>
      <c r="L434" s="118"/>
      <c r="M434" s="118"/>
    </row>
    <row r="435" spans="2:13">
      <c r="B435" s="118"/>
      <c r="C435" s="13"/>
      <c r="D435" s="5" t="s">
        <v>1975</v>
      </c>
      <c r="E435" s="12"/>
      <c r="F435" s="12"/>
      <c r="G435" s="12"/>
      <c r="H435" s="15">
        <v>3</v>
      </c>
      <c r="I435" s="118"/>
      <c r="J435" s="118"/>
      <c r="K435" s="118"/>
      <c r="L435" s="118"/>
      <c r="M435" s="118"/>
    </row>
    <row r="436" spans="2:13">
      <c r="B436" s="118"/>
      <c r="C436" s="13"/>
      <c r="D436" s="5" t="s">
        <v>184</v>
      </c>
      <c r="E436" s="5" t="s">
        <v>1913</v>
      </c>
      <c r="F436" s="5" t="s">
        <v>682</v>
      </c>
      <c r="G436" s="5" t="s">
        <v>1639</v>
      </c>
      <c r="H436" s="15">
        <v>1</v>
      </c>
      <c r="I436" s="118"/>
      <c r="J436" s="118"/>
      <c r="K436" s="118"/>
      <c r="L436" s="118"/>
      <c r="M436" s="118"/>
    </row>
    <row r="437" spans="2:13">
      <c r="B437" s="118"/>
      <c r="C437" s="13"/>
      <c r="D437" s="13"/>
      <c r="E437" s="13"/>
      <c r="F437" s="5" t="s">
        <v>609</v>
      </c>
      <c r="G437" s="12"/>
      <c r="H437" s="15">
        <v>1</v>
      </c>
      <c r="I437" s="118"/>
      <c r="J437" s="118"/>
      <c r="K437" s="118"/>
      <c r="L437" s="118"/>
      <c r="M437" s="118"/>
    </row>
    <row r="438" spans="2:13">
      <c r="B438" s="118"/>
      <c r="C438" s="13"/>
      <c r="D438" s="13"/>
      <c r="E438" s="5" t="s">
        <v>829</v>
      </c>
      <c r="F438" s="12"/>
      <c r="G438" s="12"/>
      <c r="H438" s="15">
        <v>1</v>
      </c>
      <c r="I438" s="118"/>
      <c r="J438" s="118"/>
      <c r="K438" s="118"/>
      <c r="L438" s="118"/>
      <c r="M438" s="118"/>
    </row>
    <row r="439" spans="2:13">
      <c r="B439" s="118"/>
      <c r="C439" s="13"/>
      <c r="D439" s="13"/>
      <c r="E439" s="5" t="s">
        <v>1290</v>
      </c>
      <c r="F439" s="5" t="s">
        <v>682</v>
      </c>
      <c r="G439" s="5" t="s">
        <v>1639</v>
      </c>
      <c r="H439" s="15">
        <v>1</v>
      </c>
      <c r="I439" s="118"/>
      <c r="J439" s="118"/>
      <c r="K439" s="118"/>
      <c r="L439" s="118"/>
      <c r="M439" s="118"/>
    </row>
    <row r="440" spans="2:13">
      <c r="B440" s="118"/>
      <c r="C440" s="13"/>
      <c r="D440" s="13"/>
      <c r="E440" s="13"/>
      <c r="F440" s="5" t="s">
        <v>609</v>
      </c>
      <c r="G440" s="12"/>
      <c r="H440" s="15">
        <v>1</v>
      </c>
      <c r="I440" s="118"/>
      <c r="J440" s="118"/>
      <c r="K440" s="118"/>
      <c r="L440" s="118"/>
      <c r="M440" s="118"/>
    </row>
    <row r="441" spans="2:13">
      <c r="B441" s="118"/>
      <c r="C441" s="13"/>
      <c r="D441" s="13"/>
      <c r="E441" s="5" t="s">
        <v>830</v>
      </c>
      <c r="F441" s="12"/>
      <c r="G441" s="12"/>
      <c r="H441" s="15">
        <v>1</v>
      </c>
      <c r="I441" s="118"/>
      <c r="J441" s="118"/>
      <c r="K441" s="118"/>
      <c r="L441" s="118"/>
      <c r="M441" s="118"/>
    </row>
    <row r="442" spans="2:13">
      <c r="B442" s="118"/>
      <c r="C442" s="13"/>
      <c r="D442" s="13"/>
      <c r="E442" s="5" t="s">
        <v>1917</v>
      </c>
      <c r="F442" s="5" t="s">
        <v>682</v>
      </c>
      <c r="G442" s="5" t="s">
        <v>1639</v>
      </c>
      <c r="H442" s="15">
        <v>1</v>
      </c>
      <c r="I442" s="118"/>
      <c r="J442" s="118"/>
      <c r="K442" s="118"/>
      <c r="L442" s="118"/>
      <c r="M442" s="118"/>
    </row>
    <row r="443" spans="2:13">
      <c r="B443" s="118"/>
      <c r="C443" s="13"/>
      <c r="D443" s="13"/>
      <c r="E443" s="13"/>
      <c r="F443" s="5" t="s">
        <v>609</v>
      </c>
      <c r="G443" s="12"/>
      <c r="H443" s="15">
        <v>1</v>
      </c>
      <c r="I443" s="118"/>
      <c r="J443" s="118"/>
      <c r="K443" s="118"/>
      <c r="L443" s="118"/>
      <c r="M443" s="118"/>
    </row>
    <row r="444" spans="2:13">
      <c r="B444" s="118"/>
      <c r="C444" s="13"/>
      <c r="D444" s="13"/>
      <c r="E444" s="5" t="s">
        <v>831</v>
      </c>
      <c r="F444" s="12"/>
      <c r="G444" s="12"/>
      <c r="H444" s="15">
        <v>1</v>
      </c>
      <c r="I444" s="118"/>
      <c r="J444" s="118"/>
      <c r="K444" s="118"/>
      <c r="L444" s="118"/>
      <c r="M444" s="118"/>
    </row>
    <row r="445" spans="2:13">
      <c r="B445" s="118"/>
      <c r="C445" s="13"/>
      <c r="D445" s="13"/>
      <c r="E445" s="5" t="s">
        <v>1911</v>
      </c>
      <c r="F445" s="5" t="s">
        <v>682</v>
      </c>
      <c r="G445" s="5" t="s">
        <v>1639</v>
      </c>
      <c r="H445" s="15">
        <v>1</v>
      </c>
      <c r="I445" s="118"/>
      <c r="J445" s="118"/>
      <c r="K445" s="118"/>
      <c r="L445" s="118"/>
      <c r="M445" s="118"/>
    </row>
    <row r="446" spans="2:13">
      <c r="B446" s="118"/>
      <c r="C446" s="13"/>
      <c r="D446" s="13"/>
      <c r="E446" s="13"/>
      <c r="F446" s="5" t="s">
        <v>609</v>
      </c>
      <c r="G446" s="12"/>
      <c r="H446" s="15">
        <v>1</v>
      </c>
      <c r="I446" s="118"/>
      <c r="J446" s="118"/>
      <c r="K446" s="118"/>
      <c r="L446" s="118"/>
      <c r="M446" s="118"/>
    </row>
    <row r="447" spans="2:13">
      <c r="B447" s="118"/>
      <c r="C447" s="13"/>
      <c r="D447" s="13"/>
      <c r="E447" s="5" t="s">
        <v>832</v>
      </c>
      <c r="F447" s="12"/>
      <c r="G447" s="12"/>
      <c r="H447" s="15">
        <v>1</v>
      </c>
      <c r="I447" s="118"/>
      <c r="J447" s="118"/>
      <c r="K447" s="118"/>
      <c r="L447" s="118"/>
      <c r="M447" s="118"/>
    </row>
    <row r="448" spans="2:13">
      <c r="B448" s="118"/>
      <c r="C448" s="13"/>
      <c r="D448" s="13"/>
      <c r="E448" s="5" t="s">
        <v>1288</v>
      </c>
      <c r="F448" s="5" t="s">
        <v>682</v>
      </c>
      <c r="G448" s="5" t="s">
        <v>1639</v>
      </c>
      <c r="H448" s="15">
        <v>1</v>
      </c>
      <c r="I448" s="118"/>
      <c r="J448" s="118"/>
      <c r="K448" s="118"/>
      <c r="L448" s="118"/>
      <c r="M448" s="118"/>
    </row>
    <row r="449" spans="2:13">
      <c r="B449" s="118"/>
      <c r="C449" s="13"/>
      <c r="D449" s="13"/>
      <c r="E449" s="13"/>
      <c r="F449" s="5" t="s">
        <v>609</v>
      </c>
      <c r="G449" s="12"/>
      <c r="H449" s="15">
        <v>1</v>
      </c>
      <c r="I449" s="118"/>
      <c r="J449" s="118"/>
      <c r="K449" s="118"/>
      <c r="L449" s="118"/>
      <c r="M449" s="118"/>
    </row>
    <row r="450" spans="2:13">
      <c r="B450" s="118"/>
      <c r="C450" s="13"/>
      <c r="D450" s="13"/>
      <c r="E450" s="5" t="s">
        <v>833</v>
      </c>
      <c r="F450" s="12"/>
      <c r="G450" s="12"/>
      <c r="H450" s="15">
        <v>1</v>
      </c>
      <c r="I450" s="118"/>
      <c r="J450" s="118"/>
      <c r="K450" s="118"/>
      <c r="L450" s="118"/>
      <c r="M450" s="118"/>
    </row>
    <row r="451" spans="2:13">
      <c r="B451" s="118"/>
      <c r="C451" s="13"/>
      <c r="D451" s="13"/>
      <c r="E451" s="5" t="s">
        <v>1915</v>
      </c>
      <c r="F451" s="5" t="s">
        <v>682</v>
      </c>
      <c r="G451" s="5" t="s">
        <v>1639</v>
      </c>
      <c r="H451" s="15">
        <v>1</v>
      </c>
      <c r="I451" s="118"/>
      <c r="J451" s="118"/>
      <c r="K451" s="118"/>
      <c r="L451" s="118"/>
      <c r="M451" s="118"/>
    </row>
    <row r="452" spans="2:13">
      <c r="B452" s="118"/>
      <c r="C452" s="13"/>
      <c r="D452" s="13"/>
      <c r="E452" s="13"/>
      <c r="F452" s="5" t="s">
        <v>609</v>
      </c>
      <c r="G452" s="12"/>
      <c r="H452" s="15">
        <v>1</v>
      </c>
      <c r="I452" s="118"/>
      <c r="J452" s="118"/>
      <c r="K452" s="118"/>
      <c r="L452" s="118"/>
      <c r="M452" s="118"/>
    </row>
    <row r="453" spans="2:13">
      <c r="B453" s="118"/>
      <c r="C453" s="13"/>
      <c r="D453" s="13"/>
      <c r="E453" s="5" t="s">
        <v>835</v>
      </c>
      <c r="F453" s="12"/>
      <c r="G453" s="12"/>
      <c r="H453" s="15">
        <v>1</v>
      </c>
      <c r="I453" s="143"/>
      <c r="J453" s="118"/>
      <c r="K453" s="118"/>
      <c r="L453" s="118"/>
      <c r="M453" s="118"/>
    </row>
    <row r="454" spans="2:13">
      <c r="B454" s="143"/>
      <c r="C454" s="13"/>
      <c r="D454" s="5" t="s">
        <v>1978</v>
      </c>
      <c r="E454" s="12"/>
      <c r="F454" s="12"/>
      <c r="G454" s="12"/>
      <c r="H454" s="15">
        <v>6</v>
      </c>
      <c r="I454" s="143"/>
      <c r="J454" s="143"/>
      <c r="K454" s="143"/>
      <c r="L454" s="143"/>
      <c r="M454" s="143"/>
    </row>
    <row r="455" spans="2:13">
      <c r="B455" s="143"/>
      <c r="C455" s="5" t="s">
        <v>406</v>
      </c>
      <c r="D455" s="12"/>
      <c r="E455" s="12"/>
      <c r="F455" s="12"/>
      <c r="G455" s="12"/>
      <c r="H455" s="15">
        <v>20</v>
      </c>
      <c r="I455" s="143"/>
      <c r="J455" s="143"/>
      <c r="K455" s="143"/>
      <c r="L455" s="143"/>
      <c r="M455" s="143"/>
    </row>
    <row r="456" spans="2:13">
      <c r="B456" s="143"/>
      <c r="C456" s="5" t="s">
        <v>876</v>
      </c>
      <c r="D456" s="5" t="s">
        <v>377</v>
      </c>
      <c r="E456" s="5" t="s">
        <v>519</v>
      </c>
      <c r="F456" s="5" t="s">
        <v>682</v>
      </c>
      <c r="G456" s="5" t="s">
        <v>1069</v>
      </c>
      <c r="H456" s="15">
        <v>1</v>
      </c>
      <c r="I456" s="143"/>
      <c r="J456" s="143"/>
      <c r="K456" s="143"/>
      <c r="L456" s="143"/>
      <c r="M456" s="143"/>
    </row>
    <row r="457" spans="2:13">
      <c r="B457" s="143"/>
      <c r="C457" s="13"/>
      <c r="D457" s="13"/>
      <c r="E457" s="13"/>
      <c r="F457" s="5" t="s">
        <v>609</v>
      </c>
      <c r="G457" s="12"/>
      <c r="H457" s="15">
        <v>1</v>
      </c>
      <c r="I457" s="143"/>
      <c r="J457" s="143"/>
      <c r="K457" s="143"/>
      <c r="L457" s="143"/>
      <c r="M457" s="143"/>
    </row>
    <row r="458" spans="2:13">
      <c r="B458" s="143"/>
      <c r="C458" s="13"/>
      <c r="D458" s="13"/>
      <c r="E458" s="5" t="s">
        <v>1129</v>
      </c>
      <c r="F458" s="12"/>
      <c r="G458" s="12"/>
      <c r="H458" s="15">
        <v>1</v>
      </c>
      <c r="I458" s="143"/>
      <c r="J458" s="143"/>
      <c r="K458" s="143"/>
      <c r="L458" s="143"/>
      <c r="M458" s="143"/>
    </row>
    <row r="459" spans="2:13">
      <c r="B459" s="143"/>
      <c r="C459" s="13"/>
      <c r="D459" s="5" t="s">
        <v>1974</v>
      </c>
      <c r="E459" s="12"/>
      <c r="F459" s="12"/>
      <c r="G459" s="12"/>
      <c r="H459" s="15">
        <v>1</v>
      </c>
      <c r="I459" s="143"/>
      <c r="J459" s="143"/>
      <c r="K459" s="143"/>
      <c r="L459" s="143"/>
      <c r="M459" s="143"/>
    </row>
    <row r="460" spans="2:13">
      <c r="B460" s="143"/>
      <c r="C460" s="13"/>
      <c r="D460" s="5" t="s">
        <v>107</v>
      </c>
      <c r="E460" s="5" t="s">
        <v>952</v>
      </c>
      <c r="F460" s="5" t="s">
        <v>682</v>
      </c>
      <c r="G460" s="5" t="s">
        <v>1884</v>
      </c>
      <c r="H460" s="15">
        <v>1</v>
      </c>
      <c r="I460" s="143"/>
      <c r="J460" s="143"/>
      <c r="K460" s="143"/>
      <c r="L460" s="143"/>
      <c r="M460" s="143"/>
    </row>
    <row r="461" spans="2:13">
      <c r="B461" s="143"/>
      <c r="C461" s="13"/>
      <c r="D461" s="13"/>
      <c r="E461" s="13"/>
      <c r="F461" s="5" t="s">
        <v>609</v>
      </c>
      <c r="G461" s="12"/>
      <c r="H461" s="15">
        <v>1</v>
      </c>
      <c r="I461" s="143"/>
      <c r="J461" s="143"/>
      <c r="K461" s="143"/>
      <c r="L461" s="143"/>
      <c r="M461" s="143"/>
    </row>
    <row r="462" spans="2:13">
      <c r="B462" s="143"/>
      <c r="C462" s="13"/>
      <c r="D462" s="13"/>
      <c r="E462" s="5" t="s">
        <v>1184</v>
      </c>
      <c r="F462" s="12"/>
      <c r="G462" s="12"/>
      <c r="H462" s="15">
        <v>1</v>
      </c>
      <c r="I462" s="143"/>
      <c r="J462" s="143"/>
      <c r="K462" s="143"/>
      <c r="L462" s="143"/>
      <c r="M462" s="143"/>
    </row>
    <row r="463" spans="2:13">
      <c r="B463" s="143"/>
      <c r="C463" s="13"/>
      <c r="D463" s="13"/>
      <c r="E463" s="5" t="s">
        <v>945</v>
      </c>
      <c r="F463" s="5" t="s">
        <v>682</v>
      </c>
      <c r="G463" s="5" t="s">
        <v>1884</v>
      </c>
      <c r="H463" s="15">
        <v>1</v>
      </c>
      <c r="I463" s="143"/>
      <c r="J463" s="143"/>
      <c r="K463" s="143"/>
      <c r="L463" s="143"/>
      <c r="M463" s="143"/>
    </row>
    <row r="464" spans="2:13">
      <c r="B464" s="143"/>
      <c r="C464" s="13"/>
      <c r="D464" s="13"/>
      <c r="E464" s="13"/>
      <c r="F464" s="5" t="s">
        <v>609</v>
      </c>
      <c r="G464" s="12"/>
      <c r="H464" s="15">
        <v>1</v>
      </c>
      <c r="I464" s="143"/>
      <c r="J464" s="143"/>
      <c r="K464" s="143"/>
      <c r="L464" s="143"/>
      <c r="M464" s="143"/>
    </row>
    <row r="465" spans="2:13">
      <c r="B465" s="143"/>
      <c r="C465" s="13"/>
      <c r="D465" s="13"/>
      <c r="E465" s="5" t="s">
        <v>1185</v>
      </c>
      <c r="F465" s="12"/>
      <c r="G465" s="12"/>
      <c r="H465" s="15">
        <v>1</v>
      </c>
      <c r="I465" s="143"/>
      <c r="J465" s="143"/>
      <c r="K465" s="143"/>
      <c r="L465" s="143"/>
      <c r="M465" s="143"/>
    </row>
    <row r="466" spans="2:13">
      <c r="B466" s="143"/>
      <c r="C466" s="13"/>
      <c r="D466" s="13"/>
      <c r="E466" s="5" t="s">
        <v>1901</v>
      </c>
      <c r="F466" s="5" t="s">
        <v>1420</v>
      </c>
      <c r="G466" s="5" t="s">
        <v>4</v>
      </c>
      <c r="H466" s="15">
        <v>1</v>
      </c>
      <c r="I466" s="143"/>
      <c r="J466" s="143"/>
      <c r="K466" s="143"/>
      <c r="L466" s="143"/>
      <c r="M466" s="143"/>
    </row>
    <row r="467" spans="2:13">
      <c r="B467" s="143"/>
      <c r="C467" s="13"/>
      <c r="D467" s="13"/>
      <c r="E467" s="13"/>
      <c r="F467" s="5" t="s">
        <v>1186</v>
      </c>
      <c r="G467" s="12"/>
      <c r="H467" s="15">
        <v>1</v>
      </c>
      <c r="I467" s="143"/>
      <c r="J467" s="143"/>
      <c r="K467" s="143"/>
      <c r="L467" s="143"/>
      <c r="M467" s="143"/>
    </row>
    <row r="468" spans="2:13">
      <c r="B468" s="143"/>
      <c r="C468" s="13"/>
      <c r="D468" s="13"/>
      <c r="E468" s="5" t="s">
        <v>1187</v>
      </c>
      <c r="F468" s="12"/>
      <c r="G468" s="12"/>
      <c r="H468" s="15">
        <v>1</v>
      </c>
      <c r="I468" s="143"/>
      <c r="J468" s="143"/>
      <c r="K468" s="143"/>
      <c r="L468" s="143"/>
      <c r="M468" s="143"/>
    </row>
    <row r="469" spans="2:13">
      <c r="B469" s="143"/>
      <c r="C469" s="13"/>
      <c r="D469" s="5" t="s">
        <v>1975</v>
      </c>
      <c r="E469" s="12"/>
      <c r="F469" s="12"/>
      <c r="G469" s="12"/>
      <c r="H469" s="15">
        <v>3</v>
      </c>
      <c r="I469" s="143"/>
      <c r="J469" s="143"/>
      <c r="K469" s="143"/>
      <c r="L469" s="143"/>
      <c r="M469" s="143"/>
    </row>
    <row r="470" spans="2:13">
      <c r="B470" s="143"/>
      <c r="C470" s="5" t="s">
        <v>407</v>
      </c>
      <c r="D470" s="12"/>
      <c r="E470" s="12"/>
      <c r="F470" s="12"/>
      <c r="G470" s="12"/>
      <c r="H470" s="15">
        <v>4</v>
      </c>
      <c r="I470" s="143"/>
      <c r="J470" s="143"/>
      <c r="K470" s="143"/>
      <c r="L470" s="143"/>
      <c r="M470" s="143"/>
    </row>
    <row r="471" spans="2:13">
      <c r="B471" s="143"/>
      <c r="C471" s="5" t="s">
        <v>230</v>
      </c>
      <c r="D471" s="5" t="s">
        <v>377</v>
      </c>
      <c r="E471" s="5" t="s">
        <v>1065</v>
      </c>
      <c r="F471" s="5" t="s">
        <v>196</v>
      </c>
      <c r="G471" s="5" t="s">
        <v>1877</v>
      </c>
      <c r="H471" s="15">
        <v>2</v>
      </c>
      <c r="I471" s="143"/>
      <c r="J471" s="143"/>
      <c r="K471" s="143"/>
      <c r="L471" s="143"/>
      <c r="M471" s="143"/>
    </row>
    <row r="472" spans="2:13">
      <c r="B472" s="143"/>
      <c r="C472" s="13"/>
      <c r="D472" s="13"/>
      <c r="E472" s="13"/>
      <c r="F472" s="5" t="s">
        <v>1171</v>
      </c>
      <c r="G472" s="12"/>
      <c r="H472" s="15">
        <v>2</v>
      </c>
      <c r="I472" s="143"/>
      <c r="J472" s="143"/>
      <c r="K472" s="143"/>
      <c r="L472" s="143"/>
      <c r="M472" s="143"/>
    </row>
    <row r="473" spans="2:13">
      <c r="B473" s="143"/>
      <c r="C473" s="13"/>
      <c r="D473" s="13"/>
      <c r="E473" s="5" t="s">
        <v>1130</v>
      </c>
      <c r="F473" s="12"/>
      <c r="G473" s="12"/>
      <c r="H473" s="15">
        <v>2</v>
      </c>
      <c r="I473" s="143"/>
      <c r="J473" s="143"/>
      <c r="K473" s="143"/>
      <c r="L473" s="143"/>
      <c r="M473" s="143"/>
    </row>
    <row r="474" spans="2:13">
      <c r="B474" s="143"/>
      <c r="C474" s="13"/>
      <c r="D474" s="5" t="s">
        <v>1974</v>
      </c>
      <c r="E474" s="12"/>
      <c r="F474" s="12"/>
      <c r="G474" s="12"/>
      <c r="H474" s="15">
        <v>2</v>
      </c>
      <c r="I474" s="143"/>
      <c r="J474" s="143"/>
      <c r="K474" s="143"/>
      <c r="L474" s="143"/>
      <c r="M474" s="143"/>
    </row>
    <row r="475" spans="2:13">
      <c r="B475" s="143"/>
      <c r="C475" s="13"/>
      <c r="D475" s="5" t="s">
        <v>107</v>
      </c>
      <c r="E475" s="5" t="s">
        <v>946</v>
      </c>
      <c r="F475" s="5" t="s">
        <v>682</v>
      </c>
      <c r="G475" s="5" t="s">
        <v>1884</v>
      </c>
      <c r="H475" s="15">
        <v>3</v>
      </c>
      <c r="I475" s="143"/>
      <c r="J475" s="143"/>
      <c r="K475" s="143"/>
      <c r="L475" s="143"/>
      <c r="M475" s="143"/>
    </row>
    <row r="476" spans="2:13">
      <c r="B476" s="143"/>
      <c r="C476" s="13"/>
      <c r="D476" s="13"/>
      <c r="E476" s="13"/>
      <c r="F476" s="5" t="s">
        <v>609</v>
      </c>
      <c r="G476" s="12"/>
      <c r="H476" s="15">
        <v>3</v>
      </c>
      <c r="I476" s="143"/>
      <c r="J476" s="143"/>
      <c r="K476" s="143"/>
      <c r="L476" s="143"/>
      <c r="M476" s="143"/>
    </row>
    <row r="477" spans="2:13">
      <c r="B477" s="143"/>
      <c r="C477" s="13"/>
      <c r="D477" s="13"/>
      <c r="E477" s="5" t="s">
        <v>1188</v>
      </c>
      <c r="F477" s="12"/>
      <c r="G477" s="12"/>
      <c r="H477" s="15">
        <v>3</v>
      </c>
      <c r="I477" s="143"/>
      <c r="J477" s="143"/>
      <c r="K477" s="143"/>
      <c r="L477" s="143"/>
      <c r="M477" s="143"/>
    </row>
    <row r="478" spans="2:13">
      <c r="B478" s="143"/>
      <c r="C478" s="13"/>
      <c r="D478" s="5" t="s">
        <v>1975</v>
      </c>
      <c r="E478" s="12"/>
      <c r="F478" s="12"/>
      <c r="G478" s="12"/>
      <c r="H478" s="15">
        <v>3</v>
      </c>
      <c r="I478" s="143"/>
      <c r="J478" s="143"/>
      <c r="K478" s="143"/>
      <c r="L478" s="143"/>
      <c r="M478" s="143"/>
    </row>
    <row r="479" spans="2:13">
      <c r="B479" s="143"/>
      <c r="C479" s="5" t="s">
        <v>408</v>
      </c>
      <c r="D479" s="12"/>
      <c r="E479" s="12"/>
      <c r="F479" s="12"/>
      <c r="G479" s="12"/>
      <c r="H479" s="15">
        <v>5</v>
      </c>
      <c r="I479" s="143"/>
      <c r="J479" s="143"/>
      <c r="K479" s="143"/>
      <c r="L479" s="143"/>
      <c r="M479" s="143"/>
    </row>
    <row r="480" spans="2:13">
      <c r="B480" s="143"/>
      <c r="C480" s="5" t="s">
        <v>241</v>
      </c>
      <c r="D480" s="5" t="s">
        <v>377</v>
      </c>
      <c r="E480" s="5" t="s">
        <v>1059</v>
      </c>
      <c r="F480" s="5" t="s">
        <v>1672</v>
      </c>
      <c r="G480" s="5" t="s">
        <v>1311</v>
      </c>
      <c r="H480" s="15">
        <v>1</v>
      </c>
      <c r="I480" s="143"/>
      <c r="J480" s="143"/>
      <c r="K480" s="143"/>
      <c r="L480" s="143"/>
      <c r="M480" s="143"/>
    </row>
    <row r="481" spans="2:13">
      <c r="B481" s="143"/>
      <c r="C481" s="13"/>
      <c r="D481" s="13"/>
      <c r="E481" s="13"/>
      <c r="F481" s="5" t="s">
        <v>1170</v>
      </c>
      <c r="G481" s="12"/>
      <c r="H481" s="15">
        <v>1</v>
      </c>
      <c r="I481" s="143"/>
      <c r="J481" s="143"/>
      <c r="K481" s="143"/>
      <c r="L481" s="143"/>
      <c r="M481" s="143"/>
    </row>
    <row r="482" spans="2:13">
      <c r="B482" s="143"/>
      <c r="C482" s="13"/>
      <c r="D482" s="13"/>
      <c r="E482" s="5" t="s">
        <v>1131</v>
      </c>
      <c r="F482" s="12"/>
      <c r="G482" s="12"/>
      <c r="H482" s="15">
        <v>1</v>
      </c>
      <c r="I482" s="143"/>
      <c r="J482" s="143"/>
      <c r="K482" s="143"/>
      <c r="L482" s="143"/>
      <c r="M482" s="143"/>
    </row>
    <row r="483" spans="2:13">
      <c r="B483" s="143"/>
      <c r="C483" s="13"/>
      <c r="D483" s="13"/>
      <c r="E483" s="5" t="s">
        <v>1084</v>
      </c>
      <c r="F483" s="5" t="s">
        <v>1083</v>
      </c>
      <c r="G483" s="5" t="s">
        <v>1311</v>
      </c>
      <c r="H483" s="15">
        <v>1</v>
      </c>
      <c r="I483" s="143"/>
      <c r="J483" s="143"/>
      <c r="K483" s="143"/>
      <c r="L483" s="143"/>
      <c r="M483" s="143"/>
    </row>
    <row r="484" spans="2:13">
      <c r="B484" s="143"/>
      <c r="C484" s="13"/>
      <c r="D484" s="13"/>
      <c r="E484" s="13"/>
      <c r="F484" s="5" t="s">
        <v>1172</v>
      </c>
      <c r="G484" s="12"/>
      <c r="H484" s="15">
        <v>1</v>
      </c>
      <c r="I484" s="143"/>
      <c r="J484" s="143"/>
      <c r="K484" s="143"/>
      <c r="L484" s="143"/>
      <c r="M484" s="143"/>
    </row>
    <row r="485" spans="2:13">
      <c r="B485" s="143"/>
      <c r="C485" s="13"/>
      <c r="D485" s="13"/>
      <c r="E485" s="5" t="s">
        <v>1132</v>
      </c>
      <c r="F485" s="12"/>
      <c r="G485" s="12"/>
      <c r="H485" s="15">
        <v>1</v>
      </c>
      <c r="I485" s="143"/>
      <c r="J485" s="143"/>
      <c r="K485" s="143"/>
      <c r="L485" s="143"/>
      <c r="M485" s="143"/>
    </row>
    <row r="486" spans="2:13">
      <c r="B486" s="143"/>
      <c r="C486" s="13"/>
      <c r="D486" s="5" t="s">
        <v>1974</v>
      </c>
      <c r="E486" s="12"/>
      <c r="F486" s="12"/>
      <c r="G486" s="12"/>
      <c r="H486" s="15">
        <v>2</v>
      </c>
      <c r="I486" s="143"/>
      <c r="J486" s="143"/>
      <c r="K486" s="143"/>
      <c r="L486" s="143"/>
      <c r="M486" s="143"/>
    </row>
    <row r="487" spans="2:13">
      <c r="B487" s="143"/>
      <c r="C487" s="13"/>
      <c r="D487" s="5" t="s">
        <v>107</v>
      </c>
      <c r="E487" s="5" t="s">
        <v>931</v>
      </c>
      <c r="F487" s="5" t="s">
        <v>682</v>
      </c>
      <c r="G487" s="5" t="s">
        <v>1884</v>
      </c>
      <c r="H487" s="15">
        <v>4</v>
      </c>
      <c r="I487" s="143"/>
      <c r="J487" s="143"/>
      <c r="K487" s="143"/>
      <c r="L487" s="143"/>
      <c r="M487" s="143"/>
    </row>
    <row r="488" spans="2:13">
      <c r="B488" s="143"/>
      <c r="C488" s="13"/>
      <c r="D488" s="13"/>
      <c r="E488" s="13"/>
      <c r="F488" s="5" t="s">
        <v>609</v>
      </c>
      <c r="G488" s="12"/>
      <c r="H488" s="15">
        <v>4</v>
      </c>
      <c r="I488" s="143"/>
      <c r="J488" s="143"/>
      <c r="K488" s="143"/>
      <c r="L488" s="143"/>
      <c r="M488" s="143"/>
    </row>
    <row r="489" spans="2:13">
      <c r="B489" s="143"/>
      <c r="C489" s="13"/>
      <c r="D489" s="13"/>
      <c r="E489" s="5" t="s">
        <v>1189</v>
      </c>
      <c r="F489" s="12"/>
      <c r="G489" s="12"/>
      <c r="H489" s="15">
        <v>4</v>
      </c>
      <c r="I489" s="143"/>
      <c r="J489" s="143"/>
      <c r="K489" s="143"/>
      <c r="L489" s="143"/>
      <c r="M489" s="143"/>
    </row>
    <row r="490" spans="2:13">
      <c r="B490" s="143"/>
      <c r="C490" s="13"/>
      <c r="D490" s="13"/>
      <c r="E490" s="5" t="s">
        <v>953</v>
      </c>
      <c r="F490" s="5" t="s">
        <v>682</v>
      </c>
      <c r="G490" s="5" t="s">
        <v>1884</v>
      </c>
      <c r="H490" s="15">
        <v>1</v>
      </c>
      <c r="I490" s="143"/>
      <c r="J490" s="143"/>
      <c r="K490" s="143"/>
      <c r="L490" s="143"/>
      <c r="M490" s="143"/>
    </row>
    <row r="491" spans="2:13">
      <c r="B491" s="143"/>
      <c r="C491" s="13"/>
      <c r="D491" s="13"/>
      <c r="E491" s="13"/>
      <c r="F491" s="5" t="s">
        <v>609</v>
      </c>
      <c r="G491" s="12"/>
      <c r="H491" s="15">
        <v>1</v>
      </c>
      <c r="I491" s="143"/>
      <c r="J491" s="143"/>
      <c r="K491" s="143"/>
      <c r="L491" s="143"/>
      <c r="M491" s="143"/>
    </row>
    <row r="492" spans="2:13">
      <c r="B492" s="143"/>
      <c r="C492" s="13"/>
      <c r="D492" s="13"/>
      <c r="E492" s="5" t="s">
        <v>1190</v>
      </c>
      <c r="F492" s="12"/>
      <c r="G492" s="12"/>
      <c r="H492" s="15">
        <v>1</v>
      </c>
      <c r="I492" s="143"/>
      <c r="J492" s="143"/>
      <c r="K492" s="143"/>
      <c r="L492" s="143"/>
      <c r="M492" s="143"/>
    </row>
    <row r="493" spans="2:13">
      <c r="B493" s="143"/>
      <c r="C493" s="13"/>
      <c r="D493" s="13"/>
      <c r="E493" s="5" t="s">
        <v>954</v>
      </c>
      <c r="F493" s="5" t="s">
        <v>682</v>
      </c>
      <c r="G493" s="5" t="s">
        <v>1884</v>
      </c>
      <c r="H493" s="15">
        <v>1</v>
      </c>
      <c r="I493" s="143"/>
      <c r="J493" s="143"/>
      <c r="K493" s="143"/>
      <c r="L493" s="143"/>
      <c r="M493" s="143"/>
    </row>
    <row r="494" spans="2:13">
      <c r="B494" s="143"/>
      <c r="C494" s="13"/>
      <c r="D494" s="13"/>
      <c r="E494" s="13"/>
      <c r="F494" s="5" t="s">
        <v>609</v>
      </c>
      <c r="G494" s="12"/>
      <c r="H494" s="15">
        <v>1</v>
      </c>
      <c r="I494" s="143"/>
      <c r="J494" s="143"/>
      <c r="K494" s="143"/>
      <c r="L494" s="143"/>
      <c r="M494" s="143"/>
    </row>
    <row r="495" spans="2:13">
      <c r="B495" s="143"/>
      <c r="C495" s="13"/>
      <c r="D495" s="13"/>
      <c r="E495" s="5" t="s">
        <v>1191</v>
      </c>
      <c r="F495" s="12"/>
      <c r="G495" s="12"/>
      <c r="H495" s="15">
        <v>1</v>
      </c>
      <c r="I495" s="143"/>
      <c r="J495" s="143"/>
      <c r="K495" s="143"/>
      <c r="L495" s="143"/>
      <c r="M495" s="143"/>
    </row>
    <row r="496" spans="2:13">
      <c r="B496" s="143"/>
      <c r="C496" s="13"/>
      <c r="D496" s="5" t="s">
        <v>1975</v>
      </c>
      <c r="E496" s="12"/>
      <c r="F496" s="12"/>
      <c r="G496" s="12"/>
      <c r="H496" s="15">
        <v>6</v>
      </c>
      <c r="I496" s="143"/>
      <c r="J496" s="143"/>
      <c r="K496" s="143"/>
      <c r="L496" s="143"/>
      <c r="M496" s="143"/>
    </row>
    <row r="497" spans="2:13">
      <c r="B497" s="143"/>
      <c r="C497" s="5" t="s">
        <v>409</v>
      </c>
      <c r="D497" s="12"/>
      <c r="E497" s="12"/>
      <c r="F497" s="12"/>
      <c r="G497" s="12"/>
      <c r="H497" s="15">
        <v>8</v>
      </c>
      <c r="I497" s="143"/>
      <c r="J497" s="143"/>
      <c r="K497" s="143"/>
      <c r="L497" s="143"/>
      <c r="M497" s="143"/>
    </row>
    <row r="498" spans="2:13">
      <c r="B498" s="143"/>
      <c r="C498" s="5" t="s">
        <v>239</v>
      </c>
      <c r="D498" s="5" t="s">
        <v>377</v>
      </c>
      <c r="E498" s="5" t="s">
        <v>1635</v>
      </c>
      <c r="F498" s="5" t="s">
        <v>1672</v>
      </c>
      <c r="G498" s="5" t="s">
        <v>1633</v>
      </c>
      <c r="H498" s="15">
        <v>1</v>
      </c>
      <c r="I498" s="143"/>
      <c r="J498" s="143"/>
      <c r="K498" s="143"/>
      <c r="L498" s="143"/>
      <c r="M498" s="143"/>
    </row>
    <row r="499" spans="2:13">
      <c r="B499" s="143"/>
      <c r="C499" s="13"/>
      <c r="D499" s="13"/>
      <c r="E499" s="13"/>
      <c r="F499" s="5" t="s">
        <v>1170</v>
      </c>
      <c r="G499" s="12"/>
      <c r="H499" s="15">
        <v>1</v>
      </c>
      <c r="I499" s="143"/>
      <c r="J499" s="143"/>
      <c r="K499" s="143"/>
      <c r="L499" s="143"/>
      <c r="M499" s="143"/>
    </row>
    <row r="500" spans="2:13">
      <c r="B500" s="143"/>
      <c r="C500" s="13"/>
      <c r="D500" s="13"/>
      <c r="E500" s="5" t="s">
        <v>1133</v>
      </c>
      <c r="F500" s="12"/>
      <c r="G500" s="12"/>
      <c r="H500" s="15">
        <v>1</v>
      </c>
      <c r="I500" s="143"/>
      <c r="J500" s="143"/>
      <c r="K500" s="143"/>
      <c r="L500" s="143"/>
      <c r="M500" s="143"/>
    </row>
    <row r="501" spans="2:13">
      <c r="B501" s="143"/>
      <c r="C501" s="13"/>
      <c r="D501" s="5" t="s">
        <v>1974</v>
      </c>
      <c r="E501" s="12"/>
      <c r="F501" s="12"/>
      <c r="G501" s="12"/>
      <c r="H501" s="15">
        <v>1</v>
      </c>
      <c r="I501" s="143"/>
      <c r="J501" s="143"/>
      <c r="K501" s="143"/>
      <c r="L501" s="143"/>
      <c r="M501" s="143"/>
    </row>
    <row r="502" spans="2:13">
      <c r="B502" s="143"/>
      <c r="C502" s="13"/>
      <c r="D502" s="5" t="s">
        <v>107</v>
      </c>
      <c r="E502" s="5" t="s">
        <v>170</v>
      </c>
      <c r="F502" s="5" t="s">
        <v>682</v>
      </c>
      <c r="G502" s="5" t="s">
        <v>1884</v>
      </c>
      <c r="H502" s="15">
        <v>1</v>
      </c>
      <c r="I502" s="143"/>
      <c r="J502" s="143"/>
      <c r="K502" s="143"/>
      <c r="L502" s="143"/>
      <c r="M502" s="143"/>
    </row>
    <row r="503" spans="2:13">
      <c r="B503" s="143"/>
      <c r="C503" s="13"/>
      <c r="D503" s="13"/>
      <c r="E503" s="13"/>
      <c r="F503" s="5" t="s">
        <v>609</v>
      </c>
      <c r="G503" s="12"/>
      <c r="H503" s="15">
        <v>1</v>
      </c>
      <c r="I503" s="143"/>
      <c r="J503" s="143"/>
      <c r="K503" s="143"/>
      <c r="L503" s="143"/>
      <c r="M503" s="143"/>
    </row>
    <row r="504" spans="2:13">
      <c r="B504" s="143"/>
      <c r="C504" s="13"/>
      <c r="D504" s="13"/>
      <c r="E504" s="5" t="s">
        <v>1199</v>
      </c>
      <c r="F504" s="12"/>
      <c r="G504" s="12"/>
      <c r="H504" s="15">
        <v>1</v>
      </c>
      <c r="I504" s="143"/>
      <c r="J504" s="143"/>
      <c r="K504" s="143"/>
      <c r="L504" s="143"/>
      <c r="M504" s="143"/>
    </row>
    <row r="505" spans="2:13">
      <c r="B505" s="143"/>
      <c r="C505" s="13"/>
      <c r="D505" s="13"/>
      <c r="E505" s="5" t="s">
        <v>538</v>
      </c>
      <c r="F505" s="5" t="s">
        <v>1565</v>
      </c>
      <c r="G505" s="5" t="s">
        <v>1884</v>
      </c>
      <c r="H505" s="15">
        <v>1</v>
      </c>
      <c r="I505" s="143"/>
      <c r="J505" s="143"/>
      <c r="K505" s="143"/>
      <c r="L505" s="143"/>
      <c r="M505" s="143"/>
    </row>
    <row r="506" spans="2:13">
      <c r="B506" s="143"/>
      <c r="C506" s="13"/>
      <c r="D506" s="13"/>
      <c r="E506" s="13"/>
      <c r="F506" s="5" t="s">
        <v>611</v>
      </c>
      <c r="G506" s="12"/>
      <c r="H506" s="15">
        <v>1</v>
      </c>
      <c r="I506" s="143"/>
      <c r="J506" s="143"/>
      <c r="K506" s="143"/>
      <c r="L506" s="143"/>
      <c r="M506" s="143"/>
    </row>
    <row r="507" spans="2:13">
      <c r="B507" s="143"/>
      <c r="C507" s="13"/>
      <c r="D507" s="13"/>
      <c r="E507" s="5" t="s">
        <v>1200</v>
      </c>
      <c r="F507" s="12"/>
      <c r="G507" s="12"/>
      <c r="H507" s="15">
        <v>1</v>
      </c>
      <c r="I507" s="143"/>
      <c r="J507" s="143"/>
      <c r="K507" s="143"/>
      <c r="L507" s="143"/>
      <c r="M507" s="143"/>
    </row>
    <row r="508" spans="2:13">
      <c r="B508" s="143"/>
      <c r="C508" s="13"/>
      <c r="D508" s="13"/>
      <c r="E508" s="5" t="s">
        <v>1834</v>
      </c>
      <c r="F508" s="5" t="s">
        <v>2026</v>
      </c>
      <c r="G508" s="5" t="s">
        <v>1835</v>
      </c>
      <c r="H508" s="15">
        <v>1</v>
      </c>
      <c r="I508" s="143"/>
      <c r="J508" s="143"/>
      <c r="K508" s="143"/>
      <c r="L508" s="143"/>
      <c r="M508" s="143"/>
    </row>
    <row r="509" spans="2:13">
      <c r="B509" s="143"/>
      <c r="C509" s="13"/>
      <c r="D509" s="13"/>
      <c r="E509" s="13"/>
      <c r="F509" s="5" t="s">
        <v>1201</v>
      </c>
      <c r="G509" s="12"/>
      <c r="H509" s="15">
        <v>1</v>
      </c>
      <c r="I509" s="143"/>
      <c r="J509" s="143"/>
      <c r="K509" s="143"/>
      <c r="L509" s="143"/>
      <c r="M509" s="143"/>
    </row>
    <row r="510" spans="2:13">
      <c r="B510" s="143"/>
      <c r="C510" s="13"/>
      <c r="D510" s="13"/>
      <c r="E510" s="5" t="s">
        <v>1202</v>
      </c>
      <c r="F510" s="12"/>
      <c r="G510" s="12"/>
      <c r="H510" s="15">
        <v>1</v>
      </c>
      <c r="I510" s="200"/>
      <c r="J510" s="143"/>
      <c r="K510" s="143"/>
      <c r="L510" s="143"/>
      <c r="M510" s="143"/>
    </row>
    <row r="511" spans="2:13">
      <c r="B511" s="200"/>
      <c r="C511" s="13"/>
      <c r="D511" s="13"/>
      <c r="E511" s="5" t="s">
        <v>172</v>
      </c>
      <c r="F511" s="5" t="s">
        <v>682</v>
      </c>
      <c r="G511" s="5" t="s">
        <v>1884</v>
      </c>
      <c r="H511" s="15">
        <v>1</v>
      </c>
      <c r="I511" s="143"/>
      <c r="J511" s="200"/>
      <c r="K511" s="200"/>
      <c r="L511" s="200"/>
      <c r="M511" s="200"/>
    </row>
    <row r="512" spans="2:13">
      <c r="B512" s="143"/>
      <c r="C512" s="13"/>
      <c r="D512" s="13"/>
      <c r="E512" s="13"/>
      <c r="F512" s="5" t="s">
        <v>609</v>
      </c>
      <c r="G512" s="12"/>
      <c r="H512" s="15">
        <v>1</v>
      </c>
      <c r="I512" s="143"/>
      <c r="J512" s="143"/>
      <c r="K512" s="143"/>
      <c r="L512" s="143"/>
      <c r="M512" s="143"/>
    </row>
    <row r="513" spans="2:13">
      <c r="B513" s="143"/>
      <c r="C513" s="13"/>
      <c r="D513" s="13"/>
      <c r="E513" s="5" t="s">
        <v>799</v>
      </c>
      <c r="F513" s="12"/>
      <c r="G513" s="12"/>
      <c r="H513" s="15">
        <v>1</v>
      </c>
      <c r="I513" s="143"/>
      <c r="J513" s="143"/>
      <c r="K513" s="143"/>
      <c r="L513" s="143"/>
      <c r="M513" s="143"/>
    </row>
    <row r="514" spans="2:13">
      <c r="B514" s="143"/>
      <c r="C514" s="13"/>
      <c r="D514" s="13"/>
      <c r="E514" s="5" t="s">
        <v>1374</v>
      </c>
      <c r="F514" s="5" t="s">
        <v>682</v>
      </c>
      <c r="G514" s="5" t="s">
        <v>1884</v>
      </c>
      <c r="H514" s="15">
        <v>1</v>
      </c>
      <c r="I514" s="143"/>
      <c r="J514" s="143"/>
      <c r="K514" s="143"/>
      <c r="L514" s="143"/>
      <c r="M514" s="143"/>
    </row>
    <row r="515" spans="2:13">
      <c r="B515" s="143"/>
      <c r="C515" s="13"/>
      <c r="D515" s="13"/>
      <c r="E515" s="13"/>
      <c r="F515" s="5" t="s">
        <v>609</v>
      </c>
      <c r="G515" s="12"/>
      <c r="H515" s="15">
        <v>1</v>
      </c>
      <c r="I515" s="143"/>
      <c r="J515" s="143"/>
      <c r="K515" s="143"/>
      <c r="L515" s="143"/>
      <c r="M515" s="143"/>
    </row>
    <row r="516" spans="2:13">
      <c r="B516" s="143"/>
      <c r="C516" s="13"/>
      <c r="D516" s="13"/>
      <c r="E516" s="5" t="s">
        <v>800</v>
      </c>
      <c r="F516" s="12"/>
      <c r="G516" s="12"/>
      <c r="H516" s="15">
        <v>1</v>
      </c>
      <c r="I516" s="143"/>
      <c r="J516" s="143"/>
      <c r="K516" s="143"/>
      <c r="L516" s="143"/>
      <c r="M516" s="143"/>
    </row>
    <row r="517" spans="2:13">
      <c r="B517" s="143"/>
      <c r="C517" s="13"/>
      <c r="D517" s="13"/>
      <c r="E517" s="5" t="s">
        <v>949</v>
      </c>
      <c r="F517" s="5" t="s">
        <v>682</v>
      </c>
      <c r="G517" s="5" t="s">
        <v>1884</v>
      </c>
      <c r="H517" s="15">
        <v>1</v>
      </c>
      <c r="I517" s="143"/>
      <c r="J517" s="143"/>
      <c r="K517" s="143"/>
      <c r="L517" s="143"/>
      <c r="M517" s="143"/>
    </row>
    <row r="518" spans="2:13">
      <c r="B518" s="143"/>
      <c r="C518" s="13"/>
      <c r="D518" s="13"/>
      <c r="E518" s="13"/>
      <c r="F518" s="5" t="s">
        <v>609</v>
      </c>
      <c r="G518" s="12"/>
      <c r="H518" s="15">
        <v>1</v>
      </c>
      <c r="I518" s="102"/>
      <c r="J518" s="143"/>
      <c r="K518" s="143"/>
      <c r="L518" s="143"/>
      <c r="M518" s="143"/>
    </row>
    <row r="519" spans="2:13">
      <c r="B519" s="102"/>
      <c r="C519" s="13"/>
      <c r="D519" s="13"/>
      <c r="E519" s="5" t="s">
        <v>1203</v>
      </c>
      <c r="F519" s="12"/>
      <c r="G519" s="12"/>
      <c r="H519" s="15">
        <v>1</v>
      </c>
      <c r="I519" s="102"/>
      <c r="J519" s="102"/>
      <c r="K519" s="102"/>
      <c r="L519" s="102"/>
      <c r="M519" s="102"/>
    </row>
    <row r="520" spans="2:13">
      <c r="B520" s="102"/>
      <c r="C520" s="13"/>
      <c r="D520" s="13"/>
      <c r="E520" s="5" t="s">
        <v>944</v>
      </c>
      <c r="F520" s="5" t="s">
        <v>682</v>
      </c>
      <c r="G520" s="5" t="s">
        <v>1884</v>
      </c>
      <c r="H520" s="15">
        <v>1</v>
      </c>
      <c r="I520" s="102"/>
      <c r="J520" s="102"/>
      <c r="K520" s="102"/>
      <c r="L520" s="102"/>
      <c r="M520" s="102"/>
    </row>
    <row r="521" spans="2:13">
      <c r="B521" s="102"/>
      <c r="C521" s="13"/>
      <c r="D521" s="13"/>
      <c r="E521" s="13"/>
      <c r="F521" s="5" t="s">
        <v>609</v>
      </c>
      <c r="G521" s="12"/>
      <c r="H521" s="15">
        <v>1</v>
      </c>
      <c r="I521" s="93"/>
      <c r="J521" s="102"/>
      <c r="K521" s="102"/>
      <c r="L521" s="102"/>
      <c r="M521" s="102"/>
    </row>
    <row r="522" spans="2:13">
      <c r="B522" s="93"/>
      <c r="C522" s="13"/>
      <c r="D522" s="13"/>
      <c r="E522" s="5" t="s">
        <v>1247</v>
      </c>
      <c r="F522" s="12"/>
      <c r="G522" s="12"/>
      <c r="H522" s="15">
        <v>1</v>
      </c>
      <c r="I522" s="102"/>
      <c r="J522" s="93"/>
      <c r="K522" s="93"/>
      <c r="L522" s="93"/>
      <c r="M522" s="93"/>
    </row>
    <row r="523" spans="2:13">
      <c r="B523" s="102"/>
      <c r="C523" s="13"/>
      <c r="D523" s="13"/>
      <c r="E523" s="5" t="s">
        <v>950</v>
      </c>
      <c r="F523" s="5" t="s">
        <v>682</v>
      </c>
      <c r="G523" s="5" t="s">
        <v>1884</v>
      </c>
      <c r="H523" s="15">
        <v>1</v>
      </c>
      <c r="I523" s="102"/>
      <c r="J523" s="102"/>
      <c r="K523" s="102"/>
      <c r="L523" s="102"/>
      <c r="M523" s="102"/>
    </row>
    <row r="524" spans="2:13">
      <c r="B524" s="102"/>
      <c r="C524" s="13"/>
      <c r="D524" s="13"/>
      <c r="E524" s="13"/>
      <c r="F524" s="5" t="s">
        <v>609</v>
      </c>
      <c r="G524" s="12"/>
      <c r="H524" s="15">
        <v>1</v>
      </c>
      <c r="I524" s="93"/>
      <c r="J524" s="102"/>
      <c r="K524" s="102"/>
      <c r="L524" s="102"/>
      <c r="M524" s="102"/>
    </row>
    <row r="525" spans="2:13">
      <c r="B525" s="93"/>
      <c r="C525" s="13"/>
      <c r="D525" s="13"/>
      <c r="E525" s="5" t="s">
        <v>1248</v>
      </c>
      <c r="F525" s="12"/>
      <c r="G525" s="12"/>
      <c r="H525" s="15">
        <v>1</v>
      </c>
      <c r="I525" s="102"/>
      <c r="J525" s="93"/>
      <c r="K525" s="93"/>
      <c r="L525" s="93"/>
      <c r="M525" s="93"/>
    </row>
    <row r="526" spans="2:13">
      <c r="B526" s="102"/>
      <c r="C526" s="13"/>
      <c r="D526" s="13"/>
      <c r="E526" s="5" t="s">
        <v>955</v>
      </c>
      <c r="F526" s="5" t="s">
        <v>682</v>
      </c>
      <c r="G526" s="5" t="s">
        <v>1884</v>
      </c>
      <c r="H526" s="15">
        <v>1</v>
      </c>
      <c r="I526" s="102"/>
      <c r="J526" s="102"/>
      <c r="K526" s="102"/>
      <c r="L526" s="102"/>
      <c r="M526" s="102"/>
    </row>
    <row r="527" spans="2:13">
      <c r="B527" s="102"/>
      <c r="C527" s="13"/>
      <c r="D527" s="13"/>
      <c r="E527" s="13"/>
      <c r="F527" s="5" t="s">
        <v>609</v>
      </c>
      <c r="G527" s="12"/>
      <c r="H527" s="690">
        <v>1</v>
      </c>
      <c r="I527" s="102"/>
      <c r="J527" s="102"/>
      <c r="K527" s="102"/>
      <c r="L527" s="102"/>
      <c r="M527" s="102"/>
    </row>
    <row r="528" spans="2:13">
      <c r="B528" s="102"/>
      <c r="C528" s="13"/>
      <c r="D528" s="13"/>
      <c r="E528" s="5" t="s">
        <v>1249</v>
      </c>
      <c r="F528" s="12"/>
      <c r="G528" s="12"/>
      <c r="H528" s="690">
        <v>1</v>
      </c>
      <c r="I528" s="102"/>
      <c r="J528" s="102"/>
      <c r="K528" s="102"/>
      <c r="L528" s="102"/>
      <c r="M528" s="102"/>
    </row>
    <row r="529" spans="2:13">
      <c r="B529" s="102"/>
      <c r="C529" s="13"/>
      <c r="D529" s="13"/>
      <c r="E529" s="5" t="s">
        <v>948</v>
      </c>
      <c r="F529" s="5" t="s">
        <v>682</v>
      </c>
      <c r="G529" s="5" t="s">
        <v>1884</v>
      </c>
      <c r="H529" s="690">
        <v>1</v>
      </c>
      <c r="I529" s="102"/>
      <c r="J529" s="102"/>
      <c r="K529" s="102"/>
      <c r="L529" s="102"/>
      <c r="M529" s="102"/>
    </row>
    <row r="530" spans="2:13">
      <c r="B530" s="102"/>
      <c r="C530" s="13"/>
      <c r="D530" s="13"/>
      <c r="E530" s="13"/>
      <c r="F530" s="5" t="s">
        <v>609</v>
      </c>
      <c r="G530" s="12"/>
      <c r="H530" s="690">
        <v>1</v>
      </c>
      <c r="I530" s="102"/>
      <c r="J530" s="102"/>
      <c r="K530" s="102"/>
      <c r="L530" s="102"/>
      <c r="M530" s="102"/>
    </row>
    <row r="531" spans="2:13">
      <c r="B531" s="102"/>
      <c r="C531" s="13"/>
      <c r="D531" s="13"/>
      <c r="E531" s="5" t="s">
        <v>1250</v>
      </c>
      <c r="F531" s="12"/>
      <c r="G531" s="12"/>
      <c r="H531" s="15">
        <v>1</v>
      </c>
      <c r="I531" s="102"/>
      <c r="J531" s="102"/>
      <c r="K531" s="102"/>
      <c r="L531" s="102"/>
      <c r="M531" s="102"/>
    </row>
    <row r="532" spans="2:13">
      <c r="B532" s="102"/>
      <c r="C532" s="13"/>
      <c r="D532" s="13"/>
      <c r="E532" s="5" t="s">
        <v>1096</v>
      </c>
      <c r="F532" s="5" t="s">
        <v>1400</v>
      </c>
      <c r="G532" s="5" t="s">
        <v>1884</v>
      </c>
      <c r="H532" s="15">
        <v>1</v>
      </c>
      <c r="I532" s="102"/>
      <c r="J532" s="102"/>
      <c r="K532" s="102"/>
      <c r="L532" s="102"/>
      <c r="M532" s="102"/>
    </row>
    <row r="533" spans="2:13">
      <c r="B533" s="102"/>
      <c r="C533" s="13"/>
      <c r="D533" s="13"/>
      <c r="E533" s="13"/>
      <c r="F533" s="5" t="s">
        <v>1254</v>
      </c>
      <c r="G533" s="12"/>
      <c r="H533" s="15">
        <v>1</v>
      </c>
      <c r="I533" s="102"/>
      <c r="J533" s="102"/>
      <c r="K533" s="102"/>
      <c r="L533" s="102"/>
      <c r="M533" s="102"/>
    </row>
    <row r="534" spans="2:13">
      <c r="B534" s="102"/>
      <c r="C534" s="13"/>
      <c r="D534" s="13"/>
      <c r="E534" s="5" t="s">
        <v>827</v>
      </c>
      <c r="F534" s="12"/>
      <c r="G534" s="12"/>
      <c r="H534" s="15">
        <v>1</v>
      </c>
      <c r="I534" s="102"/>
      <c r="J534" s="102"/>
      <c r="K534" s="102"/>
      <c r="L534" s="102"/>
      <c r="M534" s="102"/>
    </row>
    <row r="535" spans="2:13">
      <c r="B535" s="102"/>
      <c r="C535" s="13"/>
      <c r="D535" s="5" t="s">
        <v>1975</v>
      </c>
      <c r="E535" s="12"/>
      <c r="F535" s="12"/>
      <c r="G535" s="12"/>
      <c r="H535" s="15">
        <v>11</v>
      </c>
      <c r="I535" s="102"/>
      <c r="J535" s="102"/>
      <c r="K535" s="102"/>
      <c r="L535" s="102"/>
      <c r="M535" s="102"/>
    </row>
    <row r="536" spans="2:13">
      <c r="B536" s="102"/>
      <c r="C536" s="5" t="s">
        <v>410</v>
      </c>
      <c r="D536" s="12"/>
      <c r="E536" s="12"/>
      <c r="F536" s="12"/>
      <c r="G536" s="12"/>
      <c r="H536" s="15">
        <v>12</v>
      </c>
      <c r="I536" s="102"/>
      <c r="J536" s="102"/>
      <c r="K536" s="102"/>
      <c r="L536" s="102"/>
      <c r="M536" s="102"/>
    </row>
    <row r="537" spans="2:13">
      <c r="B537" s="102"/>
      <c r="C537" s="5" t="s">
        <v>242</v>
      </c>
      <c r="D537" s="5" t="s">
        <v>107</v>
      </c>
      <c r="E537" s="5" t="s">
        <v>951</v>
      </c>
      <c r="F537" s="5" t="s">
        <v>682</v>
      </c>
      <c r="G537" s="5" t="s">
        <v>1884</v>
      </c>
      <c r="H537" s="15">
        <v>1</v>
      </c>
      <c r="I537" s="102"/>
      <c r="J537" s="102"/>
      <c r="K537" s="102"/>
      <c r="L537" s="102"/>
      <c r="M537" s="102"/>
    </row>
    <row r="538" spans="2:13">
      <c r="B538" s="102"/>
      <c r="C538" s="13"/>
      <c r="D538" s="13"/>
      <c r="E538" s="13"/>
      <c r="F538" s="5" t="s">
        <v>609</v>
      </c>
      <c r="G538" s="12"/>
      <c r="H538" s="15">
        <v>1</v>
      </c>
      <c r="I538" s="102"/>
      <c r="J538" s="102"/>
      <c r="K538" s="102"/>
      <c r="L538" s="102"/>
      <c r="M538" s="102"/>
    </row>
    <row r="539" spans="2:13">
      <c r="B539" s="102"/>
      <c r="C539" s="13"/>
      <c r="D539" s="13"/>
      <c r="E539" s="5" t="s">
        <v>1251</v>
      </c>
      <c r="F539" s="12"/>
      <c r="G539" s="12"/>
      <c r="H539" s="15">
        <v>1</v>
      </c>
      <c r="I539" s="102"/>
      <c r="J539" s="102"/>
      <c r="K539" s="102"/>
      <c r="L539" s="102"/>
      <c r="M539" s="102"/>
    </row>
    <row r="540" spans="2:13">
      <c r="B540" s="102"/>
      <c r="C540" s="13"/>
      <c r="D540" s="13"/>
      <c r="E540" s="5" t="s">
        <v>161</v>
      </c>
      <c r="F540" s="5" t="s">
        <v>682</v>
      </c>
      <c r="G540" s="5" t="s">
        <v>1884</v>
      </c>
      <c r="H540" s="15">
        <v>1</v>
      </c>
      <c r="I540" s="102"/>
      <c r="J540" s="102"/>
      <c r="K540" s="102"/>
      <c r="L540" s="102"/>
      <c r="M540" s="102"/>
    </row>
    <row r="541" spans="2:13">
      <c r="B541" s="102"/>
      <c r="C541" s="13"/>
      <c r="D541" s="13"/>
      <c r="E541" s="13"/>
      <c r="F541" s="5" t="s">
        <v>609</v>
      </c>
      <c r="G541" s="12"/>
      <c r="H541" s="15">
        <v>1</v>
      </c>
      <c r="I541" s="102"/>
      <c r="J541" s="102"/>
      <c r="K541" s="102"/>
      <c r="L541" s="102"/>
      <c r="M541" s="102"/>
    </row>
    <row r="542" spans="2:13">
      <c r="B542" s="102"/>
      <c r="C542" s="13"/>
      <c r="D542" s="13"/>
      <c r="E542" s="5" t="s">
        <v>1252</v>
      </c>
      <c r="F542" s="12"/>
      <c r="G542" s="12"/>
      <c r="H542" s="15">
        <v>1</v>
      </c>
      <c r="I542" s="102"/>
      <c r="J542" s="102"/>
      <c r="K542" s="102"/>
      <c r="L542" s="102"/>
      <c r="M542" s="102"/>
    </row>
    <row r="543" spans="2:13">
      <c r="B543" s="102"/>
      <c r="C543" s="13"/>
      <c r="D543" s="13"/>
      <c r="E543" s="5" t="s">
        <v>162</v>
      </c>
      <c r="F543" s="5" t="s">
        <v>682</v>
      </c>
      <c r="G543" s="5" t="s">
        <v>1884</v>
      </c>
      <c r="H543" s="15">
        <v>4</v>
      </c>
      <c r="I543" s="102"/>
      <c r="J543" s="102"/>
      <c r="K543" s="102"/>
      <c r="L543" s="102"/>
      <c r="M543" s="102"/>
    </row>
    <row r="544" spans="2:13">
      <c r="B544" s="102"/>
      <c r="C544" s="13"/>
      <c r="D544" s="13"/>
      <c r="E544" s="13"/>
      <c r="F544" s="5" t="s">
        <v>609</v>
      </c>
      <c r="G544" s="12"/>
      <c r="H544" s="15">
        <v>4</v>
      </c>
      <c r="I544" s="102"/>
      <c r="J544" s="102"/>
      <c r="K544" s="102"/>
      <c r="L544" s="102"/>
      <c r="M544" s="102"/>
    </row>
    <row r="545" spans="2:13">
      <c r="B545" s="102"/>
      <c r="C545" s="13"/>
      <c r="D545" s="13"/>
      <c r="E545" s="5" t="s">
        <v>1253</v>
      </c>
      <c r="F545" s="12"/>
      <c r="G545" s="12"/>
      <c r="H545" s="15">
        <v>4</v>
      </c>
      <c r="I545" s="102"/>
      <c r="J545" s="102"/>
      <c r="K545" s="102"/>
      <c r="L545" s="102"/>
      <c r="M545" s="102"/>
    </row>
    <row r="546" spans="2:13">
      <c r="B546" s="102"/>
      <c r="C546" s="13"/>
      <c r="D546" s="5" t="s">
        <v>1975</v>
      </c>
      <c r="E546" s="12"/>
      <c r="F546" s="12"/>
      <c r="G546" s="12"/>
      <c r="H546" s="15">
        <v>6</v>
      </c>
      <c r="I546" s="102"/>
      <c r="J546" s="102"/>
      <c r="K546" s="102"/>
      <c r="L546" s="102"/>
      <c r="M546" s="102"/>
    </row>
    <row r="547" spans="2:13">
      <c r="B547" s="102"/>
      <c r="C547" s="5" t="s">
        <v>411</v>
      </c>
      <c r="D547" s="12"/>
      <c r="E547" s="12"/>
      <c r="F547" s="12"/>
      <c r="G547" s="12"/>
      <c r="H547" s="15">
        <v>6</v>
      </c>
      <c r="I547" s="102"/>
      <c r="J547" s="102"/>
      <c r="K547" s="102"/>
      <c r="L547" s="102"/>
      <c r="M547" s="102"/>
    </row>
    <row r="548" spans="2:13">
      <c r="B548" s="102"/>
      <c r="C548" s="5" t="s">
        <v>1095</v>
      </c>
      <c r="D548" s="5" t="s">
        <v>107</v>
      </c>
      <c r="E548" s="5" t="s">
        <v>1095</v>
      </c>
      <c r="F548" s="5" t="s">
        <v>1400</v>
      </c>
      <c r="G548" s="5" t="s">
        <v>1884</v>
      </c>
      <c r="H548" s="15">
        <v>1</v>
      </c>
      <c r="I548" s="102"/>
      <c r="J548" s="102"/>
      <c r="K548" s="102"/>
      <c r="L548" s="102"/>
      <c r="M548" s="102"/>
    </row>
    <row r="549" spans="2:13">
      <c r="B549" s="102"/>
      <c r="C549" s="13"/>
      <c r="D549" s="13"/>
      <c r="E549" s="13"/>
      <c r="F549" s="5" t="s">
        <v>1254</v>
      </c>
      <c r="G549" s="12"/>
      <c r="H549" s="15">
        <v>1</v>
      </c>
      <c r="I549" s="102"/>
      <c r="J549" s="102"/>
      <c r="K549" s="102"/>
      <c r="L549" s="102"/>
      <c r="M549" s="102"/>
    </row>
    <row r="550" spans="2:13">
      <c r="B550" s="102"/>
      <c r="C550" s="13"/>
      <c r="D550" s="13"/>
      <c r="E550" s="5" t="s">
        <v>1255</v>
      </c>
      <c r="F550" s="12"/>
      <c r="G550" s="12"/>
      <c r="H550" s="15">
        <v>1</v>
      </c>
      <c r="I550" s="102"/>
      <c r="J550" s="102"/>
      <c r="K550" s="102"/>
      <c r="L550" s="102"/>
      <c r="M550" s="102"/>
    </row>
    <row r="551" spans="2:13">
      <c r="B551" s="102"/>
      <c r="C551" s="13"/>
      <c r="D551" s="13"/>
      <c r="E551" s="5" t="s">
        <v>414</v>
      </c>
      <c r="F551" s="5" t="s">
        <v>1668</v>
      </c>
      <c r="G551" s="5" t="s">
        <v>1877</v>
      </c>
      <c r="H551" s="15">
        <v>1</v>
      </c>
      <c r="I551" s="87"/>
      <c r="J551" s="102"/>
      <c r="K551" s="102"/>
      <c r="L551" s="102"/>
      <c r="M551" s="102"/>
    </row>
    <row r="552" spans="2:13">
      <c r="B552" s="87"/>
      <c r="C552" s="13"/>
      <c r="D552" s="13"/>
      <c r="E552" s="13"/>
      <c r="F552" s="5" t="s">
        <v>616</v>
      </c>
      <c r="G552" s="12"/>
      <c r="H552" s="15">
        <v>1</v>
      </c>
      <c r="I552" s="87"/>
      <c r="J552" s="87"/>
      <c r="K552" s="87"/>
      <c r="L552" s="87"/>
      <c r="M552" s="87"/>
    </row>
    <row r="553" spans="2:13">
      <c r="B553" s="87"/>
      <c r="C553" s="13"/>
      <c r="D553" s="13"/>
      <c r="E553" s="5" t="s">
        <v>2065</v>
      </c>
      <c r="F553" s="12"/>
      <c r="G553" s="12"/>
      <c r="H553" s="15">
        <v>1</v>
      </c>
      <c r="I553" s="87"/>
      <c r="J553" s="87"/>
      <c r="K553" s="87"/>
      <c r="L553" s="87"/>
      <c r="M553" s="87"/>
    </row>
    <row r="554" spans="2:13">
      <c r="B554" s="87"/>
      <c r="C554" s="13"/>
      <c r="D554" s="5" t="s">
        <v>1975</v>
      </c>
      <c r="E554" s="12"/>
      <c r="F554" s="12"/>
      <c r="G554" s="12"/>
      <c r="H554" s="15">
        <v>2</v>
      </c>
      <c r="I554" s="87"/>
      <c r="J554" s="87"/>
      <c r="K554" s="87"/>
      <c r="L554" s="87"/>
      <c r="M554" s="87"/>
    </row>
    <row r="555" spans="2:13">
      <c r="B555" s="87"/>
      <c r="C555" s="13"/>
      <c r="D555" s="5" t="s">
        <v>184</v>
      </c>
      <c r="E555" s="5" t="s">
        <v>1095</v>
      </c>
      <c r="F555" s="5" t="s">
        <v>1668</v>
      </c>
      <c r="G555" s="5" t="s">
        <v>1877</v>
      </c>
      <c r="H555" s="15">
        <v>2</v>
      </c>
      <c r="I555"/>
      <c r="J555" s="87"/>
      <c r="K555" s="87"/>
      <c r="L555" s="87"/>
      <c r="M555" s="87"/>
    </row>
    <row r="556" spans="2:13">
      <c r="B556"/>
      <c r="C556" s="13"/>
      <c r="D556" s="13"/>
      <c r="E556" s="13"/>
      <c r="F556" s="5" t="s">
        <v>616</v>
      </c>
      <c r="G556" s="12"/>
      <c r="H556" s="15">
        <v>2</v>
      </c>
      <c r="I556"/>
      <c r="J556"/>
      <c r="K556"/>
      <c r="L556"/>
      <c r="M556"/>
    </row>
    <row r="557" spans="2:13">
      <c r="B557"/>
      <c r="C557" s="13"/>
      <c r="D557" s="13"/>
      <c r="E557" s="5" t="s">
        <v>1255</v>
      </c>
      <c r="F557" s="12"/>
      <c r="G557" s="12"/>
      <c r="H557" s="15">
        <v>2</v>
      </c>
      <c r="I557"/>
      <c r="J557"/>
      <c r="K557"/>
      <c r="L557"/>
      <c r="M557"/>
    </row>
    <row r="558" spans="2:13">
      <c r="B558"/>
      <c r="C558" s="13"/>
      <c r="D558" s="5" t="s">
        <v>1978</v>
      </c>
      <c r="E558" s="12"/>
      <c r="F558" s="12"/>
      <c r="G558" s="12"/>
      <c r="H558" s="15">
        <v>2</v>
      </c>
      <c r="I558"/>
      <c r="J558"/>
      <c r="K558"/>
      <c r="L558"/>
      <c r="M558"/>
    </row>
    <row r="559" spans="2:13">
      <c r="B559"/>
      <c r="C559" s="5" t="s">
        <v>647</v>
      </c>
      <c r="D559" s="12"/>
      <c r="E559" s="12"/>
      <c r="F559" s="12"/>
      <c r="G559" s="12"/>
      <c r="H559" s="15">
        <v>4</v>
      </c>
      <c r="I559"/>
      <c r="J559"/>
      <c r="K559"/>
      <c r="L559"/>
      <c r="M559"/>
    </row>
    <row r="560" spans="2:13">
      <c r="B560"/>
      <c r="C560" s="5" t="s">
        <v>226</v>
      </c>
      <c r="D560" s="5" t="s">
        <v>377</v>
      </c>
      <c r="E560" s="5" t="s">
        <v>1079</v>
      </c>
      <c r="F560" s="5" t="s">
        <v>682</v>
      </c>
      <c r="G560" s="5" t="s">
        <v>1069</v>
      </c>
      <c r="H560" s="15">
        <v>1</v>
      </c>
      <c r="I560"/>
      <c r="J560"/>
      <c r="K560"/>
      <c r="L560"/>
      <c r="M560"/>
    </row>
    <row r="561" spans="2:13">
      <c r="B561"/>
      <c r="C561" s="13"/>
      <c r="D561" s="13"/>
      <c r="E561" s="13"/>
      <c r="F561" s="5" t="s">
        <v>609</v>
      </c>
      <c r="G561" s="12"/>
      <c r="H561" s="15">
        <v>1</v>
      </c>
      <c r="I561"/>
      <c r="J561"/>
      <c r="K561"/>
      <c r="L561"/>
      <c r="M561"/>
    </row>
    <row r="562" spans="2:13">
      <c r="B562"/>
      <c r="C562" s="13"/>
      <c r="D562" s="13"/>
      <c r="E562" s="5" t="s">
        <v>1134</v>
      </c>
      <c r="F562" s="12"/>
      <c r="G562" s="12"/>
      <c r="H562" s="15">
        <v>1</v>
      </c>
      <c r="I562"/>
      <c r="J562"/>
      <c r="K562"/>
      <c r="L562"/>
      <c r="M562"/>
    </row>
    <row r="563" spans="2:13">
      <c r="B563"/>
      <c r="C563" s="13"/>
      <c r="D563" s="13"/>
      <c r="E563" s="5" t="s">
        <v>1087</v>
      </c>
      <c r="F563" s="5" t="s">
        <v>682</v>
      </c>
      <c r="G563" s="5" t="s">
        <v>1069</v>
      </c>
      <c r="H563" s="15">
        <v>1</v>
      </c>
      <c r="I563"/>
      <c r="J563"/>
      <c r="K563"/>
      <c r="L563"/>
      <c r="M563"/>
    </row>
    <row r="564" spans="2:13">
      <c r="B564"/>
      <c r="C564" s="13"/>
      <c r="D564" s="13"/>
      <c r="E564" s="13"/>
      <c r="F564" s="5" t="s">
        <v>609</v>
      </c>
      <c r="G564" s="12"/>
      <c r="H564" s="15">
        <v>1</v>
      </c>
      <c r="I564"/>
      <c r="J564"/>
      <c r="K564"/>
      <c r="L564"/>
      <c r="M564"/>
    </row>
    <row r="565" spans="2:13">
      <c r="B565"/>
      <c r="C565" s="13"/>
      <c r="D565" s="13"/>
      <c r="E565" s="5" t="s">
        <v>1135</v>
      </c>
      <c r="F565" s="12"/>
      <c r="G565" s="12"/>
      <c r="H565" s="15">
        <v>1</v>
      </c>
      <c r="I565"/>
      <c r="J565"/>
      <c r="K565"/>
      <c r="L565"/>
      <c r="M565"/>
    </row>
    <row r="566" spans="2:13">
      <c r="B566"/>
      <c r="C566" s="13"/>
      <c r="D566" s="13"/>
      <c r="E566" s="5" t="s">
        <v>383</v>
      </c>
      <c r="F566" s="5" t="s">
        <v>682</v>
      </c>
      <c r="G566" s="5" t="s">
        <v>1069</v>
      </c>
      <c r="H566" s="15">
        <v>1</v>
      </c>
      <c r="I566"/>
      <c r="J566"/>
      <c r="K566"/>
      <c r="L566"/>
      <c r="M566"/>
    </row>
    <row r="567" spans="2:13">
      <c r="B567"/>
      <c r="C567" s="13"/>
      <c r="D567" s="13"/>
      <c r="E567" s="13"/>
      <c r="F567" s="5" t="s">
        <v>609</v>
      </c>
      <c r="G567" s="12"/>
      <c r="H567" s="15">
        <v>1</v>
      </c>
      <c r="I567"/>
      <c r="J567"/>
      <c r="K567"/>
      <c r="L567"/>
      <c r="M567"/>
    </row>
    <row r="568" spans="2:13">
      <c r="B568"/>
      <c r="C568" s="13"/>
      <c r="D568" s="13"/>
      <c r="E568" s="5" t="s">
        <v>1136</v>
      </c>
      <c r="F568" s="12"/>
      <c r="G568" s="12"/>
      <c r="H568" s="15">
        <v>1</v>
      </c>
      <c r="I568"/>
      <c r="J568"/>
      <c r="K568"/>
      <c r="L568"/>
      <c r="M568"/>
    </row>
    <row r="569" spans="2:13">
      <c r="B569"/>
      <c r="C569" s="13"/>
      <c r="D569" s="13"/>
      <c r="E569" s="5" t="s">
        <v>382</v>
      </c>
      <c r="F569" s="5" t="s">
        <v>682</v>
      </c>
      <c r="G569" s="5" t="s">
        <v>1069</v>
      </c>
      <c r="H569" s="15">
        <v>1</v>
      </c>
      <c r="I569"/>
      <c r="J569"/>
      <c r="K569"/>
      <c r="L569"/>
      <c r="M569"/>
    </row>
    <row r="570" spans="2:13">
      <c r="B570"/>
      <c r="C570" s="13"/>
      <c r="D570" s="13"/>
      <c r="E570" s="13"/>
      <c r="F570" s="5" t="s">
        <v>609</v>
      </c>
      <c r="G570" s="12"/>
      <c r="H570" s="15">
        <v>1</v>
      </c>
      <c r="I570"/>
      <c r="J570"/>
      <c r="K570"/>
      <c r="L570"/>
      <c r="M570"/>
    </row>
    <row r="571" spans="2:13">
      <c r="B571"/>
      <c r="C571" s="13"/>
      <c r="D571" s="13"/>
      <c r="E571" s="5" t="s">
        <v>1137</v>
      </c>
      <c r="F571" s="12"/>
      <c r="G571" s="12"/>
      <c r="H571" s="15">
        <v>1</v>
      </c>
      <c r="I571"/>
      <c r="J571"/>
      <c r="K571"/>
      <c r="L571"/>
      <c r="M571"/>
    </row>
    <row r="572" spans="2:13">
      <c r="B572"/>
      <c r="C572" s="13"/>
      <c r="D572" s="5" t="s">
        <v>1974</v>
      </c>
      <c r="E572" s="12"/>
      <c r="F572" s="12"/>
      <c r="G572" s="12"/>
      <c r="H572" s="15">
        <v>4</v>
      </c>
      <c r="I572"/>
      <c r="J572"/>
      <c r="K572"/>
      <c r="L572"/>
      <c r="M572"/>
    </row>
    <row r="573" spans="2:13">
      <c r="B573"/>
      <c r="C573" s="13"/>
      <c r="D573" s="5" t="s">
        <v>107</v>
      </c>
      <c r="E573" s="5" t="s">
        <v>904</v>
      </c>
      <c r="F573" s="5" t="s">
        <v>682</v>
      </c>
      <c r="G573" s="5" t="s">
        <v>1884</v>
      </c>
      <c r="H573" s="15">
        <v>1</v>
      </c>
      <c r="I573"/>
      <c r="J573"/>
      <c r="K573"/>
      <c r="L573"/>
      <c r="M573"/>
    </row>
    <row r="574" spans="2:13">
      <c r="B574"/>
      <c r="C574" s="13"/>
      <c r="D574" s="13"/>
      <c r="E574" s="13"/>
      <c r="F574" s="5" t="s">
        <v>609</v>
      </c>
      <c r="G574" s="12"/>
      <c r="H574" s="15">
        <v>1</v>
      </c>
      <c r="I574"/>
      <c r="J574"/>
      <c r="K574"/>
      <c r="L574"/>
      <c r="M574"/>
    </row>
    <row r="575" spans="2:13">
      <c r="B575"/>
      <c r="C575" s="13"/>
      <c r="D575" s="13"/>
      <c r="E575" s="5" t="s">
        <v>1256</v>
      </c>
      <c r="F575" s="12"/>
      <c r="G575" s="12"/>
      <c r="H575" s="15">
        <v>1</v>
      </c>
      <c r="I575"/>
      <c r="J575"/>
      <c r="K575"/>
      <c r="L575"/>
      <c r="M575"/>
    </row>
    <row r="576" spans="2:13">
      <c r="B576"/>
      <c r="C576" s="13"/>
      <c r="D576" s="13"/>
      <c r="E576" s="5" t="s">
        <v>906</v>
      </c>
      <c r="F576" s="5" t="s">
        <v>682</v>
      </c>
      <c r="G576" s="5" t="s">
        <v>1884</v>
      </c>
      <c r="H576" s="15">
        <v>4</v>
      </c>
      <c r="I576"/>
      <c r="J576"/>
      <c r="K576"/>
      <c r="L576"/>
      <c r="M576"/>
    </row>
    <row r="577" spans="2:13">
      <c r="B577"/>
      <c r="C577" s="13"/>
      <c r="D577" s="13"/>
      <c r="E577" s="13"/>
      <c r="F577" s="5" t="s">
        <v>609</v>
      </c>
      <c r="G577" s="12"/>
      <c r="H577" s="15">
        <v>4</v>
      </c>
      <c r="I577"/>
      <c r="J577"/>
      <c r="K577"/>
      <c r="L577"/>
      <c r="M577"/>
    </row>
    <row r="578" spans="2:13">
      <c r="B578"/>
      <c r="C578" s="13"/>
      <c r="D578" s="13"/>
      <c r="E578" s="5" t="s">
        <v>1257</v>
      </c>
      <c r="F578" s="12"/>
      <c r="G578" s="12"/>
      <c r="H578" s="15">
        <v>4</v>
      </c>
      <c r="I578"/>
      <c r="J578"/>
      <c r="K578"/>
      <c r="L578"/>
      <c r="M578"/>
    </row>
    <row r="579" spans="2:13">
      <c r="B579"/>
      <c r="C579" s="13"/>
      <c r="D579" s="13"/>
      <c r="E579" s="5" t="s">
        <v>1903</v>
      </c>
      <c r="F579" s="5" t="s">
        <v>1902</v>
      </c>
      <c r="G579" s="5" t="s">
        <v>4</v>
      </c>
      <c r="H579" s="15">
        <v>1</v>
      </c>
      <c r="I579"/>
      <c r="J579"/>
      <c r="K579"/>
      <c r="L579"/>
      <c r="M579"/>
    </row>
    <row r="580" spans="2:13">
      <c r="B580"/>
      <c r="C580" s="13"/>
      <c r="D580" s="13"/>
      <c r="E580" s="13"/>
      <c r="F580" s="5" t="s">
        <v>1258</v>
      </c>
      <c r="G580" s="12"/>
      <c r="H580" s="15">
        <v>1</v>
      </c>
      <c r="I580"/>
      <c r="J580"/>
      <c r="K580"/>
      <c r="L580"/>
      <c r="M580"/>
    </row>
    <row r="581" spans="2:13">
      <c r="B581"/>
      <c r="C581" s="13"/>
      <c r="D581" s="13"/>
      <c r="E581" s="5" t="s">
        <v>1259</v>
      </c>
      <c r="F581" s="12"/>
      <c r="G581" s="12"/>
      <c r="H581" s="15">
        <v>1</v>
      </c>
      <c r="I581"/>
      <c r="J581"/>
      <c r="K581"/>
      <c r="L581"/>
      <c r="M581"/>
    </row>
    <row r="582" spans="2:13">
      <c r="B582"/>
      <c r="C582" s="13"/>
      <c r="D582" s="13"/>
      <c r="E582" s="5" t="s">
        <v>943</v>
      </c>
      <c r="F582" s="5" t="s">
        <v>682</v>
      </c>
      <c r="G582" s="5" t="s">
        <v>1884</v>
      </c>
      <c r="H582" s="15">
        <v>18</v>
      </c>
      <c r="I582"/>
      <c r="J582"/>
      <c r="K582"/>
      <c r="L582"/>
      <c r="M582"/>
    </row>
    <row r="583" spans="2:13">
      <c r="B583"/>
      <c r="C583" s="13"/>
      <c r="D583" s="13"/>
      <c r="E583" s="13"/>
      <c r="F583" s="5" t="s">
        <v>609</v>
      </c>
      <c r="G583" s="12"/>
      <c r="H583" s="15">
        <v>18</v>
      </c>
      <c r="I583"/>
      <c r="J583"/>
      <c r="K583"/>
      <c r="L583"/>
      <c r="M583"/>
    </row>
    <row r="584" spans="2:13">
      <c r="B584"/>
      <c r="C584" s="13"/>
      <c r="D584" s="13"/>
      <c r="E584" s="5" t="s">
        <v>1260</v>
      </c>
      <c r="F584" s="12"/>
      <c r="G584" s="12"/>
      <c r="H584" s="15">
        <v>18</v>
      </c>
      <c r="I584"/>
      <c r="J584"/>
      <c r="K584"/>
      <c r="L584"/>
      <c r="M584"/>
    </row>
    <row r="585" spans="2:13">
      <c r="B585"/>
      <c r="C585" s="13"/>
      <c r="D585" s="13"/>
      <c r="E585" s="5" t="s">
        <v>1904</v>
      </c>
      <c r="F585" s="5" t="s">
        <v>1902</v>
      </c>
      <c r="G585" s="5" t="s">
        <v>4</v>
      </c>
      <c r="H585" s="15">
        <v>2</v>
      </c>
      <c r="I585"/>
      <c r="J585"/>
      <c r="K585"/>
      <c r="L585"/>
      <c r="M585"/>
    </row>
    <row r="586" spans="2:13">
      <c r="B586"/>
      <c r="C586" s="13"/>
      <c r="D586" s="13"/>
      <c r="E586" s="13"/>
      <c r="F586" s="5" t="s">
        <v>1258</v>
      </c>
      <c r="G586" s="12"/>
      <c r="H586" s="15">
        <v>2</v>
      </c>
      <c r="I586"/>
      <c r="J586"/>
      <c r="K586"/>
      <c r="L586"/>
      <c r="M586"/>
    </row>
    <row r="587" spans="2:13">
      <c r="B587"/>
      <c r="C587" s="13"/>
      <c r="D587" s="13"/>
      <c r="E587" s="5" t="s">
        <v>1261</v>
      </c>
      <c r="F587" s="12"/>
      <c r="G587" s="12"/>
      <c r="H587" s="15">
        <v>2</v>
      </c>
      <c r="I587"/>
      <c r="J587"/>
      <c r="K587"/>
      <c r="L587"/>
      <c r="M587"/>
    </row>
    <row r="588" spans="2:13">
      <c r="B588"/>
      <c r="C588" s="13"/>
      <c r="D588" s="5" t="s">
        <v>1975</v>
      </c>
      <c r="E588" s="12"/>
      <c r="F588" s="12"/>
      <c r="G588" s="12"/>
      <c r="H588" s="15">
        <v>26</v>
      </c>
      <c r="I588"/>
      <c r="J588"/>
      <c r="K588"/>
      <c r="L588"/>
      <c r="M588"/>
    </row>
    <row r="589" spans="2:13">
      <c r="B589"/>
      <c r="C589" s="5" t="s">
        <v>648</v>
      </c>
      <c r="D589" s="12"/>
      <c r="E589" s="12"/>
      <c r="F589" s="12"/>
      <c r="G589" s="12"/>
      <c r="H589" s="15">
        <v>30</v>
      </c>
      <c r="I589"/>
      <c r="J589"/>
      <c r="K589"/>
      <c r="L589"/>
      <c r="M589"/>
    </row>
    <row r="590" spans="2:13">
      <c r="B590"/>
      <c r="C590" s="5" t="s">
        <v>1076</v>
      </c>
      <c r="D590" s="5" t="s">
        <v>377</v>
      </c>
      <c r="E590" s="5" t="s">
        <v>597</v>
      </c>
      <c r="F590" s="5" t="s">
        <v>1604</v>
      </c>
      <c r="G590" s="5" t="s">
        <v>1311</v>
      </c>
      <c r="H590" s="15">
        <v>1</v>
      </c>
      <c r="I590"/>
      <c r="J590"/>
      <c r="K590"/>
      <c r="L590"/>
      <c r="M590"/>
    </row>
    <row r="591" spans="2:13">
      <c r="B591"/>
      <c r="C591" s="13"/>
      <c r="D591" s="13"/>
      <c r="E591" s="13"/>
      <c r="F591" s="5" t="s">
        <v>617</v>
      </c>
      <c r="G591" s="12"/>
      <c r="H591" s="15">
        <v>1</v>
      </c>
      <c r="I591"/>
      <c r="J591"/>
      <c r="K591"/>
      <c r="L591"/>
      <c r="M591"/>
    </row>
    <row r="592" spans="2:13">
      <c r="B592"/>
      <c r="C592" s="13"/>
      <c r="D592" s="13"/>
      <c r="E592" s="5" t="s">
        <v>1138</v>
      </c>
      <c r="F592" s="12"/>
      <c r="G592" s="12"/>
      <c r="H592" s="15">
        <v>1</v>
      </c>
      <c r="I592"/>
      <c r="J592"/>
      <c r="K592"/>
      <c r="L592"/>
      <c r="M592"/>
    </row>
    <row r="593" spans="2:13">
      <c r="B593"/>
      <c r="C593" s="13"/>
      <c r="D593" s="13"/>
      <c r="E593" s="5" t="s">
        <v>1076</v>
      </c>
      <c r="F593" s="5" t="s">
        <v>1891</v>
      </c>
      <c r="G593" s="5" t="s">
        <v>1892</v>
      </c>
      <c r="H593" s="15">
        <v>1</v>
      </c>
      <c r="I593"/>
      <c r="J593"/>
      <c r="K593"/>
      <c r="L593"/>
      <c r="M593"/>
    </row>
    <row r="594" spans="2:13">
      <c r="B594"/>
      <c r="C594" s="13"/>
      <c r="D594" s="13"/>
      <c r="E594" s="13"/>
      <c r="F594" s="5" t="s">
        <v>1173</v>
      </c>
      <c r="G594" s="12"/>
      <c r="H594" s="15">
        <v>1</v>
      </c>
      <c r="I594"/>
      <c r="J594"/>
      <c r="K594"/>
      <c r="L594"/>
      <c r="M594"/>
    </row>
    <row r="595" spans="2:13">
      <c r="B595"/>
      <c r="C595" s="13"/>
      <c r="D595" s="13"/>
      <c r="E595" s="5" t="s">
        <v>1139</v>
      </c>
      <c r="F595" s="12"/>
      <c r="G595" s="12"/>
      <c r="H595" s="15">
        <v>1</v>
      </c>
      <c r="I595"/>
      <c r="J595"/>
      <c r="K595"/>
      <c r="L595"/>
      <c r="M595"/>
    </row>
    <row r="596" spans="2:13">
      <c r="B596"/>
      <c r="C596" s="13"/>
      <c r="D596" s="5" t="s">
        <v>1974</v>
      </c>
      <c r="E596" s="12"/>
      <c r="F596" s="12"/>
      <c r="G596" s="12"/>
      <c r="H596" s="15">
        <v>2</v>
      </c>
      <c r="I596"/>
      <c r="J596"/>
      <c r="K596"/>
      <c r="L596"/>
      <c r="M596"/>
    </row>
    <row r="597" spans="2:13">
      <c r="B597"/>
      <c r="C597" s="13"/>
      <c r="D597" s="5" t="s">
        <v>107</v>
      </c>
      <c r="E597" s="5" t="s">
        <v>1213</v>
      </c>
      <c r="F597" s="5" t="s">
        <v>682</v>
      </c>
      <c r="G597" s="5" t="s">
        <v>1877</v>
      </c>
      <c r="H597" s="15">
        <v>1</v>
      </c>
      <c r="I597"/>
      <c r="J597"/>
      <c r="K597"/>
      <c r="L597"/>
      <c r="M597"/>
    </row>
    <row r="598" spans="2:13">
      <c r="B598"/>
      <c r="C598" s="13"/>
      <c r="D598" s="13"/>
      <c r="E598" s="13"/>
      <c r="F598" s="5" t="s">
        <v>609</v>
      </c>
      <c r="G598" s="12"/>
      <c r="H598" s="15">
        <v>1</v>
      </c>
      <c r="I598"/>
      <c r="J598"/>
      <c r="K598"/>
      <c r="L598"/>
      <c r="M598"/>
    </row>
    <row r="599" spans="2:13">
      <c r="B599"/>
      <c r="C599" s="13"/>
      <c r="D599" s="13"/>
      <c r="E599" s="5" t="s">
        <v>1262</v>
      </c>
      <c r="F599" s="12"/>
      <c r="G599" s="12"/>
      <c r="H599" s="15">
        <v>1</v>
      </c>
      <c r="I599"/>
      <c r="J599"/>
      <c r="K599"/>
      <c r="L599"/>
      <c r="M599"/>
    </row>
    <row r="600" spans="2:13">
      <c r="B600"/>
      <c r="C600" s="13"/>
      <c r="D600" s="5" t="s">
        <v>1975</v>
      </c>
      <c r="E600" s="12"/>
      <c r="F600" s="12"/>
      <c r="G600" s="12"/>
      <c r="H600" s="15">
        <v>1</v>
      </c>
      <c r="I600"/>
      <c r="J600"/>
      <c r="K600"/>
      <c r="L600"/>
      <c r="M600"/>
    </row>
    <row r="601" spans="2:13">
      <c r="B601"/>
      <c r="C601" s="5" t="s">
        <v>649</v>
      </c>
      <c r="D601" s="12"/>
      <c r="E601" s="12"/>
      <c r="F601" s="12"/>
      <c r="G601" s="12"/>
      <c r="H601" s="15">
        <v>3</v>
      </c>
      <c r="I601" s="87"/>
      <c r="J601"/>
      <c r="K601"/>
      <c r="L601"/>
      <c r="M601"/>
    </row>
    <row r="602" spans="2:13">
      <c r="B602" s="87"/>
      <c r="C602" s="5" t="s">
        <v>233</v>
      </c>
      <c r="D602" s="5" t="s">
        <v>377</v>
      </c>
      <c r="E602" s="5" t="s">
        <v>1122</v>
      </c>
      <c r="F602" s="5" t="s">
        <v>1048</v>
      </c>
      <c r="G602" s="5" t="s">
        <v>1940</v>
      </c>
      <c r="H602" s="15">
        <v>1</v>
      </c>
      <c r="I602" s="87"/>
      <c r="J602" s="87"/>
      <c r="K602" s="87"/>
      <c r="L602" s="87"/>
      <c r="M602" s="87"/>
    </row>
    <row r="603" spans="2:13">
      <c r="B603" s="87"/>
      <c r="C603" s="13"/>
      <c r="D603" s="13"/>
      <c r="E603" s="13"/>
      <c r="F603" s="5" t="s">
        <v>1175</v>
      </c>
      <c r="G603" s="12"/>
      <c r="H603" s="15">
        <v>1</v>
      </c>
      <c r="I603" s="87"/>
      <c r="J603" s="87"/>
      <c r="K603" s="87"/>
      <c r="L603" s="87"/>
      <c r="M603" s="87"/>
    </row>
    <row r="604" spans="2:13">
      <c r="B604" s="87"/>
      <c r="C604" s="13"/>
      <c r="D604" s="13"/>
      <c r="E604" s="5" t="s">
        <v>1122</v>
      </c>
      <c r="F604" s="12"/>
      <c r="G604" s="12"/>
      <c r="H604" s="15">
        <v>1</v>
      </c>
      <c r="I604" s="87"/>
      <c r="J604" s="87"/>
      <c r="K604" s="87"/>
      <c r="L604" s="87"/>
      <c r="M604" s="87"/>
    </row>
    <row r="605" spans="2:13">
      <c r="B605" s="87"/>
      <c r="C605" s="13"/>
      <c r="D605" s="13"/>
      <c r="E605" s="5" t="s">
        <v>1105</v>
      </c>
      <c r="F605" s="5" t="s">
        <v>1054</v>
      </c>
      <c r="G605" s="5" t="s">
        <v>1055</v>
      </c>
      <c r="H605" s="15">
        <v>1</v>
      </c>
      <c r="I605" s="87"/>
      <c r="J605" s="87"/>
      <c r="K605" s="87"/>
      <c r="L605" s="87"/>
      <c r="M605" s="87"/>
    </row>
    <row r="606" spans="2:13">
      <c r="B606" s="87"/>
      <c r="C606" s="13"/>
      <c r="D606" s="13"/>
      <c r="E606" s="13"/>
      <c r="F606" s="5" t="s">
        <v>1176</v>
      </c>
      <c r="G606" s="12"/>
      <c r="H606" s="15">
        <v>1</v>
      </c>
      <c r="I606" s="87"/>
      <c r="J606" s="87"/>
      <c r="K606" s="87"/>
      <c r="L606" s="87"/>
      <c r="M606" s="87"/>
    </row>
    <row r="607" spans="2:13">
      <c r="B607" s="87"/>
      <c r="C607" s="13"/>
      <c r="D607" s="13"/>
      <c r="E607" s="5" t="s">
        <v>1142</v>
      </c>
      <c r="F607" s="12"/>
      <c r="G607" s="12"/>
      <c r="H607" s="15">
        <v>1</v>
      </c>
      <c r="I607" s="87"/>
      <c r="J607" s="87"/>
      <c r="K607" s="87"/>
      <c r="L607" s="87"/>
      <c r="M607" s="87"/>
    </row>
    <row r="608" spans="2:13">
      <c r="B608" s="87"/>
      <c r="C608" s="13"/>
      <c r="D608" s="5" t="s">
        <v>1974</v>
      </c>
      <c r="E608" s="12"/>
      <c r="F608" s="12"/>
      <c r="G608" s="12"/>
      <c r="H608" s="15">
        <v>2</v>
      </c>
      <c r="I608" s="87"/>
      <c r="J608" s="87"/>
      <c r="K608" s="87"/>
      <c r="L608" s="87"/>
      <c r="M608" s="87"/>
    </row>
    <row r="609" spans="2:13">
      <c r="B609" s="87"/>
      <c r="C609" s="5" t="s">
        <v>650</v>
      </c>
      <c r="D609" s="12"/>
      <c r="E609" s="12"/>
      <c r="F609" s="12"/>
      <c r="G609" s="12"/>
      <c r="H609" s="15">
        <v>2</v>
      </c>
      <c r="I609" s="87"/>
      <c r="J609" s="87"/>
      <c r="K609" s="87"/>
      <c r="L609" s="87"/>
      <c r="M609" s="87"/>
    </row>
    <row r="610" spans="2:13">
      <c r="B610" s="87"/>
      <c r="C610" s="5" t="s">
        <v>234</v>
      </c>
      <c r="D610" s="5" t="s">
        <v>107</v>
      </c>
      <c r="E610" s="5" t="s">
        <v>1837</v>
      </c>
      <c r="F610" s="5" t="s">
        <v>2026</v>
      </c>
      <c r="G610" s="5" t="s">
        <v>1835</v>
      </c>
      <c r="H610" s="15">
        <v>1</v>
      </c>
      <c r="I610" s="87"/>
      <c r="J610" s="87"/>
      <c r="K610" s="87"/>
      <c r="L610" s="87"/>
      <c r="M610" s="87"/>
    </row>
    <row r="611" spans="2:13">
      <c r="B611" s="87"/>
      <c r="C611" s="13"/>
      <c r="D611" s="13"/>
      <c r="E611" s="13"/>
      <c r="F611" s="5" t="s">
        <v>1201</v>
      </c>
      <c r="G611" s="12"/>
      <c r="H611" s="15">
        <v>1</v>
      </c>
      <c r="I611" s="87"/>
      <c r="J611" s="87"/>
      <c r="K611" s="87"/>
      <c r="L611" s="87"/>
      <c r="M611" s="87"/>
    </row>
    <row r="612" spans="2:13">
      <c r="B612" s="87"/>
      <c r="C612" s="13"/>
      <c r="D612" s="13"/>
      <c r="E612" s="5" t="s">
        <v>1263</v>
      </c>
      <c r="F612" s="12"/>
      <c r="G612" s="12"/>
      <c r="H612" s="15">
        <v>1</v>
      </c>
      <c r="I612" s="87"/>
      <c r="J612" s="87"/>
      <c r="K612" s="87"/>
      <c r="L612" s="87"/>
      <c r="M612" s="87"/>
    </row>
    <row r="613" spans="2:13">
      <c r="B613" s="87"/>
      <c r="C613" s="13"/>
      <c r="D613" s="13"/>
      <c r="E613" s="5" t="s">
        <v>992</v>
      </c>
      <c r="F613" s="5" t="s">
        <v>1565</v>
      </c>
      <c r="G613" s="5" t="s">
        <v>626</v>
      </c>
      <c r="H613" s="15">
        <v>1</v>
      </c>
      <c r="I613" s="87"/>
      <c r="J613" s="87"/>
      <c r="K613" s="87"/>
      <c r="L613" s="87"/>
      <c r="M613" s="87"/>
    </row>
    <row r="614" spans="2:13">
      <c r="B614" s="87"/>
      <c r="C614" s="13"/>
      <c r="D614" s="13"/>
      <c r="E614" s="13"/>
      <c r="F614" s="5" t="s">
        <v>611</v>
      </c>
      <c r="G614" s="12"/>
      <c r="H614" s="15">
        <v>1</v>
      </c>
      <c r="I614" s="87"/>
      <c r="J614" s="87"/>
      <c r="K614" s="87"/>
      <c r="L614" s="87"/>
      <c r="M614" s="87"/>
    </row>
    <row r="615" spans="2:13">
      <c r="B615" s="87"/>
      <c r="C615" s="13"/>
      <c r="D615" s="13"/>
      <c r="E615" s="5" t="s">
        <v>1264</v>
      </c>
      <c r="F615" s="12"/>
      <c r="G615" s="12"/>
      <c r="H615" s="15">
        <v>1</v>
      </c>
      <c r="I615" s="87"/>
      <c r="J615" s="87"/>
      <c r="K615" s="87"/>
      <c r="L615" s="87"/>
      <c r="M615" s="87"/>
    </row>
    <row r="616" spans="2:13">
      <c r="B616" s="87"/>
      <c r="C616" s="13"/>
      <c r="D616" s="5" t="s">
        <v>1975</v>
      </c>
      <c r="E616" s="12"/>
      <c r="F616" s="12"/>
      <c r="G616" s="12"/>
      <c r="H616" s="15">
        <v>2</v>
      </c>
      <c r="I616" s="87"/>
      <c r="J616" s="87"/>
      <c r="K616" s="87"/>
      <c r="L616" s="87"/>
      <c r="M616" s="87"/>
    </row>
    <row r="617" spans="2:13">
      <c r="B617" s="87"/>
      <c r="C617" s="5" t="s">
        <v>651</v>
      </c>
      <c r="D617" s="12"/>
      <c r="E617" s="12"/>
      <c r="F617" s="12"/>
      <c r="G617" s="12"/>
      <c r="H617" s="15">
        <v>2</v>
      </c>
      <c r="I617" s="87"/>
      <c r="J617" s="87"/>
      <c r="K617" s="87"/>
      <c r="L617" s="87"/>
      <c r="M617" s="87"/>
    </row>
    <row r="618" spans="2:13">
      <c r="B618" s="87"/>
      <c r="C618" s="5" t="s">
        <v>232</v>
      </c>
      <c r="D618" s="5" t="s">
        <v>377</v>
      </c>
      <c r="E618" s="5" t="s">
        <v>1418</v>
      </c>
      <c r="F618" s="5" t="s">
        <v>1083</v>
      </c>
      <c r="G618" s="5" t="s">
        <v>1311</v>
      </c>
      <c r="H618" s="15">
        <v>1</v>
      </c>
      <c r="I618" s="87"/>
      <c r="J618" s="87"/>
      <c r="K618" s="87"/>
      <c r="L618" s="87"/>
      <c r="M618" s="87"/>
    </row>
    <row r="619" spans="2:13">
      <c r="B619" s="87"/>
      <c r="C619" s="13"/>
      <c r="D619" s="13"/>
      <c r="E619" s="13"/>
      <c r="F619" s="5" t="s">
        <v>1172</v>
      </c>
      <c r="G619" s="12"/>
      <c r="H619" s="15">
        <v>1</v>
      </c>
      <c r="I619" s="87"/>
      <c r="J619" s="87"/>
      <c r="K619" s="87"/>
      <c r="L619" s="87"/>
      <c r="M619" s="87"/>
    </row>
    <row r="620" spans="2:13">
      <c r="B620" s="87"/>
      <c r="C620" s="13"/>
      <c r="D620" s="13"/>
      <c r="E620" s="5" t="s">
        <v>2066</v>
      </c>
      <c r="F620" s="12"/>
      <c r="G620" s="12"/>
      <c r="H620" s="15">
        <v>1</v>
      </c>
      <c r="I620" s="87"/>
      <c r="J620" s="87"/>
      <c r="K620" s="87"/>
      <c r="L620" s="87"/>
      <c r="M620" s="87"/>
    </row>
    <row r="621" spans="2:13">
      <c r="B621" s="87"/>
      <c r="C621" s="13"/>
      <c r="D621" s="13"/>
      <c r="E621" s="5" t="s">
        <v>1439</v>
      </c>
      <c r="F621" s="5" t="s">
        <v>1083</v>
      </c>
      <c r="G621" s="5" t="s">
        <v>1311</v>
      </c>
      <c r="H621" s="15">
        <v>1</v>
      </c>
      <c r="I621" s="87"/>
      <c r="J621" s="87"/>
      <c r="K621" s="87"/>
      <c r="L621" s="87"/>
      <c r="M621" s="87"/>
    </row>
    <row r="622" spans="2:13">
      <c r="B622" s="87"/>
      <c r="C622" s="13"/>
      <c r="D622" s="13"/>
      <c r="E622" s="13"/>
      <c r="F622" s="5" t="s">
        <v>1172</v>
      </c>
      <c r="G622" s="12"/>
      <c r="H622" s="15">
        <v>1</v>
      </c>
      <c r="I622" s="87"/>
      <c r="J622" s="87"/>
      <c r="K622" s="87"/>
      <c r="L622" s="87"/>
      <c r="M622" s="87"/>
    </row>
    <row r="623" spans="2:13">
      <c r="B623" s="87"/>
      <c r="C623" s="13"/>
      <c r="D623" s="13"/>
      <c r="E623" s="5" t="s">
        <v>2067</v>
      </c>
      <c r="F623" s="12"/>
      <c r="G623" s="12"/>
      <c r="H623" s="15">
        <v>1</v>
      </c>
      <c r="I623" s="87"/>
      <c r="J623" s="87"/>
      <c r="K623" s="87"/>
      <c r="L623" s="87"/>
      <c r="M623" s="87"/>
    </row>
    <row r="624" spans="2:13">
      <c r="B624" s="87"/>
      <c r="C624" s="13"/>
      <c r="D624" s="5" t="s">
        <v>1974</v>
      </c>
      <c r="E624" s="12"/>
      <c r="F624" s="12"/>
      <c r="G624" s="12"/>
      <c r="H624" s="15">
        <v>2</v>
      </c>
      <c r="I624" s="87"/>
      <c r="J624" s="87"/>
      <c r="K624" s="87"/>
      <c r="L624" s="87"/>
      <c r="M624" s="87"/>
    </row>
    <row r="625" spans="2:13">
      <c r="B625" s="87"/>
      <c r="C625" s="13"/>
      <c r="D625" s="5" t="s">
        <v>107</v>
      </c>
      <c r="E625" s="5" t="s">
        <v>1574</v>
      </c>
      <c r="F625" s="5" t="s">
        <v>1879</v>
      </c>
      <c r="G625" s="5" t="s">
        <v>1311</v>
      </c>
      <c r="H625" s="15">
        <v>1</v>
      </c>
      <c r="I625" s="87"/>
      <c r="J625" s="87"/>
      <c r="K625" s="87"/>
      <c r="L625" s="87"/>
      <c r="M625" s="87"/>
    </row>
    <row r="626" spans="2:13">
      <c r="B626" s="87"/>
      <c r="C626" s="13"/>
      <c r="D626" s="13"/>
      <c r="E626" s="13"/>
      <c r="F626" s="5" t="s">
        <v>605</v>
      </c>
      <c r="G626" s="12"/>
      <c r="H626" s="15">
        <v>1</v>
      </c>
      <c r="I626" s="87"/>
      <c r="J626" s="87"/>
      <c r="K626" s="87"/>
      <c r="L626" s="87"/>
      <c r="M626" s="87"/>
    </row>
    <row r="627" spans="2:13">
      <c r="B627" s="87"/>
      <c r="C627" s="13"/>
      <c r="D627" s="13"/>
      <c r="E627" s="5" t="s">
        <v>1265</v>
      </c>
      <c r="F627" s="12"/>
      <c r="G627" s="12"/>
      <c r="H627" s="15">
        <v>1</v>
      </c>
      <c r="I627" s="87"/>
      <c r="J627" s="87"/>
      <c r="K627" s="87"/>
      <c r="L627" s="87"/>
      <c r="M627" s="87"/>
    </row>
    <row r="628" spans="2:13">
      <c r="B628" s="87"/>
      <c r="C628" s="13"/>
      <c r="D628" s="5" t="s">
        <v>1975</v>
      </c>
      <c r="E628" s="12"/>
      <c r="F628" s="12"/>
      <c r="G628" s="12"/>
      <c r="H628" s="15">
        <v>1</v>
      </c>
      <c r="I628" s="87"/>
      <c r="J628" s="87"/>
      <c r="K628" s="87"/>
      <c r="L628" s="87"/>
      <c r="M628" s="87"/>
    </row>
    <row r="629" spans="2:13">
      <c r="B629" s="87"/>
      <c r="C629" s="5" t="s">
        <v>652</v>
      </c>
      <c r="D629" s="12"/>
      <c r="E629" s="12"/>
      <c r="F629" s="12"/>
      <c r="G629" s="12"/>
      <c r="H629" s="15">
        <v>3</v>
      </c>
      <c r="I629" s="87"/>
      <c r="J629" s="87"/>
      <c r="K629" s="87"/>
      <c r="L629" s="87"/>
      <c r="M629" s="87"/>
    </row>
    <row r="630" spans="2:13">
      <c r="B630" s="87"/>
      <c r="C630" s="5" t="s">
        <v>288</v>
      </c>
      <c r="D630" s="5" t="s">
        <v>184</v>
      </c>
      <c r="E630" s="5" t="s">
        <v>1158</v>
      </c>
      <c r="F630" s="5" t="s">
        <v>1943</v>
      </c>
      <c r="G630" s="5" t="s">
        <v>1311</v>
      </c>
      <c r="H630" s="15"/>
      <c r="I630" s="87"/>
      <c r="J630" s="87"/>
      <c r="K630" s="87"/>
      <c r="L630" s="87"/>
      <c r="M630" s="87"/>
    </row>
    <row r="631" spans="2:13">
      <c r="B631" s="87"/>
      <c r="C631" s="13"/>
      <c r="D631" s="13"/>
      <c r="E631" s="13"/>
      <c r="F631" s="5" t="s">
        <v>604</v>
      </c>
      <c r="G631" s="12"/>
      <c r="H631" s="15"/>
      <c r="I631" s="87"/>
      <c r="J631" s="87"/>
      <c r="K631" s="87"/>
      <c r="L631" s="87"/>
      <c r="M631" s="87"/>
    </row>
    <row r="632" spans="2:13">
      <c r="B632" s="87"/>
      <c r="C632" s="13"/>
      <c r="D632" s="13"/>
      <c r="E632" s="5" t="s">
        <v>834</v>
      </c>
      <c r="F632" s="12"/>
      <c r="G632" s="12"/>
      <c r="H632" s="15"/>
      <c r="I632" s="87"/>
      <c r="J632" s="87"/>
      <c r="K632" s="87"/>
      <c r="L632" s="87"/>
      <c r="M632" s="87"/>
    </row>
    <row r="633" spans="2:13">
      <c r="B633" s="87"/>
      <c r="C633" s="13"/>
      <c r="D633" s="5" t="s">
        <v>1978</v>
      </c>
      <c r="E633" s="12"/>
      <c r="F633" s="12"/>
      <c r="G633" s="12"/>
      <c r="H633" s="15"/>
      <c r="I633" s="87"/>
      <c r="J633" s="87"/>
      <c r="K633" s="87"/>
      <c r="L633" s="87"/>
      <c r="M633" s="87"/>
    </row>
    <row r="634" spans="2:13">
      <c r="B634" s="87"/>
      <c r="C634" s="13"/>
      <c r="D634" s="5" t="s">
        <v>288</v>
      </c>
      <c r="E634" s="12"/>
      <c r="F634" s="12"/>
      <c r="G634" s="12"/>
      <c r="H634" s="15"/>
      <c r="I634" s="87"/>
      <c r="J634" s="87"/>
      <c r="K634" s="87"/>
      <c r="L634" s="87"/>
      <c r="M634" s="87"/>
    </row>
    <row r="635" spans="2:13">
      <c r="B635" s="87"/>
      <c r="C635" s="5" t="s">
        <v>653</v>
      </c>
      <c r="D635" s="12"/>
      <c r="E635" s="12"/>
      <c r="F635" s="12"/>
      <c r="G635" s="12"/>
      <c r="H635" s="15"/>
      <c r="I635" s="87"/>
      <c r="J635" s="87"/>
      <c r="K635" s="87"/>
      <c r="L635" s="87"/>
      <c r="M635" s="87"/>
    </row>
    <row r="636" spans="2:13">
      <c r="B636" s="87"/>
      <c r="C636" s="5" t="s">
        <v>844</v>
      </c>
      <c r="D636" s="5" t="s">
        <v>377</v>
      </c>
      <c r="E636" s="5" t="s">
        <v>1533</v>
      </c>
      <c r="F636" s="5" t="s">
        <v>1532</v>
      </c>
      <c r="G636" s="5" t="s">
        <v>2023</v>
      </c>
      <c r="H636" s="15">
        <v>1</v>
      </c>
      <c r="I636" s="87"/>
      <c r="J636" s="87"/>
      <c r="K636" s="87"/>
      <c r="L636" s="87"/>
      <c r="M636" s="87"/>
    </row>
    <row r="637" spans="2:13">
      <c r="B637" s="87"/>
      <c r="C637" s="13"/>
      <c r="D637" s="13"/>
      <c r="E637" s="13"/>
      <c r="F637" s="5" t="s">
        <v>1166</v>
      </c>
      <c r="G637" s="12"/>
      <c r="H637" s="15">
        <v>1</v>
      </c>
      <c r="I637" s="87"/>
      <c r="J637" s="87"/>
      <c r="K637" s="87"/>
      <c r="L637" s="87"/>
      <c r="M637" s="87"/>
    </row>
    <row r="638" spans="2:13">
      <c r="B638" s="87"/>
      <c r="C638" s="13"/>
      <c r="D638" s="13"/>
      <c r="E638" s="5" t="s">
        <v>1123</v>
      </c>
      <c r="F638" s="12"/>
      <c r="G638" s="12"/>
      <c r="H638" s="15">
        <v>1</v>
      </c>
      <c r="I638" s="87"/>
      <c r="J638" s="87"/>
      <c r="K638" s="87"/>
      <c r="L638" s="87"/>
      <c r="M638" s="87"/>
    </row>
    <row r="639" spans="2:13">
      <c r="B639" s="87"/>
      <c r="C639" s="13"/>
      <c r="D639" s="5" t="s">
        <v>1974</v>
      </c>
      <c r="E639" s="12"/>
      <c r="F639" s="12"/>
      <c r="G639" s="12"/>
      <c r="H639" s="15">
        <v>1</v>
      </c>
      <c r="I639" s="87"/>
      <c r="J639" s="87"/>
      <c r="K639" s="87"/>
      <c r="L639" s="87"/>
      <c r="M639" s="87"/>
    </row>
    <row r="640" spans="2:13">
      <c r="B640" s="87"/>
      <c r="C640" s="5" t="s">
        <v>2068</v>
      </c>
      <c r="D640" s="12"/>
      <c r="E640" s="12"/>
      <c r="F640" s="12"/>
      <c r="G640" s="12"/>
      <c r="H640" s="15">
        <v>1</v>
      </c>
      <c r="I640" s="87"/>
      <c r="J640" s="87"/>
      <c r="K640" s="87"/>
      <c r="L640" s="87"/>
      <c r="M640" s="87"/>
    </row>
    <row r="641" spans="2:13">
      <c r="B641" s="87"/>
      <c r="C641" s="5" t="s">
        <v>843</v>
      </c>
      <c r="D641" s="5" t="s">
        <v>107</v>
      </c>
      <c r="E641" s="5" t="s">
        <v>1374</v>
      </c>
      <c r="F641" s="5" t="s">
        <v>682</v>
      </c>
      <c r="G641" s="5" t="s">
        <v>1884</v>
      </c>
      <c r="H641" s="15">
        <v>3</v>
      </c>
      <c r="I641" s="87"/>
      <c r="J641" s="87"/>
      <c r="K641" s="87"/>
      <c r="L641" s="87"/>
      <c r="M641" s="87"/>
    </row>
    <row r="642" spans="2:13">
      <c r="B642" s="87"/>
      <c r="C642" s="13"/>
      <c r="D642" s="13"/>
      <c r="E642" s="13"/>
      <c r="F642" s="5" t="s">
        <v>609</v>
      </c>
      <c r="G642" s="12"/>
      <c r="H642" s="15">
        <v>3</v>
      </c>
      <c r="I642" s="87"/>
      <c r="J642" s="87"/>
      <c r="K642" s="87"/>
      <c r="L642" s="87"/>
      <c r="M642" s="87"/>
    </row>
    <row r="643" spans="2:13">
      <c r="B643" s="87"/>
      <c r="C643" s="13"/>
      <c r="D643" s="13"/>
      <c r="E643" s="5" t="s">
        <v>800</v>
      </c>
      <c r="F643" s="12"/>
      <c r="G643" s="12"/>
      <c r="H643" s="15">
        <v>3</v>
      </c>
      <c r="I643" s="87"/>
      <c r="J643" s="87"/>
      <c r="K643" s="87"/>
      <c r="L643" s="87"/>
      <c r="M643" s="87"/>
    </row>
    <row r="644" spans="2:13">
      <c r="B644" s="87"/>
      <c r="C644" s="13"/>
      <c r="D644" s="13"/>
      <c r="E644" s="5" t="s">
        <v>1375</v>
      </c>
      <c r="F644" s="5" t="s">
        <v>682</v>
      </c>
      <c r="G644" s="5" t="s">
        <v>1884</v>
      </c>
      <c r="H644" s="15">
        <v>3</v>
      </c>
      <c r="I644" s="87"/>
      <c r="J644" s="87"/>
      <c r="K644" s="87"/>
      <c r="L644" s="87"/>
      <c r="M644" s="87"/>
    </row>
    <row r="645" spans="2:13">
      <c r="B645" s="87"/>
      <c r="C645" s="13"/>
      <c r="D645" s="13"/>
      <c r="E645" s="13"/>
      <c r="F645" s="5" t="s">
        <v>609</v>
      </c>
      <c r="G645" s="12"/>
      <c r="H645" s="15">
        <v>3</v>
      </c>
      <c r="I645" s="87"/>
      <c r="J645" s="87"/>
      <c r="K645" s="87"/>
      <c r="L645" s="87"/>
      <c r="M645" s="87"/>
    </row>
    <row r="646" spans="2:13">
      <c r="B646" s="87"/>
      <c r="C646" s="13"/>
      <c r="D646" s="13"/>
      <c r="E646" s="5" t="s">
        <v>801</v>
      </c>
      <c r="F646" s="12"/>
      <c r="G646" s="12"/>
      <c r="H646" s="15">
        <v>3</v>
      </c>
      <c r="I646" s="87"/>
      <c r="J646" s="87"/>
      <c r="K646" s="87"/>
      <c r="L646" s="87"/>
      <c r="M646" s="87"/>
    </row>
    <row r="647" spans="2:13">
      <c r="B647" s="87"/>
      <c r="C647" s="13"/>
      <c r="D647" s="5" t="s">
        <v>1975</v>
      </c>
      <c r="E647" s="12"/>
      <c r="F647" s="12"/>
      <c r="G647" s="12"/>
      <c r="H647" s="15">
        <v>6</v>
      </c>
      <c r="I647" s="87"/>
      <c r="J647" s="87"/>
      <c r="K647" s="87"/>
      <c r="L647" s="87"/>
      <c r="M647" s="87"/>
    </row>
    <row r="648" spans="2:13">
      <c r="B648" s="87"/>
      <c r="C648" s="5" t="s">
        <v>2069</v>
      </c>
      <c r="D648" s="12"/>
      <c r="E648" s="12"/>
      <c r="F648" s="12"/>
      <c r="G648" s="12"/>
      <c r="H648" s="15">
        <v>6</v>
      </c>
      <c r="I648" s="87"/>
      <c r="J648" s="87"/>
      <c r="K648" s="87"/>
      <c r="L648" s="87"/>
      <c r="M648" s="87"/>
    </row>
    <row r="649" spans="2:13">
      <c r="B649" s="87"/>
      <c r="C649" s="5" t="s">
        <v>1819</v>
      </c>
      <c r="D649" s="5" t="s">
        <v>107</v>
      </c>
      <c r="E649" s="5" t="s">
        <v>988</v>
      </c>
      <c r="F649" s="5" t="s">
        <v>682</v>
      </c>
      <c r="G649" s="5" t="s">
        <v>1884</v>
      </c>
      <c r="H649" s="15">
        <v>1</v>
      </c>
      <c r="I649" s="87"/>
      <c r="J649" s="87"/>
      <c r="K649" s="87"/>
      <c r="L649" s="87"/>
      <c r="M649" s="87"/>
    </row>
    <row r="650" spans="2:13">
      <c r="B650" s="87"/>
      <c r="C650" s="13"/>
      <c r="D650" s="13"/>
      <c r="E650" s="13"/>
      <c r="F650" s="5" t="s">
        <v>609</v>
      </c>
      <c r="G650" s="12"/>
      <c r="H650" s="15">
        <v>1</v>
      </c>
      <c r="I650" s="87"/>
      <c r="J650" s="87"/>
      <c r="K650" s="87"/>
      <c r="L650" s="87"/>
      <c r="M650" s="87"/>
    </row>
    <row r="651" spans="2:13">
      <c r="B651" s="87"/>
      <c r="C651" s="13"/>
      <c r="D651" s="13"/>
      <c r="E651" s="5" t="s">
        <v>1192</v>
      </c>
      <c r="F651" s="12"/>
      <c r="G651" s="12"/>
      <c r="H651" s="15">
        <v>1</v>
      </c>
      <c r="I651" s="87"/>
      <c r="J651" s="87"/>
      <c r="K651" s="87"/>
      <c r="L651" s="87"/>
      <c r="M651" s="87"/>
    </row>
    <row r="652" spans="2:13">
      <c r="B652" s="87"/>
      <c r="C652" s="13"/>
      <c r="D652" s="13"/>
      <c r="E652" s="5" t="s">
        <v>987</v>
      </c>
      <c r="F652" s="5" t="s">
        <v>682</v>
      </c>
      <c r="G652" s="5" t="s">
        <v>1884</v>
      </c>
      <c r="H652" s="15">
        <v>1</v>
      </c>
      <c r="I652" s="87"/>
      <c r="J652" s="87"/>
      <c r="K652" s="87"/>
      <c r="L652" s="87"/>
      <c r="M652" s="87"/>
    </row>
    <row r="653" spans="2:13">
      <c r="B653" s="87"/>
      <c r="C653" s="13"/>
      <c r="D653" s="13"/>
      <c r="E653" s="13"/>
      <c r="F653" s="5" t="s">
        <v>609</v>
      </c>
      <c r="G653" s="12"/>
      <c r="H653" s="15">
        <v>1</v>
      </c>
      <c r="I653" s="87"/>
      <c r="J653" s="87"/>
      <c r="K653" s="87"/>
      <c r="L653" s="87"/>
      <c r="M653" s="87"/>
    </row>
    <row r="654" spans="2:13">
      <c r="B654" s="87"/>
      <c r="C654" s="13"/>
      <c r="D654" s="13"/>
      <c r="E654" s="5" t="s">
        <v>1193</v>
      </c>
      <c r="F654" s="12"/>
      <c r="G654" s="12"/>
      <c r="H654" s="15">
        <v>1</v>
      </c>
      <c r="I654" s="87"/>
      <c r="J654" s="87"/>
      <c r="K654" s="87"/>
      <c r="L654" s="87"/>
      <c r="M654" s="87"/>
    </row>
    <row r="655" spans="2:13">
      <c r="B655" s="87"/>
      <c r="C655" s="13"/>
      <c r="D655" s="13"/>
      <c r="E655" s="5" t="s">
        <v>989</v>
      </c>
      <c r="F655" s="5" t="s">
        <v>682</v>
      </c>
      <c r="G655" s="5" t="s">
        <v>1884</v>
      </c>
      <c r="H655" s="15">
        <v>2</v>
      </c>
      <c r="I655" s="87"/>
      <c r="J655" s="87"/>
      <c r="K655" s="87"/>
      <c r="L655" s="87"/>
      <c r="M655" s="87"/>
    </row>
    <row r="656" spans="2:13">
      <c r="B656" s="87"/>
      <c r="C656" s="13"/>
      <c r="D656" s="13"/>
      <c r="E656" s="13"/>
      <c r="F656" s="5" t="s">
        <v>609</v>
      </c>
      <c r="G656" s="12"/>
      <c r="H656" s="15">
        <v>2</v>
      </c>
      <c r="I656" s="87"/>
      <c r="J656" s="87"/>
      <c r="K656" s="87"/>
      <c r="L656" s="87"/>
      <c r="M656" s="87"/>
    </row>
    <row r="657" spans="2:13">
      <c r="B657" s="87"/>
      <c r="C657" s="13"/>
      <c r="D657" s="13"/>
      <c r="E657" s="5" t="s">
        <v>1194</v>
      </c>
      <c r="F657" s="12"/>
      <c r="G657" s="12"/>
      <c r="H657" s="15">
        <v>2</v>
      </c>
      <c r="I657" s="87"/>
      <c r="J657" s="87"/>
      <c r="K657" s="87"/>
      <c r="L657" s="87"/>
      <c r="M657" s="87"/>
    </row>
    <row r="658" spans="2:13">
      <c r="B658" s="87"/>
      <c r="C658" s="13"/>
      <c r="D658" s="13"/>
      <c r="E658" s="5" t="s">
        <v>991</v>
      </c>
      <c r="F658" s="5" t="s">
        <v>682</v>
      </c>
      <c r="G658" s="5" t="s">
        <v>1884</v>
      </c>
      <c r="H658" s="15">
        <v>1</v>
      </c>
      <c r="I658" s="87"/>
      <c r="J658" s="87"/>
      <c r="K658" s="87"/>
      <c r="L658" s="87"/>
      <c r="M658" s="87"/>
    </row>
    <row r="659" spans="2:13">
      <c r="B659" s="87"/>
      <c r="C659" s="13"/>
      <c r="D659" s="13"/>
      <c r="E659" s="13"/>
      <c r="F659" s="5" t="s">
        <v>609</v>
      </c>
      <c r="G659" s="12"/>
      <c r="H659" s="15">
        <v>1</v>
      </c>
      <c r="I659" s="87"/>
      <c r="J659" s="87"/>
      <c r="K659" s="87"/>
      <c r="L659" s="87"/>
      <c r="M659" s="87"/>
    </row>
    <row r="660" spans="2:13">
      <c r="B660" s="87"/>
      <c r="C660" s="13"/>
      <c r="D660" s="13"/>
      <c r="E660" s="5" t="s">
        <v>1195</v>
      </c>
      <c r="F660" s="12"/>
      <c r="G660" s="12"/>
      <c r="H660" s="15">
        <v>1</v>
      </c>
      <c r="I660" s="87"/>
      <c r="J660" s="87"/>
      <c r="K660" s="87"/>
      <c r="L660" s="87"/>
      <c r="M660" s="87"/>
    </row>
    <row r="661" spans="2:13">
      <c r="B661" s="87"/>
      <c r="C661" s="13"/>
      <c r="D661" s="13"/>
      <c r="E661" s="5" t="s">
        <v>990</v>
      </c>
      <c r="F661" s="5" t="s">
        <v>682</v>
      </c>
      <c r="G661" s="5" t="s">
        <v>1884</v>
      </c>
      <c r="H661" s="15">
        <v>1</v>
      </c>
      <c r="I661" s="87"/>
      <c r="J661" s="87"/>
      <c r="K661" s="87"/>
      <c r="L661" s="87"/>
      <c r="M661" s="87"/>
    </row>
    <row r="662" spans="2:13">
      <c r="B662" s="87"/>
      <c r="C662" s="13"/>
      <c r="D662" s="13"/>
      <c r="E662" s="13"/>
      <c r="F662" s="5" t="s">
        <v>609</v>
      </c>
      <c r="G662" s="12"/>
      <c r="H662" s="15">
        <v>1</v>
      </c>
      <c r="I662" s="87"/>
      <c r="J662" s="87"/>
      <c r="K662" s="87"/>
      <c r="L662" s="87"/>
      <c r="M662" s="87"/>
    </row>
    <row r="663" spans="2:13">
      <c r="B663" s="87"/>
      <c r="C663" s="13"/>
      <c r="D663" s="13"/>
      <c r="E663" s="5" t="s">
        <v>1196</v>
      </c>
      <c r="F663" s="12"/>
      <c r="G663" s="12"/>
      <c r="H663" s="15">
        <v>1</v>
      </c>
      <c r="I663" s="87"/>
      <c r="J663" s="87"/>
      <c r="K663" s="87"/>
      <c r="L663" s="87"/>
      <c r="M663" s="87"/>
    </row>
    <row r="664" spans="2:13">
      <c r="B664" s="87"/>
      <c r="C664" s="13"/>
      <c r="D664" s="13"/>
      <c r="E664" s="5" t="s">
        <v>1821</v>
      </c>
      <c r="F664" s="5" t="s">
        <v>682</v>
      </c>
      <c r="G664" s="5" t="s">
        <v>1884</v>
      </c>
      <c r="H664" s="15">
        <v>1</v>
      </c>
      <c r="I664" s="87"/>
      <c r="J664" s="87"/>
      <c r="K664" s="87"/>
      <c r="L664" s="87"/>
      <c r="M664" s="87"/>
    </row>
    <row r="665" spans="2:13">
      <c r="B665" s="87"/>
      <c r="C665" s="13"/>
      <c r="D665" s="13"/>
      <c r="E665" s="13"/>
      <c r="F665" s="5" t="s">
        <v>609</v>
      </c>
      <c r="G665" s="12"/>
      <c r="H665" s="15">
        <v>1</v>
      </c>
      <c r="I665" s="87"/>
      <c r="J665" s="87"/>
      <c r="K665" s="87"/>
      <c r="L665" s="87"/>
      <c r="M665" s="87"/>
    </row>
    <row r="666" spans="2:13">
      <c r="B666" s="87"/>
      <c r="C666" s="13"/>
      <c r="D666" s="13"/>
      <c r="E666" s="5" t="s">
        <v>791</v>
      </c>
      <c r="F666" s="12"/>
      <c r="G666" s="12"/>
      <c r="H666" s="15">
        <v>1</v>
      </c>
      <c r="I666" s="87"/>
      <c r="J666" s="87"/>
      <c r="K666" s="87"/>
      <c r="L666" s="87"/>
      <c r="M666" s="87"/>
    </row>
    <row r="667" spans="2:13">
      <c r="B667" s="87"/>
      <c r="C667" s="13"/>
      <c r="D667" s="13"/>
      <c r="E667" s="5" t="s">
        <v>285</v>
      </c>
      <c r="F667" s="5" t="s">
        <v>682</v>
      </c>
      <c r="G667" s="5" t="s">
        <v>1884</v>
      </c>
      <c r="H667" s="15">
        <v>1</v>
      </c>
      <c r="I667" s="87"/>
      <c r="J667" s="87"/>
      <c r="K667" s="87"/>
      <c r="L667" s="87"/>
      <c r="M667" s="87"/>
    </row>
    <row r="668" spans="2:13">
      <c r="B668" s="87"/>
      <c r="C668" s="13"/>
      <c r="D668" s="13"/>
      <c r="E668" s="13"/>
      <c r="F668" s="5" t="s">
        <v>609</v>
      </c>
      <c r="G668" s="12"/>
      <c r="H668" s="15">
        <v>1</v>
      </c>
      <c r="I668" s="87"/>
      <c r="J668" s="87"/>
      <c r="K668" s="87"/>
      <c r="L668" s="87"/>
      <c r="M668" s="87"/>
    </row>
    <row r="669" spans="2:13">
      <c r="B669" s="87"/>
      <c r="C669" s="13"/>
      <c r="D669" s="13"/>
      <c r="E669" s="5" t="s">
        <v>792</v>
      </c>
      <c r="F669" s="12"/>
      <c r="G669" s="12"/>
      <c r="H669" s="15">
        <v>1</v>
      </c>
      <c r="I669" s="87"/>
      <c r="J669" s="87"/>
      <c r="K669" s="87"/>
      <c r="L669" s="87"/>
      <c r="M669" s="87"/>
    </row>
    <row r="670" spans="2:13">
      <c r="B670" s="87"/>
      <c r="C670" s="13"/>
      <c r="D670" s="13"/>
      <c r="E670" s="5" t="s">
        <v>286</v>
      </c>
      <c r="F670" s="5" t="s">
        <v>682</v>
      </c>
      <c r="G670" s="5" t="s">
        <v>1884</v>
      </c>
      <c r="H670" s="15">
        <v>1</v>
      </c>
      <c r="I670" s="87"/>
      <c r="J670" s="87"/>
      <c r="K670" s="87"/>
      <c r="L670" s="87"/>
      <c r="M670" s="87"/>
    </row>
    <row r="671" spans="2:13">
      <c r="B671" s="87"/>
      <c r="C671" s="13"/>
      <c r="D671" s="13"/>
      <c r="E671" s="13"/>
      <c r="F671" s="5" t="s">
        <v>609</v>
      </c>
      <c r="G671" s="12"/>
      <c r="H671" s="15">
        <v>1</v>
      </c>
      <c r="I671" s="87"/>
      <c r="J671" s="87"/>
      <c r="K671" s="87"/>
      <c r="L671" s="87"/>
      <c r="M671" s="87"/>
    </row>
    <row r="672" spans="2:13">
      <c r="B672" s="87"/>
      <c r="C672" s="13"/>
      <c r="D672" s="13"/>
      <c r="E672" s="5" t="s">
        <v>793</v>
      </c>
      <c r="F672" s="12"/>
      <c r="G672" s="12"/>
      <c r="H672" s="15">
        <v>1</v>
      </c>
      <c r="I672" s="87"/>
      <c r="J672" s="87"/>
      <c r="K672" s="87"/>
      <c r="L672" s="87"/>
      <c r="M672" s="87"/>
    </row>
    <row r="673" spans="2:13">
      <c r="B673" s="87"/>
      <c r="C673" s="13"/>
      <c r="D673" s="13"/>
      <c r="E673" s="5" t="s">
        <v>1819</v>
      </c>
      <c r="F673" s="5" t="s">
        <v>682</v>
      </c>
      <c r="G673" s="5" t="s">
        <v>1884</v>
      </c>
      <c r="H673" s="15">
        <v>1</v>
      </c>
      <c r="I673" s="87"/>
      <c r="J673" s="87"/>
      <c r="K673" s="87"/>
      <c r="L673" s="87"/>
      <c r="M673" s="87"/>
    </row>
    <row r="674" spans="2:13">
      <c r="B674" s="87"/>
      <c r="C674" s="13"/>
      <c r="D674" s="13"/>
      <c r="E674" s="13"/>
      <c r="F674" s="5" t="s">
        <v>609</v>
      </c>
      <c r="G674" s="12"/>
      <c r="H674" s="15">
        <v>1</v>
      </c>
      <c r="I674" s="87"/>
      <c r="J674" s="87"/>
      <c r="K674" s="87"/>
      <c r="L674" s="87"/>
      <c r="M674" s="87"/>
    </row>
    <row r="675" spans="2:13">
      <c r="B675" s="87"/>
      <c r="C675" s="13"/>
      <c r="D675" s="13"/>
      <c r="E675" s="5" t="s">
        <v>794</v>
      </c>
      <c r="F675" s="12"/>
      <c r="G675" s="12"/>
      <c r="H675" s="15">
        <v>1</v>
      </c>
      <c r="I675" s="87"/>
      <c r="J675" s="87"/>
      <c r="K675" s="87"/>
      <c r="L675" s="87"/>
      <c r="M675" s="87"/>
    </row>
    <row r="676" spans="2:13">
      <c r="B676" s="87"/>
      <c r="C676" s="13"/>
      <c r="D676" s="13"/>
      <c r="E676" s="5" t="s">
        <v>1373</v>
      </c>
      <c r="F676" s="5" t="s">
        <v>682</v>
      </c>
      <c r="G676" s="5" t="s">
        <v>1884</v>
      </c>
      <c r="H676" s="15">
        <v>1</v>
      </c>
      <c r="I676" s="87"/>
      <c r="J676" s="87"/>
      <c r="K676" s="87"/>
      <c r="L676" s="87"/>
      <c r="M676" s="87"/>
    </row>
    <row r="677" spans="2:13">
      <c r="B677" s="87"/>
      <c r="C677" s="13"/>
      <c r="D677" s="13"/>
      <c r="E677" s="13"/>
      <c r="F677" s="5" t="s">
        <v>609</v>
      </c>
      <c r="G677" s="12"/>
      <c r="H677" s="15">
        <v>1</v>
      </c>
      <c r="I677" s="87"/>
      <c r="J677" s="87"/>
      <c r="K677" s="87"/>
      <c r="L677" s="87"/>
      <c r="M677" s="87"/>
    </row>
    <row r="678" spans="2:13">
      <c r="B678" s="87"/>
      <c r="C678" s="13"/>
      <c r="D678" s="13"/>
      <c r="E678" s="5" t="s">
        <v>1197</v>
      </c>
      <c r="F678" s="12"/>
      <c r="G678" s="12"/>
      <c r="H678" s="15">
        <v>1</v>
      </c>
      <c r="I678" s="87"/>
      <c r="J678" s="87"/>
      <c r="K678" s="87"/>
      <c r="L678" s="87"/>
      <c r="M678" s="87"/>
    </row>
    <row r="679" spans="2:13">
      <c r="B679" s="87"/>
      <c r="C679" s="13"/>
      <c r="D679" s="13"/>
      <c r="E679" s="5" t="s">
        <v>1371</v>
      </c>
      <c r="F679" s="5" t="s">
        <v>682</v>
      </c>
      <c r="G679" s="5" t="s">
        <v>1884</v>
      </c>
      <c r="H679" s="15">
        <v>2</v>
      </c>
      <c r="I679" s="87"/>
      <c r="J679" s="87"/>
      <c r="K679" s="87"/>
      <c r="L679" s="87"/>
      <c r="M679" s="87"/>
    </row>
    <row r="680" spans="2:13">
      <c r="B680" s="87"/>
      <c r="C680" s="13"/>
      <c r="D680" s="13"/>
      <c r="E680" s="13"/>
      <c r="F680" s="5" t="s">
        <v>609</v>
      </c>
      <c r="G680" s="12"/>
      <c r="H680" s="15">
        <v>2</v>
      </c>
      <c r="I680" s="87"/>
      <c r="J680" s="87"/>
      <c r="K680" s="87"/>
      <c r="L680" s="87"/>
      <c r="M680" s="87"/>
    </row>
    <row r="681" spans="2:13">
      <c r="B681" s="87"/>
      <c r="C681" s="13"/>
      <c r="D681" s="13"/>
      <c r="E681" s="5" t="s">
        <v>1198</v>
      </c>
      <c r="F681" s="12"/>
      <c r="G681" s="12"/>
      <c r="H681" s="15">
        <v>2</v>
      </c>
      <c r="I681" s="87"/>
      <c r="J681" s="87"/>
      <c r="K681" s="87"/>
      <c r="L681" s="87"/>
      <c r="M681" s="87"/>
    </row>
    <row r="682" spans="2:13">
      <c r="B682" s="87"/>
      <c r="C682" s="13"/>
      <c r="D682" s="13"/>
      <c r="E682" s="5" t="s">
        <v>525</v>
      </c>
      <c r="F682" s="5" t="s">
        <v>682</v>
      </c>
      <c r="G682" s="5" t="s">
        <v>1884</v>
      </c>
      <c r="H682" s="15">
        <v>1</v>
      </c>
      <c r="I682" s="87"/>
      <c r="J682" s="87"/>
      <c r="K682" s="87"/>
      <c r="L682" s="87"/>
      <c r="M682" s="87"/>
    </row>
    <row r="683" spans="2:13">
      <c r="B683" s="87"/>
      <c r="C683" s="13"/>
      <c r="D683" s="13"/>
      <c r="E683" s="13"/>
      <c r="F683" s="5" t="s">
        <v>609</v>
      </c>
      <c r="G683" s="12"/>
      <c r="H683" s="15">
        <v>1</v>
      </c>
      <c r="I683" s="87"/>
      <c r="J683" s="87"/>
      <c r="K683" s="87"/>
      <c r="L683" s="87"/>
      <c r="M683" s="87"/>
    </row>
    <row r="684" spans="2:13">
      <c r="B684" s="87"/>
      <c r="C684" s="13"/>
      <c r="D684" s="13"/>
      <c r="E684" s="5" t="s">
        <v>795</v>
      </c>
      <c r="F684" s="12"/>
      <c r="G684" s="12"/>
      <c r="H684" s="15">
        <v>1</v>
      </c>
      <c r="I684" s="87"/>
      <c r="J684" s="87"/>
      <c r="K684" s="87"/>
      <c r="L684" s="87"/>
      <c r="M684" s="87"/>
    </row>
    <row r="685" spans="2:13">
      <c r="B685" s="87"/>
      <c r="C685" s="13"/>
      <c r="D685" s="13"/>
      <c r="E685" s="5" t="s">
        <v>1372</v>
      </c>
      <c r="F685" s="5" t="s">
        <v>682</v>
      </c>
      <c r="G685" s="5" t="s">
        <v>1884</v>
      </c>
      <c r="H685" s="15">
        <v>1</v>
      </c>
      <c r="I685" s="87"/>
      <c r="J685" s="87"/>
      <c r="K685" s="87"/>
      <c r="L685" s="87"/>
      <c r="M685" s="87"/>
    </row>
    <row r="686" spans="2:13">
      <c r="B686" s="87"/>
      <c r="C686" s="13"/>
      <c r="D686" s="13"/>
      <c r="E686" s="13"/>
      <c r="F686" s="5" t="s">
        <v>609</v>
      </c>
      <c r="G686" s="12"/>
      <c r="H686" s="15">
        <v>1</v>
      </c>
      <c r="I686" s="87"/>
      <c r="J686" s="87"/>
      <c r="K686" s="87"/>
      <c r="L686" s="87"/>
      <c r="M686" s="87"/>
    </row>
    <row r="687" spans="2:13">
      <c r="B687" s="87"/>
      <c r="C687" s="13"/>
      <c r="D687" s="13"/>
      <c r="E687" s="5" t="s">
        <v>1179</v>
      </c>
      <c r="F687" s="12"/>
      <c r="G687" s="12"/>
      <c r="H687" s="15">
        <v>1</v>
      </c>
      <c r="I687" s="87"/>
      <c r="J687" s="87"/>
      <c r="K687" s="87"/>
      <c r="L687" s="87"/>
      <c r="M687" s="87"/>
    </row>
    <row r="688" spans="2:13">
      <c r="B688" s="87"/>
      <c r="C688" s="13"/>
      <c r="D688" s="13"/>
      <c r="E688" s="5" t="s">
        <v>576</v>
      </c>
      <c r="F688" s="5" t="s">
        <v>682</v>
      </c>
      <c r="G688" s="5" t="s">
        <v>1884</v>
      </c>
      <c r="H688" s="15">
        <v>1</v>
      </c>
      <c r="I688" s="87"/>
      <c r="J688" s="87"/>
      <c r="K688" s="87"/>
      <c r="L688" s="87"/>
      <c r="M688" s="87"/>
    </row>
    <row r="689" spans="2:13">
      <c r="B689" s="87"/>
      <c r="C689" s="13"/>
      <c r="D689" s="13"/>
      <c r="E689" s="13"/>
      <c r="F689" s="5" t="s">
        <v>609</v>
      </c>
      <c r="G689" s="12"/>
      <c r="H689" s="15">
        <v>1</v>
      </c>
      <c r="I689" s="87"/>
      <c r="J689" s="87"/>
      <c r="K689" s="87"/>
      <c r="L689" s="87"/>
      <c r="M689" s="87"/>
    </row>
    <row r="690" spans="2:13">
      <c r="B690" s="87"/>
      <c r="C690" s="13"/>
      <c r="D690" s="13"/>
      <c r="E690" s="5" t="s">
        <v>796</v>
      </c>
      <c r="F690" s="12"/>
      <c r="G690" s="12"/>
      <c r="H690" s="15">
        <v>1</v>
      </c>
      <c r="I690" s="87"/>
      <c r="J690" s="87"/>
      <c r="K690" s="87"/>
      <c r="L690" s="87"/>
      <c r="M690" s="87"/>
    </row>
    <row r="691" spans="2:13">
      <c r="B691" s="87"/>
      <c r="C691" s="13"/>
      <c r="D691" s="5" t="s">
        <v>1975</v>
      </c>
      <c r="E691" s="12"/>
      <c r="F691" s="12"/>
      <c r="G691" s="12"/>
      <c r="H691" s="15">
        <v>16</v>
      </c>
      <c r="I691" s="87"/>
      <c r="J691" s="87"/>
      <c r="K691" s="87"/>
      <c r="L691" s="87"/>
      <c r="M691" s="87"/>
    </row>
    <row r="692" spans="2:13">
      <c r="B692" s="87"/>
      <c r="C692" s="5" t="s">
        <v>2070</v>
      </c>
      <c r="D692" s="12"/>
      <c r="E692" s="12"/>
      <c r="F692" s="12"/>
      <c r="G692" s="12"/>
      <c r="H692" s="15">
        <v>16</v>
      </c>
      <c r="I692" s="87"/>
      <c r="J692" s="87"/>
      <c r="K692" s="87"/>
      <c r="L692" s="87"/>
      <c r="M692" s="87"/>
    </row>
    <row r="693" spans="2:13">
      <c r="B693" s="87"/>
      <c r="C693" s="5" t="s">
        <v>842</v>
      </c>
      <c r="D693" s="5" t="s">
        <v>107</v>
      </c>
      <c r="E693" s="5" t="s">
        <v>1368</v>
      </c>
      <c r="F693" s="5" t="s">
        <v>682</v>
      </c>
      <c r="G693" s="5" t="s">
        <v>1884</v>
      </c>
      <c r="H693" s="15">
        <v>1</v>
      </c>
      <c r="I693" s="87"/>
      <c r="J693" s="87"/>
      <c r="K693" s="87"/>
      <c r="L693" s="87"/>
      <c r="M693" s="87"/>
    </row>
    <row r="694" spans="2:13">
      <c r="B694" s="87"/>
      <c r="C694" s="13"/>
      <c r="D694" s="13"/>
      <c r="E694" s="13"/>
      <c r="F694" s="5" t="s">
        <v>609</v>
      </c>
      <c r="G694" s="12"/>
      <c r="H694" s="15">
        <v>1</v>
      </c>
      <c r="I694" s="87"/>
      <c r="J694" s="87"/>
      <c r="K694" s="87"/>
      <c r="L694" s="87"/>
      <c r="M694" s="87"/>
    </row>
    <row r="695" spans="2:13">
      <c r="B695" s="87"/>
      <c r="C695" s="13"/>
      <c r="D695" s="13"/>
      <c r="E695" s="5" t="s">
        <v>797</v>
      </c>
      <c r="F695" s="12"/>
      <c r="G695" s="12"/>
      <c r="H695" s="15">
        <v>1</v>
      </c>
      <c r="I695" s="87"/>
      <c r="J695" s="87"/>
      <c r="K695" s="87"/>
      <c r="L695" s="87"/>
      <c r="M695" s="87"/>
    </row>
    <row r="696" spans="2:13">
      <c r="B696" s="87"/>
      <c r="C696" s="13"/>
      <c r="D696" s="13"/>
      <c r="E696" s="5" t="s">
        <v>167</v>
      </c>
      <c r="F696" s="5" t="s">
        <v>682</v>
      </c>
      <c r="G696" s="5" t="s">
        <v>1884</v>
      </c>
      <c r="H696" s="15">
        <v>1</v>
      </c>
      <c r="I696" s="87"/>
      <c r="J696" s="87"/>
      <c r="K696" s="87"/>
      <c r="L696" s="87"/>
      <c r="M696" s="87"/>
    </row>
    <row r="697" spans="2:13">
      <c r="B697" s="87"/>
      <c r="C697" s="13"/>
      <c r="D697" s="13"/>
      <c r="E697" s="13"/>
      <c r="F697" s="5" t="s">
        <v>609</v>
      </c>
      <c r="G697" s="12"/>
      <c r="H697" s="15">
        <v>1</v>
      </c>
      <c r="I697" s="87"/>
      <c r="J697" s="87"/>
      <c r="K697" s="87"/>
      <c r="L697" s="87"/>
      <c r="M697" s="87"/>
    </row>
    <row r="698" spans="2:13">
      <c r="B698" s="87"/>
      <c r="C698" s="13"/>
      <c r="D698" s="13"/>
      <c r="E698" s="5" t="s">
        <v>798</v>
      </c>
      <c r="F698" s="12"/>
      <c r="G698" s="12"/>
      <c r="H698" s="15">
        <v>1</v>
      </c>
      <c r="I698" s="87"/>
      <c r="J698" s="87"/>
      <c r="K698" s="87"/>
      <c r="L698" s="87"/>
      <c r="M698" s="87"/>
    </row>
    <row r="699" spans="2:13">
      <c r="B699" s="87"/>
      <c r="C699" s="13"/>
      <c r="D699" s="5" t="s">
        <v>1975</v>
      </c>
      <c r="E699" s="12"/>
      <c r="F699" s="12"/>
      <c r="G699" s="12"/>
      <c r="H699" s="15">
        <v>2</v>
      </c>
      <c r="I699" s="87"/>
      <c r="J699" s="87"/>
      <c r="K699" s="87"/>
      <c r="L699" s="87"/>
      <c r="M699" s="87"/>
    </row>
    <row r="700" spans="2:13">
      <c r="B700" s="87"/>
      <c r="C700" s="5" t="s">
        <v>2071</v>
      </c>
      <c r="D700" s="12"/>
      <c r="E700" s="12"/>
      <c r="F700" s="12"/>
      <c r="G700" s="12"/>
      <c r="H700" s="15">
        <v>2</v>
      </c>
      <c r="I700" s="87"/>
      <c r="J700" s="87"/>
      <c r="K700" s="87"/>
      <c r="L700" s="87"/>
      <c r="M700" s="87"/>
    </row>
    <row r="701" spans="2:13">
      <c r="B701" s="87"/>
      <c r="C701" s="5" t="s">
        <v>14</v>
      </c>
      <c r="D701" s="5" t="s">
        <v>184</v>
      </c>
      <c r="E701" s="5" t="s">
        <v>14</v>
      </c>
      <c r="F701" s="5" t="s">
        <v>12</v>
      </c>
      <c r="G701" s="5" t="s">
        <v>296</v>
      </c>
      <c r="H701" s="15">
        <v>1</v>
      </c>
      <c r="I701" s="87"/>
      <c r="J701" s="87"/>
      <c r="K701" s="87"/>
      <c r="L701" s="87"/>
      <c r="M701" s="87"/>
    </row>
    <row r="702" spans="2:13">
      <c r="C702" s="13"/>
      <c r="D702" s="13"/>
      <c r="E702" s="13"/>
      <c r="F702" s="5" t="s">
        <v>1309</v>
      </c>
      <c r="G702" s="12"/>
      <c r="H702" s="15">
        <v>1</v>
      </c>
    </row>
    <row r="703" spans="2:13">
      <c r="C703" s="13"/>
      <c r="D703" s="13"/>
      <c r="E703" s="5" t="s">
        <v>2072</v>
      </c>
      <c r="F703" s="12"/>
      <c r="G703" s="12"/>
      <c r="H703" s="15">
        <v>1</v>
      </c>
    </row>
    <row r="704" spans="2:13">
      <c r="C704" s="13"/>
      <c r="D704" s="5" t="s">
        <v>1978</v>
      </c>
      <c r="E704" s="12"/>
      <c r="F704" s="12"/>
      <c r="G704" s="12"/>
      <c r="H704" s="15">
        <v>1</v>
      </c>
    </row>
    <row r="705" spans="3:8">
      <c r="C705" s="5" t="s">
        <v>2073</v>
      </c>
      <c r="D705" s="12"/>
      <c r="E705" s="12"/>
      <c r="F705" s="12"/>
      <c r="G705" s="12"/>
      <c r="H705" s="15">
        <v>1</v>
      </c>
    </row>
    <row r="706" spans="3:8">
      <c r="C706" s="5" t="s">
        <v>17</v>
      </c>
      <c r="D706" s="5" t="s">
        <v>184</v>
      </c>
      <c r="E706" s="5" t="s">
        <v>17</v>
      </c>
      <c r="F706" s="5" t="s">
        <v>12</v>
      </c>
      <c r="G706" s="5" t="s">
        <v>296</v>
      </c>
      <c r="H706" s="15">
        <v>2</v>
      </c>
    </row>
    <row r="707" spans="3:8">
      <c r="C707" s="13"/>
      <c r="D707" s="13"/>
      <c r="E707" s="13"/>
      <c r="F707" s="5" t="s">
        <v>1309</v>
      </c>
      <c r="G707" s="12"/>
      <c r="H707" s="15">
        <v>2</v>
      </c>
    </row>
    <row r="708" spans="3:8">
      <c r="C708" s="13"/>
      <c r="D708" s="13"/>
      <c r="E708" s="5" t="s">
        <v>2074</v>
      </c>
      <c r="F708" s="12"/>
      <c r="G708" s="12"/>
      <c r="H708" s="15">
        <v>2</v>
      </c>
    </row>
    <row r="709" spans="3:8">
      <c r="C709" s="13"/>
      <c r="D709" s="5" t="s">
        <v>1978</v>
      </c>
      <c r="E709" s="12"/>
      <c r="F709" s="12"/>
      <c r="G709" s="12"/>
      <c r="H709" s="15">
        <v>2</v>
      </c>
    </row>
    <row r="710" spans="3:8">
      <c r="C710" s="5" t="s">
        <v>2075</v>
      </c>
      <c r="D710" s="12"/>
      <c r="E710" s="12"/>
      <c r="F710" s="12"/>
      <c r="G710" s="12"/>
      <c r="H710" s="15">
        <v>2</v>
      </c>
    </row>
    <row r="711" spans="3:8">
      <c r="C711" s="5" t="s">
        <v>18</v>
      </c>
      <c r="D711" s="5" t="s">
        <v>184</v>
      </c>
      <c r="E711" s="5" t="s">
        <v>18</v>
      </c>
      <c r="F711" s="5" t="s">
        <v>12</v>
      </c>
      <c r="G711" s="5" t="s">
        <v>296</v>
      </c>
      <c r="H711" s="15">
        <v>2</v>
      </c>
    </row>
    <row r="712" spans="3:8">
      <c r="C712" s="13"/>
      <c r="D712" s="13"/>
      <c r="E712" s="13"/>
      <c r="F712" s="5" t="s">
        <v>1309</v>
      </c>
      <c r="G712" s="12"/>
      <c r="H712" s="15">
        <v>2</v>
      </c>
    </row>
    <row r="713" spans="3:8">
      <c r="C713" s="13"/>
      <c r="D713" s="13"/>
      <c r="E713" s="5" t="s">
        <v>2076</v>
      </c>
      <c r="F713" s="12"/>
      <c r="G713" s="12"/>
      <c r="H713" s="15">
        <v>2</v>
      </c>
    </row>
    <row r="714" spans="3:8">
      <c r="C714" s="13"/>
      <c r="D714" s="5" t="s">
        <v>1978</v>
      </c>
      <c r="E714" s="12"/>
      <c r="F714" s="12"/>
      <c r="G714" s="12"/>
      <c r="H714" s="15">
        <v>2</v>
      </c>
    </row>
    <row r="715" spans="3:8">
      <c r="C715" s="5" t="s">
        <v>2077</v>
      </c>
      <c r="D715" s="12"/>
      <c r="E715" s="12"/>
      <c r="F715" s="12"/>
      <c r="G715" s="12"/>
      <c r="H715" s="15">
        <v>2</v>
      </c>
    </row>
    <row r="716" spans="3:8">
      <c r="C716" s="5" t="s">
        <v>1019</v>
      </c>
      <c r="D716" s="5" t="s">
        <v>184</v>
      </c>
      <c r="E716" s="5" t="s">
        <v>1018</v>
      </c>
      <c r="F716" s="5" t="s">
        <v>1936</v>
      </c>
      <c r="G716" s="5" t="s">
        <v>1016</v>
      </c>
      <c r="H716" s="15">
        <v>2</v>
      </c>
    </row>
    <row r="717" spans="3:8">
      <c r="C717" s="13"/>
      <c r="D717" s="13"/>
      <c r="E717" s="13"/>
      <c r="F717" s="5" t="s">
        <v>1310</v>
      </c>
      <c r="G717" s="12"/>
      <c r="H717" s="15">
        <v>2</v>
      </c>
    </row>
    <row r="718" spans="3:8">
      <c r="C718" s="13"/>
      <c r="D718" s="13"/>
      <c r="E718" s="5" t="s">
        <v>2078</v>
      </c>
      <c r="F718" s="12"/>
      <c r="G718" s="12"/>
      <c r="H718" s="15">
        <v>2</v>
      </c>
    </row>
    <row r="719" spans="3:8">
      <c r="C719" s="13"/>
      <c r="D719" s="5" t="s">
        <v>1978</v>
      </c>
      <c r="E719" s="12"/>
      <c r="F719" s="12"/>
      <c r="G719" s="12"/>
      <c r="H719" s="15">
        <v>2</v>
      </c>
    </row>
    <row r="720" spans="3:8">
      <c r="C720" s="5" t="s">
        <v>2079</v>
      </c>
      <c r="D720" s="12"/>
      <c r="E720" s="12"/>
      <c r="F720" s="12"/>
      <c r="G720" s="12"/>
      <c r="H720" s="15">
        <v>2</v>
      </c>
    </row>
    <row r="721" spans="3:8">
      <c r="C721" s="5" t="s">
        <v>1023</v>
      </c>
      <c r="D721" s="5" t="s">
        <v>184</v>
      </c>
      <c r="E721" s="5" t="s">
        <v>1022</v>
      </c>
      <c r="F721" s="5" t="s">
        <v>1936</v>
      </c>
      <c r="G721" s="5" t="s">
        <v>1016</v>
      </c>
      <c r="H721" s="15">
        <v>1</v>
      </c>
    </row>
    <row r="722" spans="3:8">
      <c r="C722" s="13"/>
      <c r="D722" s="13"/>
      <c r="E722" s="13"/>
      <c r="F722" s="5" t="s">
        <v>1310</v>
      </c>
      <c r="G722" s="12"/>
      <c r="H722" s="15">
        <v>1</v>
      </c>
    </row>
    <row r="723" spans="3:8">
      <c r="C723" s="13"/>
      <c r="D723" s="13"/>
      <c r="E723" s="5" t="s">
        <v>2080</v>
      </c>
      <c r="F723" s="12"/>
      <c r="G723" s="12"/>
      <c r="H723" s="15">
        <v>1</v>
      </c>
    </row>
    <row r="724" spans="3:8">
      <c r="C724" s="13"/>
      <c r="D724" s="5" t="s">
        <v>1978</v>
      </c>
      <c r="E724" s="12"/>
      <c r="F724" s="12"/>
      <c r="G724" s="12"/>
      <c r="H724" s="15">
        <v>1</v>
      </c>
    </row>
    <row r="725" spans="3:8">
      <c r="C725" s="5" t="s">
        <v>2081</v>
      </c>
      <c r="D725" s="12"/>
      <c r="E725" s="12"/>
      <c r="F725" s="12"/>
      <c r="G725" s="12"/>
      <c r="H725" s="15">
        <v>1</v>
      </c>
    </row>
    <row r="726" spans="3:8">
      <c r="C726" s="9" t="s">
        <v>1207</v>
      </c>
      <c r="D726" s="16"/>
      <c r="E726" s="16"/>
      <c r="F726" s="16"/>
      <c r="G726" s="16"/>
      <c r="H726" s="14">
        <v>146</v>
      </c>
    </row>
  </sheetData>
  <autoFilter ref="A3:P154"/>
  <mergeCells count="1">
    <mergeCell ref="C161:G161"/>
  </mergeCells>
  <phoneticPr fontId="12" type="noConversion"/>
  <dataValidations count="2">
    <dataValidation type="list" allowBlank="1" showInputMessage="1" showErrorMessage="1" sqref="F156">
      <formula1>"Federation_Deployment_Roles"</formula1>
    </dataValidation>
    <dataValidation type="list" allowBlank="1" showInputMessage="1" showErrorMessage="1" sqref="F3:F145 F151:F154">
      <formula1>Federation_Deployment_Roles</formula1>
    </dataValidation>
  </dataValidations>
  <pageMargins left="0.25" right="0.34" top="0.47" bottom="0.28999999999999998" header="0.5" footer="0.5"/>
  <pageSetup orientation="portrait" r:id="rId3"/>
  <headerFooter alignWithMargins="0"/>
  <legacyDrawing r:id="rId4"/>
</worksheet>
</file>

<file path=xl/worksheets/sheet13.xml><?xml version="1.0" encoding="utf-8"?>
<worksheet xmlns="http://schemas.openxmlformats.org/spreadsheetml/2006/main" xmlns:r="http://schemas.openxmlformats.org/officeDocument/2006/relationships">
  <sheetPr codeName="Sheet11"/>
  <dimension ref="A1:BI50"/>
  <sheetViews>
    <sheetView topLeftCell="C4" workbookViewId="0">
      <selection activeCell="A9" sqref="A9:D9"/>
    </sheetView>
  </sheetViews>
  <sheetFormatPr defaultRowHeight="12.75"/>
  <cols>
    <col min="1" max="1" width="45.85546875" customWidth="1"/>
    <col min="2" max="2" width="26" customWidth="1"/>
    <col min="3" max="3" width="35.28515625" customWidth="1"/>
    <col min="4" max="4" width="23.5703125" customWidth="1"/>
    <col min="5" max="5" width="17.140625" customWidth="1"/>
    <col min="6" max="6" width="21.5703125" customWidth="1"/>
    <col min="7" max="7" width="20.7109375" customWidth="1"/>
    <col min="8" max="8" width="18.85546875" customWidth="1"/>
    <col min="9" max="9" width="19.85546875" customWidth="1"/>
    <col min="10" max="10" width="23.28515625" customWidth="1"/>
    <col min="11" max="11" width="18.5703125" customWidth="1"/>
    <col min="12" max="12" width="25" customWidth="1"/>
    <col min="13" max="13" width="24.7109375" customWidth="1"/>
    <col min="14" max="14" width="22" customWidth="1"/>
    <col min="15" max="15" width="22.140625" customWidth="1"/>
    <col min="16" max="16" width="21" customWidth="1"/>
    <col min="17" max="17" width="13.140625" customWidth="1"/>
    <col min="18" max="18" width="17.85546875" customWidth="1"/>
    <col min="19" max="19" width="22.7109375" customWidth="1"/>
    <col min="20" max="20" width="19.5703125" customWidth="1"/>
    <col min="21" max="21" width="19.140625" customWidth="1"/>
    <col min="22" max="22" width="20.7109375" customWidth="1"/>
    <col min="23" max="23" width="15.7109375" customWidth="1"/>
    <col min="24" max="24" width="13" customWidth="1"/>
    <col min="25" max="25" width="46.42578125" customWidth="1"/>
    <col min="26" max="26" width="27.5703125" customWidth="1"/>
    <col min="27" max="27" width="22.140625" customWidth="1"/>
    <col min="28" max="28" width="20.85546875" customWidth="1"/>
    <col min="29" max="29" width="18.28515625" customWidth="1"/>
    <col min="30" max="30" width="16.7109375" customWidth="1"/>
    <col min="31" max="31" width="16.5703125" customWidth="1"/>
    <col min="32" max="32" width="15.85546875" customWidth="1"/>
    <col min="33" max="33" width="16.7109375" customWidth="1"/>
    <col min="34" max="34" width="17.7109375" customWidth="1"/>
    <col min="35" max="52" width="21.28515625" customWidth="1"/>
    <col min="53" max="61" width="23" customWidth="1"/>
  </cols>
  <sheetData>
    <row r="1" spans="1:61" s="255" customFormat="1" ht="26.25" customHeight="1" thickBot="1">
      <c r="B1" s="271" t="s">
        <v>476</v>
      </c>
      <c r="C1" s="271"/>
      <c r="D1" s="271"/>
      <c r="E1" s="271"/>
      <c r="G1" s="271"/>
      <c r="H1" s="271"/>
      <c r="I1" s="272"/>
      <c r="J1" s="271"/>
      <c r="Q1" s="256"/>
      <c r="AA1" s="256"/>
      <c r="AB1" s="256"/>
      <c r="AF1" s="256"/>
      <c r="AG1" s="256"/>
      <c r="AH1" s="256"/>
      <c r="AI1" s="256"/>
      <c r="AY1" s="256"/>
      <c r="BA1" s="256"/>
      <c r="BC1" s="256"/>
    </row>
    <row r="2" spans="1:61" s="255" customFormat="1" ht="18" customHeight="1">
      <c r="I2" s="266"/>
      <c r="Q2" s="256"/>
      <c r="AA2" s="256"/>
      <c r="AB2" s="256"/>
      <c r="AF2" s="256"/>
      <c r="AG2" s="256"/>
      <c r="AH2" s="256"/>
      <c r="AI2" s="256"/>
      <c r="AY2" s="256"/>
      <c r="BA2" s="256"/>
      <c r="BC2" s="256"/>
    </row>
    <row r="4" spans="1:61" ht="19.5" thickBot="1">
      <c r="A4" s="1029" t="s">
        <v>467</v>
      </c>
      <c r="B4" s="1029"/>
      <c r="C4" s="1029"/>
      <c r="D4" s="1029"/>
    </row>
    <row r="6" spans="1:61" s="606" customFormat="1" ht="47.25" customHeight="1">
      <c r="A6" s="599" t="s">
        <v>366</v>
      </c>
      <c r="B6" s="599" t="s">
        <v>1147</v>
      </c>
      <c r="C6" s="599" t="s">
        <v>358</v>
      </c>
      <c r="D6" s="600" t="s">
        <v>1146</v>
      </c>
      <c r="E6" s="599" t="s">
        <v>572</v>
      </c>
      <c r="F6" s="599" t="s">
        <v>211</v>
      </c>
      <c r="G6" s="599" t="s">
        <v>375</v>
      </c>
      <c r="H6" s="599" t="s">
        <v>210</v>
      </c>
      <c r="I6" s="599" t="s">
        <v>571</v>
      </c>
      <c r="J6" s="599" t="s">
        <v>1209</v>
      </c>
      <c r="K6" s="599" t="s">
        <v>1868</v>
      </c>
      <c r="L6" s="599" t="s">
        <v>143</v>
      </c>
      <c r="M6" s="599" t="s">
        <v>1960</v>
      </c>
      <c r="N6" s="599" t="s">
        <v>640</v>
      </c>
      <c r="O6" s="599" t="s">
        <v>1336</v>
      </c>
      <c r="P6" s="601" t="s">
        <v>212</v>
      </c>
      <c r="Q6" s="599" t="s">
        <v>361</v>
      </c>
      <c r="R6" s="601" t="s">
        <v>360</v>
      </c>
      <c r="S6" s="602" t="s">
        <v>214</v>
      </c>
      <c r="T6" s="602" t="s">
        <v>79</v>
      </c>
      <c r="U6" s="603" t="s">
        <v>1329</v>
      </c>
      <c r="V6" s="602" t="s">
        <v>364</v>
      </c>
      <c r="W6" s="602" t="s">
        <v>67</v>
      </c>
      <c r="X6" s="602" t="s">
        <v>68</v>
      </c>
      <c r="Y6" s="601" t="s">
        <v>677</v>
      </c>
      <c r="Z6" s="601" t="s">
        <v>500</v>
      </c>
      <c r="AA6" s="604" t="s">
        <v>501</v>
      </c>
      <c r="AB6" s="602" t="s">
        <v>326</v>
      </c>
      <c r="AC6" s="602" t="s">
        <v>327</v>
      </c>
      <c r="AD6" s="602" t="s">
        <v>328</v>
      </c>
      <c r="AE6" s="602" t="s">
        <v>853</v>
      </c>
      <c r="AF6" s="599" t="s">
        <v>1754</v>
      </c>
      <c r="AG6" s="599" t="s">
        <v>225</v>
      </c>
      <c r="AH6" s="599" t="s">
        <v>731</v>
      </c>
      <c r="AI6" s="601" t="s">
        <v>1755</v>
      </c>
      <c r="AJ6" s="601" t="s">
        <v>1898</v>
      </c>
      <c r="AK6" s="601" t="s">
        <v>1217</v>
      </c>
      <c r="AL6" s="601" t="s">
        <v>221</v>
      </c>
      <c r="AM6" s="601" t="s">
        <v>1219</v>
      </c>
      <c r="AN6" s="601" t="s">
        <v>1851</v>
      </c>
      <c r="AO6" s="601" t="s">
        <v>1220</v>
      </c>
      <c r="AP6" s="601" t="s">
        <v>1222</v>
      </c>
      <c r="AQ6" s="601" t="s">
        <v>743</v>
      </c>
      <c r="AR6" s="601" t="s">
        <v>1863</v>
      </c>
      <c r="AS6" s="601" t="s">
        <v>1221</v>
      </c>
      <c r="AT6" s="601" t="s">
        <v>855</v>
      </c>
      <c r="AU6" s="601" t="s">
        <v>856</v>
      </c>
      <c r="AV6" s="601" t="s">
        <v>330</v>
      </c>
      <c r="AW6" s="601" t="s">
        <v>1471</v>
      </c>
      <c r="AX6" s="602" t="s">
        <v>857</v>
      </c>
      <c r="AY6" s="602" t="s">
        <v>351</v>
      </c>
      <c r="AZ6" s="602" t="s">
        <v>352</v>
      </c>
      <c r="BA6" s="605" t="s">
        <v>353</v>
      </c>
      <c r="BB6" s="605" t="s">
        <v>359</v>
      </c>
      <c r="BC6" s="599" t="s">
        <v>287</v>
      </c>
      <c r="BD6" s="602" t="s">
        <v>290</v>
      </c>
      <c r="BE6" s="599" t="s">
        <v>1870</v>
      </c>
      <c r="BF6" s="599" t="s">
        <v>639</v>
      </c>
      <c r="BG6" s="599" t="s">
        <v>629</v>
      </c>
      <c r="BH6" s="599" t="s">
        <v>332</v>
      </c>
      <c r="BI6" s="599" t="s">
        <v>995</v>
      </c>
    </row>
    <row r="7" spans="1:61" s="245" customFormat="1" ht="227.25" customHeight="1">
      <c r="A7" s="878" t="s">
        <v>1119</v>
      </c>
      <c r="B7" s="245" t="s">
        <v>814</v>
      </c>
      <c r="C7" s="245" t="s">
        <v>1980</v>
      </c>
      <c r="D7" s="245" t="s">
        <v>1981</v>
      </c>
      <c r="E7" s="245" t="s">
        <v>1982</v>
      </c>
      <c r="F7" s="245" t="s">
        <v>1985</v>
      </c>
      <c r="G7" s="245" t="s">
        <v>475</v>
      </c>
      <c r="H7" s="245" t="s">
        <v>1983</v>
      </c>
      <c r="I7" s="245" t="s">
        <v>1984</v>
      </c>
      <c r="J7" s="245" t="s">
        <v>1986</v>
      </c>
      <c r="K7" s="245" t="s">
        <v>1987</v>
      </c>
      <c r="L7" s="245" t="s">
        <v>1988</v>
      </c>
      <c r="M7" s="245" t="s">
        <v>1989</v>
      </c>
      <c r="N7" s="245" t="s">
        <v>1990</v>
      </c>
      <c r="O7" s="245" t="s">
        <v>1990</v>
      </c>
      <c r="P7" s="245" t="s">
        <v>668</v>
      </c>
      <c r="Q7" s="245" t="s">
        <v>669</v>
      </c>
      <c r="R7" s="245" t="s">
        <v>671</v>
      </c>
      <c r="S7" s="245" t="s">
        <v>670</v>
      </c>
      <c r="T7" s="245" t="s">
        <v>674</v>
      </c>
      <c r="U7" s="245" t="s">
        <v>673</v>
      </c>
      <c r="V7" s="245" t="s">
        <v>672</v>
      </c>
      <c r="W7" s="245" t="s">
        <v>675</v>
      </c>
      <c r="X7" s="245" t="s">
        <v>676</v>
      </c>
      <c r="Y7" s="245" t="s">
        <v>2027</v>
      </c>
      <c r="Z7" s="245" t="s">
        <v>678</v>
      </c>
      <c r="AA7" s="245" t="s">
        <v>2028</v>
      </c>
      <c r="AB7" s="245" t="s">
        <v>2029</v>
      </c>
      <c r="AC7" s="245" t="s">
        <v>2030</v>
      </c>
      <c r="AD7" s="245" t="s">
        <v>2031</v>
      </c>
      <c r="AE7" s="245" t="s">
        <v>729</v>
      </c>
      <c r="AF7" s="245" t="s">
        <v>730</v>
      </c>
      <c r="AG7" s="245" t="s">
        <v>733</v>
      </c>
      <c r="AH7" s="245" t="s">
        <v>732</v>
      </c>
      <c r="AI7" s="245" t="s">
        <v>734</v>
      </c>
      <c r="AJ7" s="245" t="s">
        <v>2037</v>
      </c>
      <c r="AK7" s="245" t="s">
        <v>2040</v>
      </c>
      <c r="AL7" s="245" t="s">
        <v>2039</v>
      </c>
      <c r="AM7" s="245" t="s">
        <v>2041</v>
      </c>
      <c r="AN7" s="245" t="s">
        <v>2042</v>
      </c>
      <c r="AO7" s="245" t="s">
        <v>2043</v>
      </c>
      <c r="AP7" s="245" t="s">
        <v>2044</v>
      </c>
      <c r="AQ7" s="245" t="s">
        <v>2045</v>
      </c>
      <c r="AR7" s="245" t="s">
        <v>744</v>
      </c>
      <c r="AS7" s="245" t="s">
        <v>2034</v>
      </c>
      <c r="AT7" s="245" t="s">
        <v>2033</v>
      </c>
      <c r="AU7" s="245" t="s">
        <v>2035</v>
      </c>
      <c r="AV7" s="245" t="s">
        <v>2036</v>
      </c>
      <c r="AW7" s="245" t="s">
        <v>746</v>
      </c>
      <c r="AX7" s="245" t="s">
        <v>747</v>
      </c>
      <c r="AY7" s="245" t="s">
        <v>803</v>
      </c>
      <c r="AZ7" s="245" t="s">
        <v>804</v>
      </c>
      <c r="BA7" s="245" t="s">
        <v>805</v>
      </c>
      <c r="BB7" s="245" t="s">
        <v>806</v>
      </c>
      <c r="BC7" s="245" t="s">
        <v>807</v>
      </c>
      <c r="BD7" s="245" t="s">
        <v>808</v>
      </c>
      <c r="BE7" s="245" t="s">
        <v>809</v>
      </c>
      <c r="BF7" s="245" t="s">
        <v>810</v>
      </c>
      <c r="BG7" s="245" t="s">
        <v>812</v>
      </c>
      <c r="BH7" s="245" t="s">
        <v>811</v>
      </c>
      <c r="BI7" s="245" t="s">
        <v>813</v>
      </c>
    </row>
    <row r="9" spans="1:61" s="279" customFormat="1" ht="43.5" customHeight="1" thickBot="1">
      <c r="A9" s="1029" t="s">
        <v>468</v>
      </c>
      <c r="B9" s="1029"/>
      <c r="C9" s="1029"/>
      <c r="D9" s="1029"/>
    </row>
    <row r="10" spans="1:61" s="27" customFormat="1"/>
    <row r="11" spans="1:61" s="27" customFormat="1" ht="15">
      <c r="A11" s="254" t="s">
        <v>1118</v>
      </c>
    </row>
    <row r="12" spans="1:61" s="27" customFormat="1" ht="105" customHeight="1">
      <c r="A12" s="1027" t="s">
        <v>1144</v>
      </c>
      <c r="B12" s="1028"/>
      <c r="C12" s="1028"/>
      <c r="D12" s="1028"/>
    </row>
    <row r="13" spans="1:61" s="27" customFormat="1" ht="24" customHeight="1">
      <c r="A13" s="254" t="s">
        <v>1117</v>
      </c>
      <c r="B13" s="607"/>
      <c r="C13" s="607"/>
      <c r="D13" s="607"/>
    </row>
    <row r="14" spans="1:61" s="27" customFormat="1" ht="58.5" customHeight="1">
      <c r="A14" s="1027" t="s">
        <v>1748</v>
      </c>
      <c r="B14" s="1028"/>
      <c r="C14" s="1028"/>
      <c r="D14" s="1028"/>
    </row>
    <row r="15" spans="1:61" s="27" customFormat="1" ht="23.25" customHeight="1">
      <c r="A15" s="254" t="s">
        <v>469</v>
      </c>
    </row>
    <row r="16" spans="1:61" s="27" customFormat="1" ht="21.75" customHeight="1">
      <c r="A16" s="4" t="s">
        <v>471</v>
      </c>
    </row>
    <row r="17" spans="1:4" s="27" customFormat="1" ht="37.5" customHeight="1">
      <c r="A17" s="1027" t="s">
        <v>1747</v>
      </c>
      <c r="B17" s="1028"/>
      <c r="C17" s="1028"/>
      <c r="D17" s="1028"/>
    </row>
    <row r="18" spans="1:4" s="27" customFormat="1" ht="15">
      <c r="A18" s="253"/>
    </row>
    <row r="19" spans="1:4" s="27" customFormat="1" ht="17.25" customHeight="1">
      <c r="A19" s="4" t="s">
        <v>1121</v>
      </c>
    </row>
    <row r="20" spans="1:4" s="27" customFormat="1" ht="57.75" customHeight="1">
      <c r="A20" s="1027" t="s">
        <v>474</v>
      </c>
      <c r="B20" s="1028"/>
      <c r="C20" s="1028"/>
      <c r="D20" s="1028"/>
    </row>
    <row r="21" spans="1:4" s="27" customFormat="1"/>
    <row r="22" spans="1:4" s="27" customFormat="1">
      <c r="A22" s="4" t="s">
        <v>465</v>
      </c>
    </row>
    <row r="23" spans="1:4" s="27" customFormat="1" ht="36" customHeight="1">
      <c r="A23" s="1027" t="s">
        <v>466</v>
      </c>
      <c r="B23" s="1028"/>
      <c r="C23" s="1028"/>
      <c r="D23" s="1028"/>
    </row>
    <row r="24" spans="1:4" s="27" customFormat="1"/>
    <row r="25" spans="1:4" s="27" customFormat="1">
      <c r="A25" s="4" t="s">
        <v>470</v>
      </c>
    </row>
    <row r="26" spans="1:4" s="27" customFormat="1" ht="54.75" customHeight="1">
      <c r="A26" s="1027" t="s">
        <v>1143</v>
      </c>
      <c r="B26" s="1028"/>
      <c r="C26" s="1028"/>
      <c r="D26" s="1028"/>
    </row>
    <row r="27" spans="1:4" s="27" customFormat="1"/>
    <row r="28" spans="1:4" s="27" customFormat="1">
      <c r="A28" s="4" t="s">
        <v>1765</v>
      </c>
    </row>
    <row r="29" spans="1:4" s="27" customFormat="1" ht="61.5" customHeight="1">
      <c r="A29" s="1027" t="s">
        <v>464</v>
      </c>
      <c r="B29" s="1028"/>
      <c r="C29" s="1028"/>
      <c r="D29" s="1028"/>
    </row>
    <row r="30" spans="1:4" s="27" customFormat="1"/>
    <row r="31" spans="1:4" s="279" customFormat="1"/>
    <row r="32" spans="1:4" s="279" customFormat="1"/>
    <row r="33" s="279" customFormat="1"/>
    <row r="34" s="279" customFormat="1"/>
    <row r="35" s="279" customFormat="1"/>
    <row r="36" s="279" customFormat="1"/>
    <row r="37" s="279" customFormat="1"/>
    <row r="38" s="279" customFormat="1"/>
    <row r="39" s="279" customFormat="1"/>
    <row r="40" s="279" customFormat="1"/>
    <row r="41" s="279" customFormat="1"/>
    <row r="42" s="279" customFormat="1"/>
    <row r="43" s="279" customFormat="1"/>
    <row r="44" s="279" customFormat="1"/>
    <row r="45" s="279" customFormat="1"/>
    <row r="46" s="279" customFormat="1"/>
    <row r="47" s="279" customFormat="1"/>
    <row r="48" s="279" customFormat="1"/>
    <row r="49" s="279" customFormat="1"/>
    <row r="50" s="279" customFormat="1"/>
  </sheetData>
  <mergeCells count="9">
    <mergeCell ref="A29:D29"/>
    <mergeCell ref="A23:D23"/>
    <mergeCell ref="A4:D4"/>
    <mergeCell ref="A9:D9"/>
    <mergeCell ref="A26:D26"/>
    <mergeCell ref="A17:D17"/>
    <mergeCell ref="A12:D12"/>
    <mergeCell ref="A14:D14"/>
    <mergeCell ref="A20:D20"/>
  </mergeCells>
  <phoneticPr fontId="12" type="noConversion"/>
  <pageMargins left="0.75" right="0.75" top="1" bottom="1" header="0.5" footer="0.5"/>
  <pageSetup orientation="portrait" r:id="rId1"/>
  <headerFooter alignWithMargins="0"/>
  <drawing r:id="rId2"/>
  <legacyDrawing r:id="rId3"/>
</worksheet>
</file>

<file path=xl/worksheets/sheet14.xml><?xml version="1.0" encoding="utf-8"?>
<worksheet xmlns="http://schemas.openxmlformats.org/spreadsheetml/2006/main" xmlns:r="http://schemas.openxmlformats.org/officeDocument/2006/relationships">
  <sheetPr codeName="Sheet12"/>
  <dimension ref="A1:I73"/>
  <sheetViews>
    <sheetView topLeftCell="A37" workbookViewId="0">
      <selection activeCell="A21" sqref="A21"/>
    </sheetView>
  </sheetViews>
  <sheetFormatPr defaultRowHeight="12.75"/>
  <cols>
    <col min="1" max="1" width="31.5703125" style="48" customWidth="1"/>
    <col min="2" max="2" width="19" style="47" customWidth="1"/>
    <col min="3" max="3" width="26.42578125" style="46" customWidth="1"/>
    <col min="4" max="4" width="32.85546875" style="46" customWidth="1"/>
    <col min="5" max="5" width="19.5703125" style="46" customWidth="1"/>
    <col min="6" max="6" width="27.5703125" style="50" customWidth="1"/>
    <col min="7" max="7" width="19.5703125" style="54" customWidth="1"/>
    <col min="8" max="8" width="20.28515625" style="52" customWidth="1"/>
  </cols>
  <sheetData>
    <row r="1" spans="1:9" s="160" customFormat="1" ht="31.5" customHeight="1" thickBot="1">
      <c r="A1" s="155" t="s">
        <v>150</v>
      </c>
      <c r="B1" s="171"/>
      <c r="C1" s="167" t="s">
        <v>1270</v>
      </c>
      <c r="D1" s="156" t="s">
        <v>149</v>
      </c>
      <c r="E1" s="156"/>
      <c r="F1" s="157"/>
      <c r="G1" s="158"/>
      <c r="H1" s="159" t="s">
        <v>293</v>
      </c>
      <c r="I1" s="157"/>
    </row>
    <row r="2" spans="1:9" ht="27" customHeight="1">
      <c r="A2" s="48" t="s">
        <v>145</v>
      </c>
      <c r="G2" s="55"/>
      <c r="H2" s="56" t="s">
        <v>1960</v>
      </c>
      <c r="I2" s="49" t="s">
        <v>295</v>
      </c>
    </row>
    <row r="3" spans="1:9" ht="27" customHeight="1">
      <c r="A3" s="154" t="s">
        <v>144</v>
      </c>
      <c r="B3" s="170"/>
      <c r="C3" s="162" t="s">
        <v>1960</v>
      </c>
      <c r="D3" s="162" t="s">
        <v>159</v>
      </c>
      <c r="F3" s="46"/>
      <c r="G3" s="55"/>
      <c r="H3" s="56"/>
      <c r="I3" s="49"/>
    </row>
    <row r="4" spans="1:9" ht="23.25" customHeight="1">
      <c r="A4" s="163" t="s">
        <v>152</v>
      </c>
      <c r="B4" s="172"/>
      <c r="C4" s="138" t="s">
        <v>1884</v>
      </c>
      <c r="D4" s="164"/>
      <c r="E4" s="161"/>
      <c r="F4" s="46"/>
      <c r="H4" s="51" t="s">
        <v>139</v>
      </c>
      <c r="I4" s="58" t="s">
        <v>294</v>
      </c>
    </row>
    <row r="5" spans="1:9" ht="14.25" customHeight="1">
      <c r="C5" s="138" t="s">
        <v>2005</v>
      </c>
      <c r="E5" s="161"/>
      <c r="F5" s="46"/>
      <c r="H5" s="51" t="s">
        <v>296</v>
      </c>
      <c r="I5" s="50" t="s">
        <v>297</v>
      </c>
    </row>
    <row r="6" spans="1:9" ht="14.25" customHeight="1">
      <c r="C6" s="138" t="s">
        <v>1887</v>
      </c>
      <c r="D6" s="161"/>
      <c r="E6" s="161"/>
      <c r="F6" s="46"/>
      <c r="H6" s="51" t="s">
        <v>1874</v>
      </c>
      <c r="I6" s="50" t="s">
        <v>298</v>
      </c>
    </row>
    <row r="7" spans="1:9" ht="14.25" customHeight="1">
      <c r="C7" s="138" t="s">
        <v>642</v>
      </c>
      <c r="D7" s="166" t="s">
        <v>157</v>
      </c>
      <c r="F7" s="46"/>
      <c r="H7" s="51" t="s">
        <v>1884</v>
      </c>
      <c r="I7" s="50" t="s">
        <v>299</v>
      </c>
    </row>
    <row r="8" spans="1:9" ht="14.25" customHeight="1">
      <c r="C8" s="138" t="s">
        <v>643</v>
      </c>
      <c r="D8" s="161" t="s">
        <v>134</v>
      </c>
      <c r="F8" s="46"/>
      <c r="H8" s="51" t="s">
        <v>1639</v>
      </c>
      <c r="I8" s="50" t="s">
        <v>300</v>
      </c>
    </row>
    <row r="9" spans="1:9" ht="14.25" customHeight="1">
      <c r="C9" s="138" t="s">
        <v>644</v>
      </c>
      <c r="D9" s="161" t="s">
        <v>135</v>
      </c>
      <c r="F9" s="46"/>
      <c r="H9" s="51" t="s">
        <v>301</v>
      </c>
      <c r="I9" s="50" t="s">
        <v>302</v>
      </c>
    </row>
    <row r="10" spans="1:9" ht="14.25" customHeight="1">
      <c r="C10" s="138" t="s">
        <v>645</v>
      </c>
      <c r="D10" s="161" t="s">
        <v>136</v>
      </c>
      <c r="F10" s="46"/>
      <c r="H10" s="51"/>
      <c r="I10" s="50"/>
    </row>
    <row r="11" spans="1:9" ht="14.25" customHeight="1">
      <c r="C11" s="138"/>
      <c r="D11" s="161"/>
      <c r="F11" s="46"/>
      <c r="H11" s="51"/>
      <c r="I11" s="50"/>
    </row>
    <row r="12" spans="1:9" ht="15">
      <c r="A12" s="154" t="s">
        <v>1272</v>
      </c>
      <c r="B12" s="170"/>
      <c r="C12" s="162" t="s">
        <v>1960</v>
      </c>
      <c r="D12" s="162" t="s">
        <v>159</v>
      </c>
      <c r="F12" s="46"/>
      <c r="H12" s="51" t="s">
        <v>1593</v>
      </c>
      <c r="I12" s="50" t="s">
        <v>303</v>
      </c>
    </row>
    <row r="13" spans="1:9" ht="24" customHeight="1">
      <c r="B13" s="163" t="s">
        <v>151</v>
      </c>
      <c r="H13" s="51" t="s">
        <v>137</v>
      </c>
      <c r="I13" s="50" t="s">
        <v>304</v>
      </c>
    </row>
    <row r="14" spans="1:9" ht="15.75" customHeight="1">
      <c r="B14" s="165" t="s">
        <v>1964</v>
      </c>
      <c r="C14" s="138" t="s">
        <v>1098</v>
      </c>
      <c r="D14" s="161" t="s">
        <v>1304</v>
      </c>
      <c r="H14" s="51" t="s">
        <v>1966</v>
      </c>
      <c r="I14" s="50" t="s">
        <v>305</v>
      </c>
    </row>
    <row r="15" spans="1:9" ht="15.75" customHeight="1">
      <c r="B15" s="165"/>
      <c r="C15" s="138" t="s">
        <v>153</v>
      </c>
      <c r="D15" s="161" t="s">
        <v>154</v>
      </c>
      <c r="H15" s="51" t="s">
        <v>138</v>
      </c>
      <c r="I15" s="50" t="s">
        <v>306</v>
      </c>
    </row>
    <row r="16" spans="1:9" ht="15.75" customHeight="1">
      <c r="B16" s="165"/>
      <c r="C16" s="138" t="s">
        <v>1100</v>
      </c>
      <c r="D16" s="161" t="s">
        <v>155</v>
      </c>
      <c r="H16" s="51" t="s">
        <v>307</v>
      </c>
      <c r="I16" s="50" t="s">
        <v>308</v>
      </c>
    </row>
    <row r="17" spans="1:9" ht="15.75" customHeight="1">
      <c r="B17" s="165" t="s">
        <v>1956</v>
      </c>
      <c r="C17" s="138" t="s">
        <v>1877</v>
      </c>
      <c r="E17" s="161"/>
      <c r="H17" s="51" t="s">
        <v>312</v>
      </c>
      <c r="I17" s="50" t="s">
        <v>309</v>
      </c>
    </row>
    <row r="18" spans="1:9" ht="15.75" customHeight="1">
      <c r="B18" s="165"/>
      <c r="C18" s="138" t="s">
        <v>137</v>
      </c>
      <c r="E18" s="161"/>
      <c r="H18" s="51" t="s">
        <v>310</v>
      </c>
      <c r="I18" s="50" t="s">
        <v>311</v>
      </c>
    </row>
    <row r="19" spans="1:9" ht="15.75" customHeight="1">
      <c r="B19" s="165"/>
      <c r="C19" s="138" t="s">
        <v>1339</v>
      </c>
      <c r="E19" s="161"/>
      <c r="H19" s="51" t="s">
        <v>1295</v>
      </c>
      <c r="I19" s="50" t="s">
        <v>313</v>
      </c>
    </row>
    <row r="20" spans="1:9" ht="15.75" customHeight="1">
      <c r="B20" s="48"/>
      <c r="C20" s="138" t="s">
        <v>642</v>
      </c>
      <c r="D20" s="166" t="s">
        <v>156</v>
      </c>
      <c r="E20" s="54"/>
      <c r="H20" s="51" t="s">
        <v>314</v>
      </c>
      <c r="I20" s="50" t="s">
        <v>315</v>
      </c>
    </row>
    <row r="21" spans="1:9" ht="15.75" customHeight="1">
      <c r="B21" s="165"/>
      <c r="C21" s="138" t="s">
        <v>643</v>
      </c>
      <c r="D21" s="161" t="s">
        <v>134</v>
      </c>
      <c r="H21" s="51" t="s">
        <v>1339</v>
      </c>
      <c r="I21" s="50" t="s">
        <v>316</v>
      </c>
    </row>
    <row r="22" spans="1:9" ht="15.75" customHeight="1">
      <c r="B22" s="165"/>
      <c r="C22" s="138" t="s">
        <v>644</v>
      </c>
      <c r="D22" s="161" t="s">
        <v>135</v>
      </c>
      <c r="H22" s="51" t="s">
        <v>325</v>
      </c>
      <c r="I22" s="50" t="s">
        <v>317</v>
      </c>
    </row>
    <row r="23" spans="1:9" ht="15.75" customHeight="1">
      <c r="B23" s="165"/>
      <c r="C23" s="138" t="s">
        <v>645</v>
      </c>
      <c r="D23" s="161" t="s">
        <v>136</v>
      </c>
      <c r="H23" s="51" t="s">
        <v>23</v>
      </c>
      <c r="I23" s="50" t="s">
        <v>318</v>
      </c>
    </row>
    <row r="24" spans="1:9" ht="15.75" customHeight="1">
      <c r="B24" s="165" t="s">
        <v>1962</v>
      </c>
      <c r="C24" s="138" t="s">
        <v>138</v>
      </c>
      <c r="E24" s="161"/>
      <c r="H24" s="51" t="s">
        <v>1098</v>
      </c>
      <c r="I24" s="50" t="s">
        <v>319</v>
      </c>
    </row>
    <row r="25" spans="1:9" ht="15.75" customHeight="1">
      <c r="C25" s="138" t="s">
        <v>139</v>
      </c>
      <c r="E25" s="161"/>
      <c r="H25" s="51" t="s">
        <v>2005</v>
      </c>
      <c r="I25" s="50" t="s">
        <v>320</v>
      </c>
    </row>
    <row r="26" spans="1:9" ht="15.75" customHeight="1">
      <c r="C26" s="138" t="s">
        <v>140</v>
      </c>
      <c r="D26" s="161" t="s">
        <v>141</v>
      </c>
      <c r="H26" s="51" t="s">
        <v>322</v>
      </c>
      <c r="I26" s="50" t="s">
        <v>321</v>
      </c>
    </row>
    <row r="27" spans="1:9" ht="15.75" customHeight="1">
      <c r="C27" s="138" t="s">
        <v>1874</v>
      </c>
      <c r="D27" s="161"/>
      <c r="E27" s="161"/>
      <c r="H27" s="51" t="s">
        <v>1887</v>
      </c>
      <c r="I27" s="50" t="s">
        <v>323</v>
      </c>
    </row>
    <row r="28" spans="1:9" ht="15.75" customHeight="1">
      <c r="C28" s="138" t="s">
        <v>1968</v>
      </c>
      <c r="D28" s="161" t="s">
        <v>158</v>
      </c>
      <c r="E28" s="161"/>
      <c r="H28" s="51" t="s">
        <v>1968</v>
      </c>
      <c r="I28" s="50" t="s">
        <v>324</v>
      </c>
    </row>
    <row r="29" spans="1:9" ht="15.75" customHeight="1">
      <c r="C29" s="161"/>
      <c r="D29" s="161"/>
      <c r="E29" s="161"/>
      <c r="F29" s="161"/>
      <c r="H29" s="51"/>
      <c r="I29" s="50"/>
    </row>
    <row r="30" spans="1:9">
      <c r="C30" s="161"/>
      <c r="D30" s="161"/>
      <c r="E30" s="161"/>
      <c r="F30" s="161"/>
      <c r="H30" s="51"/>
      <c r="I30" s="50"/>
    </row>
    <row r="31" spans="1:9" ht="15">
      <c r="A31" s="154" t="s">
        <v>146</v>
      </c>
      <c r="B31" s="170"/>
      <c r="C31" s="162" t="s">
        <v>1960</v>
      </c>
      <c r="D31" s="162" t="s">
        <v>159</v>
      </c>
      <c r="E31" s="161"/>
      <c r="F31" s="161"/>
      <c r="H31" s="51"/>
      <c r="I31" s="50"/>
    </row>
    <row r="32" spans="1:9" ht="38.25">
      <c r="A32" s="174" t="s">
        <v>177</v>
      </c>
      <c r="C32" s="138" t="s">
        <v>1639</v>
      </c>
      <c r="D32" s="161" t="s">
        <v>160</v>
      </c>
      <c r="F32" s="161"/>
      <c r="H32" s="51"/>
      <c r="I32" s="50"/>
    </row>
    <row r="33" spans="1:9">
      <c r="C33" s="138" t="s">
        <v>173</v>
      </c>
      <c r="D33" s="161"/>
      <c r="E33" s="161"/>
      <c r="F33" s="161"/>
      <c r="H33" s="51"/>
      <c r="I33" s="50"/>
    </row>
    <row r="34" spans="1:9">
      <c r="C34" s="138" t="s">
        <v>174</v>
      </c>
      <c r="D34" s="161"/>
      <c r="E34" s="161"/>
      <c r="F34" s="161"/>
      <c r="H34" s="51"/>
      <c r="I34" s="50"/>
    </row>
    <row r="35" spans="1:9">
      <c r="C35" s="138" t="s">
        <v>175</v>
      </c>
      <c r="D35" s="161"/>
      <c r="E35" s="161"/>
      <c r="F35" s="161"/>
      <c r="H35" s="51"/>
      <c r="I35" s="50"/>
    </row>
    <row r="36" spans="1:9">
      <c r="C36" s="138" t="s">
        <v>1305</v>
      </c>
      <c r="D36" s="161"/>
      <c r="E36" s="161"/>
      <c r="F36" s="161"/>
      <c r="H36" s="51"/>
      <c r="I36" s="50"/>
    </row>
    <row r="37" spans="1:9">
      <c r="C37" s="161"/>
      <c r="E37" s="161"/>
      <c r="F37" s="161"/>
      <c r="H37" s="51"/>
      <c r="I37" s="50"/>
    </row>
    <row r="38" spans="1:9" ht="15">
      <c r="A38" s="168" t="s">
        <v>148</v>
      </c>
      <c r="B38" s="168"/>
      <c r="C38" s="161"/>
      <c r="E38" s="161"/>
      <c r="F38" s="161"/>
      <c r="H38" s="51"/>
      <c r="I38" s="50"/>
    </row>
    <row r="39" spans="1:9" ht="15">
      <c r="A39" s="168"/>
      <c r="B39" s="168"/>
      <c r="C39" s="56" t="s">
        <v>900</v>
      </c>
      <c r="D39" s="46" t="s">
        <v>178</v>
      </c>
      <c r="E39" s="161"/>
      <c r="F39" s="161"/>
      <c r="H39" s="51"/>
      <c r="I39" s="50"/>
    </row>
    <row r="40" spans="1:9" ht="15">
      <c r="A40" s="168"/>
      <c r="B40" s="168"/>
      <c r="C40" s="56" t="s">
        <v>296</v>
      </c>
      <c r="D40" s="52" t="s">
        <v>179</v>
      </c>
      <c r="E40" s="161"/>
      <c r="F40" s="161"/>
      <c r="H40" s="51"/>
      <c r="I40" s="50"/>
    </row>
    <row r="41" spans="1:9" ht="15">
      <c r="A41" s="168"/>
      <c r="B41" s="168"/>
      <c r="C41" s="47" t="s">
        <v>1269</v>
      </c>
      <c r="D41" s="46" t="s">
        <v>1268</v>
      </c>
      <c r="E41" s="161"/>
      <c r="F41" s="161"/>
      <c r="H41" s="51"/>
      <c r="I41" s="50"/>
    </row>
    <row r="42" spans="1:9" ht="15">
      <c r="A42" s="168"/>
      <c r="B42" s="168"/>
      <c r="C42" s="138" t="s">
        <v>176</v>
      </c>
      <c r="E42" s="161"/>
      <c r="F42" s="161"/>
      <c r="H42" s="51"/>
      <c r="I42" s="50"/>
    </row>
    <row r="43" spans="1:9">
      <c r="C43" s="52" t="s">
        <v>1940</v>
      </c>
      <c r="F43" s="46"/>
      <c r="H43" s="51"/>
      <c r="I43" s="50"/>
    </row>
    <row r="44" spans="1:9">
      <c r="C44" s="46" t="s">
        <v>1673</v>
      </c>
      <c r="F44" s="46"/>
      <c r="H44" s="51"/>
      <c r="I44" s="50"/>
    </row>
    <row r="45" spans="1:9" ht="15">
      <c r="A45" s="154" t="s">
        <v>147</v>
      </c>
      <c r="B45" s="170"/>
      <c r="C45" s="162" t="s">
        <v>1960</v>
      </c>
      <c r="D45" s="162" t="s">
        <v>159</v>
      </c>
      <c r="H45" s="51"/>
      <c r="I45" s="50"/>
    </row>
    <row r="46" spans="1:9" ht="30.75" customHeight="1">
      <c r="B46" s="163" t="s">
        <v>151</v>
      </c>
      <c r="H46" s="51"/>
      <c r="I46" s="50"/>
    </row>
    <row r="47" spans="1:9">
      <c r="B47" s="165" t="s">
        <v>1969</v>
      </c>
      <c r="C47" s="138" t="s">
        <v>1293</v>
      </c>
      <c r="H47" s="51"/>
      <c r="I47" s="50"/>
    </row>
    <row r="48" spans="1:9">
      <c r="B48" s="48"/>
      <c r="C48" s="138" t="s">
        <v>1300</v>
      </c>
      <c r="D48" s="161"/>
      <c r="H48" s="51"/>
      <c r="I48" s="50"/>
    </row>
    <row r="49" spans="1:9">
      <c r="B49" s="48"/>
      <c r="C49" s="138" t="s">
        <v>1294</v>
      </c>
      <c r="D49" s="161"/>
      <c r="H49" s="51"/>
      <c r="I49" s="50"/>
    </row>
    <row r="50" spans="1:9" ht="13.5" thickBot="1">
      <c r="B50" s="48"/>
      <c r="C50" s="138" t="s">
        <v>1593</v>
      </c>
      <c r="D50" s="161"/>
      <c r="H50" s="57"/>
      <c r="I50" s="53"/>
    </row>
    <row r="51" spans="1:9">
      <c r="B51" s="48"/>
      <c r="C51" s="138" t="s">
        <v>1301</v>
      </c>
      <c r="D51" s="161"/>
    </row>
    <row r="52" spans="1:9">
      <c r="B52" s="48"/>
      <c r="C52" s="138" t="s">
        <v>1302</v>
      </c>
      <c r="D52" s="161"/>
    </row>
    <row r="53" spans="1:9">
      <c r="B53" s="48"/>
      <c r="C53" s="138" t="s">
        <v>1303</v>
      </c>
      <c r="D53" s="161"/>
    </row>
    <row r="54" spans="1:9">
      <c r="B54" s="48"/>
      <c r="C54" s="138" t="s">
        <v>1295</v>
      </c>
      <c r="D54" s="161"/>
    </row>
    <row r="55" spans="1:9">
      <c r="B55" s="165" t="s">
        <v>633</v>
      </c>
      <c r="C55" s="138" t="s">
        <v>1300</v>
      </c>
    </row>
    <row r="56" spans="1:9">
      <c r="B56" s="48"/>
      <c r="C56" s="138" t="s">
        <v>1294</v>
      </c>
      <c r="D56" s="161"/>
    </row>
    <row r="57" spans="1:9">
      <c r="B57" s="48"/>
      <c r="C57" s="138" t="s">
        <v>1593</v>
      </c>
      <c r="D57" s="161"/>
    </row>
    <row r="58" spans="1:9">
      <c r="B58" s="48"/>
      <c r="C58" s="138" t="s">
        <v>1295</v>
      </c>
      <c r="D58" s="161"/>
    </row>
    <row r="59" spans="1:9">
      <c r="B59" s="165" t="s">
        <v>1970</v>
      </c>
      <c r="C59" s="138" t="s">
        <v>1296</v>
      </c>
    </row>
    <row r="60" spans="1:9">
      <c r="C60" s="138" t="s">
        <v>1297</v>
      </c>
      <c r="D60" s="161"/>
    </row>
    <row r="61" spans="1:9">
      <c r="C61" s="138" t="s">
        <v>1298</v>
      </c>
      <c r="D61" s="161"/>
    </row>
    <row r="62" spans="1:9">
      <c r="C62" s="138" t="s">
        <v>1299</v>
      </c>
      <c r="D62" s="161"/>
    </row>
    <row r="63" spans="1:9" ht="14.25">
      <c r="C63" s="169"/>
    </row>
    <row r="64" spans="1:9">
      <c r="A64" s="152"/>
      <c r="B64" s="56"/>
      <c r="C64" s="52"/>
    </row>
    <row r="65" spans="1:3">
      <c r="A65" s="152"/>
      <c r="B65" s="56"/>
      <c r="C65" s="52"/>
    </row>
    <row r="73" spans="1:3">
      <c r="A73" s="153" t="s">
        <v>1335</v>
      </c>
      <c r="B73" s="173"/>
    </row>
  </sheetData>
  <phoneticPr fontId="12" type="noConversion"/>
  <hyperlinks>
    <hyperlink ref="A73" r:id="rId1"/>
  </hyperlinks>
  <pageMargins left="0.75" right="0.75" top="1" bottom="1" header="0.5" footer="0.5"/>
  <pageSetup orientation="portrait" r:id="rId2"/>
  <headerFooter alignWithMargins="0"/>
  <legacyDrawing r:id="rId3"/>
</worksheet>
</file>

<file path=xl/worksheets/sheet15.xml><?xml version="1.0" encoding="utf-8"?>
<worksheet xmlns="http://schemas.openxmlformats.org/spreadsheetml/2006/main" xmlns:r="http://schemas.openxmlformats.org/officeDocument/2006/relationships">
  <sheetPr codeName="Sheet13"/>
  <dimension ref="A4:C33"/>
  <sheetViews>
    <sheetView workbookViewId="0">
      <selection activeCell="A5" sqref="A5"/>
    </sheetView>
  </sheetViews>
  <sheetFormatPr defaultRowHeight="12.75"/>
  <cols>
    <col min="1" max="1" width="21.140625" customWidth="1"/>
  </cols>
  <sheetData>
    <row r="4" spans="1:3">
      <c r="A4" s="4" t="s">
        <v>231</v>
      </c>
    </row>
    <row r="5" spans="1:3">
      <c r="A5" t="s">
        <v>226</v>
      </c>
    </row>
    <row r="6" spans="1:3">
      <c r="A6" t="s">
        <v>227</v>
      </c>
    </row>
    <row r="12" spans="1:3">
      <c r="A12" s="4" t="s">
        <v>237</v>
      </c>
      <c r="C12" t="s">
        <v>1141</v>
      </c>
    </row>
    <row r="13" spans="1:3">
      <c r="A13" t="s">
        <v>844</v>
      </c>
    </row>
    <row r="14" spans="1:3">
      <c r="A14" t="s">
        <v>1023</v>
      </c>
    </row>
    <row r="15" spans="1:3">
      <c r="A15" t="s">
        <v>876</v>
      </c>
    </row>
    <row r="16" spans="1:3">
      <c r="A16" t="s">
        <v>230</v>
      </c>
    </row>
    <row r="17" spans="1:1">
      <c r="A17" t="s">
        <v>226</v>
      </c>
    </row>
    <row r="18" spans="1:1">
      <c r="A18" t="s">
        <v>232</v>
      </c>
    </row>
    <row r="19" spans="1:1">
      <c r="A19" t="s">
        <v>233</v>
      </c>
    </row>
    <row r="20" spans="1:1">
      <c r="A20" t="s">
        <v>234</v>
      </c>
    </row>
    <row r="21" spans="1:1">
      <c r="A21" t="s">
        <v>235</v>
      </c>
    </row>
    <row r="22" spans="1:1">
      <c r="A22" t="s">
        <v>239</v>
      </c>
    </row>
    <row r="23" spans="1:1">
      <c r="A23" t="s">
        <v>1095</v>
      </c>
    </row>
    <row r="24" spans="1:1">
      <c r="A24" t="s">
        <v>238</v>
      </c>
    </row>
    <row r="25" spans="1:1">
      <c r="A25" t="s">
        <v>243</v>
      </c>
    </row>
    <row r="26" spans="1:1">
      <c r="A26" t="s">
        <v>241</v>
      </c>
    </row>
    <row r="27" spans="1:1">
      <c r="A27" t="s">
        <v>242</v>
      </c>
    </row>
    <row r="28" spans="1:1">
      <c r="A28" t="s">
        <v>1819</v>
      </c>
    </row>
    <row r="29" spans="1:1">
      <c r="A29" t="s">
        <v>843</v>
      </c>
    </row>
    <row r="30" spans="1:1">
      <c r="A30" t="s">
        <v>1076</v>
      </c>
    </row>
    <row r="31" spans="1:1">
      <c r="A31" t="s">
        <v>1019</v>
      </c>
    </row>
    <row r="32" spans="1:1">
      <c r="A32" t="s">
        <v>842</v>
      </c>
    </row>
    <row r="33" spans="1:1">
      <c r="A33" t="s">
        <v>236</v>
      </c>
    </row>
  </sheetData>
  <phoneticPr fontId="12" type="noConversion"/>
  <pageMargins left="0.75" right="0.75" top="1" bottom="1" header="0.5" footer="0.5"/>
  <headerFooter alignWithMargins="0"/>
</worksheet>
</file>

<file path=xl/worksheets/sheet16.xml><?xml version="1.0" encoding="utf-8"?>
<worksheet xmlns="http://schemas.openxmlformats.org/spreadsheetml/2006/main" xmlns:r="http://schemas.openxmlformats.org/officeDocument/2006/relationships">
  <sheetPr codeName="Sheet14"/>
  <dimension ref="B1:X386"/>
  <sheetViews>
    <sheetView workbookViewId="0">
      <selection activeCell="D37" sqref="D37"/>
    </sheetView>
  </sheetViews>
  <sheetFormatPr defaultRowHeight="12.75"/>
  <cols>
    <col min="2" max="2" width="28.28515625" style="42" customWidth="1"/>
    <col min="3" max="3" width="18" customWidth="1"/>
    <col min="4" max="4" width="12" style="74" customWidth="1"/>
    <col min="5" max="5" width="28.28515625" style="72" customWidth="1"/>
    <col min="6" max="6" width="12.140625" style="72" customWidth="1"/>
    <col min="7" max="7" width="12" style="70" customWidth="1"/>
    <col min="8" max="8" width="12" style="71" customWidth="1"/>
    <col min="9" max="9" width="12" style="72" customWidth="1"/>
    <col min="10" max="10" width="12.85546875" style="71" customWidth="1"/>
    <col min="11" max="11" width="7.5703125" style="71" customWidth="1"/>
    <col min="12" max="13" width="12" style="71" customWidth="1"/>
    <col min="14" max="14" width="12" style="70" bestFit="1" customWidth="1"/>
    <col min="15" max="15" width="12" style="70" customWidth="1"/>
    <col min="16" max="17" width="12" style="71" customWidth="1"/>
    <col min="18" max="23" width="12" bestFit="1" customWidth="1"/>
    <col min="24" max="24" width="10.5703125" bestFit="1" customWidth="1"/>
  </cols>
  <sheetData>
    <row r="1" spans="2:16" ht="25.5">
      <c r="B1" s="216" t="s">
        <v>1854</v>
      </c>
      <c r="C1" s="216" t="s">
        <v>1855</v>
      </c>
      <c r="D1" s="216" t="s">
        <v>682</v>
      </c>
      <c r="E1" s="216" t="s">
        <v>1856</v>
      </c>
    </row>
    <row r="2" spans="2:16" ht="38.25">
      <c r="B2" s="213" t="s">
        <v>1857</v>
      </c>
      <c r="C2" s="214">
        <v>2650105</v>
      </c>
      <c r="D2" s="214">
        <v>35000000</v>
      </c>
      <c r="E2" s="214">
        <f>C2+D2</f>
        <v>37650105</v>
      </c>
    </row>
    <row r="3" spans="2:16" ht="25.5">
      <c r="B3" s="213" t="s">
        <v>1858</v>
      </c>
      <c r="C3" s="214">
        <v>1500000</v>
      </c>
      <c r="D3" s="214">
        <v>0</v>
      </c>
      <c r="E3" s="214">
        <f>C3+D3</f>
        <v>1500000</v>
      </c>
    </row>
    <row r="4" spans="2:16" ht="25.5">
      <c r="B4" s="213" t="s">
        <v>1859</v>
      </c>
      <c r="C4" s="213">
        <v>13</v>
      </c>
      <c r="D4" s="213">
        <v>168</v>
      </c>
      <c r="E4" s="213">
        <f>C4+D4</f>
        <v>181</v>
      </c>
    </row>
    <row r="5" spans="2:16">
      <c r="B5" s="213" t="s">
        <v>1860</v>
      </c>
      <c r="C5" s="215">
        <v>104881</v>
      </c>
      <c r="D5" s="215">
        <v>5143307</v>
      </c>
      <c r="E5" s="215">
        <f>C5+D5</f>
        <v>5248188</v>
      </c>
    </row>
    <row r="6" spans="2:16">
      <c r="B6" s="42" t="s">
        <v>1972</v>
      </c>
      <c r="C6" s="59">
        <v>1174170</v>
      </c>
      <c r="D6" s="71"/>
      <c r="E6" s="71"/>
    </row>
    <row r="11" spans="2:16" s="84" customFormat="1" ht="32.25" customHeight="1">
      <c r="B11" s="83" t="s">
        <v>133</v>
      </c>
      <c r="E11" s="83" t="s">
        <v>133</v>
      </c>
      <c r="G11"/>
      <c r="H11" s="8" t="s">
        <v>572</v>
      </c>
      <c r="I11" s="212">
        <v>2010</v>
      </c>
      <c r="J11" s="85"/>
    </row>
    <row r="12" spans="2:16" s="84" customFormat="1" ht="13.5" customHeight="1">
      <c r="B12"/>
      <c r="C12"/>
      <c r="E12" s="188" t="s">
        <v>572</v>
      </c>
      <c r="F12" s="189">
        <v>2010</v>
      </c>
      <c r="G12"/>
      <c r="H12" s="8" t="s">
        <v>375</v>
      </c>
      <c r="I12" s="14" t="s">
        <v>1101</v>
      </c>
      <c r="J12" s="85"/>
    </row>
    <row r="13" spans="2:16" s="84" customFormat="1" ht="13.5" customHeight="1">
      <c r="B13" s="188" t="s">
        <v>572</v>
      </c>
      <c r="C13" s="189">
        <v>2009</v>
      </c>
      <c r="E13" s="188" t="s">
        <v>375</v>
      </c>
      <c r="F13" s="190" t="s">
        <v>1101</v>
      </c>
      <c r="G13"/>
      <c r="H13"/>
      <c r="I13" s="209"/>
      <c r="J13" s="85"/>
    </row>
    <row r="14" spans="2:16" s="84" customFormat="1" ht="19.5" customHeight="1">
      <c r="B14"/>
      <c r="C14"/>
      <c r="E14"/>
      <c r="F14"/>
      <c r="G14"/>
      <c r="H14" s="6" t="s">
        <v>1853</v>
      </c>
      <c r="I14" s="12"/>
      <c r="J14" s="12"/>
      <c r="K14" s="135"/>
      <c r="L14"/>
      <c r="M14"/>
      <c r="N14"/>
      <c r="O14"/>
      <c r="P14"/>
    </row>
    <row r="15" spans="2:16" s="84" customFormat="1" ht="19.5" customHeight="1">
      <c r="B15" s="182" t="s">
        <v>292</v>
      </c>
      <c r="C15" s="183" t="s">
        <v>1871</v>
      </c>
      <c r="E15" s="182" t="s">
        <v>292</v>
      </c>
      <c r="F15" s="183" t="s">
        <v>1871</v>
      </c>
      <c r="G15"/>
      <c r="H15" s="6" t="s">
        <v>358</v>
      </c>
      <c r="I15" s="6" t="s">
        <v>1754</v>
      </c>
      <c r="J15" s="6" t="s">
        <v>328</v>
      </c>
      <c r="K15" s="7" t="s">
        <v>1871</v>
      </c>
      <c r="L15"/>
      <c r="M15"/>
      <c r="N15"/>
      <c r="O15"/>
      <c r="P15"/>
    </row>
    <row r="16" spans="2:16" s="84" customFormat="1" ht="15" customHeight="1">
      <c r="B16" s="184" t="s">
        <v>1348</v>
      </c>
      <c r="C16" s="185">
        <v>6910417</v>
      </c>
      <c r="E16" s="184" t="s">
        <v>1348</v>
      </c>
      <c r="F16" s="185">
        <v>4700105</v>
      </c>
      <c r="G16"/>
      <c r="H16" s="5" t="s">
        <v>1070</v>
      </c>
      <c r="I16" s="5" t="s">
        <v>288</v>
      </c>
      <c r="J16" s="5" t="s">
        <v>288</v>
      </c>
      <c r="K16" s="135"/>
      <c r="L16"/>
      <c r="M16"/>
      <c r="N16"/>
      <c r="O16"/>
      <c r="P16"/>
    </row>
    <row r="17" spans="2:17" s="84" customFormat="1" ht="12.75" customHeight="1">
      <c r="B17" s="186" t="s">
        <v>1347</v>
      </c>
      <c r="C17" s="187">
        <v>3424190</v>
      </c>
      <c r="E17" s="186" t="s">
        <v>1347</v>
      </c>
      <c r="F17" s="187">
        <v>2000000</v>
      </c>
      <c r="G17"/>
      <c r="H17" s="5" t="s">
        <v>508</v>
      </c>
      <c r="I17" s="5" t="s">
        <v>288</v>
      </c>
      <c r="J17" s="5" t="s">
        <v>288</v>
      </c>
      <c r="K17" s="135">
        <v>1000</v>
      </c>
      <c r="L17"/>
      <c r="M17"/>
      <c r="N17"/>
      <c r="O17"/>
      <c r="P17"/>
    </row>
    <row r="18" spans="2:17" s="84" customFormat="1" ht="15" customHeight="1">
      <c r="B18" s="186" t="s">
        <v>1346</v>
      </c>
      <c r="C18" s="187">
        <v>1010625</v>
      </c>
      <c r="E18" s="186" t="s">
        <v>1346</v>
      </c>
      <c r="F18" s="187">
        <v>4427346.43</v>
      </c>
      <c r="G18"/>
      <c r="H18" s="5" t="s">
        <v>1810</v>
      </c>
      <c r="I18" s="5">
        <v>1</v>
      </c>
      <c r="J18" s="5" t="s">
        <v>288</v>
      </c>
      <c r="K18" s="135"/>
      <c r="L18"/>
      <c r="M18"/>
      <c r="N18"/>
      <c r="O18"/>
      <c r="P18"/>
    </row>
    <row r="19" spans="2:17">
      <c r="B19" s="186" t="s">
        <v>1345</v>
      </c>
      <c r="C19" s="187">
        <v>2700602</v>
      </c>
      <c r="D19"/>
      <c r="E19" s="186" t="s">
        <v>1345</v>
      </c>
      <c r="F19" s="187">
        <v>32650105</v>
      </c>
      <c r="G19"/>
      <c r="H19" s="5" t="s">
        <v>1830</v>
      </c>
      <c r="I19" s="5" t="s">
        <v>288</v>
      </c>
      <c r="J19" s="5" t="s">
        <v>288</v>
      </c>
      <c r="K19" s="135">
        <v>7500</v>
      </c>
      <c r="L19"/>
      <c r="M19"/>
      <c r="N19"/>
      <c r="O19"/>
      <c r="P19"/>
      <c r="Q19"/>
    </row>
    <row r="20" spans="2:17">
      <c r="B20" s="186" t="s">
        <v>1349</v>
      </c>
      <c r="C20" s="187">
        <v>450000</v>
      </c>
      <c r="D20"/>
      <c r="E20" s="186" t="s">
        <v>1349</v>
      </c>
      <c r="F20" s="187">
        <v>16441093</v>
      </c>
      <c r="G20"/>
      <c r="H20" s="5" t="s">
        <v>334</v>
      </c>
      <c r="I20" s="5">
        <v>1</v>
      </c>
      <c r="J20" s="5" t="s">
        <v>288</v>
      </c>
      <c r="K20" s="135"/>
      <c r="L20"/>
      <c r="M20"/>
      <c r="N20"/>
      <c r="O20"/>
      <c r="P20"/>
      <c r="Q20"/>
    </row>
    <row r="21" spans="2:17">
      <c r="B21" s="186" t="s">
        <v>1350</v>
      </c>
      <c r="C21" s="187">
        <v>8281561</v>
      </c>
      <c r="D21"/>
      <c r="E21" s="186" t="s">
        <v>1350</v>
      </c>
      <c r="F21" s="187">
        <v>145486377</v>
      </c>
      <c r="G21"/>
      <c r="H21" s="5" t="s">
        <v>38</v>
      </c>
      <c r="I21" s="5" t="s">
        <v>288</v>
      </c>
      <c r="J21" s="5" t="s">
        <v>288</v>
      </c>
      <c r="K21" s="135"/>
      <c r="L21"/>
      <c r="M21"/>
      <c r="N21"/>
      <c r="O21"/>
      <c r="P21"/>
      <c r="Q21"/>
    </row>
    <row r="22" spans="2:17">
      <c r="B22" s="192" t="s">
        <v>291</v>
      </c>
      <c r="C22" s="191">
        <v>8281561</v>
      </c>
      <c r="D22"/>
      <c r="E22" s="192" t="s">
        <v>291</v>
      </c>
      <c r="F22" s="191">
        <v>153754569.86000001</v>
      </c>
      <c r="G22"/>
      <c r="H22" s="5" t="s">
        <v>329</v>
      </c>
      <c r="I22" s="5">
        <v>1</v>
      </c>
      <c r="J22" s="5" t="s">
        <v>288</v>
      </c>
      <c r="K22" s="135">
        <v>13840</v>
      </c>
      <c r="L22"/>
      <c r="M22"/>
      <c r="N22"/>
      <c r="O22"/>
      <c r="P22"/>
      <c r="Q22"/>
    </row>
    <row r="23" spans="2:17">
      <c r="B23"/>
      <c r="D23"/>
      <c r="E23"/>
      <c r="F23"/>
      <c r="G23"/>
      <c r="H23" s="5" t="s">
        <v>46</v>
      </c>
      <c r="I23" s="5" t="s">
        <v>288</v>
      </c>
      <c r="J23" s="5" t="s">
        <v>288</v>
      </c>
      <c r="K23" s="135"/>
      <c r="L23"/>
      <c r="M23"/>
      <c r="N23"/>
      <c r="O23"/>
      <c r="P23"/>
      <c r="Q23"/>
    </row>
    <row r="24" spans="2:17">
      <c r="B24"/>
      <c r="D24" s="4"/>
      <c r="E24"/>
      <c r="F24"/>
      <c r="G24"/>
      <c r="H24" s="5" t="s">
        <v>545</v>
      </c>
      <c r="I24" s="5">
        <v>2</v>
      </c>
      <c r="J24" s="5">
        <v>500000</v>
      </c>
      <c r="K24" s="135">
        <v>22300</v>
      </c>
      <c r="L24"/>
      <c r="M24"/>
      <c r="N24"/>
      <c r="O24"/>
      <c r="P24"/>
      <c r="Q24"/>
    </row>
    <row r="25" spans="2:17" ht="12.75" customHeight="1">
      <c r="B25"/>
      <c r="D25"/>
      <c r="E25" s="46"/>
      <c r="F25" s="181"/>
      <c r="G25" s="74"/>
      <c r="H25" s="5" t="s">
        <v>544</v>
      </c>
      <c r="I25" s="5">
        <v>1</v>
      </c>
      <c r="J25" s="5">
        <v>500000</v>
      </c>
      <c r="K25" s="135"/>
      <c r="L25"/>
      <c r="M25"/>
      <c r="N25"/>
      <c r="O25"/>
      <c r="P25"/>
      <c r="Q25"/>
    </row>
    <row r="26" spans="2:17" ht="12.75" customHeight="1">
      <c r="B26"/>
      <c r="D26"/>
      <c r="E26" s="46"/>
      <c r="F26" s="181"/>
      <c r="G26" s="74"/>
      <c r="H26" s="5" t="s">
        <v>340</v>
      </c>
      <c r="I26" s="5" t="s">
        <v>288</v>
      </c>
      <c r="J26" s="5" t="s">
        <v>288</v>
      </c>
      <c r="K26" s="135"/>
      <c r="L26"/>
      <c r="M26"/>
      <c r="N26"/>
      <c r="O26"/>
      <c r="P26"/>
      <c r="Q26"/>
    </row>
    <row r="27" spans="2:17" ht="12.75" customHeight="1">
      <c r="B27"/>
      <c r="D27"/>
      <c r="E27" s="46"/>
      <c r="F27" s="181"/>
      <c r="G27" s="74"/>
      <c r="H27" s="5" t="s">
        <v>357</v>
      </c>
      <c r="I27" s="5" t="s">
        <v>288</v>
      </c>
      <c r="J27" s="5" t="s">
        <v>288</v>
      </c>
      <c r="K27" s="135"/>
      <c r="L27"/>
      <c r="M27"/>
      <c r="N27"/>
      <c r="O27"/>
      <c r="P27"/>
      <c r="Q27"/>
    </row>
    <row r="28" spans="2:17" ht="12.75" customHeight="1">
      <c r="B28"/>
      <c r="D28"/>
      <c r="E28" s="46"/>
      <c r="F28" s="181"/>
      <c r="G28" s="74"/>
      <c r="H28" s="5" t="s">
        <v>547</v>
      </c>
      <c r="I28" s="5">
        <v>1</v>
      </c>
      <c r="J28" s="5" t="s">
        <v>288</v>
      </c>
      <c r="K28" s="135"/>
      <c r="L28"/>
      <c r="M28"/>
      <c r="N28"/>
      <c r="O28"/>
      <c r="P28"/>
      <c r="Q28"/>
    </row>
    <row r="29" spans="2:17" ht="12.75" customHeight="1">
      <c r="B29"/>
      <c r="D29"/>
      <c r="E29" s="46"/>
      <c r="F29" s="181"/>
      <c r="G29" s="74"/>
      <c r="H29" s="5" t="s">
        <v>546</v>
      </c>
      <c r="I29" s="5">
        <v>3</v>
      </c>
      <c r="J29" s="5" t="s">
        <v>288</v>
      </c>
      <c r="K29" s="135"/>
      <c r="L29"/>
      <c r="M29"/>
      <c r="N29"/>
      <c r="O29"/>
      <c r="P29"/>
      <c r="Q29"/>
    </row>
    <row r="30" spans="2:17" ht="12.75" customHeight="1">
      <c r="B30"/>
      <c r="D30"/>
      <c r="E30" s="46"/>
      <c r="F30" s="181"/>
      <c r="G30" s="74"/>
      <c r="H30" s="5" t="s">
        <v>1358</v>
      </c>
      <c r="I30" s="5">
        <v>1</v>
      </c>
      <c r="J30" s="5">
        <v>500000</v>
      </c>
      <c r="K30" s="135">
        <v>44181</v>
      </c>
      <c r="L30"/>
      <c r="M30"/>
      <c r="N30"/>
      <c r="O30"/>
      <c r="P30"/>
      <c r="Q30"/>
    </row>
    <row r="31" spans="2:17" ht="12.75" customHeight="1">
      <c r="B31"/>
      <c r="D31"/>
      <c r="E31" s="46"/>
      <c r="F31" s="181"/>
      <c r="G31" s="74"/>
      <c r="H31" s="5" t="s">
        <v>51</v>
      </c>
      <c r="I31" s="5" t="s">
        <v>288</v>
      </c>
      <c r="J31" s="5" t="s">
        <v>288</v>
      </c>
      <c r="K31" s="135"/>
      <c r="L31"/>
      <c r="M31"/>
      <c r="N31"/>
      <c r="O31"/>
      <c r="P31"/>
      <c r="Q31"/>
    </row>
    <row r="32" spans="2:17" ht="12.75" customHeight="1">
      <c r="B32"/>
      <c r="D32"/>
      <c r="E32" s="46"/>
      <c r="F32" s="181"/>
      <c r="G32" s="74"/>
      <c r="H32" s="5" t="s">
        <v>53</v>
      </c>
      <c r="I32" s="5">
        <v>2</v>
      </c>
      <c r="J32" s="5">
        <v>500000</v>
      </c>
      <c r="K32" s="135">
        <v>6160</v>
      </c>
      <c r="L32"/>
      <c r="M32"/>
      <c r="N32"/>
      <c r="O32"/>
      <c r="P32"/>
      <c r="Q32"/>
    </row>
    <row r="33" spans="2:24" ht="12.75" customHeight="1">
      <c r="B33"/>
      <c r="D33"/>
      <c r="E33" s="46"/>
      <c r="F33" s="181"/>
      <c r="G33" s="74"/>
      <c r="H33" s="5" t="s">
        <v>1359</v>
      </c>
      <c r="I33" s="5" t="s">
        <v>288</v>
      </c>
      <c r="J33" s="5" t="s">
        <v>288</v>
      </c>
      <c r="K33" s="135"/>
      <c r="L33"/>
      <c r="M33"/>
      <c r="N33"/>
      <c r="O33"/>
      <c r="P33"/>
      <c r="Q33"/>
    </row>
    <row r="34" spans="2:24" ht="12.75" customHeight="1">
      <c r="B34"/>
      <c r="D34"/>
      <c r="E34" s="46"/>
      <c r="F34" s="181"/>
      <c r="G34" s="74"/>
      <c r="H34" s="5" t="s">
        <v>1624</v>
      </c>
      <c r="I34" s="5" t="s">
        <v>288</v>
      </c>
      <c r="J34" s="5" t="s">
        <v>288</v>
      </c>
      <c r="K34" s="135"/>
      <c r="L34"/>
      <c r="M34"/>
      <c r="N34"/>
      <c r="O34"/>
      <c r="P34"/>
      <c r="Q34"/>
    </row>
    <row r="35" spans="2:24" ht="12.75" customHeight="1">
      <c r="B35"/>
      <c r="D35"/>
      <c r="E35" s="46"/>
      <c r="F35" s="181"/>
      <c r="G35" s="74"/>
      <c r="H35" s="5" t="s">
        <v>1648</v>
      </c>
      <c r="I35" s="5" t="s">
        <v>288</v>
      </c>
      <c r="J35" s="5" t="s">
        <v>288</v>
      </c>
      <c r="K35" s="135">
        <v>9900</v>
      </c>
      <c r="L35"/>
      <c r="M35"/>
      <c r="N35"/>
      <c r="O35"/>
      <c r="P35"/>
      <c r="Q35"/>
    </row>
    <row r="36" spans="2:24" ht="12.75" customHeight="1">
      <c r="B36"/>
      <c r="D36"/>
      <c r="E36" s="46"/>
      <c r="F36" s="181"/>
      <c r="G36" s="74"/>
      <c r="H36" s="5" t="s">
        <v>1601</v>
      </c>
      <c r="I36" s="5" t="s">
        <v>288</v>
      </c>
      <c r="J36" s="5" t="s">
        <v>288</v>
      </c>
      <c r="K36" s="135"/>
      <c r="L36"/>
      <c r="M36"/>
      <c r="N36"/>
      <c r="O36"/>
      <c r="P36"/>
      <c r="Q36"/>
    </row>
    <row r="37" spans="2:24" ht="12.75" customHeight="1">
      <c r="B37"/>
      <c r="D37"/>
      <c r="E37" s="46"/>
      <c r="F37" s="181"/>
      <c r="G37" s="74"/>
      <c r="H37" s="9" t="s">
        <v>1207</v>
      </c>
      <c r="I37" s="16"/>
      <c r="J37" s="16"/>
      <c r="K37" s="208">
        <v>104881</v>
      </c>
      <c r="L37"/>
      <c r="M37"/>
      <c r="N37"/>
      <c r="O37"/>
      <c r="P37"/>
      <c r="Q37"/>
    </row>
    <row r="38" spans="2:24" ht="12.75" customHeight="1">
      <c r="B38"/>
      <c r="D38"/>
      <c r="E38" s="46"/>
      <c r="F38" s="181"/>
      <c r="G38" s="74"/>
      <c r="H38"/>
      <c r="I38"/>
      <c r="J38"/>
      <c r="K38"/>
      <c r="L38"/>
      <c r="M38"/>
      <c r="N38"/>
      <c r="O38"/>
      <c r="P38"/>
      <c r="Q38"/>
    </row>
    <row r="39" spans="2:24" ht="12.75" customHeight="1">
      <c r="B39"/>
      <c r="D39"/>
      <c r="E39" s="46"/>
      <c r="F39" s="181"/>
      <c r="G39" s="74"/>
      <c r="H39"/>
      <c r="I39"/>
      <c r="J39"/>
      <c r="K39"/>
      <c r="L39"/>
      <c r="M39"/>
      <c r="N39"/>
      <c r="O39"/>
      <c r="P39"/>
      <c r="Q39"/>
    </row>
    <row r="40" spans="2:24" ht="12.75" customHeight="1">
      <c r="B40" s="8" t="s">
        <v>572</v>
      </c>
      <c r="C40" s="10">
        <v>2010</v>
      </c>
      <c r="D40"/>
      <c r="E40" s="46"/>
      <c r="F40" s="181"/>
      <c r="G40" s="74"/>
      <c r="H40"/>
      <c r="I40"/>
      <c r="J40"/>
      <c r="K40"/>
      <c r="L40"/>
      <c r="M40"/>
      <c r="N40"/>
      <c r="O40"/>
      <c r="P40"/>
      <c r="Q40"/>
    </row>
    <row r="41" spans="2:24" ht="12.75" customHeight="1">
      <c r="B41" s="8" t="s">
        <v>1960</v>
      </c>
      <c r="C41" s="82" t="s">
        <v>1101</v>
      </c>
      <c r="D41"/>
      <c r="E41" s="46"/>
      <c r="F41" s="181"/>
      <c r="G41" s="74"/>
      <c r="H41"/>
      <c r="I41"/>
      <c r="J41"/>
      <c r="K41"/>
      <c r="L41"/>
      <c r="M41"/>
      <c r="N41"/>
      <c r="O41"/>
      <c r="P41"/>
      <c r="Q41"/>
    </row>
    <row r="42" spans="2:24" ht="12.75" customHeight="1">
      <c r="B42"/>
      <c r="D42"/>
      <c r="E42" s="46"/>
      <c r="F42" s="181"/>
      <c r="G42" s="74"/>
      <c r="H42"/>
      <c r="I42"/>
      <c r="J42"/>
      <c r="K42"/>
      <c r="L42"/>
      <c r="M42"/>
      <c r="N42"/>
      <c r="O42"/>
      <c r="P42"/>
      <c r="Q42"/>
    </row>
    <row r="43" spans="2:24" ht="12.75" customHeight="1">
      <c r="B43" s="6" t="s">
        <v>1767</v>
      </c>
      <c r="C43" s="6" t="s">
        <v>1868</v>
      </c>
      <c r="D43" s="12"/>
      <c r="E43" s="12"/>
      <c r="F43" s="12"/>
      <c r="G43" s="12"/>
      <c r="H43" s="12"/>
      <c r="I43" s="12"/>
      <c r="J43" s="12"/>
      <c r="K43" s="12"/>
      <c r="L43" s="12"/>
      <c r="M43" s="12"/>
      <c r="N43" s="12"/>
      <c r="O43" s="12"/>
      <c r="P43" s="12"/>
      <c r="Q43" s="12"/>
      <c r="R43" s="12"/>
      <c r="S43" s="12"/>
      <c r="T43" s="12"/>
      <c r="U43" s="12"/>
      <c r="V43" s="12"/>
      <c r="W43" s="12"/>
      <c r="X43" s="60"/>
    </row>
    <row r="44" spans="2:24" ht="12.75" customHeight="1">
      <c r="B44" s="13"/>
      <c r="C44" s="5" t="s">
        <v>1420</v>
      </c>
      <c r="D44" s="227" t="s">
        <v>1400</v>
      </c>
      <c r="E44" s="227" t="s">
        <v>1879</v>
      </c>
      <c r="F44" s="227" t="s">
        <v>1641</v>
      </c>
      <c r="G44" s="227" t="s">
        <v>1661</v>
      </c>
      <c r="H44" s="227" t="s">
        <v>682</v>
      </c>
      <c r="I44" s="227" t="s">
        <v>1944</v>
      </c>
      <c r="J44" s="227" t="s">
        <v>1565</v>
      </c>
      <c r="K44" s="227" t="s">
        <v>1605</v>
      </c>
      <c r="L44" s="227" t="s">
        <v>1753</v>
      </c>
      <c r="M44" s="227" t="s">
        <v>1876</v>
      </c>
      <c r="N44" s="227" t="s">
        <v>1071</v>
      </c>
      <c r="O44" s="227" t="s">
        <v>35</v>
      </c>
      <c r="P44" s="227" t="s">
        <v>2026</v>
      </c>
      <c r="Q44" s="227" t="s">
        <v>47</v>
      </c>
      <c r="R44" s="227" t="s">
        <v>1902</v>
      </c>
      <c r="S44" s="227" t="s">
        <v>1608</v>
      </c>
      <c r="T44" s="227" t="s">
        <v>355</v>
      </c>
      <c r="U44" s="227" t="s">
        <v>1379</v>
      </c>
      <c r="V44" s="227" t="s">
        <v>1669</v>
      </c>
      <c r="W44" s="227" t="s">
        <v>1947</v>
      </c>
      <c r="X44" s="7" t="s">
        <v>1207</v>
      </c>
    </row>
    <row r="45" spans="2:24" ht="12.75" customHeight="1">
      <c r="B45" s="9" t="s">
        <v>1871</v>
      </c>
      <c r="C45" s="228">
        <v>1</v>
      </c>
      <c r="D45" s="229">
        <v>1</v>
      </c>
      <c r="E45" s="229">
        <v>1</v>
      </c>
      <c r="F45" s="229">
        <v>1</v>
      </c>
      <c r="G45" s="229">
        <v>1</v>
      </c>
      <c r="H45" s="229">
        <v>2</v>
      </c>
      <c r="I45" s="229">
        <v>1</v>
      </c>
      <c r="J45" s="229">
        <v>2</v>
      </c>
      <c r="K45" s="229">
        <v>1</v>
      </c>
      <c r="L45" s="229">
        <v>1</v>
      </c>
      <c r="M45" s="229">
        <v>1</v>
      </c>
      <c r="N45" s="229">
        <v>1</v>
      </c>
      <c r="O45" s="229">
        <v>1</v>
      </c>
      <c r="P45" s="229">
        <v>1</v>
      </c>
      <c r="Q45" s="229">
        <v>1</v>
      </c>
      <c r="R45" s="229">
        <v>1</v>
      </c>
      <c r="S45" s="229">
        <v>1</v>
      </c>
      <c r="T45" s="229">
        <v>1</v>
      </c>
      <c r="U45" s="229">
        <v>1</v>
      </c>
      <c r="V45" s="229">
        <v>1</v>
      </c>
      <c r="W45" s="229">
        <v>1</v>
      </c>
      <c r="X45" s="14">
        <v>23</v>
      </c>
    </row>
    <row r="46" spans="2:24" ht="12.75" customHeight="1">
      <c r="B46"/>
      <c r="D46"/>
      <c r="E46"/>
      <c r="F46"/>
      <c r="G46"/>
      <c r="H46"/>
      <c r="I46"/>
      <c r="J46"/>
      <c r="K46"/>
      <c r="L46"/>
      <c r="M46"/>
      <c r="N46"/>
      <c r="O46"/>
      <c r="P46"/>
      <c r="Q46"/>
    </row>
    <row r="47" spans="2:24" ht="12.75" customHeight="1">
      <c r="B47"/>
      <c r="D47"/>
      <c r="E47"/>
      <c r="F47"/>
      <c r="G47"/>
      <c r="H47"/>
      <c r="I47"/>
      <c r="J47"/>
      <c r="K47"/>
      <c r="L47"/>
      <c r="M47"/>
      <c r="N47"/>
      <c r="O47"/>
      <c r="P47"/>
      <c r="Q47"/>
    </row>
    <row r="48" spans="2:24" ht="12.75" customHeight="1">
      <c r="B48"/>
      <c r="D48"/>
      <c r="E48"/>
      <c r="F48"/>
      <c r="G48"/>
      <c r="H48"/>
      <c r="I48"/>
      <c r="J48"/>
      <c r="K48"/>
      <c r="L48"/>
      <c r="M48"/>
      <c r="N48"/>
      <c r="O48"/>
      <c r="P48"/>
      <c r="Q48"/>
    </row>
    <row r="49" spans="2:17" ht="12.75" customHeight="1">
      <c r="B49"/>
      <c r="D49"/>
      <c r="E49"/>
      <c r="F49"/>
      <c r="G49"/>
      <c r="H49"/>
      <c r="I49"/>
      <c r="J49"/>
      <c r="K49"/>
      <c r="L49"/>
      <c r="M49"/>
      <c r="N49"/>
      <c r="O49"/>
      <c r="P49"/>
      <c r="Q49"/>
    </row>
    <row r="50" spans="2:17" ht="12.75" customHeight="1">
      <c r="B50"/>
      <c r="D50"/>
      <c r="E50"/>
      <c r="F50"/>
      <c r="G50"/>
      <c r="H50"/>
      <c r="I50"/>
      <c r="J50"/>
      <c r="K50"/>
      <c r="L50"/>
      <c r="M50"/>
      <c r="N50"/>
      <c r="O50"/>
      <c r="P50"/>
      <c r="Q50"/>
    </row>
    <row r="51" spans="2:17" ht="12.75" customHeight="1">
      <c r="B51"/>
      <c r="D51"/>
      <c r="E51"/>
      <c r="F51"/>
      <c r="G51"/>
      <c r="H51"/>
      <c r="I51"/>
      <c r="J51"/>
      <c r="K51"/>
      <c r="L51"/>
      <c r="M51"/>
      <c r="N51"/>
      <c r="O51"/>
      <c r="P51"/>
      <c r="Q51"/>
    </row>
    <row r="52" spans="2:17" ht="12.75" customHeight="1">
      <c r="B52"/>
      <c r="D52"/>
      <c r="E52"/>
      <c r="F52"/>
      <c r="G52"/>
      <c r="H52"/>
      <c r="I52"/>
      <c r="J52"/>
      <c r="K52"/>
      <c r="L52"/>
      <c r="M52"/>
      <c r="N52"/>
      <c r="O52"/>
      <c r="P52"/>
      <c r="Q52"/>
    </row>
    <row r="53" spans="2:17" ht="12.75" customHeight="1">
      <c r="B53"/>
      <c r="D53"/>
      <c r="E53"/>
      <c r="F53"/>
      <c r="G53"/>
      <c r="H53"/>
      <c r="I53"/>
      <c r="J53"/>
      <c r="K53"/>
      <c r="L53"/>
      <c r="M53"/>
      <c r="N53"/>
      <c r="O53"/>
      <c r="P53"/>
      <c r="Q53"/>
    </row>
    <row r="54" spans="2:17" ht="12.75" customHeight="1">
      <c r="B54"/>
      <c r="D54"/>
      <c r="E54"/>
      <c r="F54"/>
      <c r="G54"/>
      <c r="H54"/>
      <c r="I54"/>
      <c r="J54"/>
      <c r="K54"/>
      <c r="L54"/>
      <c r="M54"/>
      <c r="N54"/>
      <c r="O54"/>
      <c r="P54"/>
      <c r="Q54"/>
    </row>
    <row r="55" spans="2:17" ht="12.75" customHeight="1">
      <c r="B55"/>
      <c r="D55"/>
      <c r="E55"/>
      <c r="F55"/>
      <c r="G55"/>
      <c r="H55"/>
      <c r="I55"/>
      <c r="J55"/>
      <c r="K55"/>
      <c r="L55"/>
      <c r="M55"/>
      <c r="N55"/>
      <c r="O55"/>
      <c r="P55"/>
      <c r="Q55"/>
    </row>
    <row r="56" spans="2:17" ht="12.75" customHeight="1">
      <c r="B56"/>
      <c r="D56"/>
      <c r="E56"/>
      <c r="F56"/>
      <c r="G56"/>
      <c r="H56"/>
      <c r="I56"/>
      <c r="J56"/>
      <c r="K56"/>
      <c r="L56"/>
      <c r="M56"/>
      <c r="N56"/>
      <c r="O56"/>
      <c r="P56"/>
      <c r="Q56"/>
    </row>
    <row r="57" spans="2:17" ht="12.75" customHeight="1">
      <c r="B57"/>
      <c r="D57"/>
      <c r="E57"/>
      <c r="F57"/>
      <c r="G57"/>
      <c r="H57"/>
      <c r="I57"/>
      <c r="J57"/>
      <c r="K57"/>
      <c r="L57"/>
      <c r="M57"/>
      <c r="N57"/>
      <c r="O57"/>
      <c r="P57"/>
      <c r="Q57"/>
    </row>
    <row r="58" spans="2:17" ht="12.75" customHeight="1">
      <c r="B58"/>
      <c r="D58"/>
      <c r="E58" s="46"/>
      <c r="F58" s="181"/>
      <c r="G58" s="74"/>
      <c r="H58"/>
      <c r="I58"/>
      <c r="J58"/>
      <c r="K58" s="46"/>
      <c r="L58" s="46"/>
      <c r="M58" s="46"/>
      <c r="N58" s="46"/>
      <c r="O58"/>
      <c r="P58"/>
      <c r="Q58"/>
    </row>
    <row r="59" spans="2:17" ht="12.75" customHeight="1">
      <c r="B59"/>
      <c r="D59"/>
      <c r="E59" s="46"/>
      <c r="F59" s="181"/>
      <c r="G59" s="74"/>
      <c r="H59"/>
      <c r="I59"/>
      <c r="J59"/>
      <c r="K59" s="46"/>
      <c r="L59" s="46"/>
      <c r="M59" s="46"/>
      <c r="N59" s="46"/>
      <c r="O59"/>
      <c r="P59"/>
      <c r="Q59"/>
    </row>
    <row r="60" spans="2:17" ht="12.75" customHeight="1">
      <c r="B60"/>
      <c r="D60"/>
      <c r="E60" s="46"/>
      <c r="F60" s="181"/>
      <c r="G60" s="74"/>
      <c r="H60"/>
      <c r="I60"/>
      <c r="J60"/>
      <c r="K60" s="46"/>
      <c r="L60" s="46"/>
      <c r="M60" s="46"/>
      <c r="N60" s="46"/>
      <c r="O60"/>
      <c r="P60"/>
      <c r="Q60"/>
    </row>
    <row r="61" spans="2:17" ht="12.75" customHeight="1">
      <c r="B61"/>
      <c r="D61"/>
      <c r="E61" s="46"/>
      <c r="F61" s="181"/>
      <c r="G61" s="74"/>
      <c r="H61" s="46"/>
      <c r="I61" s="137"/>
      <c r="J61" s="46"/>
      <c r="K61" s="46"/>
      <c r="L61" s="46"/>
      <c r="M61" s="46"/>
      <c r="N61" s="46"/>
      <c r="O61"/>
      <c r="P61"/>
      <c r="Q61"/>
    </row>
    <row r="62" spans="2:17" ht="21.75" customHeight="1">
      <c r="B62"/>
      <c r="D62"/>
      <c r="E62" s="46"/>
      <c r="F62" s="181"/>
      <c r="G62" s="74"/>
      <c r="H62" s="46"/>
      <c r="I62" s="137"/>
      <c r="J62"/>
      <c r="K62"/>
      <c r="L62" s="46"/>
      <c r="M62" s="86"/>
      <c r="N62"/>
      <c r="O62"/>
      <c r="P62"/>
      <c r="Q62"/>
    </row>
    <row r="63" spans="2:17">
      <c r="B63" s="179" t="s">
        <v>572</v>
      </c>
      <c r="C63" s="180">
        <v>2010</v>
      </c>
      <c r="K63"/>
      <c r="L63"/>
      <c r="M63"/>
      <c r="N63"/>
      <c r="O63"/>
      <c r="P63"/>
      <c r="Q63"/>
    </row>
    <row r="64" spans="2:17">
      <c r="B64" s="8" t="s">
        <v>210</v>
      </c>
      <c r="C64" s="82" t="s">
        <v>1101</v>
      </c>
      <c r="E64"/>
      <c r="F64"/>
      <c r="G64"/>
      <c r="H64"/>
      <c r="I64" s="209"/>
      <c r="J64"/>
      <c r="K64"/>
      <c r="L64"/>
      <c r="M64"/>
      <c r="N64"/>
      <c r="O64"/>
      <c r="P64"/>
      <c r="Q64"/>
    </row>
    <row r="65" spans="2:23">
      <c r="E65"/>
      <c r="F65"/>
      <c r="G65"/>
      <c r="H65"/>
      <c r="I65" s="209"/>
      <c r="J65"/>
      <c r="K65"/>
      <c r="L65"/>
    </row>
    <row r="66" spans="2:23" ht="2.25" customHeight="1">
      <c r="B66" s="45"/>
      <c r="C66" s="76"/>
      <c r="D66" s="76"/>
      <c r="E66" s="76"/>
      <c r="F66" s="76"/>
      <c r="G66" s="76"/>
      <c r="H66" s="76"/>
      <c r="I66" s="210"/>
      <c r="J66" s="76"/>
      <c r="K66" s="76"/>
      <c r="L66" s="76"/>
      <c r="M66" s="76"/>
      <c r="N66" s="76"/>
      <c r="O66" s="76"/>
      <c r="P66" s="76"/>
      <c r="Q66" s="5"/>
      <c r="R66" s="12"/>
      <c r="S66" s="12"/>
      <c r="T66" s="12"/>
      <c r="U66" s="12"/>
      <c r="V66" s="60"/>
    </row>
    <row r="67" spans="2:23" s="73" customFormat="1" ht="37.5" customHeight="1">
      <c r="B67" s="6" t="s">
        <v>358</v>
      </c>
      <c r="C67" s="77" t="s">
        <v>1868</v>
      </c>
      <c r="D67" s="81" t="s">
        <v>1146</v>
      </c>
      <c r="E67" s="79" t="s">
        <v>212</v>
      </c>
      <c r="F67" s="79" t="s">
        <v>1344</v>
      </c>
      <c r="G67" s="78" t="s">
        <v>360</v>
      </c>
      <c r="H67" s="80" t="s">
        <v>214</v>
      </c>
      <c r="I67" s="79" t="s">
        <v>1329</v>
      </c>
      <c r="J67" s="80" t="s">
        <v>326</v>
      </c>
      <c r="K67" s="80" t="s">
        <v>327</v>
      </c>
      <c r="L67" s="80" t="s">
        <v>328</v>
      </c>
      <c r="M67" s="80" t="s">
        <v>853</v>
      </c>
      <c r="N67" s="78" t="s">
        <v>351</v>
      </c>
      <c r="O67" s="80" t="s">
        <v>352</v>
      </c>
      <c r="P67" s="80" t="s">
        <v>290</v>
      </c>
      <c r="Q67" s="13"/>
      <c r="R67" s="61"/>
      <c r="S67" s="61"/>
      <c r="T67" s="61"/>
      <c r="U67" s="61"/>
      <c r="V67" s="62"/>
      <c r="W67"/>
    </row>
    <row r="68" spans="2:23">
      <c r="B68" s="5" t="s">
        <v>1830</v>
      </c>
      <c r="C68" s="5" t="s">
        <v>1944</v>
      </c>
      <c r="D68" s="75">
        <v>40113</v>
      </c>
      <c r="E68" s="5">
        <v>4100000</v>
      </c>
      <c r="F68" s="5" t="s">
        <v>288</v>
      </c>
      <c r="G68" s="5" t="s">
        <v>1832</v>
      </c>
      <c r="H68" s="5">
        <v>3100000</v>
      </c>
      <c r="I68" s="150" t="s">
        <v>288</v>
      </c>
      <c r="J68" s="5" t="s">
        <v>288</v>
      </c>
      <c r="K68" s="5" t="s">
        <v>288</v>
      </c>
      <c r="L68" s="5" t="s">
        <v>288</v>
      </c>
      <c r="M68" s="5">
        <v>0</v>
      </c>
      <c r="N68" s="5" t="s">
        <v>288</v>
      </c>
      <c r="O68" s="5">
        <v>180000</v>
      </c>
      <c r="P68" s="5">
        <v>180000</v>
      </c>
      <c r="Q68" s="5"/>
      <c r="R68" s="12"/>
      <c r="S68" s="12"/>
      <c r="T68" s="12"/>
      <c r="U68" s="12"/>
      <c r="V68" s="60"/>
    </row>
    <row r="69" spans="2:23" ht="21" customHeight="1">
      <c r="B69" s="5" t="s">
        <v>1611</v>
      </c>
      <c r="C69" s="12"/>
      <c r="D69" s="12"/>
      <c r="E69" s="12"/>
      <c r="F69" s="12"/>
      <c r="G69" s="12"/>
      <c r="H69" s="12"/>
      <c r="I69" s="151"/>
      <c r="J69" s="12"/>
      <c r="K69" s="12"/>
      <c r="L69" s="12"/>
      <c r="M69" s="12"/>
      <c r="N69" s="12"/>
      <c r="O69" s="12"/>
      <c r="P69" s="12"/>
      <c r="Q69" s="13"/>
      <c r="R69" s="61"/>
      <c r="S69" s="61"/>
      <c r="T69" s="61"/>
      <c r="U69" s="61"/>
      <c r="V69" s="62"/>
    </row>
    <row r="70" spans="2:23">
      <c r="B70" s="5" t="s">
        <v>357</v>
      </c>
      <c r="C70" s="5" t="s">
        <v>355</v>
      </c>
      <c r="D70" s="75">
        <v>40037</v>
      </c>
      <c r="E70" s="5">
        <v>12000</v>
      </c>
      <c r="F70" s="5">
        <v>4320</v>
      </c>
      <c r="G70" s="5" t="s">
        <v>363</v>
      </c>
      <c r="H70" s="5">
        <v>806936</v>
      </c>
      <c r="I70" s="150">
        <v>1.4251440015069349E-2</v>
      </c>
      <c r="J70" s="5">
        <v>11500</v>
      </c>
      <c r="K70" s="5" t="s">
        <v>288</v>
      </c>
      <c r="L70" s="5" t="s">
        <v>288</v>
      </c>
      <c r="M70" s="5">
        <v>11500</v>
      </c>
      <c r="N70" s="5" t="s">
        <v>288</v>
      </c>
      <c r="O70" s="5">
        <v>11500</v>
      </c>
      <c r="P70" s="5">
        <v>11500</v>
      </c>
      <c r="Q70" s="13"/>
      <c r="R70" s="61"/>
      <c r="S70" s="61"/>
      <c r="T70" s="61"/>
      <c r="U70" s="61"/>
      <c r="V70" s="62"/>
    </row>
    <row r="71" spans="2:23">
      <c r="B71" s="5" t="s">
        <v>1612</v>
      </c>
      <c r="C71" s="12"/>
      <c r="D71" s="12"/>
      <c r="E71" s="12"/>
      <c r="F71" s="12"/>
      <c r="G71" s="12"/>
      <c r="H71" s="12"/>
      <c r="I71" s="151"/>
      <c r="J71" s="12"/>
      <c r="K71" s="12"/>
      <c r="L71" s="12"/>
      <c r="M71" s="12"/>
      <c r="N71" s="12"/>
      <c r="O71" s="12"/>
      <c r="P71" s="12"/>
      <c r="Q71" s="13"/>
      <c r="R71" s="61"/>
      <c r="S71" s="61"/>
      <c r="T71" s="61"/>
      <c r="U71" s="61"/>
      <c r="V71" s="62"/>
    </row>
    <row r="72" spans="2:23">
      <c r="B72" s="5" t="s">
        <v>340</v>
      </c>
      <c r="C72" s="5" t="s">
        <v>1608</v>
      </c>
      <c r="D72" s="75">
        <v>40057</v>
      </c>
      <c r="E72" s="5">
        <v>1300000</v>
      </c>
      <c r="F72" s="5" t="s">
        <v>288</v>
      </c>
      <c r="G72" s="5" t="s">
        <v>363</v>
      </c>
      <c r="H72" s="5">
        <v>3076415</v>
      </c>
      <c r="I72" s="150">
        <v>1.6252683724399992E-2</v>
      </c>
      <c r="J72" s="5">
        <v>50000</v>
      </c>
      <c r="K72" s="5" t="s">
        <v>288</v>
      </c>
      <c r="L72" s="5" t="s">
        <v>288</v>
      </c>
      <c r="M72" s="5">
        <v>50000</v>
      </c>
      <c r="N72" s="5" t="s">
        <v>288</v>
      </c>
      <c r="O72" s="5">
        <v>50000</v>
      </c>
      <c r="P72" s="5">
        <v>50000</v>
      </c>
      <c r="Q72" s="13"/>
      <c r="R72" s="61"/>
      <c r="S72" s="61"/>
      <c r="T72" s="61"/>
      <c r="U72" s="61"/>
      <c r="V72" s="62"/>
    </row>
    <row r="73" spans="2:23">
      <c r="B73" s="5" t="s">
        <v>1613</v>
      </c>
      <c r="C73" s="12"/>
      <c r="D73" s="12"/>
      <c r="E73" s="12"/>
      <c r="F73" s="12"/>
      <c r="G73" s="12"/>
      <c r="H73" s="12"/>
      <c r="I73" s="151"/>
      <c r="J73" s="12"/>
      <c r="K73" s="12"/>
      <c r="L73" s="12"/>
      <c r="M73" s="12"/>
      <c r="N73" s="12"/>
      <c r="O73" s="12"/>
      <c r="P73" s="12"/>
      <c r="Q73" s="13"/>
      <c r="R73" s="61"/>
      <c r="S73" s="61"/>
      <c r="T73" s="61"/>
      <c r="U73" s="61"/>
      <c r="V73" s="62"/>
    </row>
    <row r="74" spans="2:23">
      <c r="B74" s="5" t="s">
        <v>329</v>
      </c>
      <c r="C74" s="5" t="s">
        <v>1876</v>
      </c>
      <c r="D74" s="75">
        <v>40059</v>
      </c>
      <c r="E74" s="5">
        <v>100000</v>
      </c>
      <c r="F74" s="5">
        <v>15000</v>
      </c>
      <c r="G74" s="5" t="s">
        <v>288</v>
      </c>
      <c r="H74" s="5" t="s">
        <v>288</v>
      </c>
      <c r="I74" s="150" t="s">
        <v>288</v>
      </c>
      <c r="J74" s="5" t="s">
        <v>288</v>
      </c>
      <c r="K74" s="5" t="s">
        <v>288</v>
      </c>
      <c r="L74" s="5" t="s">
        <v>288</v>
      </c>
      <c r="M74" s="5">
        <v>0</v>
      </c>
      <c r="N74" s="5" t="s">
        <v>288</v>
      </c>
      <c r="O74" s="5">
        <v>259500</v>
      </c>
      <c r="P74" s="5">
        <v>259500</v>
      </c>
      <c r="Q74" s="13"/>
      <c r="R74" s="61"/>
      <c r="S74" s="61"/>
      <c r="T74" s="61"/>
      <c r="U74" s="61"/>
      <c r="V74" s="62"/>
    </row>
    <row r="75" spans="2:23">
      <c r="B75" s="5" t="s">
        <v>1614</v>
      </c>
      <c r="C75" s="12"/>
      <c r="D75" s="12"/>
      <c r="E75" s="12"/>
      <c r="F75" s="12"/>
      <c r="G75" s="12"/>
      <c r="H75" s="12"/>
      <c r="I75" s="151"/>
      <c r="J75" s="12"/>
      <c r="K75" s="12"/>
      <c r="L75" s="12"/>
      <c r="M75" s="12"/>
      <c r="N75" s="12"/>
      <c r="O75" s="12"/>
      <c r="P75" s="12"/>
      <c r="Q75" s="13"/>
      <c r="R75" s="61"/>
      <c r="S75" s="61"/>
      <c r="T75" s="61"/>
      <c r="U75" s="61"/>
      <c r="V75" s="62"/>
    </row>
    <row r="76" spans="2:23">
      <c r="B76" s="5" t="s">
        <v>334</v>
      </c>
      <c r="C76" s="5" t="s">
        <v>1565</v>
      </c>
      <c r="D76" s="75">
        <v>40058</v>
      </c>
      <c r="E76" s="5">
        <v>90000</v>
      </c>
      <c r="F76" s="5" t="s">
        <v>288</v>
      </c>
      <c r="G76" s="5" t="s">
        <v>288</v>
      </c>
      <c r="H76" s="5" t="s">
        <v>288</v>
      </c>
      <c r="I76" s="150" t="s">
        <v>288</v>
      </c>
      <c r="J76" s="5" t="s">
        <v>288</v>
      </c>
      <c r="K76" s="5" t="s">
        <v>288</v>
      </c>
      <c r="L76" s="5" t="s">
        <v>288</v>
      </c>
      <c r="M76" s="5">
        <v>0</v>
      </c>
      <c r="N76" s="5" t="s">
        <v>288</v>
      </c>
      <c r="O76" s="5">
        <v>0</v>
      </c>
      <c r="P76" s="5">
        <v>0</v>
      </c>
      <c r="Q76" s="13"/>
      <c r="R76" s="61"/>
      <c r="S76" s="61"/>
      <c r="T76" s="61"/>
      <c r="U76" s="61"/>
      <c r="V76" s="62"/>
    </row>
    <row r="77" spans="2:23">
      <c r="B77" s="5" t="s">
        <v>1615</v>
      </c>
      <c r="C77" s="12"/>
      <c r="D77" s="12"/>
      <c r="E77" s="12"/>
      <c r="F77" s="12"/>
      <c r="G77" s="12"/>
      <c r="H77" s="12"/>
      <c r="I77" s="151"/>
      <c r="J77" s="12"/>
      <c r="K77" s="12"/>
      <c r="L77" s="12"/>
      <c r="M77" s="12"/>
      <c r="N77" s="12"/>
      <c r="O77" s="12"/>
      <c r="P77" s="12"/>
      <c r="Q77" s="13"/>
      <c r="R77" s="61"/>
      <c r="S77" s="61"/>
      <c r="T77" s="61"/>
      <c r="U77" s="61"/>
      <c r="V77" s="62"/>
    </row>
    <row r="78" spans="2:23">
      <c r="B78" s="5" t="s">
        <v>1358</v>
      </c>
      <c r="C78" s="5" t="s">
        <v>1565</v>
      </c>
      <c r="D78" s="75">
        <v>40058</v>
      </c>
      <c r="E78" s="5" t="s">
        <v>288</v>
      </c>
      <c r="F78" s="5" t="s">
        <v>288</v>
      </c>
      <c r="G78" s="5" t="s">
        <v>363</v>
      </c>
      <c r="H78" s="5">
        <v>18600000</v>
      </c>
      <c r="I78" s="150">
        <v>0</v>
      </c>
      <c r="J78" s="5" t="s">
        <v>288</v>
      </c>
      <c r="K78" s="5" t="s">
        <v>288</v>
      </c>
      <c r="L78" s="5">
        <v>500000</v>
      </c>
      <c r="M78" s="5">
        <v>500000</v>
      </c>
      <c r="N78" s="5" t="s">
        <v>288</v>
      </c>
      <c r="O78" s="5">
        <v>900000</v>
      </c>
      <c r="P78" s="5">
        <v>900000</v>
      </c>
      <c r="Q78" s="13"/>
      <c r="R78" s="61"/>
      <c r="S78" s="61"/>
      <c r="T78" s="61"/>
      <c r="U78" s="61"/>
      <c r="V78" s="62"/>
    </row>
    <row r="79" spans="2:23">
      <c r="B79" s="5" t="s">
        <v>1616</v>
      </c>
      <c r="C79" s="12"/>
      <c r="D79" s="12"/>
      <c r="E79" s="12"/>
      <c r="F79" s="12"/>
      <c r="G79" s="12"/>
      <c r="H79" s="12"/>
      <c r="I79" s="151"/>
      <c r="J79" s="12"/>
      <c r="K79" s="12"/>
      <c r="L79" s="12"/>
      <c r="M79" s="12"/>
      <c r="N79" s="12"/>
      <c r="O79" s="12"/>
      <c r="P79" s="12"/>
      <c r="Q79" s="13"/>
      <c r="R79" s="61"/>
      <c r="S79" s="61"/>
      <c r="T79" s="61"/>
      <c r="U79" s="61"/>
      <c r="V79" s="62"/>
    </row>
    <row r="80" spans="2:23">
      <c r="B80" s="5" t="s">
        <v>546</v>
      </c>
      <c r="C80" s="5" t="s">
        <v>1902</v>
      </c>
      <c r="D80" s="75">
        <v>40066</v>
      </c>
      <c r="E80" s="5">
        <v>156000</v>
      </c>
      <c r="F80" s="5" t="s">
        <v>288</v>
      </c>
      <c r="G80" s="5" t="s">
        <v>363</v>
      </c>
      <c r="H80" s="5">
        <v>2000000</v>
      </c>
      <c r="I80" s="150" t="s">
        <v>288</v>
      </c>
      <c r="J80" s="5" t="s">
        <v>288</v>
      </c>
      <c r="K80" s="5" t="s">
        <v>288</v>
      </c>
      <c r="L80" s="5" t="s">
        <v>288</v>
      </c>
      <c r="M80" s="5">
        <v>0</v>
      </c>
      <c r="N80" s="5" t="s">
        <v>288</v>
      </c>
      <c r="O80" s="5">
        <v>0</v>
      </c>
      <c r="P80" s="5">
        <v>0</v>
      </c>
      <c r="Q80" s="13"/>
      <c r="R80" s="61"/>
      <c r="S80" s="61"/>
      <c r="T80" s="61"/>
      <c r="U80" s="61"/>
      <c r="V80" s="62"/>
    </row>
    <row r="81" spans="2:22">
      <c r="B81" s="5" t="s">
        <v>1617</v>
      </c>
      <c r="C81" s="12"/>
      <c r="D81" s="12"/>
      <c r="E81" s="12"/>
      <c r="F81" s="12"/>
      <c r="G81" s="12"/>
      <c r="H81" s="12"/>
      <c r="I81" s="151"/>
      <c r="J81" s="12"/>
      <c r="K81" s="12"/>
      <c r="L81" s="12"/>
      <c r="M81" s="12"/>
      <c r="N81" s="12"/>
      <c r="O81" s="12"/>
      <c r="P81" s="12"/>
      <c r="Q81" s="13"/>
      <c r="R81" s="61"/>
      <c r="S81" s="61"/>
      <c r="T81" s="61"/>
      <c r="U81" s="61"/>
      <c r="V81" s="62"/>
    </row>
    <row r="82" spans="2:22">
      <c r="B82" s="5" t="s">
        <v>547</v>
      </c>
      <c r="C82" s="5" t="s">
        <v>1420</v>
      </c>
      <c r="D82" s="75">
        <v>40066</v>
      </c>
      <c r="E82" s="5">
        <v>600000</v>
      </c>
      <c r="F82" s="5" t="s">
        <v>288</v>
      </c>
      <c r="G82" s="5" t="s">
        <v>363</v>
      </c>
      <c r="H82" s="5">
        <v>2600000</v>
      </c>
      <c r="I82" s="150" t="s">
        <v>288</v>
      </c>
      <c r="J82" s="5" t="s">
        <v>288</v>
      </c>
      <c r="K82" s="5" t="s">
        <v>288</v>
      </c>
      <c r="L82" s="5" t="s">
        <v>288</v>
      </c>
      <c r="M82" s="5">
        <v>0</v>
      </c>
      <c r="N82" s="5" t="s">
        <v>288</v>
      </c>
      <c r="O82" s="5">
        <v>0</v>
      </c>
      <c r="P82" s="5">
        <v>0</v>
      </c>
      <c r="Q82" s="13"/>
      <c r="R82" s="61"/>
      <c r="S82" s="61"/>
      <c r="T82" s="61"/>
      <c r="U82" s="61"/>
      <c r="V82" s="62"/>
    </row>
    <row r="83" spans="2:22">
      <c r="B83" s="5" t="s">
        <v>1618</v>
      </c>
      <c r="C83" s="12"/>
      <c r="D83" s="12"/>
      <c r="E83" s="12"/>
      <c r="F83" s="12"/>
      <c r="G83" s="12"/>
      <c r="H83" s="12"/>
      <c r="I83" s="151"/>
      <c r="J83" s="12"/>
      <c r="K83" s="12"/>
      <c r="L83" s="12"/>
      <c r="M83" s="12"/>
      <c r="N83" s="12"/>
      <c r="O83" s="12"/>
      <c r="P83" s="12"/>
      <c r="Q83" s="13"/>
      <c r="R83" s="61"/>
      <c r="S83" s="61"/>
      <c r="T83" s="61"/>
      <c r="U83" s="61"/>
      <c r="V83" s="62"/>
    </row>
    <row r="84" spans="2:22">
      <c r="B84" s="5" t="s">
        <v>545</v>
      </c>
      <c r="C84" s="5" t="s">
        <v>2026</v>
      </c>
      <c r="D84" s="75">
        <v>40058</v>
      </c>
      <c r="E84" s="5">
        <v>6300000</v>
      </c>
      <c r="F84" s="5" t="s">
        <v>288</v>
      </c>
      <c r="G84" s="5" t="s">
        <v>363</v>
      </c>
      <c r="H84" s="5">
        <v>6650000</v>
      </c>
      <c r="I84" s="150">
        <v>4.5112781954887216E-2</v>
      </c>
      <c r="J84" s="5">
        <v>300000</v>
      </c>
      <c r="K84" s="5" t="s">
        <v>288</v>
      </c>
      <c r="L84" s="5">
        <v>500000</v>
      </c>
      <c r="M84" s="5">
        <v>800000</v>
      </c>
      <c r="N84" s="5" t="s">
        <v>288</v>
      </c>
      <c r="O84" s="5">
        <v>918000</v>
      </c>
      <c r="P84" s="5">
        <v>918000</v>
      </c>
      <c r="Q84" s="13"/>
      <c r="R84" s="61"/>
      <c r="S84" s="61"/>
      <c r="T84" s="61"/>
      <c r="U84" s="61"/>
      <c r="V84" s="62"/>
    </row>
    <row r="85" spans="2:22">
      <c r="B85" s="5" t="s">
        <v>1619</v>
      </c>
      <c r="C85" s="12"/>
      <c r="D85" s="12"/>
      <c r="E85" s="12"/>
      <c r="F85" s="12"/>
      <c r="G85" s="12"/>
      <c r="H85" s="12"/>
      <c r="I85" s="151"/>
      <c r="J85" s="12"/>
      <c r="K85" s="12"/>
      <c r="L85" s="12"/>
      <c r="M85" s="12"/>
      <c r="N85" s="12"/>
      <c r="O85" s="12"/>
      <c r="P85" s="12"/>
      <c r="Q85" s="13"/>
      <c r="R85" s="61"/>
      <c r="S85" s="61"/>
      <c r="T85" s="61"/>
      <c r="U85" s="61"/>
      <c r="V85" s="62"/>
    </row>
    <row r="86" spans="2:22">
      <c r="B86" s="5" t="s">
        <v>544</v>
      </c>
      <c r="C86" s="5" t="s">
        <v>1947</v>
      </c>
      <c r="D86" s="75">
        <v>40058</v>
      </c>
      <c r="E86" s="5">
        <v>3000000</v>
      </c>
      <c r="F86" s="5" t="s">
        <v>288</v>
      </c>
      <c r="G86" s="5" t="s">
        <v>363</v>
      </c>
      <c r="H86" s="5">
        <v>4900000</v>
      </c>
      <c r="I86" s="150">
        <v>7.1428571428571425E-2</v>
      </c>
      <c r="J86" s="5">
        <v>350000</v>
      </c>
      <c r="K86" s="5" t="s">
        <v>288</v>
      </c>
      <c r="L86" s="5">
        <v>500000</v>
      </c>
      <c r="M86" s="5">
        <v>850000</v>
      </c>
      <c r="N86" s="5" t="s">
        <v>288</v>
      </c>
      <c r="O86" s="5">
        <v>850000</v>
      </c>
      <c r="P86" s="5">
        <v>850000</v>
      </c>
      <c r="Q86" s="13"/>
      <c r="R86" s="61"/>
      <c r="S86" s="61"/>
      <c r="T86" s="61"/>
      <c r="U86" s="61"/>
      <c r="V86" s="62"/>
    </row>
    <row r="87" spans="2:22">
      <c r="B87" s="5" t="s">
        <v>1620</v>
      </c>
      <c r="C87" s="12"/>
      <c r="D87" s="12"/>
      <c r="E87" s="12"/>
      <c r="F87" s="12"/>
      <c r="G87" s="12"/>
      <c r="H87" s="12"/>
      <c r="I87" s="151"/>
      <c r="J87" s="12"/>
      <c r="K87" s="12"/>
      <c r="L87" s="12"/>
      <c r="M87" s="12"/>
      <c r="N87" s="12"/>
      <c r="O87" s="12"/>
      <c r="P87" s="12"/>
      <c r="Q87" s="13"/>
      <c r="R87" s="61"/>
      <c r="S87" s="61"/>
      <c r="T87" s="61"/>
      <c r="U87" s="61"/>
      <c r="V87" s="62"/>
    </row>
    <row r="88" spans="2:22">
      <c r="B88" s="5" t="s">
        <v>46</v>
      </c>
      <c r="C88" s="5" t="s">
        <v>47</v>
      </c>
      <c r="D88" s="75">
        <v>40087</v>
      </c>
      <c r="E88" s="5">
        <v>10000</v>
      </c>
      <c r="F88" s="5" t="s">
        <v>288</v>
      </c>
      <c r="G88" s="5" t="s">
        <v>363</v>
      </c>
      <c r="H88" s="5">
        <v>2450000</v>
      </c>
      <c r="I88" s="150">
        <v>4.0816326530612242E-2</v>
      </c>
      <c r="J88" s="5">
        <v>100000</v>
      </c>
      <c r="K88" s="5" t="s">
        <v>288</v>
      </c>
      <c r="L88" s="5" t="s">
        <v>288</v>
      </c>
      <c r="M88" s="5">
        <v>100000</v>
      </c>
      <c r="N88" s="5" t="s">
        <v>288</v>
      </c>
      <c r="O88" s="5">
        <v>100000</v>
      </c>
      <c r="P88" s="5">
        <v>100000</v>
      </c>
      <c r="Q88" s="13"/>
      <c r="R88" s="61"/>
      <c r="S88" s="61"/>
      <c r="T88" s="61"/>
      <c r="U88" s="61"/>
      <c r="V88" s="62"/>
    </row>
    <row r="89" spans="2:22">
      <c r="B89" s="5" t="s">
        <v>1621</v>
      </c>
      <c r="C89" s="12"/>
      <c r="D89" s="12"/>
      <c r="E89" s="12"/>
      <c r="F89" s="12"/>
      <c r="G89" s="12"/>
      <c r="H89" s="12"/>
      <c r="I89" s="151"/>
      <c r="J89" s="12"/>
      <c r="K89" s="12"/>
      <c r="L89" s="12"/>
      <c r="M89" s="12"/>
      <c r="N89" s="12"/>
      <c r="O89" s="12"/>
      <c r="P89" s="12"/>
      <c r="Q89" s="13"/>
      <c r="R89" s="61"/>
      <c r="S89" s="61"/>
      <c r="T89" s="61"/>
      <c r="U89" s="61"/>
      <c r="V89" s="62"/>
    </row>
    <row r="90" spans="2:22">
      <c r="B90" s="5" t="s">
        <v>38</v>
      </c>
      <c r="C90" s="5" t="s">
        <v>1605</v>
      </c>
      <c r="D90" s="75">
        <v>40122</v>
      </c>
      <c r="E90" s="5" t="s">
        <v>288</v>
      </c>
      <c r="F90" s="5" t="s">
        <v>288</v>
      </c>
      <c r="G90" s="5" t="s">
        <v>363</v>
      </c>
      <c r="H90" s="5">
        <v>8427856</v>
      </c>
      <c r="I90" s="150">
        <v>1.1865413932084269E-2</v>
      </c>
      <c r="J90" s="5">
        <v>100000</v>
      </c>
      <c r="K90" s="5" t="s">
        <v>288</v>
      </c>
      <c r="L90" s="5" t="s">
        <v>288</v>
      </c>
      <c r="M90" s="5">
        <v>100000</v>
      </c>
      <c r="N90" s="5" t="s">
        <v>288</v>
      </c>
      <c r="O90" s="5">
        <v>100000</v>
      </c>
      <c r="P90" s="5">
        <v>100000</v>
      </c>
      <c r="Q90" s="13"/>
      <c r="R90" s="61"/>
      <c r="S90" s="61"/>
      <c r="T90" s="61"/>
      <c r="U90" s="61"/>
      <c r="V90" s="62"/>
    </row>
    <row r="91" spans="2:22">
      <c r="B91" s="5" t="s">
        <v>1622</v>
      </c>
      <c r="C91" s="12"/>
      <c r="D91" s="12"/>
      <c r="E91" s="12"/>
      <c r="F91" s="12"/>
      <c r="G91" s="12"/>
      <c r="H91" s="12"/>
      <c r="I91" s="151"/>
      <c r="J91" s="12"/>
      <c r="K91" s="12"/>
      <c r="L91" s="12"/>
      <c r="M91" s="12"/>
      <c r="N91" s="12"/>
      <c r="O91" s="12"/>
      <c r="P91" s="12"/>
      <c r="Q91" s="13"/>
      <c r="R91" s="61"/>
      <c r="S91" s="61"/>
      <c r="T91" s="61"/>
      <c r="U91" s="61"/>
      <c r="V91" s="62"/>
    </row>
    <row r="92" spans="2:22">
      <c r="B92" s="9" t="s">
        <v>1207</v>
      </c>
      <c r="C92" s="16"/>
      <c r="D92" s="16"/>
      <c r="E92" s="16"/>
      <c r="F92" s="16"/>
      <c r="G92" s="16"/>
      <c r="H92" s="16"/>
      <c r="I92" s="211"/>
      <c r="J92" s="16"/>
      <c r="K92" s="16"/>
      <c r="L92" s="16"/>
      <c r="M92" s="16"/>
      <c r="N92" s="16"/>
      <c r="O92" s="16"/>
      <c r="P92" s="16"/>
      <c r="Q92" s="63"/>
      <c r="R92" s="64"/>
      <c r="S92" s="64"/>
      <c r="T92" s="64"/>
      <c r="U92" s="64"/>
      <c r="V92" s="65"/>
    </row>
    <row r="93" spans="2:22">
      <c r="B93"/>
      <c r="D93"/>
      <c r="E93"/>
      <c r="F93"/>
      <c r="G93"/>
      <c r="H93"/>
      <c r="I93" s="209"/>
      <c r="J93"/>
      <c r="K93"/>
      <c r="L93"/>
      <c r="M93"/>
      <c r="N93"/>
      <c r="O93"/>
      <c r="P93"/>
      <c r="Q93"/>
    </row>
    <row r="94" spans="2:22">
      <c r="B94"/>
      <c r="D94"/>
      <c r="E94"/>
      <c r="F94"/>
      <c r="G94"/>
      <c r="H94"/>
      <c r="I94" s="209"/>
      <c r="J94"/>
      <c r="K94"/>
      <c r="L94"/>
      <c r="M94"/>
      <c r="N94"/>
      <c r="O94"/>
      <c r="P94"/>
      <c r="Q94"/>
    </row>
    <row r="95" spans="2:22">
      <c r="B95"/>
      <c r="D95"/>
      <c r="E95"/>
      <c r="F95"/>
      <c r="G95"/>
      <c r="H95"/>
      <c r="I95" s="209"/>
      <c r="J95"/>
      <c r="K95"/>
      <c r="L95"/>
      <c r="M95"/>
      <c r="N95"/>
      <c r="O95"/>
      <c r="P95"/>
      <c r="Q95"/>
    </row>
    <row r="96" spans="2:22">
      <c r="B96"/>
      <c r="D96"/>
      <c r="E96"/>
      <c r="F96"/>
      <c r="G96"/>
      <c r="H96"/>
      <c r="I96" s="209"/>
      <c r="J96"/>
      <c r="K96"/>
      <c r="L96"/>
      <c r="M96"/>
      <c r="N96"/>
      <c r="O96"/>
      <c r="P96"/>
      <c r="Q96"/>
    </row>
    <row r="97" spans="2:17">
      <c r="B97"/>
      <c r="D97"/>
      <c r="E97"/>
      <c r="F97"/>
      <c r="G97"/>
      <c r="H97"/>
      <c r="I97" s="209"/>
      <c r="J97"/>
      <c r="K97"/>
      <c r="L97"/>
      <c r="M97"/>
      <c r="N97"/>
      <c r="O97"/>
      <c r="P97"/>
      <c r="Q97"/>
    </row>
    <row r="98" spans="2:17">
      <c r="B98"/>
      <c r="D98"/>
      <c r="E98"/>
      <c r="F98"/>
      <c r="G98"/>
      <c r="H98"/>
      <c r="I98" s="209"/>
      <c r="J98"/>
      <c r="K98"/>
      <c r="L98"/>
      <c r="M98"/>
      <c r="N98"/>
      <c r="O98"/>
      <c r="P98"/>
      <c r="Q98"/>
    </row>
    <row r="99" spans="2:17">
      <c r="B99"/>
      <c r="D99"/>
      <c r="E99"/>
      <c r="F99"/>
      <c r="G99"/>
      <c r="H99"/>
      <c r="I99" s="209"/>
      <c r="J99"/>
      <c r="K99"/>
      <c r="L99"/>
      <c r="M99"/>
      <c r="N99"/>
      <c r="O99"/>
      <c r="P99"/>
      <c r="Q99"/>
    </row>
    <row r="100" spans="2:17">
      <c r="B100"/>
      <c r="D100"/>
      <c r="E100"/>
      <c r="F100"/>
      <c r="G100"/>
      <c r="H100"/>
      <c r="I100" s="209"/>
      <c r="J100"/>
      <c r="K100"/>
      <c r="L100"/>
      <c r="M100"/>
      <c r="N100"/>
      <c r="O100"/>
      <c r="P100"/>
      <c r="Q100"/>
    </row>
    <row r="101" spans="2:17">
      <c r="B101"/>
      <c r="D101"/>
      <c r="E101"/>
      <c r="F101"/>
      <c r="G101"/>
      <c r="H101"/>
      <c r="I101" s="209"/>
      <c r="J101"/>
      <c r="K101"/>
      <c r="L101"/>
      <c r="M101"/>
      <c r="N101"/>
      <c r="O101"/>
      <c r="P101"/>
      <c r="Q101"/>
    </row>
    <row r="102" spans="2:17">
      <c r="B102"/>
      <c r="D102"/>
      <c r="E102"/>
      <c r="F102"/>
      <c r="G102"/>
      <c r="H102"/>
      <c r="I102" s="209"/>
      <c r="J102"/>
      <c r="K102"/>
      <c r="L102"/>
      <c r="M102"/>
      <c r="N102"/>
      <c r="O102"/>
      <c r="P102"/>
      <c r="Q102"/>
    </row>
    <row r="103" spans="2:17">
      <c r="B103"/>
      <c r="D103"/>
      <c r="E103"/>
      <c r="F103"/>
      <c r="G103"/>
      <c r="H103"/>
      <c r="I103" s="209"/>
      <c r="J103"/>
      <c r="K103"/>
      <c r="L103"/>
      <c r="M103"/>
      <c r="N103"/>
      <c r="O103"/>
      <c r="P103"/>
      <c r="Q103"/>
    </row>
    <row r="104" spans="2:17">
      <c r="B104"/>
      <c r="D104"/>
      <c r="E104"/>
      <c r="F104"/>
      <c r="G104"/>
      <c r="H104"/>
      <c r="I104" s="209"/>
      <c r="J104"/>
      <c r="K104"/>
      <c r="L104"/>
      <c r="M104"/>
      <c r="N104"/>
      <c r="O104"/>
      <c r="P104"/>
      <c r="Q104"/>
    </row>
    <row r="105" spans="2:17">
      <c r="B105"/>
      <c r="D105"/>
      <c r="E105"/>
      <c r="F105"/>
      <c r="G105"/>
      <c r="H105"/>
      <c r="I105" s="209"/>
      <c r="J105"/>
      <c r="K105"/>
      <c r="L105"/>
      <c r="M105"/>
      <c r="N105"/>
      <c r="O105"/>
      <c r="P105"/>
      <c r="Q105"/>
    </row>
    <row r="106" spans="2:17">
      <c r="B106"/>
      <c r="D106"/>
      <c r="E106"/>
      <c r="F106"/>
      <c r="G106"/>
      <c r="H106"/>
      <c r="I106" s="209"/>
      <c r="J106"/>
      <c r="K106"/>
      <c r="L106"/>
      <c r="M106"/>
      <c r="N106"/>
      <c r="O106"/>
      <c r="P106"/>
      <c r="Q106"/>
    </row>
    <row r="107" spans="2:17">
      <c r="B107"/>
      <c r="D107"/>
      <c r="E107"/>
      <c r="F107"/>
      <c r="G107"/>
      <c r="H107"/>
      <c r="I107" s="209"/>
      <c r="J107"/>
      <c r="K107"/>
      <c r="L107"/>
      <c r="M107"/>
      <c r="N107"/>
      <c r="O107"/>
      <c r="P107"/>
      <c r="Q107"/>
    </row>
    <row r="108" spans="2:17">
      <c r="B108"/>
      <c r="D108"/>
      <c r="E108"/>
      <c r="F108"/>
      <c r="G108"/>
      <c r="H108"/>
      <c r="I108" s="209"/>
      <c r="J108"/>
      <c r="K108"/>
      <c r="L108"/>
      <c r="M108"/>
      <c r="N108"/>
      <c r="O108"/>
      <c r="P108"/>
      <c r="Q108"/>
    </row>
    <row r="109" spans="2:17">
      <c r="B109"/>
      <c r="D109"/>
      <c r="E109"/>
      <c r="F109"/>
      <c r="G109"/>
      <c r="H109"/>
      <c r="I109" s="209"/>
      <c r="J109"/>
      <c r="K109"/>
      <c r="L109"/>
      <c r="M109"/>
      <c r="N109"/>
      <c r="O109"/>
      <c r="P109"/>
      <c r="Q109"/>
    </row>
    <row r="110" spans="2:17">
      <c r="B110"/>
      <c r="D110"/>
      <c r="E110"/>
      <c r="F110"/>
      <c r="G110"/>
      <c r="H110"/>
      <c r="I110" s="209"/>
      <c r="J110"/>
      <c r="K110"/>
      <c r="L110"/>
      <c r="M110"/>
      <c r="N110"/>
      <c r="O110"/>
      <c r="P110"/>
      <c r="Q110"/>
    </row>
    <row r="111" spans="2:17">
      <c r="B111"/>
      <c r="D111"/>
      <c r="E111"/>
      <c r="F111"/>
      <c r="G111"/>
      <c r="H111"/>
      <c r="I111" s="209"/>
      <c r="J111"/>
      <c r="K111"/>
      <c r="L111"/>
      <c r="M111"/>
      <c r="N111"/>
      <c r="O111"/>
      <c r="P111"/>
      <c r="Q111"/>
    </row>
    <row r="112" spans="2:17">
      <c r="B112"/>
      <c r="D112"/>
      <c r="E112"/>
      <c r="F112"/>
      <c r="G112"/>
      <c r="H112"/>
      <c r="I112" s="209"/>
      <c r="J112"/>
      <c r="K112"/>
      <c r="L112"/>
      <c r="M112"/>
      <c r="N112"/>
      <c r="O112"/>
      <c r="P112"/>
      <c r="Q112"/>
    </row>
    <row r="113" spans="2:17">
      <c r="B113"/>
      <c r="D113"/>
      <c r="E113"/>
      <c r="F113"/>
      <c r="G113"/>
      <c r="H113"/>
      <c r="I113" s="209"/>
      <c r="J113"/>
      <c r="K113"/>
      <c r="L113"/>
      <c r="M113"/>
      <c r="N113"/>
      <c r="O113"/>
      <c r="P113"/>
      <c r="Q113"/>
    </row>
    <row r="114" spans="2:17">
      <c r="B114"/>
      <c r="D114"/>
      <c r="E114"/>
      <c r="F114"/>
      <c r="G114"/>
      <c r="H114"/>
      <c r="I114" s="209"/>
      <c r="J114"/>
      <c r="K114"/>
      <c r="L114"/>
      <c r="M114"/>
      <c r="N114"/>
      <c r="O114"/>
      <c r="P114"/>
      <c r="Q114"/>
    </row>
    <row r="115" spans="2:17">
      <c r="B115"/>
      <c r="D115"/>
      <c r="E115"/>
      <c r="F115"/>
      <c r="G115"/>
      <c r="H115"/>
      <c r="I115" s="209"/>
      <c r="J115"/>
      <c r="K115"/>
      <c r="L115"/>
      <c r="M115"/>
      <c r="N115"/>
      <c r="O115"/>
      <c r="P115"/>
      <c r="Q115"/>
    </row>
    <row r="116" spans="2:17">
      <c r="B116"/>
      <c r="D116"/>
      <c r="E116"/>
      <c r="F116"/>
      <c r="G116"/>
      <c r="H116"/>
      <c r="I116" s="209"/>
      <c r="J116"/>
      <c r="K116"/>
      <c r="L116"/>
      <c r="M116"/>
      <c r="N116"/>
      <c r="O116"/>
      <c r="P116"/>
      <c r="Q116"/>
    </row>
    <row r="117" spans="2:17">
      <c r="B117"/>
      <c r="D117"/>
      <c r="E117"/>
      <c r="F117"/>
      <c r="G117"/>
      <c r="H117"/>
      <c r="I117" s="209"/>
      <c r="J117"/>
      <c r="K117"/>
      <c r="L117"/>
      <c r="M117"/>
      <c r="N117"/>
      <c r="O117"/>
      <c r="P117"/>
      <c r="Q117"/>
    </row>
    <row r="118" spans="2:17">
      <c r="B118"/>
      <c r="D118"/>
      <c r="E118"/>
      <c r="F118"/>
      <c r="G118"/>
      <c r="H118"/>
      <c r="I118" s="209"/>
      <c r="J118"/>
      <c r="K118"/>
      <c r="L118"/>
      <c r="M118"/>
      <c r="N118"/>
      <c r="O118"/>
      <c r="P118"/>
      <c r="Q118"/>
    </row>
    <row r="119" spans="2:17">
      <c r="B119"/>
      <c r="D119"/>
      <c r="E119"/>
      <c r="F119"/>
      <c r="G119"/>
      <c r="H119"/>
      <c r="I119" s="209"/>
      <c r="J119"/>
      <c r="K119"/>
      <c r="L119"/>
      <c r="M119"/>
      <c r="N119"/>
      <c r="O119"/>
      <c r="P119"/>
      <c r="Q119"/>
    </row>
    <row r="120" spans="2:17">
      <c r="B120"/>
      <c r="D120"/>
      <c r="E120"/>
      <c r="F120"/>
      <c r="G120"/>
      <c r="H120"/>
      <c r="I120" s="209"/>
      <c r="J120"/>
      <c r="K120"/>
      <c r="L120"/>
      <c r="M120"/>
      <c r="N120"/>
      <c r="O120"/>
      <c r="P120"/>
      <c r="Q120"/>
    </row>
    <row r="121" spans="2:17">
      <c r="B121"/>
      <c r="D121"/>
      <c r="E121"/>
      <c r="F121"/>
      <c r="G121"/>
      <c r="H121"/>
      <c r="I121" s="209"/>
      <c r="J121"/>
      <c r="K121"/>
      <c r="L121"/>
      <c r="M121"/>
      <c r="N121"/>
      <c r="O121"/>
      <c r="P121"/>
      <c r="Q121"/>
    </row>
    <row r="122" spans="2:17">
      <c r="B122"/>
      <c r="D122"/>
      <c r="E122"/>
      <c r="F122"/>
      <c r="G122"/>
      <c r="H122"/>
      <c r="I122" s="209"/>
      <c r="J122"/>
      <c r="K122"/>
      <c r="L122"/>
      <c r="M122"/>
      <c r="N122"/>
      <c r="O122"/>
      <c r="P122"/>
      <c r="Q122"/>
    </row>
    <row r="123" spans="2:17">
      <c r="B123"/>
      <c r="D123"/>
      <c r="E123"/>
      <c r="F123"/>
      <c r="G123"/>
      <c r="H123"/>
      <c r="I123" s="209"/>
      <c r="J123"/>
      <c r="K123"/>
      <c r="L123"/>
      <c r="M123"/>
      <c r="N123"/>
      <c r="O123"/>
      <c r="P123"/>
      <c r="Q123"/>
    </row>
    <row r="124" spans="2:17">
      <c r="B124"/>
      <c r="D124"/>
      <c r="E124"/>
      <c r="F124"/>
      <c r="G124"/>
      <c r="H124"/>
      <c r="I124" s="209"/>
      <c r="J124"/>
      <c r="K124"/>
      <c r="L124"/>
      <c r="M124"/>
      <c r="N124"/>
      <c r="O124"/>
      <c r="P124"/>
      <c r="Q124"/>
    </row>
    <row r="125" spans="2:17">
      <c r="B125"/>
      <c r="D125"/>
      <c r="E125"/>
      <c r="F125"/>
      <c r="G125"/>
      <c r="H125"/>
      <c r="I125" s="209"/>
      <c r="J125"/>
      <c r="K125"/>
      <c r="L125"/>
      <c r="M125"/>
      <c r="N125"/>
      <c r="O125"/>
      <c r="P125"/>
      <c r="Q125"/>
    </row>
    <row r="126" spans="2:17">
      <c r="B126"/>
      <c r="D126"/>
      <c r="E126"/>
      <c r="F126"/>
      <c r="G126"/>
      <c r="H126"/>
      <c r="I126" s="209"/>
      <c r="J126"/>
      <c r="K126"/>
      <c r="L126"/>
      <c r="M126"/>
      <c r="N126"/>
      <c r="O126"/>
      <c r="P126"/>
      <c r="Q126"/>
    </row>
    <row r="127" spans="2:17">
      <c r="B127"/>
      <c r="D127"/>
      <c r="E127"/>
      <c r="F127"/>
      <c r="G127"/>
      <c r="H127"/>
      <c r="I127" s="209"/>
      <c r="J127"/>
      <c r="K127"/>
      <c r="L127"/>
      <c r="M127"/>
      <c r="N127"/>
      <c r="O127"/>
      <c r="P127"/>
      <c r="Q127"/>
    </row>
    <row r="128" spans="2:17">
      <c r="B128"/>
      <c r="D128"/>
      <c r="E128"/>
      <c r="F128"/>
      <c r="G128"/>
      <c r="H128"/>
      <c r="I128" s="209"/>
      <c r="J128"/>
      <c r="K128"/>
      <c r="L128"/>
      <c r="M128"/>
      <c r="N128"/>
      <c r="O128"/>
      <c r="P128"/>
      <c r="Q128"/>
    </row>
    <row r="129" spans="2:17">
      <c r="B129"/>
      <c r="D129"/>
      <c r="E129"/>
      <c r="F129"/>
      <c r="G129"/>
      <c r="H129"/>
      <c r="I129" s="209"/>
      <c r="J129"/>
      <c r="K129"/>
      <c r="L129"/>
      <c r="M129"/>
      <c r="N129"/>
      <c r="O129"/>
      <c r="P129"/>
      <c r="Q129"/>
    </row>
    <row r="130" spans="2:17">
      <c r="B130"/>
      <c r="D130"/>
      <c r="E130"/>
      <c r="F130"/>
      <c r="G130"/>
      <c r="H130"/>
      <c r="I130" s="209"/>
      <c r="J130"/>
      <c r="K130"/>
      <c r="L130"/>
      <c r="M130"/>
      <c r="N130"/>
      <c r="O130"/>
      <c r="P130"/>
      <c r="Q130"/>
    </row>
    <row r="131" spans="2:17">
      <c r="B131"/>
      <c r="D131"/>
      <c r="E131"/>
      <c r="F131"/>
      <c r="G131"/>
      <c r="H131"/>
      <c r="I131" s="209"/>
      <c r="J131"/>
      <c r="K131"/>
      <c r="L131"/>
      <c r="M131"/>
      <c r="N131"/>
      <c r="O131"/>
      <c r="P131"/>
      <c r="Q131"/>
    </row>
    <row r="132" spans="2:17">
      <c r="B132"/>
      <c r="D132"/>
      <c r="E132"/>
      <c r="F132"/>
      <c r="G132"/>
      <c r="H132"/>
      <c r="I132" s="209"/>
      <c r="J132"/>
      <c r="K132"/>
      <c r="L132"/>
      <c r="M132"/>
      <c r="N132"/>
      <c r="O132"/>
      <c r="P132"/>
      <c r="Q132"/>
    </row>
    <row r="133" spans="2:17">
      <c r="B133"/>
      <c r="D133"/>
      <c r="E133"/>
      <c r="F133"/>
      <c r="G133"/>
      <c r="H133"/>
      <c r="I133" s="209"/>
      <c r="J133"/>
      <c r="K133"/>
      <c r="L133"/>
      <c r="M133"/>
      <c r="N133"/>
      <c r="O133"/>
      <c r="P133"/>
      <c r="Q133"/>
    </row>
    <row r="134" spans="2:17">
      <c r="B134"/>
      <c r="D134"/>
      <c r="E134"/>
      <c r="F134"/>
      <c r="G134"/>
      <c r="H134"/>
      <c r="I134" s="209"/>
      <c r="J134"/>
      <c r="K134"/>
      <c r="L134"/>
      <c r="M134"/>
      <c r="N134"/>
      <c r="O134"/>
      <c r="P134"/>
      <c r="Q134"/>
    </row>
    <row r="135" spans="2:17">
      <c r="B135"/>
      <c r="D135"/>
      <c r="E135"/>
      <c r="F135"/>
      <c r="G135"/>
      <c r="H135"/>
      <c r="I135" s="209"/>
      <c r="J135"/>
      <c r="K135"/>
      <c r="L135"/>
      <c r="M135"/>
      <c r="N135"/>
      <c r="O135"/>
      <c r="P135"/>
      <c r="Q135"/>
    </row>
    <row r="136" spans="2:17">
      <c r="B136"/>
      <c r="D136"/>
      <c r="E136"/>
      <c r="F136"/>
      <c r="G136"/>
      <c r="H136"/>
      <c r="I136" s="209"/>
      <c r="J136"/>
      <c r="K136"/>
      <c r="L136"/>
      <c r="M136"/>
      <c r="N136"/>
      <c r="O136"/>
      <c r="P136"/>
      <c r="Q136"/>
    </row>
    <row r="137" spans="2:17">
      <c r="B137"/>
      <c r="D137"/>
      <c r="E137"/>
      <c r="F137"/>
      <c r="G137"/>
      <c r="H137"/>
      <c r="I137" s="209"/>
      <c r="J137"/>
      <c r="K137"/>
      <c r="L137"/>
      <c r="M137"/>
      <c r="N137"/>
      <c r="O137"/>
      <c r="P137"/>
      <c r="Q137"/>
    </row>
    <row r="138" spans="2:17">
      <c r="B138"/>
      <c r="D138"/>
      <c r="E138"/>
      <c r="F138"/>
      <c r="G138"/>
      <c r="H138"/>
      <c r="I138" s="209"/>
      <c r="J138"/>
      <c r="K138"/>
      <c r="L138"/>
      <c r="M138"/>
      <c r="N138"/>
      <c r="O138"/>
      <c r="P138"/>
      <c r="Q138"/>
    </row>
    <row r="139" spans="2:17">
      <c r="B139"/>
      <c r="D139"/>
      <c r="E139"/>
      <c r="F139"/>
      <c r="G139"/>
      <c r="H139"/>
      <c r="I139" s="209"/>
      <c r="J139"/>
      <c r="K139"/>
      <c r="L139"/>
      <c r="M139"/>
      <c r="N139"/>
      <c r="O139"/>
      <c r="P139"/>
      <c r="Q139"/>
    </row>
    <row r="140" spans="2:17">
      <c r="B140"/>
      <c r="D140"/>
      <c r="E140"/>
      <c r="F140"/>
      <c r="G140"/>
      <c r="H140"/>
      <c r="I140" s="209"/>
      <c r="J140"/>
      <c r="K140"/>
      <c r="L140"/>
      <c r="M140"/>
      <c r="N140"/>
      <c r="O140"/>
      <c r="P140"/>
      <c r="Q140"/>
    </row>
    <row r="141" spans="2:17">
      <c r="B141"/>
      <c r="D141"/>
      <c r="E141"/>
      <c r="F141"/>
      <c r="G141"/>
      <c r="H141"/>
      <c r="I141" s="209"/>
      <c r="J141"/>
      <c r="K141"/>
      <c r="L141"/>
      <c r="M141"/>
      <c r="N141"/>
      <c r="O141"/>
      <c r="P141"/>
      <c r="Q141"/>
    </row>
    <row r="142" spans="2:17">
      <c r="B142"/>
      <c r="D142"/>
      <c r="E142"/>
      <c r="F142"/>
      <c r="G142"/>
      <c r="H142"/>
      <c r="I142" s="209"/>
      <c r="J142"/>
      <c r="K142"/>
      <c r="L142"/>
      <c r="M142"/>
      <c r="N142"/>
      <c r="O142"/>
      <c r="P142"/>
      <c r="Q142"/>
    </row>
    <row r="143" spans="2:17">
      <c r="B143"/>
      <c r="D143"/>
      <c r="E143"/>
      <c r="F143"/>
      <c r="G143"/>
      <c r="H143"/>
      <c r="I143" s="209"/>
      <c r="J143"/>
      <c r="K143"/>
      <c r="L143"/>
      <c r="M143"/>
      <c r="N143"/>
      <c r="O143"/>
      <c r="P143"/>
      <c r="Q143"/>
    </row>
    <row r="144" spans="2:17">
      <c r="B144"/>
      <c r="D144"/>
      <c r="E144"/>
      <c r="F144"/>
      <c r="G144"/>
      <c r="H144"/>
      <c r="I144" s="209"/>
      <c r="J144"/>
      <c r="K144"/>
      <c r="L144"/>
      <c r="M144"/>
      <c r="N144"/>
      <c r="O144"/>
      <c r="P144"/>
      <c r="Q144"/>
    </row>
    <row r="145" spans="2:17">
      <c r="B145"/>
      <c r="D145"/>
      <c r="E145"/>
      <c r="F145"/>
      <c r="G145"/>
      <c r="H145"/>
      <c r="I145" s="209"/>
      <c r="J145"/>
      <c r="K145"/>
      <c r="L145"/>
      <c r="M145"/>
      <c r="N145"/>
      <c r="O145"/>
      <c r="P145"/>
      <c r="Q145"/>
    </row>
    <row r="146" spans="2:17">
      <c r="B146"/>
      <c r="D146"/>
      <c r="E146"/>
      <c r="F146"/>
      <c r="G146"/>
      <c r="H146"/>
      <c r="I146" s="209"/>
      <c r="J146"/>
      <c r="K146"/>
      <c r="L146"/>
      <c r="M146"/>
      <c r="N146"/>
      <c r="O146"/>
      <c r="P146"/>
      <c r="Q146"/>
    </row>
    <row r="147" spans="2:17">
      <c r="B147"/>
      <c r="D147"/>
      <c r="E147"/>
      <c r="F147"/>
      <c r="G147"/>
      <c r="H147"/>
      <c r="I147" s="209"/>
      <c r="J147"/>
      <c r="K147"/>
      <c r="L147"/>
      <c r="M147"/>
      <c r="N147"/>
      <c r="O147"/>
      <c r="P147"/>
      <c r="Q147"/>
    </row>
    <row r="148" spans="2:17">
      <c r="B148"/>
      <c r="D148"/>
      <c r="E148"/>
      <c r="F148"/>
      <c r="G148"/>
      <c r="H148"/>
      <c r="I148" s="209"/>
      <c r="J148"/>
      <c r="K148"/>
      <c r="L148"/>
      <c r="M148"/>
      <c r="N148"/>
      <c r="O148"/>
      <c r="P148"/>
      <c r="Q148"/>
    </row>
    <row r="149" spans="2:17">
      <c r="B149"/>
      <c r="D149"/>
      <c r="E149"/>
      <c r="F149"/>
      <c r="G149"/>
      <c r="H149"/>
      <c r="I149" s="209"/>
      <c r="J149"/>
      <c r="K149"/>
      <c r="L149"/>
      <c r="M149"/>
      <c r="N149"/>
      <c r="O149"/>
      <c r="P149"/>
      <c r="Q149"/>
    </row>
    <row r="150" spans="2:17">
      <c r="B150"/>
      <c r="D150"/>
      <c r="E150"/>
      <c r="F150"/>
      <c r="G150"/>
      <c r="H150"/>
      <c r="I150" s="209"/>
      <c r="J150"/>
      <c r="K150"/>
      <c r="L150"/>
      <c r="M150"/>
      <c r="N150"/>
      <c r="O150"/>
      <c r="P150"/>
      <c r="Q150"/>
    </row>
    <row r="151" spans="2:17">
      <c r="B151"/>
      <c r="D151"/>
      <c r="E151"/>
      <c r="F151"/>
      <c r="G151"/>
      <c r="H151"/>
      <c r="I151" s="209"/>
      <c r="J151"/>
      <c r="K151"/>
      <c r="L151"/>
      <c r="M151"/>
      <c r="N151"/>
      <c r="O151"/>
      <c r="P151"/>
      <c r="Q151"/>
    </row>
    <row r="152" spans="2:17">
      <c r="B152"/>
      <c r="D152"/>
      <c r="E152"/>
      <c r="F152"/>
      <c r="G152"/>
      <c r="H152"/>
      <c r="I152" s="209"/>
      <c r="J152"/>
      <c r="K152"/>
      <c r="L152"/>
      <c r="M152"/>
      <c r="N152"/>
      <c r="O152"/>
      <c r="P152"/>
      <c r="Q152"/>
    </row>
    <row r="153" spans="2:17">
      <c r="B153"/>
      <c r="D153"/>
      <c r="E153"/>
      <c r="F153"/>
      <c r="G153"/>
      <c r="H153"/>
      <c r="I153" s="209"/>
      <c r="J153"/>
      <c r="K153"/>
      <c r="L153"/>
      <c r="M153"/>
      <c r="N153"/>
      <c r="O153"/>
      <c r="P153"/>
      <c r="Q153"/>
    </row>
    <row r="154" spans="2:17">
      <c r="B154"/>
      <c r="D154"/>
      <c r="E154"/>
      <c r="F154"/>
      <c r="G154"/>
      <c r="H154"/>
      <c r="I154" s="209"/>
      <c r="J154"/>
      <c r="K154"/>
      <c r="L154"/>
      <c r="M154"/>
      <c r="N154"/>
      <c r="O154"/>
      <c r="P154"/>
      <c r="Q154"/>
    </row>
    <row r="155" spans="2:17">
      <c r="B155"/>
      <c r="D155"/>
      <c r="E155"/>
      <c r="F155"/>
      <c r="G155"/>
      <c r="H155"/>
      <c r="I155" s="209"/>
      <c r="J155"/>
      <c r="K155"/>
      <c r="L155"/>
      <c r="M155"/>
      <c r="N155"/>
      <c r="O155"/>
      <c r="P155"/>
      <c r="Q155"/>
    </row>
    <row r="156" spans="2:17">
      <c r="B156"/>
      <c r="D156"/>
      <c r="E156"/>
      <c r="F156"/>
      <c r="G156"/>
      <c r="H156"/>
      <c r="I156" s="209"/>
      <c r="J156"/>
      <c r="K156"/>
      <c r="L156"/>
      <c r="M156"/>
      <c r="N156"/>
      <c r="O156"/>
      <c r="P156"/>
      <c r="Q156"/>
    </row>
    <row r="157" spans="2:17">
      <c r="B157"/>
      <c r="D157"/>
      <c r="E157"/>
      <c r="F157"/>
      <c r="G157"/>
      <c r="H157"/>
      <c r="I157" s="209"/>
      <c r="J157"/>
      <c r="K157"/>
      <c r="L157"/>
      <c r="M157"/>
      <c r="N157"/>
      <c r="O157"/>
      <c r="P157"/>
      <c r="Q157"/>
    </row>
    <row r="158" spans="2:17">
      <c r="B158"/>
      <c r="D158"/>
      <c r="E158"/>
      <c r="F158"/>
      <c r="G158"/>
      <c r="H158"/>
      <c r="I158" s="209"/>
      <c r="J158"/>
      <c r="K158"/>
      <c r="L158"/>
      <c r="M158"/>
      <c r="N158"/>
      <c r="O158"/>
      <c r="P158"/>
      <c r="Q158"/>
    </row>
    <row r="159" spans="2:17">
      <c r="B159"/>
      <c r="D159"/>
      <c r="E159"/>
      <c r="F159"/>
      <c r="G159"/>
      <c r="H159"/>
      <c r="I159" s="209"/>
      <c r="J159"/>
      <c r="K159"/>
      <c r="L159"/>
      <c r="M159"/>
      <c r="N159"/>
      <c r="O159"/>
      <c r="P159"/>
      <c r="Q159"/>
    </row>
    <row r="160" spans="2:17">
      <c r="B160"/>
      <c r="D160"/>
      <c r="E160"/>
      <c r="F160"/>
      <c r="G160"/>
      <c r="H160"/>
      <c r="I160" s="209"/>
      <c r="J160"/>
      <c r="K160"/>
      <c r="L160"/>
      <c r="M160"/>
      <c r="N160"/>
      <c r="O160"/>
      <c r="P160"/>
      <c r="Q160"/>
    </row>
    <row r="161" spans="2:17">
      <c r="B161"/>
      <c r="D161"/>
      <c r="E161"/>
      <c r="F161"/>
      <c r="G161"/>
      <c r="H161"/>
      <c r="I161" s="209"/>
      <c r="J161"/>
      <c r="K161"/>
      <c r="L161"/>
      <c r="M161"/>
      <c r="N161"/>
      <c r="O161"/>
      <c r="P161"/>
      <c r="Q161"/>
    </row>
    <row r="162" spans="2:17">
      <c r="B162"/>
      <c r="D162"/>
      <c r="E162"/>
      <c r="F162"/>
      <c r="G162"/>
      <c r="H162"/>
      <c r="I162" s="209"/>
      <c r="J162"/>
      <c r="K162"/>
      <c r="L162"/>
      <c r="M162"/>
      <c r="N162"/>
      <c r="O162"/>
      <c r="P162"/>
      <c r="Q162"/>
    </row>
    <row r="163" spans="2:17">
      <c r="B163"/>
      <c r="D163"/>
      <c r="E163"/>
      <c r="F163"/>
      <c r="G163"/>
      <c r="H163"/>
      <c r="I163" s="209"/>
      <c r="J163"/>
      <c r="K163"/>
      <c r="L163"/>
      <c r="M163"/>
      <c r="N163"/>
      <c r="O163"/>
      <c r="P163"/>
      <c r="Q163"/>
    </row>
    <row r="164" spans="2:17">
      <c r="B164"/>
      <c r="D164"/>
      <c r="E164"/>
      <c r="F164"/>
      <c r="G164"/>
      <c r="H164"/>
      <c r="I164" s="209"/>
      <c r="J164"/>
      <c r="K164"/>
      <c r="L164"/>
      <c r="M164"/>
      <c r="N164"/>
      <c r="O164"/>
      <c r="P164"/>
      <c r="Q164"/>
    </row>
    <row r="165" spans="2:17">
      <c r="B165"/>
      <c r="D165"/>
      <c r="E165"/>
      <c r="F165"/>
      <c r="G165"/>
      <c r="H165"/>
      <c r="I165" s="209"/>
      <c r="J165"/>
      <c r="K165"/>
      <c r="L165"/>
      <c r="M165"/>
      <c r="N165"/>
      <c r="O165"/>
      <c r="P165"/>
      <c r="Q165"/>
    </row>
    <row r="166" spans="2:17">
      <c r="B166"/>
      <c r="D166"/>
      <c r="E166"/>
      <c r="F166"/>
      <c r="G166"/>
      <c r="H166"/>
      <c r="I166" s="209"/>
      <c r="J166"/>
      <c r="K166"/>
      <c r="L166"/>
      <c r="M166"/>
      <c r="N166"/>
      <c r="O166"/>
      <c r="P166"/>
      <c r="Q166"/>
    </row>
    <row r="167" spans="2:17">
      <c r="B167"/>
      <c r="D167"/>
      <c r="E167"/>
      <c r="F167"/>
      <c r="G167"/>
      <c r="H167"/>
      <c r="I167" s="209"/>
      <c r="J167"/>
      <c r="K167"/>
      <c r="L167"/>
      <c r="M167"/>
      <c r="N167"/>
      <c r="O167"/>
      <c r="P167"/>
      <c r="Q167"/>
    </row>
    <row r="168" spans="2:17">
      <c r="B168"/>
      <c r="D168"/>
      <c r="E168"/>
      <c r="F168"/>
      <c r="G168"/>
      <c r="H168"/>
      <c r="I168" s="209"/>
      <c r="J168"/>
      <c r="K168"/>
      <c r="L168"/>
      <c r="M168"/>
      <c r="N168"/>
      <c r="O168"/>
      <c r="P168"/>
      <c r="Q168"/>
    </row>
    <row r="169" spans="2:17">
      <c r="B169"/>
      <c r="D169"/>
      <c r="E169"/>
      <c r="F169"/>
      <c r="G169"/>
      <c r="H169"/>
      <c r="I169" s="209"/>
      <c r="J169"/>
      <c r="K169"/>
      <c r="L169"/>
      <c r="M169"/>
      <c r="N169"/>
      <c r="O169"/>
      <c r="P169"/>
      <c r="Q169"/>
    </row>
    <row r="170" spans="2:17">
      <c r="B170"/>
      <c r="D170"/>
      <c r="E170"/>
      <c r="F170"/>
      <c r="G170"/>
      <c r="H170"/>
      <c r="I170" s="209"/>
      <c r="J170"/>
      <c r="K170"/>
      <c r="L170"/>
      <c r="M170"/>
      <c r="N170"/>
      <c r="O170"/>
      <c r="P170"/>
      <c r="Q170"/>
    </row>
    <row r="171" spans="2:17">
      <c r="B171"/>
      <c r="D171"/>
      <c r="E171"/>
      <c r="F171"/>
      <c r="G171"/>
      <c r="H171"/>
      <c r="I171" s="209"/>
      <c r="J171"/>
      <c r="K171"/>
      <c r="L171"/>
      <c r="M171"/>
      <c r="N171"/>
      <c r="O171"/>
      <c r="P171"/>
      <c r="Q171"/>
    </row>
    <row r="172" spans="2:17">
      <c r="B172"/>
      <c r="D172"/>
      <c r="E172"/>
      <c r="F172"/>
      <c r="G172"/>
      <c r="H172"/>
      <c r="I172" s="209"/>
      <c r="J172"/>
      <c r="K172"/>
      <c r="L172"/>
      <c r="M172"/>
      <c r="N172"/>
      <c r="O172"/>
      <c r="P172"/>
      <c r="Q172"/>
    </row>
    <row r="173" spans="2:17">
      <c r="B173"/>
      <c r="D173"/>
      <c r="E173"/>
      <c r="F173"/>
      <c r="G173"/>
      <c r="H173"/>
      <c r="I173" s="209"/>
      <c r="J173"/>
      <c r="K173"/>
      <c r="L173"/>
      <c r="M173"/>
      <c r="N173"/>
      <c r="O173"/>
      <c r="P173"/>
      <c r="Q173"/>
    </row>
    <row r="174" spans="2:17">
      <c r="B174"/>
      <c r="D174"/>
      <c r="E174"/>
      <c r="F174"/>
      <c r="G174"/>
      <c r="H174"/>
      <c r="I174" s="209"/>
      <c r="J174"/>
      <c r="K174"/>
      <c r="L174"/>
      <c r="M174"/>
      <c r="N174"/>
      <c r="O174"/>
      <c r="P174"/>
      <c r="Q174"/>
    </row>
    <row r="175" spans="2:17">
      <c r="B175"/>
      <c r="D175"/>
      <c r="E175"/>
      <c r="F175"/>
      <c r="G175"/>
      <c r="H175"/>
      <c r="I175" s="209"/>
      <c r="J175"/>
      <c r="K175"/>
      <c r="L175"/>
      <c r="M175"/>
      <c r="N175"/>
      <c r="O175"/>
      <c r="P175"/>
      <c r="Q175"/>
    </row>
    <row r="176" spans="2:17">
      <c r="B176"/>
      <c r="D176"/>
      <c r="E176"/>
      <c r="F176"/>
      <c r="G176"/>
      <c r="H176"/>
      <c r="I176" s="209"/>
      <c r="J176"/>
      <c r="K176"/>
      <c r="L176"/>
      <c r="M176"/>
      <c r="N176"/>
      <c r="O176"/>
      <c r="P176"/>
      <c r="Q176"/>
    </row>
    <row r="177" spans="2:17">
      <c r="B177"/>
      <c r="D177"/>
      <c r="E177"/>
      <c r="F177"/>
      <c r="G177"/>
      <c r="H177"/>
      <c r="I177" s="209"/>
      <c r="J177"/>
      <c r="K177"/>
      <c r="L177"/>
      <c r="M177"/>
      <c r="N177"/>
      <c r="O177"/>
      <c r="P177"/>
      <c r="Q177"/>
    </row>
    <row r="178" spans="2:17">
      <c r="B178"/>
      <c r="D178"/>
      <c r="E178"/>
      <c r="F178"/>
      <c r="G178"/>
      <c r="H178"/>
      <c r="I178" s="209"/>
      <c r="J178"/>
      <c r="K178"/>
      <c r="L178"/>
      <c r="M178"/>
      <c r="N178"/>
      <c r="O178"/>
      <c r="P178"/>
      <c r="Q178"/>
    </row>
    <row r="179" spans="2:17">
      <c r="B179"/>
      <c r="D179"/>
      <c r="E179"/>
      <c r="F179"/>
      <c r="G179"/>
      <c r="H179"/>
      <c r="I179" s="209"/>
      <c r="J179"/>
      <c r="K179"/>
      <c r="L179"/>
      <c r="M179"/>
      <c r="N179"/>
      <c r="O179"/>
      <c r="P179"/>
      <c r="Q179"/>
    </row>
    <row r="180" spans="2:17">
      <c r="B180"/>
      <c r="D180"/>
      <c r="E180"/>
      <c r="F180"/>
      <c r="G180"/>
      <c r="H180"/>
      <c r="I180" s="209"/>
      <c r="J180"/>
      <c r="K180"/>
      <c r="L180"/>
      <c r="M180"/>
      <c r="N180"/>
      <c r="O180"/>
      <c r="P180"/>
      <c r="Q180"/>
    </row>
    <row r="181" spans="2:17">
      <c r="B181"/>
      <c r="D181"/>
      <c r="E181"/>
      <c r="F181"/>
      <c r="G181"/>
      <c r="H181"/>
      <c r="I181" s="209"/>
      <c r="J181"/>
      <c r="K181"/>
      <c r="L181"/>
      <c r="M181"/>
      <c r="N181"/>
      <c r="O181"/>
      <c r="P181"/>
      <c r="Q181"/>
    </row>
    <row r="182" spans="2:17">
      <c r="B182"/>
      <c r="D182"/>
      <c r="E182"/>
      <c r="F182"/>
      <c r="G182"/>
      <c r="H182"/>
      <c r="I182" s="209"/>
      <c r="J182"/>
      <c r="K182"/>
      <c r="L182"/>
      <c r="M182"/>
      <c r="N182"/>
      <c r="O182"/>
      <c r="P182"/>
      <c r="Q182"/>
    </row>
    <row r="183" spans="2:17">
      <c r="B183"/>
      <c r="D183"/>
      <c r="E183"/>
      <c r="F183"/>
      <c r="G183"/>
      <c r="H183"/>
      <c r="I183" s="209"/>
      <c r="J183"/>
      <c r="K183"/>
      <c r="L183"/>
      <c r="M183"/>
      <c r="N183"/>
      <c r="O183"/>
      <c r="P183"/>
      <c r="Q183"/>
    </row>
    <row r="184" spans="2:17">
      <c r="B184"/>
      <c r="D184"/>
      <c r="E184"/>
      <c r="F184"/>
      <c r="G184"/>
      <c r="H184"/>
      <c r="I184" s="209"/>
      <c r="J184"/>
      <c r="K184"/>
      <c r="L184"/>
      <c r="M184"/>
      <c r="N184"/>
      <c r="O184"/>
      <c r="P184"/>
      <c r="Q184"/>
    </row>
    <row r="185" spans="2:17">
      <c r="B185"/>
      <c r="D185"/>
      <c r="E185"/>
      <c r="F185"/>
      <c r="G185"/>
      <c r="H185"/>
      <c r="I185" s="209"/>
      <c r="J185"/>
      <c r="K185"/>
      <c r="L185"/>
      <c r="M185"/>
      <c r="N185"/>
      <c r="O185"/>
      <c r="P185"/>
      <c r="Q185"/>
    </row>
    <row r="186" spans="2:17">
      <c r="B186"/>
      <c r="D186"/>
      <c r="E186"/>
      <c r="F186"/>
      <c r="G186"/>
      <c r="H186"/>
      <c r="I186" s="209"/>
      <c r="J186"/>
      <c r="K186"/>
      <c r="L186"/>
      <c r="M186"/>
      <c r="N186"/>
      <c r="O186"/>
      <c r="P186"/>
      <c r="Q186"/>
    </row>
    <row r="187" spans="2:17">
      <c r="B187"/>
      <c r="D187"/>
      <c r="E187"/>
      <c r="F187"/>
      <c r="G187"/>
      <c r="H187"/>
      <c r="I187" s="209"/>
      <c r="J187"/>
      <c r="K187"/>
      <c r="L187"/>
      <c r="M187"/>
      <c r="N187"/>
      <c r="O187"/>
      <c r="P187"/>
      <c r="Q187"/>
    </row>
    <row r="188" spans="2:17">
      <c r="B188"/>
      <c r="D188"/>
      <c r="E188"/>
      <c r="F188"/>
      <c r="G188"/>
      <c r="H188"/>
      <c r="I188" s="209"/>
      <c r="J188"/>
      <c r="K188"/>
      <c r="L188"/>
      <c r="M188"/>
      <c r="N188"/>
      <c r="O188"/>
      <c r="P188"/>
      <c r="Q188"/>
    </row>
    <row r="189" spans="2:17">
      <c r="B189"/>
      <c r="D189"/>
      <c r="E189"/>
      <c r="F189"/>
      <c r="G189"/>
      <c r="H189"/>
      <c r="I189" s="209"/>
      <c r="J189"/>
      <c r="K189"/>
      <c r="L189"/>
      <c r="M189"/>
      <c r="N189"/>
      <c r="O189"/>
      <c r="P189"/>
      <c r="Q189"/>
    </row>
    <row r="190" spans="2:17">
      <c r="B190"/>
      <c r="D190"/>
      <c r="E190"/>
      <c r="F190"/>
      <c r="G190"/>
      <c r="H190"/>
      <c r="I190" s="209"/>
      <c r="J190"/>
      <c r="K190"/>
      <c r="L190"/>
      <c r="M190"/>
      <c r="N190"/>
      <c r="O190"/>
      <c r="P190"/>
      <c r="Q190"/>
    </row>
    <row r="191" spans="2:17">
      <c r="B191"/>
      <c r="D191"/>
      <c r="E191"/>
      <c r="F191"/>
      <c r="G191"/>
      <c r="H191"/>
      <c r="I191" s="209"/>
      <c r="J191"/>
      <c r="K191"/>
      <c r="L191"/>
      <c r="M191"/>
      <c r="N191"/>
      <c r="O191"/>
      <c r="P191"/>
      <c r="Q191"/>
    </row>
    <row r="192" spans="2:17">
      <c r="B192"/>
      <c r="D192"/>
      <c r="E192"/>
      <c r="F192"/>
      <c r="G192"/>
      <c r="H192"/>
      <c r="I192" s="209"/>
      <c r="J192"/>
      <c r="K192"/>
      <c r="L192"/>
      <c r="M192"/>
      <c r="N192"/>
      <c r="O192"/>
      <c r="P192"/>
      <c r="Q192"/>
    </row>
    <row r="193" spans="2:17">
      <c r="B193"/>
      <c r="D193"/>
      <c r="E193"/>
      <c r="F193"/>
      <c r="G193"/>
      <c r="H193"/>
      <c r="I193" s="209"/>
      <c r="J193"/>
      <c r="K193"/>
      <c r="L193"/>
      <c r="M193"/>
      <c r="N193"/>
      <c r="O193"/>
      <c r="P193"/>
      <c r="Q193"/>
    </row>
    <row r="194" spans="2:17">
      <c r="B194"/>
      <c r="D194"/>
      <c r="E194"/>
      <c r="F194"/>
      <c r="G194"/>
      <c r="H194"/>
      <c r="I194" s="209"/>
      <c r="J194"/>
      <c r="K194"/>
      <c r="L194"/>
      <c r="M194"/>
      <c r="N194"/>
      <c r="O194"/>
      <c r="P194"/>
      <c r="Q194"/>
    </row>
    <row r="195" spans="2:17">
      <c r="B195"/>
      <c r="D195"/>
      <c r="E195"/>
      <c r="F195"/>
      <c r="G195"/>
      <c r="H195"/>
      <c r="I195" s="209"/>
      <c r="J195"/>
      <c r="K195"/>
      <c r="L195"/>
      <c r="M195"/>
      <c r="N195"/>
      <c r="O195"/>
      <c r="P195"/>
      <c r="Q195"/>
    </row>
    <row r="196" spans="2:17">
      <c r="B196"/>
      <c r="D196"/>
      <c r="E196"/>
      <c r="F196"/>
      <c r="G196"/>
      <c r="H196"/>
      <c r="I196" s="209"/>
      <c r="J196"/>
      <c r="K196"/>
      <c r="L196"/>
      <c r="M196"/>
      <c r="N196"/>
      <c r="O196"/>
      <c r="P196"/>
      <c r="Q196"/>
    </row>
    <row r="197" spans="2:17">
      <c r="B197"/>
      <c r="D197"/>
      <c r="E197"/>
      <c r="F197"/>
      <c r="G197"/>
      <c r="H197"/>
      <c r="I197" s="209"/>
      <c r="J197"/>
      <c r="K197"/>
      <c r="L197"/>
      <c r="M197"/>
      <c r="N197"/>
      <c r="O197"/>
      <c r="P197"/>
      <c r="Q197"/>
    </row>
    <row r="198" spans="2:17">
      <c r="B198"/>
      <c r="D198"/>
      <c r="E198"/>
      <c r="F198"/>
      <c r="G198"/>
      <c r="H198"/>
      <c r="I198" s="209"/>
      <c r="J198"/>
      <c r="K198"/>
      <c r="L198"/>
      <c r="M198"/>
      <c r="N198"/>
      <c r="O198"/>
      <c r="P198"/>
      <c r="Q198"/>
    </row>
    <row r="199" spans="2:17">
      <c r="B199"/>
      <c r="D199"/>
      <c r="E199"/>
      <c r="F199"/>
      <c r="G199"/>
      <c r="H199"/>
      <c r="I199" s="209"/>
      <c r="J199"/>
      <c r="K199"/>
      <c r="L199"/>
      <c r="M199"/>
      <c r="N199"/>
      <c r="O199"/>
      <c r="P199"/>
      <c r="Q199"/>
    </row>
    <row r="200" spans="2:17">
      <c r="B200"/>
      <c r="D200"/>
      <c r="E200"/>
      <c r="F200"/>
      <c r="G200"/>
      <c r="H200"/>
      <c r="I200" s="209"/>
      <c r="J200"/>
      <c r="K200"/>
      <c r="L200"/>
      <c r="M200"/>
      <c r="N200"/>
      <c r="O200"/>
      <c r="P200"/>
      <c r="Q200"/>
    </row>
    <row r="201" spans="2:17">
      <c r="B201"/>
      <c r="D201"/>
      <c r="E201"/>
      <c r="F201"/>
      <c r="G201"/>
      <c r="H201"/>
      <c r="I201" s="209"/>
      <c r="J201"/>
      <c r="K201"/>
      <c r="L201"/>
      <c r="M201"/>
      <c r="N201"/>
      <c r="O201"/>
      <c r="P201"/>
      <c r="Q201"/>
    </row>
    <row r="202" spans="2:17">
      <c r="B202"/>
      <c r="D202"/>
      <c r="E202"/>
      <c r="F202"/>
      <c r="G202"/>
      <c r="H202"/>
      <c r="I202" s="209"/>
      <c r="J202"/>
      <c r="K202"/>
      <c r="L202"/>
      <c r="M202"/>
      <c r="N202"/>
      <c r="O202"/>
      <c r="P202"/>
      <c r="Q202"/>
    </row>
    <row r="203" spans="2:17">
      <c r="B203"/>
      <c r="D203"/>
      <c r="E203"/>
      <c r="F203"/>
      <c r="G203"/>
      <c r="H203"/>
      <c r="I203" s="209"/>
      <c r="J203"/>
      <c r="K203"/>
      <c r="L203"/>
      <c r="M203"/>
      <c r="N203"/>
      <c r="O203"/>
      <c r="P203"/>
      <c r="Q203"/>
    </row>
    <row r="204" spans="2:17">
      <c r="B204"/>
      <c r="D204"/>
      <c r="E204"/>
      <c r="F204"/>
      <c r="G204"/>
      <c r="H204"/>
      <c r="I204" s="209"/>
      <c r="J204"/>
      <c r="K204"/>
      <c r="L204"/>
      <c r="M204"/>
      <c r="N204"/>
      <c r="O204"/>
      <c r="P204"/>
      <c r="Q204"/>
    </row>
    <row r="205" spans="2:17">
      <c r="B205"/>
      <c r="D205"/>
      <c r="E205"/>
      <c r="F205"/>
      <c r="G205"/>
      <c r="H205"/>
      <c r="I205" s="209"/>
      <c r="J205"/>
      <c r="K205"/>
      <c r="L205"/>
      <c r="M205"/>
      <c r="N205"/>
      <c r="O205"/>
      <c r="P205"/>
      <c r="Q205"/>
    </row>
    <row r="206" spans="2:17">
      <c r="B206"/>
      <c r="D206"/>
      <c r="E206"/>
      <c r="F206"/>
      <c r="G206"/>
      <c r="H206"/>
      <c r="I206" s="209"/>
      <c r="J206"/>
      <c r="K206"/>
      <c r="L206"/>
      <c r="M206"/>
      <c r="N206"/>
      <c r="O206"/>
      <c r="P206"/>
      <c r="Q206"/>
    </row>
    <row r="207" spans="2:17">
      <c r="B207"/>
      <c r="D207"/>
      <c r="E207"/>
      <c r="F207"/>
      <c r="G207"/>
      <c r="H207"/>
      <c r="I207" s="209"/>
      <c r="J207"/>
      <c r="K207"/>
      <c r="L207"/>
      <c r="M207"/>
      <c r="N207"/>
      <c r="O207"/>
      <c r="P207"/>
      <c r="Q207"/>
    </row>
    <row r="208" spans="2:17">
      <c r="B208"/>
      <c r="D208"/>
      <c r="E208"/>
      <c r="F208"/>
      <c r="G208"/>
      <c r="H208"/>
      <c r="I208" s="209"/>
      <c r="J208"/>
      <c r="K208"/>
      <c r="L208"/>
      <c r="M208"/>
      <c r="N208"/>
      <c r="O208"/>
      <c r="P208"/>
      <c r="Q208"/>
    </row>
    <row r="209" spans="2:17">
      <c r="B209"/>
      <c r="D209"/>
      <c r="E209"/>
      <c r="F209"/>
      <c r="G209"/>
      <c r="H209"/>
      <c r="I209" s="209"/>
      <c r="J209"/>
      <c r="K209"/>
      <c r="L209"/>
      <c r="M209"/>
      <c r="N209"/>
      <c r="O209"/>
      <c r="P209"/>
      <c r="Q209"/>
    </row>
    <row r="210" spans="2:17">
      <c r="B210"/>
      <c r="D210"/>
      <c r="E210"/>
      <c r="F210"/>
      <c r="G210"/>
      <c r="H210"/>
      <c r="I210" s="209"/>
      <c r="J210"/>
      <c r="K210"/>
      <c r="L210"/>
      <c r="M210"/>
      <c r="N210"/>
      <c r="O210"/>
      <c r="P210"/>
      <c r="Q210"/>
    </row>
    <row r="211" spans="2:17">
      <c r="B211"/>
      <c r="D211"/>
      <c r="E211"/>
      <c r="F211"/>
      <c r="G211"/>
      <c r="H211"/>
      <c r="I211" s="209"/>
      <c r="J211"/>
      <c r="K211"/>
      <c r="L211"/>
      <c r="M211"/>
      <c r="N211"/>
      <c r="O211"/>
      <c r="P211"/>
      <c r="Q211"/>
    </row>
    <row r="212" spans="2:17">
      <c r="B212"/>
      <c r="D212"/>
      <c r="E212"/>
      <c r="F212"/>
      <c r="G212"/>
      <c r="H212"/>
      <c r="I212" s="209"/>
      <c r="J212"/>
      <c r="K212"/>
      <c r="L212"/>
      <c r="M212"/>
      <c r="N212"/>
      <c r="O212"/>
      <c r="P212"/>
      <c r="Q212"/>
    </row>
    <row r="213" spans="2:17">
      <c r="B213"/>
      <c r="D213"/>
      <c r="E213"/>
      <c r="F213"/>
      <c r="G213"/>
      <c r="H213"/>
      <c r="I213" s="209"/>
      <c r="J213"/>
      <c r="K213"/>
      <c r="L213"/>
      <c r="M213"/>
      <c r="N213"/>
      <c r="O213"/>
      <c r="P213"/>
      <c r="Q213"/>
    </row>
    <row r="214" spans="2:17">
      <c r="B214"/>
      <c r="D214"/>
      <c r="E214"/>
      <c r="F214"/>
      <c r="G214"/>
      <c r="H214"/>
      <c r="I214" s="209"/>
      <c r="J214"/>
      <c r="K214"/>
      <c r="L214"/>
      <c r="M214"/>
      <c r="N214"/>
      <c r="O214"/>
      <c r="P214"/>
      <c r="Q214"/>
    </row>
    <row r="215" spans="2:17">
      <c r="B215"/>
      <c r="D215"/>
      <c r="E215"/>
      <c r="F215"/>
      <c r="G215"/>
      <c r="H215"/>
      <c r="I215" s="209"/>
      <c r="J215"/>
      <c r="K215"/>
      <c r="L215"/>
      <c r="M215"/>
      <c r="N215"/>
      <c r="O215"/>
      <c r="P215"/>
      <c r="Q215"/>
    </row>
    <row r="216" spans="2:17">
      <c r="B216"/>
      <c r="D216"/>
      <c r="E216"/>
      <c r="F216"/>
      <c r="G216"/>
      <c r="H216"/>
      <c r="I216" s="209"/>
      <c r="J216"/>
      <c r="K216"/>
      <c r="L216"/>
      <c r="M216"/>
      <c r="N216"/>
      <c r="O216"/>
      <c r="P216"/>
      <c r="Q216"/>
    </row>
    <row r="217" spans="2:17">
      <c r="B217"/>
      <c r="D217"/>
      <c r="E217"/>
      <c r="F217"/>
      <c r="G217"/>
      <c r="H217"/>
      <c r="I217" s="209"/>
      <c r="J217"/>
      <c r="K217"/>
      <c r="L217"/>
      <c r="M217"/>
      <c r="N217"/>
      <c r="O217"/>
      <c r="P217"/>
      <c r="Q217"/>
    </row>
    <row r="218" spans="2:17">
      <c r="B218"/>
      <c r="D218"/>
      <c r="E218"/>
      <c r="F218"/>
      <c r="G218"/>
      <c r="H218"/>
      <c r="I218" s="209"/>
      <c r="J218"/>
      <c r="K218"/>
      <c r="L218"/>
      <c r="M218"/>
      <c r="N218"/>
      <c r="O218"/>
      <c r="P218"/>
      <c r="Q218"/>
    </row>
    <row r="219" spans="2:17">
      <c r="B219"/>
      <c r="D219"/>
      <c r="E219"/>
      <c r="F219"/>
      <c r="G219"/>
      <c r="H219"/>
      <c r="I219" s="209"/>
      <c r="J219"/>
      <c r="K219"/>
      <c r="L219"/>
      <c r="M219"/>
      <c r="N219"/>
      <c r="O219"/>
      <c r="P219"/>
      <c r="Q219"/>
    </row>
    <row r="220" spans="2:17">
      <c r="B220"/>
      <c r="D220"/>
      <c r="E220"/>
      <c r="F220"/>
      <c r="G220"/>
      <c r="H220"/>
      <c r="I220" s="209"/>
      <c r="J220"/>
      <c r="K220"/>
      <c r="L220"/>
      <c r="M220"/>
      <c r="N220"/>
      <c r="O220"/>
      <c r="P220"/>
      <c r="Q220"/>
    </row>
    <row r="221" spans="2:17">
      <c r="B221"/>
      <c r="D221"/>
      <c r="E221"/>
      <c r="F221"/>
      <c r="G221"/>
      <c r="H221"/>
      <c r="I221" s="209"/>
      <c r="J221"/>
      <c r="K221"/>
      <c r="L221"/>
      <c r="M221"/>
      <c r="N221"/>
      <c r="O221"/>
      <c r="P221"/>
      <c r="Q221"/>
    </row>
    <row r="222" spans="2:17">
      <c r="B222"/>
      <c r="D222"/>
      <c r="E222"/>
      <c r="F222"/>
      <c r="G222"/>
      <c r="H222"/>
      <c r="I222" s="209"/>
      <c r="J222"/>
      <c r="K222"/>
      <c r="L222"/>
      <c r="M222"/>
      <c r="N222"/>
      <c r="O222"/>
      <c r="P222"/>
      <c r="Q222"/>
    </row>
    <row r="223" spans="2:17">
      <c r="B223"/>
      <c r="D223"/>
      <c r="E223"/>
      <c r="F223"/>
      <c r="G223"/>
      <c r="H223"/>
      <c r="I223" s="209"/>
      <c r="J223"/>
      <c r="K223"/>
      <c r="L223"/>
      <c r="M223"/>
      <c r="N223"/>
      <c r="O223"/>
      <c r="P223"/>
      <c r="Q223"/>
    </row>
    <row r="224" spans="2:17">
      <c r="B224"/>
      <c r="D224"/>
      <c r="E224"/>
      <c r="F224"/>
      <c r="G224"/>
      <c r="H224"/>
      <c r="I224" s="209"/>
      <c r="J224"/>
      <c r="K224"/>
      <c r="L224"/>
      <c r="M224"/>
      <c r="N224"/>
      <c r="O224"/>
      <c r="P224"/>
      <c r="Q224"/>
    </row>
    <row r="225" spans="2:17">
      <c r="B225"/>
      <c r="D225"/>
      <c r="E225"/>
      <c r="F225"/>
      <c r="G225"/>
      <c r="H225"/>
      <c r="I225" s="209"/>
      <c r="J225"/>
      <c r="K225"/>
      <c r="L225"/>
      <c r="M225"/>
      <c r="N225"/>
      <c r="O225"/>
      <c r="P225"/>
      <c r="Q225"/>
    </row>
    <row r="226" spans="2:17">
      <c r="B226"/>
      <c r="D226"/>
      <c r="E226"/>
      <c r="F226"/>
      <c r="G226"/>
      <c r="H226"/>
      <c r="I226" s="209"/>
      <c r="J226"/>
      <c r="K226"/>
      <c r="L226"/>
      <c r="M226"/>
      <c r="N226"/>
      <c r="O226"/>
      <c r="P226"/>
      <c r="Q226"/>
    </row>
    <row r="227" spans="2:17">
      <c r="B227"/>
      <c r="D227"/>
      <c r="E227"/>
      <c r="F227"/>
      <c r="G227"/>
      <c r="H227"/>
      <c r="I227" s="209"/>
      <c r="J227"/>
      <c r="K227"/>
      <c r="L227"/>
      <c r="M227"/>
      <c r="N227"/>
      <c r="O227"/>
      <c r="P227"/>
      <c r="Q227"/>
    </row>
    <row r="228" spans="2:17">
      <c r="B228"/>
      <c r="D228"/>
      <c r="E228"/>
      <c r="F228"/>
      <c r="G228"/>
      <c r="H228"/>
      <c r="I228" s="209"/>
      <c r="J228"/>
      <c r="K228"/>
      <c r="L228"/>
      <c r="M228"/>
      <c r="N228"/>
      <c r="O228"/>
      <c r="P228"/>
      <c r="Q228"/>
    </row>
    <row r="229" spans="2:17">
      <c r="B229"/>
      <c r="D229"/>
      <c r="E229"/>
      <c r="F229"/>
      <c r="G229"/>
      <c r="H229"/>
      <c r="I229" s="209"/>
      <c r="J229"/>
      <c r="K229"/>
      <c r="L229"/>
      <c r="M229"/>
      <c r="N229"/>
      <c r="O229"/>
      <c r="P229"/>
      <c r="Q229"/>
    </row>
    <row r="230" spans="2:17">
      <c r="B230"/>
      <c r="D230"/>
      <c r="E230"/>
      <c r="F230"/>
      <c r="G230"/>
      <c r="H230"/>
      <c r="I230" s="209"/>
      <c r="J230"/>
      <c r="K230"/>
      <c r="L230"/>
      <c r="M230"/>
      <c r="N230"/>
      <c r="O230"/>
      <c r="P230"/>
      <c r="Q230"/>
    </row>
    <row r="231" spans="2:17">
      <c r="B231"/>
      <c r="D231"/>
      <c r="E231"/>
      <c r="F231"/>
      <c r="G231"/>
      <c r="H231"/>
      <c r="I231" s="209"/>
      <c r="J231"/>
      <c r="K231"/>
      <c r="L231"/>
      <c r="M231"/>
      <c r="N231"/>
      <c r="O231"/>
      <c r="P231"/>
      <c r="Q231"/>
    </row>
    <row r="232" spans="2:17">
      <c r="B232"/>
      <c r="D232"/>
      <c r="E232"/>
      <c r="F232"/>
      <c r="G232"/>
      <c r="H232"/>
      <c r="I232" s="209"/>
      <c r="J232"/>
      <c r="K232"/>
      <c r="L232"/>
      <c r="M232"/>
      <c r="N232"/>
      <c r="O232"/>
      <c r="P232"/>
      <c r="Q232"/>
    </row>
    <row r="233" spans="2:17">
      <c r="B233"/>
      <c r="D233"/>
      <c r="E233"/>
      <c r="F233"/>
      <c r="G233"/>
      <c r="H233"/>
      <c r="I233" s="209"/>
      <c r="J233"/>
      <c r="K233"/>
      <c r="L233"/>
      <c r="M233"/>
      <c r="N233"/>
      <c r="O233"/>
      <c r="P233"/>
      <c r="Q233"/>
    </row>
    <row r="234" spans="2:17">
      <c r="B234"/>
      <c r="D234"/>
      <c r="E234"/>
      <c r="F234"/>
      <c r="G234"/>
      <c r="H234"/>
      <c r="I234" s="209"/>
      <c r="J234"/>
      <c r="K234"/>
      <c r="L234"/>
      <c r="M234"/>
      <c r="N234"/>
      <c r="O234"/>
      <c r="P234"/>
      <c r="Q234"/>
    </row>
    <row r="235" spans="2:17">
      <c r="B235"/>
      <c r="D235"/>
      <c r="E235"/>
      <c r="F235"/>
      <c r="G235"/>
      <c r="H235"/>
      <c r="I235" s="209"/>
      <c r="J235"/>
      <c r="K235"/>
      <c r="L235"/>
      <c r="M235"/>
      <c r="N235"/>
      <c r="O235"/>
      <c r="P235"/>
      <c r="Q235"/>
    </row>
    <row r="236" spans="2:17">
      <c r="B236"/>
      <c r="D236"/>
      <c r="E236"/>
      <c r="F236"/>
      <c r="G236"/>
      <c r="H236"/>
      <c r="I236" s="209"/>
      <c r="J236"/>
      <c r="K236"/>
      <c r="L236"/>
      <c r="M236"/>
      <c r="N236"/>
      <c r="O236"/>
      <c r="P236"/>
      <c r="Q236"/>
    </row>
    <row r="237" spans="2:17">
      <c r="B237"/>
      <c r="D237"/>
      <c r="E237"/>
      <c r="F237"/>
      <c r="G237"/>
      <c r="H237"/>
      <c r="I237" s="209"/>
      <c r="J237"/>
      <c r="K237"/>
      <c r="L237"/>
      <c r="M237"/>
      <c r="N237"/>
      <c r="O237"/>
      <c r="P237"/>
      <c r="Q237"/>
    </row>
    <row r="238" spans="2:17">
      <c r="B238"/>
      <c r="D238"/>
      <c r="E238"/>
      <c r="F238"/>
      <c r="G238"/>
      <c r="H238"/>
      <c r="I238" s="209"/>
      <c r="J238"/>
      <c r="K238"/>
      <c r="L238"/>
      <c r="M238"/>
      <c r="N238"/>
      <c r="O238"/>
      <c r="P238"/>
      <c r="Q238"/>
    </row>
    <row r="239" spans="2:17">
      <c r="B239"/>
      <c r="D239"/>
      <c r="E239"/>
      <c r="F239"/>
      <c r="G239"/>
      <c r="H239"/>
      <c r="I239" s="209"/>
      <c r="J239"/>
      <c r="K239"/>
      <c r="L239"/>
      <c r="M239"/>
      <c r="N239"/>
      <c r="O239"/>
      <c r="P239"/>
      <c r="Q239"/>
    </row>
    <row r="240" spans="2:17">
      <c r="B240"/>
      <c r="D240"/>
      <c r="E240"/>
      <c r="F240"/>
      <c r="G240"/>
      <c r="H240"/>
      <c r="I240" s="209"/>
      <c r="J240"/>
      <c r="K240"/>
      <c r="L240"/>
      <c r="M240"/>
      <c r="N240"/>
      <c r="O240"/>
      <c r="P240"/>
      <c r="Q240"/>
    </row>
    <row r="241" spans="2:17">
      <c r="B241"/>
      <c r="D241"/>
      <c r="E241"/>
      <c r="F241"/>
      <c r="G241"/>
      <c r="H241"/>
      <c r="I241" s="209"/>
      <c r="J241"/>
      <c r="K241"/>
      <c r="L241"/>
      <c r="M241"/>
      <c r="N241"/>
      <c r="O241"/>
      <c r="P241"/>
      <c r="Q241"/>
    </row>
    <row r="242" spans="2:17">
      <c r="B242"/>
      <c r="D242"/>
      <c r="E242"/>
      <c r="F242"/>
      <c r="G242"/>
      <c r="H242"/>
      <c r="I242" s="209"/>
      <c r="J242"/>
      <c r="K242"/>
      <c r="L242"/>
      <c r="M242"/>
      <c r="N242"/>
      <c r="O242"/>
      <c r="P242"/>
      <c r="Q242"/>
    </row>
    <row r="243" spans="2:17">
      <c r="B243"/>
      <c r="D243"/>
      <c r="E243"/>
      <c r="F243"/>
      <c r="G243"/>
      <c r="H243"/>
      <c r="I243" s="209"/>
      <c r="J243"/>
      <c r="K243"/>
      <c r="L243"/>
      <c r="M243"/>
      <c r="N243"/>
      <c r="O243"/>
      <c r="P243"/>
      <c r="Q243"/>
    </row>
    <row r="244" spans="2:17">
      <c r="B244"/>
      <c r="D244"/>
      <c r="E244"/>
      <c r="F244"/>
      <c r="G244"/>
      <c r="H244"/>
      <c r="I244" s="209"/>
      <c r="J244"/>
      <c r="K244"/>
      <c r="L244"/>
      <c r="M244"/>
      <c r="N244"/>
      <c r="O244"/>
      <c r="P244"/>
      <c r="Q244"/>
    </row>
    <row r="245" spans="2:17">
      <c r="B245"/>
      <c r="D245"/>
      <c r="E245"/>
      <c r="F245"/>
      <c r="G245"/>
      <c r="H245"/>
      <c r="I245" s="209"/>
      <c r="J245"/>
      <c r="K245"/>
      <c r="L245"/>
      <c r="M245"/>
      <c r="N245"/>
      <c r="O245"/>
      <c r="P245"/>
      <c r="Q245"/>
    </row>
    <row r="246" spans="2:17">
      <c r="B246"/>
      <c r="D246"/>
      <c r="E246"/>
      <c r="F246"/>
      <c r="G246"/>
      <c r="H246"/>
      <c r="I246" s="209"/>
      <c r="J246"/>
      <c r="K246"/>
      <c r="L246"/>
      <c r="M246"/>
      <c r="N246"/>
      <c r="O246"/>
      <c r="P246"/>
      <c r="Q246"/>
    </row>
    <row r="247" spans="2:17">
      <c r="B247"/>
      <c r="D247"/>
      <c r="E247"/>
      <c r="F247"/>
      <c r="G247"/>
      <c r="H247"/>
      <c r="I247" s="209"/>
      <c r="J247"/>
      <c r="K247"/>
      <c r="L247"/>
      <c r="M247"/>
      <c r="N247"/>
      <c r="O247"/>
      <c r="P247"/>
      <c r="Q247"/>
    </row>
    <row r="248" spans="2:17">
      <c r="B248"/>
      <c r="D248"/>
      <c r="E248"/>
      <c r="F248"/>
      <c r="G248"/>
      <c r="H248"/>
      <c r="I248" s="209"/>
      <c r="J248"/>
      <c r="K248"/>
      <c r="L248"/>
      <c r="M248"/>
      <c r="N248"/>
      <c r="O248"/>
      <c r="P248"/>
      <c r="Q248"/>
    </row>
    <row r="249" spans="2:17">
      <c r="B249"/>
      <c r="D249"/>
      <c r="E249"/>
      <c r="F249"/>
      <c r="G249"/>
      <c r="H249"/>
      <c r="I249" s="209"/>
      <c r="J249"/>
      <c r="K249"/>
      <c r="L249"/>
      <c r="M249"/>
      <c r="N249"/>
      <c r="O249"/>
      <c r="P249"/>
      <c r="Q249"/>
    </row>
    <row r="250" spans="2:17">
      <c r="B250"/>
      <c r="D250"/>
      <c r="E250"/>
      <c r="F250"/>
      <c r="G250"/>
      <c r="H250"/>
      <c r="I250" s="209"/>
      <c r="J250"/>
      <c r="K250"/>
      <c r="L250"/>
      <c r="M250"/>
      <c r="N250"/>
      <c r="O250"/>
      <c r="P250"/>
      <c r="Q250"/>
    </row>
    <row r="251" spans="2:17">
      <c r="B251"/>
      <c r="D251"/>
      <c r="E251"/>
      <c r="F251"/>
      <c r="G251"/>
      <c r="H251"/>
      <c r="I251" s="209"/>
      <c r="J251"/>
      <c r="K251"/>
      <c r="L251"/>
      <c r="M251"/>
      <c r="N251"/>
      <c r="O251"/>
      <c r="P251"/>
      <c r="Q251"/>
    </row>
    <row r="252" spans="2:17">
      <c r="B252"/>
      <c r="D252"/>
      <c r="E252"/>
      <c r="F252"/>
      <c r="G252"/>
      <c r="H252"/>
      <c r="I252" s="209"/>
      <c r="J252"/>
      <c r="K252"/>
      <c r="L252"/>
      <c r="M252"/>
      <c r="N252"/>
      <c r="O252"/>
      <c r="P252"/>
      <c r="Q252"/>
    </row>
    <row r="253" spans="2:17">
      <c r="B253"/>
      <c r="D253"/>
      <c r="E253"/>
      <c r="F253"/>
      <c r="G253"/>
      <c r="H253"/>
      <c r="I253" s="209"/>
      <c r="J253"/>
      <c r="K253"/>
      <c r="L253"/>
      <c r="M253"/>
      <c r="N253"/>
      <c r="O253"/>
      <c r="P253"/>
      <c r="Q253"/>
    </row>
    <row r="254" spans="2:17">
      <c r="B254"/>
      <c r="D254"/>
      <c r="E254"/>
      <c r="F254"/>
      <c r="G254"/>
      <c r="H254"/>
      <c r="I254" s="209"/>
      <c r="J254"/>
      <c r="K254"/>
      <c r="L254"/>
      <c r="M254"/>
      <c r="N254"/>
      <c r="O254"/>
      <c r="P254"/>
      <c r="Q254"/>
    </row>
    <row r="255" spans="2:17">
      <c r="B255"/>
      <c r="D255"/>
      <c r="E255"/>
      <c r="F255"/>
      <c r="G255"/>
      <c r="H255"/>
      <c r="I255" s="209"/>
      <c r="J255"/>
      <c r="K255"/>
      <c r="L255"/>
      <c r="M255"/>
      <c r="N255"/>
      <c r="O255"/>
      <c r="P255"/>
      <c r="Q255"/>
    </row>
    <row r="256" spans="2:17">
      <c r="B256"/>
      <c r="D256"/>
      <c r="E256"/>
      <c r="F256"/>
      <c r="G256"/>
      <c r="H256"/>
      <c r="I256" s="209"/>
      <c r="J256"/>
      <c r="K256"/>
      <c r="L256"/>
      <c r="M256"/>
      <c r="N256"/>
      <c r="O256"/>
      <c r="P256"/>
      <c r="Q256"/>
    </row>
    <row r="257" spans="2:17">
      <c r="B257"/>
      <c r="D257"/>
      <c r="E257"/>
      <c r="F257"/>
      <c r="G257"/>
      <c r="H257"/>
      <c r="I257" s="209"/>
      <c r="J257"/>
      <c r="K257"/>
      <c r="L257"/>
      <c r="M257"/>
      <c r="N257"/>
      <c r="O257"/>
      <c r="P257"/>
      <c r="Q257"/>
    </row>
    <row r="258" spans="2:17">
      <c r="B258"/>
      <c r="D258"/>
      <c r="E258"/>
      <c r="F258"/>
      <c r="G258"/>
      <c r="H258"/>
      <c r="I258" s="209"/>
      <c r="J258"/>
      <c r="K258"/>
      <c r="L258"/>
      <c r="M258"/>
      <c r="N258"/>
      <c r="O258"/>
      <c r="P258"/>
      <c r="Q258"/>
    </row>
    <row r="259" spans="2:17">
      <c r="B259"/>
      <c r="D259"/>
      <c r="E259"/>
      <c r="F259"/>
      <c r="G259"/>
      <c r="H259"/>
      <c r="I259" s="209"/>
      <c r="J259"/>
      <c r="K259"/>
      <c r="L259"/>
      <c r="M259"/>
      <c r="N259"/>
      <c r="O259"/>
      <c r="P259"/>
      <c r="Q259"/>
    </row>
    <row r="260" spans="2:17">
      <c r="B260"/>
      <c r="D260"/>
      <c r="E260"/>
      <c r="F260"/>
      <c r="G260"/>
      <c r="H260"/>
      <c r="I260" s="209"/>
      <c r="J260"/>
      <c r="K260"/>
      <c r="L260"/>
      <c r="M260"/>
      <c r="N260"/>
      <c r="O260"/>
      <c r="P260"/>
      <c r="Q260"/>
    </row>
    <row r="261" spans="2:17">
      <c r="B261"/>
      <c r="D261"/>
      <c r="E261"/>
      <c r="F261"/>
      <c r="G261"/>
      <c r="H261"/>
      <c r="I261" s="209"/>
      <c r="J261"/>
      <c r="K261"/>
      <c r="L261"/>
      <c r="M261"/>
      <c r="N261"/>
      <c r="O261"/>
      <c r="P261"/>
      <c r="Q261"/>
    </row>
    <row r="262" spans="2:17">
      <c r="B262"/>
      <c r="D262"/>
      <c r="E262"/>
      <c r="F262"/>
      <c r="G262"/>
      <c r="H262"/>
      <c r="I262" s="209"/>
      <c r="J262"/>
      <c r="K262"/>
      <c r="L262"/>
      <c r="M262"/>
      <c r="N262"/>
      <c r="O262"/>
      <c r="P262"/>
      <c r="Q262"/>
    </row>
    <row r="263" spans="2:17">
      <c r="B263"/>
      <c r="D263"/>
      <c r="E263"/>
      <c r="F263"/>
      <c r="G263"/>
      <c r="H263"/>
      <c r="I263" s="209"/>
      <c r="J263"/>
      <c r="K263"/>
      <c r="L263"/>
      <c r="M263"/>
      <c r="N263"/>
      <c r="O263"/>
      <c r="P263"/>
      <c r="Q263"/>
    </row>
    <row r="264" spans="2:17">
      <c r="B264"/>
      <c r="D264"/>
      <c r="E264"/>
      <c r="F264"/>
      <c r="G264"/>
      <c r="H264"/>
      <c r="I264" s="209"/>
      <c r="J264"/>
      <c r="K264"/>
      <c r="L264"/>
      <c r="M264"/>
      <c r="N264"/>
      <c r="O264"/>
      <c r="P264"/>
      <c r="Q264"/>
    </row>
    <row r="265" spans="2:17">
      <c r="B265"/>
      <c r="D265"/>
      <c r="E265"/>
      <c r="F265"/>
      <c r="G265"/>
      <c r="H265"/>
      <c r="I265" s="209"/>
      <c r="J265"/>
      <c r="K265"/>
      <c r="L265"/>
      <c r="M265"/>
      <c r="N265"/>
      <c r="O265"/>
      <c r="P265"/>
      <c r="Q265"/>
    </row>
    <row r="266" spans="2:17">
      <c r="B266"/>
      <c r="D266"/>
      <c r="E266"/>
      <c r="F266"/>
      <c r="G266"/>
      <c r="H266"/>
      <c r="I266" s="209"/>
      <c r="J266"/>
      <c r="K266"/>
      <c r="L266"/>
      <c r="M266"/>
      <c r="N266"/>
      <c r="O266"/>
      <c r="P266"/>
      <c r="Q266"/>
    </row>
    <row r="267" spans="2:17">
      <c r="B267"/>
      <c r="D267"/>
      <c r="E267"/>
      <c r="F267"/>
      <c r="G267"/>
      <c r="H267"/>
      <c r="I267" s="209"/>
      <c r="J267"/>
      <c r="K267"/>
      <c r="L267"/>
      <c r="M267"/>
      <c r="N267"/>
      <c r="O267"/>
      <c r="P267"/>
      <c r="Q267"/>
    </row>
    <row r="268" spans="2:17">
      <c r="B268"/>
      <c r="D268"/>
      <c r="E268"/>
      <c r="F268"/>
      <c r="G268"/>
      <c r="H268"/>
      <c r="I268" s="209"/>
      <c r="J268"/>
      <c r="K268"/>
      <c r="L268"/>
      <c r="M268"/>
      <c r="N268"/>
      <c r="O268"/>
      <c r="P268"/>
      <c r="Q268"/>
    </row>
    <row r="269" spans="2:17">
      <c r="B269"/>
      <c r="D269"/>
      <c r="E269"/>
      <c r="F269"/>
      <c r="G269"/>
      <c r="H269"/>
      <c r="I269" s="209"/>
      <c r="J269"/>
      <c r="K269"/>
      <c r="L269"/>
      <c r="M269"/>
      <c r="N269"/>
      <c r="O269"/>
      <c r="P269"/>
      <c r="Q269"/>
    </row>
    <row r="270" spans="2:17">
      <c r="B270"/>
      <c r="D270"/>
      <c r="E270"/>
      <c r="F270"/>
      <c r="G270"/>
      <c r="H270"/>
      <c r="I270" s="209"/>
      <c r="J270"/>
      <c r="K270"/>
      <c r="L270"/>
      <c r="M270"/>
      <c r="N270"/>
      <c r="O270"/>
      <c r="P270"/>
      <c r="Q270"/>
    </row>
    <row r="271" spans="2:17">
      <c r="B271"/>
      <c r="D271"/>
      <c r="E271"/>
      <c r="F271"/>
      <c r="G271"/>
      <c r="H271"/>
      <c r="I271" s="209"/>
      <c r="J271"/>
      <c r="K271"/>
      <c r="L271"/>
      <c r="M271"/>
      <c r="N271"/>
      <c r="O271"/>
      <c r="P271"/>
      <c r="Q271"/>
    </row>
    <row r="272" spans="2:17">
      <c r="B272"/>
      <c r="D272"/>
      <c r="E272"/>
      <c r="F272"/>
      <c r="G272"/>
      <c r="H272"/>
      <c r="I272" s="209"/>
      <c r="J272"/>
      <c r="K272"/>
      <c r="L272"/>
      <c r="M272"/>
      <c r="N272"/>
      <c r="O272"/>
      <c r="P272"/>
      <c r="Q272"/>
    </row>
    <row r="273" spans="2:17">
      <c r="B273"/>
      <c r="D273"/>
      <c r="E273"/>
      <c r="F273"/>
      <c r="G273"/>
      <c r="H273"/>
      <c r="I273" s="209"/>
      <c r="J273"/>
      <c r="K273"/>
      <c r="L273"/>
      <c r="M273"/>
      <c r="N273"/>
      <c r="O273"/>
      <c r="P273"/>
      <c r="Q273"/>
    </row>
    <row r="274" spans="2:17">
      <c r="B274"/>
      <c r="D274"/>
      <c r="E274"/>
      <c r="F274"/>
      <c r="G274"/>
      <c r="H274"/>
      <c r="I274" s="209"/>
      <c r="J274"/>
      <c r="K274"/>
      <c r="L274"/>
      <c r="M274"/>
      <c r="N274"/>
      <c r="O274"/>
      <c r="P274"/>
      <c r="Q274"/>
    </row>
    <row r="275" spans="2:17">
      <c r="B275"/>
      <c r="D275"/>
      <c r="E275"/>
      <c r="F275"/>
      <c r="G275"/>
      <c r="H275"/>
      <c r="I275" s="209"/>
      <c r="J275"/>
      <c r="K275"/>
      <c r="L275"/>
      <c r="M275"/>
      <c r="N275"/>
      <c r="O275"/>
      <c r="P275"/>
      <c r="Q275"/>
    </row>
    <row r="276" spans="2:17">
      <c r="B276"/>
      <c r="D276"/>
      <c r="E276"/>
      <c r="F276"/>
      <c r="G276"/>
      <c r="H276"/>
      <c r="I276" s="209"/>
      <c r="J276"/>
      <c r="K276"/>
      <c r="L276"/>
      <c r="M276"/>
      <c r="N276"/>
      <c r="O276"/>
      <c r="P276"/>
      <c r="Q276"/>
    </row>
    <row r="277" spans="2:17">
      <c r="B277"/>
      <c r="D277"/>
      <c r="E277"/>
      <c r="F277"/>
      <c r="G277"/>
      <c r="H277"/>
      <c r="I277" s="209"/>
      <c r="J277"/>
      <c r="K277"/>
      <c r="L277"/>
      <c r="M277"/>
      <c r="N277"/>
      <c r="O277"/>
      <c r="P277"/>
      <c r="Q277"/>
    </row>
    <row r="278" spans="2:17">
      <c r="B278"/>
      <c r="D278"/>
      <c r="E278"/>
      <c r="F278"/>
      <c r="G278"/>
      <c r="H278"/>
      <c r="I278" s="209"/>
      <c r="J278"/>
      <c r="K278"/>
      <c r="L278"/>
      <c r="M278"/>
      <c r="N278"/>
      <c r="O278"/>
      <c r="P278"/>
      <c r="Q278"/>
    </row>
    <row r="279" spans="2:17">
      <c r="B279"/>
      <c r="D279"/>
      <c r="E279"/>
      <c r="F279"/>
      <c r="G279"/>
      <c r="H279"/>
      <c r="I279" s="209"/>
      <c r="J279"/>
      <c r="K279"/>
      <c r="L279"/>
      <c r="M279"/>
      <c r="N279"/>
      <c r="O279"/>
      <c r="P279"/>
      <c r="Q279"/>
    </row>
    <row r="280" spans="2:17">
      <c r="B280"/>
      <c r="D280"/>
      <c r="E280"/>
      <c r="F280"/>
      <c r="G280"/>
      <c r="H280"/>
      <c r="I280" s="209"/>
      <c r="J280"/>
      <c r="K280"/>
      <c r="L280"/>
      <c r="M280"/>
      <c r="N280"/>
      <c r="O280"/>
      <c r="P280"/>
      <c r="Q280"/>
    </row>
    <row r="281" spans="2:17">
      <c r="B281"/>
      <c r="D281"/>
      <c r="E281"/>
      <c r="F281"/>
      <c r="G281"/>
      <c r="H281"/>
      <c r="I281" s="209"/>
      <c r="J281"/>
      <c r="K281"/>
      <c r="L281"/>
      <c r="M281"/>
      <c r="N281"/>
      <c r="O281"/>
      <c r="P281"/>
      <c r="Q281"/>
    </row>
    <row r="282" spans="2:17">
      <c r="B282"/>
      <c r="D282"/>
      <c r="E282"/>
      <c r="F282"/>
      <c r="G282"/>
      <c r="H282"/>
      <c r="I282" s="209"/>
      <c r="J282"/>
      <c r="K282"/>
      <c r="L282"/>
      <c r="M282"/>
      <c r="N282"/>
      <c r="O282"/>
      <c r="P282"/>
      <c r="Q282"/>
    </row>
    <row r="283" spans="2:17">
      <c r="B283"/>
      <c r="D283"/>
      <c r="E283"/>
      <c r="F283"/>
      <c r="G283"/>
      <c r="H283"/>
      <c r="I283" s="209"/>
      <c r="J283"/>
      <c r="K283"/>
      <c r="L283"/>
      <c r="M283"/>
      <c r="N283"/>
      <c r="O283"/>
      <c r="P283"/>
      <c r="Q283"/>
    </row>
    <row r="284" spans="2:17">
      <c r="B284"/>
      <c r="D284"/>
      <c r="E284"/>
      <c r="F284"/>
      <c r="G284"/>
      <c r="H284"/>
      <c r="I284" s="209"/>
      <c r="J284"/>
      <c r="K284"/>
      <c r="L284"/>
      <c r="M284"/>
      <c r="N284"/>
      <c r="O284"/>
      <c r="P284"/>
      <c r="Q284"/>
    </row>
    <row r="285" spans="2:17">
      <c r="B285"/>
      <c r="D285"/>
      <c r="E285"/>
      <c r="F285"/>
      <c r="G285"/>
      <c r="H285"/>
      <c r="I285" s="209"/>
      <c r="J285"/>
      <c r="K285"/>
      <c r="L285"/>
      <c r="M285"/>
      <c r="N285"/>
      <c r="O285"/>
      <c r="P285"/>
      <c r="Q285"/>
    </row>
    <row r="286" spans="2:17">
      <c r="B286"/>
      <c r="D286"/>
      <c r="E286"/>
      <c r="F286"/>
      <c r="G286"/>
      <c r="H286"/>
      <c r="I286" s="209"/>
      <c r="J286"/>
      <c r="K286"/>
      <c r="L286"/>
      <c r="M286"/>
      <c r="N286"/>
      <c r="O286"/>
      <c r="P286"/>
      <c r="Q286"/>
    </row>
    <row r="287" spans="2:17">
      <c r="B287"/>
      <c r="D287"/>
      <c r="E287"/>
      <c r="F287"/>
      <c r="G287"/>
      <c r="H287"/>
      <c r="I287" s="209"/>
      <c r="J287"/>
      <c r="K287"/>
      <c r="L287"/>
      <c r="M287"/>
      <c r="N287"/>
      <c r="O287"/>
      <c r="P287"/>
      <c r="Q287"/>
    </row>
    <row r="288" spans="2:17">
      <c r="B288"/>
      <c r="D288"/>
      <c r="E288"/>
      <c r="F288"/>
      <c r="G288"/>
      <c r="H288"/>
      <c r="I288" s="209"/>
      <c r="J288"/>
      <c r="K288"/>
      <c r="L288"/>
      <c r="M288"/>
      <c r="N288"/>
      <c r="O288"/>
      <c r="P288"/>
      <c r="Q288"/>
    </row>
    <row r="289" spans="2:17">
      <c r="B289"/>
      <c r="D289"/>
      <c r="E289"/>
      <c r="F289"/>
      <c r="G289"/>
      <c r="H289"/>
      <c r="I289" s="209"/>
      <c r="J289"/>
      <c r="K289"/>
      <c r="L289"/>
      <c r="M289"/>
      <c r="N289"/>
      <c r="O289"/>
      <c r="P289"/>
      <c r="Q289"/>
    </row>
    <row r="290" spans="2:17">
      <c r="B290"/>
      <c r="D290"/>
      <c r="E290"/>
      <c r="F290"/>
      <c r="G290"/>
      <c r="H290"/>
      <c r="I290" s="209"/>
      <c r="J290"/>
      <c r="K290"/>
      <c r="L290"/>
      <c r="M290"/>
      <c r="N290"/>
      <c r="O290"/>
      <c r="P290"/>
      <c r="Q290"/>
    </row>
    <row r="291" spans="2:17">
      <c r="B291"/>
      <c r="D291"/>
      <c r="E291"/>
      <c r="F291"/>
      <c r="G291"/>
      <c r="H291"/>
      <c r="I291" s="209"/>
      <c r="J291"/>
      <c r="K291"/>
      <c r="L291"/>
      <c r="M291"/>
      <c r="N291"/>
      <c r="O291"/>
      <c r="P291"/>
      <c r="Q291"/>
    </row>
    <row r="292" spans="2:17">
      <c r="B292"/>
      <c r="D292"/>
      <c r="E292"/>
      <c r="F292"/>
      <c r="G292"/>
      <c r="H292"/>
      <c r="I292" s="209"/>
      <c r="J292"/>
      <c r="K292"/>
      <c r="L292"/>
      <c r="M292"/>
      <c r="N292"/>
      <c r="O292"/>
      <c r="P292"/>
      <c r="Q292"/>
    </row>
    <row r="293" spans="2:17">
      <c r="B293"/>
      <c r="D293"/>
      <c r="E293"/>
      <c r="F293"/>
      <c r="G293"/>
      <c r="H293"/>
      <c r="I293" s="209"/>
      <c r="J293"/>
      <c r="K293"/>
      <c r="L293"/>
      <c r="M293"/>
      <c r="N293"/>
      <c r="O293"/>
      <c r="P293"/>
      <c r="Q293"/>
    </row>
    <row r="294" spans="2:17">
      <c r="B294"/>
      <c r="D294"/>
      <c r="E294"/>
      <c r="F294"/>
      <c r="G294"/>
      <c r="H294"/>
      <c r="I294" s="209"/>
      <c r="J294"/>
      <c r="K294"/>
      <c r="L294"/>
      <c r="M294"/>
      <c r="N294"/>
      <c r="O294"/>
      <c r="P294"/>
      <c r="Q294"/>
    </row>
    <row r="295" spans="2:17">
      <c r="B295"/>
      <c r="D295"/>
      <c r="E295"/>
      <c r="F295"/>
      <c r="G295"/>
      <c r="H295"/>
      <c r="I295" s="209"/>
      <c r="J295"/>
      <c r="K295"/>
      <c r="L295"/>
      <c r="M295"/>
      <c r="N295"/>
      <c r="O295"/>
      <c r="P295"/>
      <c r="Q295"/>
    </row>
    <row r="296" spans="2:17">
      <c r="B296"/>
      <c r="D296"/>
      <c r="E296"/>
      <c r="F296"/>
      <c r="G296"/>
      <c r="H296"/>
      <c r="I296" s="209"/>
      <c r="J296"/>
      <c r="K296"/>
      <c r="L296"/>
      <c r="M296"/>
      <c r="N296"/>
      <c r="O296"/>
      <c r="P296"/>
      <c r="Q296"/>
    </row>
    <row r="297" spans="2:17">
      <c r="B297"/>
      <c r="D297"/>
      <c r="E297"/>
      <c r="F297"/>
      <c r="G297"/>
      <c r="H297"/>
      <c r="I297" s="209"/>
      <c r="J297"/>
      <c r="K297"/>
      <c r="L297"/>
      <c r="M297"/>
      <c r="N297"/>
      <c r="O297"/>
      <c r="P297"/>
      <c r="Q297"/>
    </row>
    <row r="298" spans="2:17">
      <c r="B298"/>
      <c r="D298"/>
      <c r="E298"/>
      <c r="F298"/>
      <c r="G298"/>
      <c r="H298"/>
      <c r="I298" s="209"/>
      <c r="J298"/>
      <c r="K298"/>
      <c r="L298"/>
      <c r="M298"/>
      <c r="N298"/>
      <c r="O298"/>
      <c r="P298"/>
      <c r="Q298"/>
    </row>
    <row r="299" spans="2:17">
      <c r="B299"/>
      <c r="D299"/>
      <c r="E299"/>
      <c r="F299"/>
      <c r="G299"/>
      <c r="H299"/>
      <c r="I299" s="209"/>
      <c r="J299"/>
      <c r="K299"/>
      <c r="L299"/>
      <c r="M299"/>
      <c r="N299"/>
      <c r="O299"/>
      <c r="P299"/>
      <c r="Q299"/>
    </row>
    <row r="300" spans="2:17">
      <c r="B300"/>
      <c r="D300"/>
      <c r="E300"/>
      <c r="F300"/>
      <c r="G300"/>
      <c r="H300"/>
      <c r="I300" s="209"/>
      <c r="J300"/>
      <c r="K300"/>
      <c r="L300"/>
      <c r="M300"/>
      <c r="N300"/>
      <c r="O300"/>
      <c r="P300"/>
      <c r="Q300"/>
    </row>
    <row r="301" spans="2:17">
      <c r="B301"/>
      <c r="D301"/>
      <c r="E301"/>
      <c r="F301"/>
      <c r="G301"/>
      <c r="H301"/>
      <c r="I301" s="209"/>
      <c r="J301"/>
      <c r="K301"/>
      <c r="L301"/>
      <c r="M301"/>
      <c r="N301"/>
      <c r="O301"/>
      <c r="P301"/>
      <c r="Q301"/>
    </row>
    <row r="302" spans="2:17">
      <c r="B302"/>
      <c r="D302"/>
      <c r="E302"/>
      <c r="F302"/>
      <c r="G302"/>
      <c r="H302"/>
      <c r="I302" s="209"/>
      <c r="J302"/>
      <c r="K302"/>
      <c r="L302"/>
      <c r="M302"/>
      <c r="N302"/>
      <c r="O302"/>
      <c r="P302"/>
      <c r="Q302"/>
    </row>
    <row r="303" spans="2:17">
      <c r="B303"/>
      <c r="D303"/>
      <c r="E303"/>
      <c r="F303"/>
      <c r="G303"/>
      <c r="H303"/>
      <c r="I303" s="209"/>
      <c r="J303"/>
      <c r="K303"/>
      <c r="L303"/>
      <c r="M303"/>
      <c r="N303"/>
      <c r="O303"/>
      <c r="P303"/>
      <c r="Q303"/>
    </row>
    <row r="304" spans="2:17">
      <c r="B304"/>
      <c r="D304"/>
      <c r="E304"/>
      <c r="F304"/>
      <c r="G304"/>
      <c r="H304"/>
      <c r="I304" s="209"/>
      <c r="J304"/>
      <c r="K304"/>
      <c r="L304"/>
      <c r="M304"/>
      <c r="N304"/>
      <c r="O304"/>
      <c r="P304"/>
      <c r="Q304"/>
    </row>
    <row r="305" spans="2:17">
      <c r="B305"/>
      <c r="D305"/>
      <c r="E305"/>
      <c r="F305"/>
      <c r="G305"/>
      <c r="H305"/>
      <c r="I305" s="209"/>
      <c r="J305"/>
      <c r="K305"/>
      <c r="L305"/>
      <c r="M305"/>
      <c r="N305"/>
      <c r="O305"/>
      <c r="P305"/>
      <c r="Q305"/>
    </row>
    <row r="306" spans="2:17">
      <c r="B306"/>
      <c r="D306"/>
      <c r="E306"/>
      <c r="F306"/>
      <c r="G306"/>
      <c r="H306"/>
      <c r="I306" s="209"/>
      <c r="J306"/>
      <c r="K306"/>
      <c r="L306"/>
      <c r="M306"/>
      <c r="N306"/>
      <c r="O306"/>
      <c r="P306"/>
      <c r="Q306"/>
    </row>
    <row r="307" spans="2:17">
      <c r="B307"/>
      <c r="D307"/>
      <c r="E307"/>
      <c r="F307"/>
      <c r="G307"/>
      <c r="H307"/>
      <c r="I307" s="209"/>
      <c r="J307"/>
      <c r="K307"/>
      <c r="L307"/>
      <c r="M307"/>
      <c r="N307"/>
      <c r="O307"/>
      <c r="P307"/>
      <c r="Q307"/>
    </row>
    <row r="308" spans="2:17">
      <c r="B308"/>
      <c r="D308"/>
      <c r="E308"/>
      <c r="F308"/>
      <c r="G308"/>
      <c r="H308"/>
      <c r="I308" s="209"/>
      <c r="J308"/>
      <c r="K308"/>
      <c r="L308"/>
      <c r="M308"/>
      <c r="N308"/>
      <c r="O308"/>
      <c r="P308"/>
      <c r="Q308"/>
    </row>
    <row r="309" spans="2:17">
      <c r="B309"/>
      <c r="D309"/>
      <c r="E309"/>
      <c r="F309"/>
      <c r="G309"/>
      <c r="H309"/>
      <c r="I309" s="209"/>
      <c r="J309"/>
      <c r="K309"/>
      <c r="L309"/>
      <c r="M309"/>
      <c r="N309"/>
      <c r="O309"/>
      <c r="P309"/>
      <c r="Q309"/>
    </row>
    <row r="310" spans="2:17">
      <c r="B310"/>
      <c r="D310"/>
      <c r="E310"/>
      <c r="F310"/>
      <c r="G310"/>
      <c r="H310"/>
      <c r="I310" s="209"/>
      <c r="J310"/>
      <c r="K310"/>
      <c r="L310"/>
      <c r="M310"/>
      <c r="N310"/>
      <c r="O310"/>
      <c r="P310"/>
      <c r="Q310"/>
    </row>
    <row r="311" spans="2:17">
      <c r="B311"/>
      <c r="D311"/>
      <c r="E311"/>
      <c r="F311"/>
      <c r="G311"/>
      <c r="H311"/>
      <c r="I311" s="209"/>
      <c r="J311"/>
      <c r="K311"/>
      <c r="L311"/>
      <c r="M311"/>
      <c r="N311"/>
      <c r="O311"/>
      <c r="P311"/>
      <c r="Q311"/>
    </row>
    <row r="312" spans="2:17">
      <c r="B312"/>
      <c r="D312"/>
      <c r="E312"/>
      <c r="F312"/>
      <c r="G312"/>
      <c r="H312"/>
      <c r="I312" s="209"/>
      <c r="J312"/>
      <c r="K312"/>
      <c r="L312"/>
      <c r="M312"/>
      <c r="N312"/>
      <c r="O312"/>
      <c r="P312"/>
      <c r="Q312"/>
    </row>
    <row r="313" spans="2:17">
      <c r="B313"/>
      <c r="D313"/>
      <c r="E313"/>
      <c r="F313"/>
      <c r="G313"/>
      <c r="H313"/>
      <c r="I313" s="209"/>
      <c r="J313"/>
      <c r="K313"/>
      <c r="L313"/>
      <c r="M313"/>
      <c r="N313"/>
      <c r="O313"/>
      <c r="P313"/>
      <c r="Q313"/>
    </row>
    <row r="314" spans="2:17">
      <c r="B314"/>
      <c r="D314"/>
      <c r="E314"/>
      <c r="F314"/>
      <c r="G314"/>
      <c r="H314"/>
      <c r="I314" s="209"/>
      <c r="J314"/>
      <c r="K314"/>
      <c r="L314"/>
      <c r="M314"/>
      <c r="N314"/>
      <c r="O314"/>
      <c r="P314"/>
      <c r="Q314"/>
    </row>
    <row r="315" spans="2:17">
      <c r="B315"/>
      <c r="D315"/>
      <c r="E315"/>
      <c r="F315"/>
      <c r="G315"/>
      <c r="H315"/>
      <c r="I315" s="209"/>
      <c r="J315"/>
      <c r="K315"/>
      <c r="L315"/>
      <c r="M315"/>
      <c r="N315"/>
      <c r="O315"/>
      <c r="P315"/>
      <c r="Q315"/>
    </row>
    <row r="316" spans="2:17">
      <c r="B316"/>
      <c r="D316"/>
      <c r="E316"/>
      <c r="F316"/>
      <c r="G316"/>
      <c r="H316"/>
      <c r="I316" s="209"/>
      <c r="J316"/>
      <c r="K316"/>
      <c r="L316"/>
      <c r="M316"/>
      <c r="N316"/>
      <c r="O316"/>
      <c r="P316"/>
      <c r="Q316"/>
    </row>
    <row r="317" spans="2:17">
      <c r="B317"/>
      <c r="D317"/>
      <c r="E317"/>
      <c r="F317"/>
      <c r="G317"/>
      <c r="H317"/>
      <c r="I317" s="209"/>
      <c r="J317"/>
      <c r="K317"/>
      <c r="L317"/>
      <c r="M317"/>
      <c r="N317"/>
      <c r="O317"/>
      <c r="P317"/>
      <c r="Q317"/>
    </row>
    <row r="318" spans="2:17">
      <c r="B318"/>
      <c r="D318"/>
      <c r="E318"/>
      <c r="F318"/>
      <c r="G318"/>
      <c r="H318"/>
      <c r="I318" s="209"/>
      <c r="J318"/>
      <c r="K318"/>
      <c r="L318"/>
      <c r="M318"/>
      <c r="N318"/>
      <c r="O318"/>
      <c r="P318"/>
      <c r="Q318"/>
    </row>
    <row r="319" spans="2:17">
      <c r="B319"/>
      <c r="D319"/>
      <c r="E319"/>
      <c r="F319"/>
      <c r="G319"/>
      <c r="H319"/>
      <c r="I319" s="209"/>
      <c r="J319"/>
      <c r="K319"/>
      <c r="L319"/>
      <c r="M319"/>
      <c r="N319"/>
      <c r="O319"/>
      <c r="P319"/>
      <c r="Q319"/>
    </row>
    <row r="320" spans="2:17">
      <c r="B320"/>
      <c r="D320"/>
      <c r="E320"/>
      <c r="F320"/>
      <c r="G320"/>
      <c r="H320"/>
      <c r="I320" s="209"/>
      <c r="J320"/>
      <c r="K320"/>
      <c r="L320"/>
      <c r="M320"/>
      <c r="N320"/>
      <c r="O320"/>
      <c r="P320"/>
      <c r="Q320"/>
    </row>
    <row r="321" spans="2:17">
      <c r="B321"/>
      <c r="D321"/>
      <c r="E321"/>
      <c r="F321"/>
      <c r="G321"/>
      <c r="H321"/>
      <c r="I321" s="209"/>
      <c r="J321"/>
      <c r="K321"/>
      <c r="L321"/>
      <c r="M321"/>
      <c r="N321"/>
      <c r="O321"/>
      <c r="P321"/>
      <c r="Q321"/>
    </row>
    <row r="322" spans="2:17">
      <c r="B322"/>
      <c r="D322"/>
      <c r="E322"/>
      <c r="F322"/>
      <c r="G322"/>
      <c r="H322"/>
      <c r="I322" s="209"/>
      <c r="J322"/>
      <c r="K322"/>
      <c r="L322"/>
      <c r="M322"/>
      <c r="N322"/>
      <c r="O322"/>
      <c r="P322"/>
      <c r="Q322"/>
    </row>
    <row r="323" spans="2:17">
      <c r="B323"/>
      <c r="D323"/>
      <c r="E323"/>
      <c r="F323"/>
      <c r="G323"/>
      <c r="H323"/>
      <c r="I323" s="209"/>
      <c r="J323"/>
      <c r="K323"/>
      <c r="L323"/>
      <c r="M323"/>
      <c r="N323"/>
      <c r="O323"/>
      <c r="P323"/>
      <c r="Q323"/>
    </row>
    <row r="324" spans="2:17">
      <c r="B324"/>
      <c r="D324"/>
      <c r="E324"/>
      <c r="F324"/>
      <c r="G324"/>
      <c r="H324"/>
      <c r="I324" s="209"/>
      <c r="J324"/>
      <c r="K324"/>
      <c r="L324"/>
      <c r="M324"/>
      <c r="N324"/>
      <c r="O324"/>
      <c r="P324"/>
      <c r="Q324"/>
    </row>
    <row r="325" spans="2:17">
      <c r="B325"/>
      <c r="D325"/>
      <c r="E325"/>
      <c r="F325"/>
      <c r="G325"/>
      <c r="H325"/>
      <c r="I325" s="209"/>
      <c r="J325"/>
      <c r="K325"/>
      <c r="L325"/>
      <c r="M325"/>
      <c r="N325"/>
      <c r="O325"/>
      <c r="P325"/>
      <c r="Q325"/>
    </row>
    <row r="326" spans="2:17">
      <c r="B326"/>
      <c r="D326"/>
      <c r="E326"/>
      <c r="F326"/>
      <c r="G326"/>
      <c r="H326"/>
      <c r="I326" s="209"/>
      <c r="J326"/>
      <c r="K326"/>
      <c r="L326"/>
      <c r="M326"/>
      <c r="N326"/>
      <c r="O326"/>
      <c r="P326"/>
      <c r="Q326"/>
    </row>
    <row r="327" spans="2:17">
      <c r="B327"/>
      <c r="D327"/>
      <c r="E327"/>
      <c r="F327"/>
      <c r="G327"/>
      <c r="H327"/>
      <c r="I327" s="209"/>
      <c r="J327"/>
      <c r="K327"/>
      <c r="L327"/>
      <c r="M327"/>
      <c r="N327"/>
      <c r="O327"/>
      <c r="P327"/>
      <c r="Q327"/>
    </row>
    <row r="328" spans="2:17">
      <c r="B328"/>
      <c r="D328"/>
      <c r="E328"/>
      <c r="F328"/>
      <c r="G328"/>
      <c r="H328"/>
      <c r="I328" s="209"/>
      <c r="J328"/>
      <c r="K328"/>
      <c r="L328"/>
      <c r="M328"/>
      <c r="N328"/>
      <c r="O328"/>
      <c r="P328"/>
      <c r="Q328"/>
    </row>
    <row r="329" spans="2:17">
      <c r="B329"/>
      <c r="D329"/>
      <c r="E329"/>
      <c r="F329"/>
      <c r="G329"/>
      <c r="H329"/>
      <c r="I329" s="209"/>
      <c r="J329"/>
      <c r="K329"/>
      <c r="L329"/>
      <c r="M329"/>
      <c r="N329"/>
      <c r="O329"/>
      <c r="P329"/>
      <c r="Q329"/>
    </row>
    <row r="330" spans="2:17">
      <c r="B330"/>
      <c r="D330"/>
      <c r="E330"/>
      <c r="F330"/>
      <c r="G330"/>
      <c r="H330"/>
      <c r="I330" s="209"/>
      <c r="J330"/>
      <c r="K330"/>
      <c r="L330"/>
      <c r="M330"/>
      <c r="N330"/>
      <c r="O330"/>
      <c r="P330"/>
      <c r="Q330"/>
    </row>
    <row r="331" spans="2:17">
      <c r="B331"/>
      <c r="D331"/>
      <c r="E331"/>
      <c r="F331"/>
      <c r="G331"/>
      <c r="H331"/>
      <c r="I331" s="209"/>
      <c r="J331"/>
      <c r="K331"/>
      <c r="L331"/>
      <c r="M331"/>
      <c r="N331"/>
      <c r="O331"/>
      <c r="P331"/>
      <c r="Q331"/>
    </row>
    <row r="332" spans="2:17">
      <c r="B332"/>
      <c r="D332"/>
      <c r="E332"/>
      <c r="F332"/>
      <c r="G332"/>
      <c r="H332"/>
      <c r="I332" s="209"/>
      <c r="J332"/>
      <c r="K332"/>
      <c r="L332"/>
      <c r="M332"/>
      <c r="N332"/>
      <c r="O332"/>
      <c r="P332"/>
      <c r="Q332"/>
    </row>
    <row r="333" spans="2:17">
      <c r="B333"/>
      <c r="D333"/>
      <c r="E333"/>
      <c r="F333"/>
      <c r="G333"/>
      <c r="H333"/>
      <c r="I333" s="209"/>
      <c r="J333"/>
      <c r="K333"/>
      <c r="L333"/>
      <c r="M333"/>
      <c r="N333"/>
      <c r="O333"/>
      <c r="P333"/>
      <c r="Q333"/>
    </row>
    <row r="334" spans="2:17">
      <c r="B334"/>
      <c r="D334"/>
      <c r="E334"/>
      <c r="F334"/>
      <c r="G334"/>
      <c r="H334"/>
      <c r="I334" s="209"/>
      <c r="J334"/>
      <c r="K334"/>
      <c r="L334"/>
      <c r="M334"/>
      <c r="N334"/>
      <c r="O334"/>
      <c r="P334"/>
      <c r="Q334"/>
    </row>
    <row r="335" spans="2:17">
      <c r="B335"/>
      <c r="D335"/>
      <c r="E335"/>
      <c r="F335"/>
      <c r="G335"/>
      <c r="H335"/>
      <c r="I335" s="209"/>
      <c r="J335"/>
      <c r="K335"/>
      <c r="L335"/>
      <c r="M335"/>
      <c r="N335"/>
      <c r="O335"/>
      <c r="P335"/>
      <c r="Q335"/>
    </row>
    <row r="336" spans="2:17">
      <c r="B336"/>
      <c r="D336"/>
      <c r="E336"/>
      <c r="F336"/>
      <c r="G336"/>
      <c r="H336"/>
      <c r="I336" s="209"/>
      <c r="J336"/>
      <c r="K336"/>
      <c r="L336"/>
      <c r="M336"/>
      <c r="N336"/>
      <c r="O336"/>
      <c r="P336"/>
      <c r="Q336"/>
    </row>
    <row r="337" spans="2:17">
      <c r="B337"/>
      <c r="D337"/>
      <c r="E337"/>
      <c r="F337"/>
      <c r="G337"/>
      <c r="H337"/>
      <c r="I337" s="209"/>
      <c r="J337"/>
      <c r="K337"/>
      <c r="L337"/>
      <c r="M337"/>
      <c r="N337"/>
      <c r="O337"/>
      <c r="P337"/>
      <c r="Q337"/>
    </row>
    <row r="338" spans="2:17">
      <c r="B338"/>
      <c r="D338"/>
      <c r="E338"/>
      <c r="F338"/>
      <c r="G338"/>
      <c r="H338"/>
      <c r="I338" s="209"/>
      <c r="J338"/>
      <c r="K338"/>
      <c r="L338"/>
      <c r="M338"/>
      <c r="N338"/>
      <c r="O338"/>
      <c r="P338"/>
      <c r="Q338"/>
    </row>
    <row r="339" spans="2:17">
      <c r="B339"/>
      <c r="D339"/>
      <c r="E339"/>
      <c r="F339"/>
      <c r="G339"/>
      <c r="H339"/>
      <c r="I339" s="209"/>
      <c r="J339"/>
      <c r="K339"/>
      <c r="L339"/>
      <c r="M339"/>
      <c r="N339"/>
      <c r="O339"/>
      <c r="P339"/>
      <c r="Q339"/>
    </row>
    <row r="340" spans="2:17">
      <c r="B340"/>
      <c r="D340"/>
      <c r="E340"/>
      <c r="F340"/>
      <c r="G340"/>
      <c r="H340"/>
      <c r="I340" s="209"/>
      <c r="J340"/>
      <c r="K340"/>
      <c r="L340"/>
      <c r="M340"/>
      <c r="N340"/>
      <c r="O340"/>
      <c r="P340"/>
      <c r="Q340"/>
    </row>
    <row r="341" spans="2:17">
      <c r="B341"/>
      <c r="D341"/>
      <c r="E341"/>
      <c r="F341"/>
      <c r="G341"/>
      <c r="H341"/>
      <c r="I341" s="209"/>
      <c r="J341"/>
      <c r="K341"/>
      <c r="L341"/>
      <c r="M341"/>
      <c r="N341"/>
      <c r="O341"/>
      <c r="P341"/>
      <c r="Q341"/>
    </row>
    <row r="342" spans="2:17">
      <c r="B342"/>
      <c r="D342"/>
      <c r="E342"/>
      <c r="F342"/>
      <c r="G342"/>
      <c r="H342"/>
      <c r="I342" s="209"/>
      <c r="J342"/>
      <c r="K342"/>
      <c r="L342"/>
      <c r="M342"/>
      <c r="N342"/>
      <c r="O342"/>
      <c r="P342"/>
      <c r="Q342"/>
    </row>
    <row r="343" spans="2:17">
      <c r="B343"/>
      <c r="D343"/>
      <c r="E343"/>
      <c r="F343"/>
      <c r="G343"/>
      <c r="H343"/>
      <c r="I343" s="209"/>
      <c r="J343"/>
      <c r="K343"/>
      <c r="L343"/>
      <c r="M343"/>
      <c r="N343"/>
      <c r="O343"/>
      <c r="P343"/>
      <c r="Q343"/>
    </row>
    <row r="344" spans="2:17">
      <c r="B344"/>
      <c r="D344"/>
      <c r="E344"/>
      <c r="F344"/>
      <c r="G344"/>
      <c r="H344"/>
      <c r="I344" s="209"/>
      <c r="J344"/>
      <c r="K344"/>
      <c r="L344"/>
      <c r="M344"/>
      <c r="N344"/>
      <c r="O344"/>
      <c r="P344"/>
      <c r="Q344"/>
    </row>
    <row r="345" spans="2:17">
      <c r="B345"/>
      <c r="D345"/>
      <c r="E345"/>
      <c r="F345"/>
      <c r="G345"/>
      <c r="H345"/>
      <c r="I345" s="209"/>
      <c r="J345"/>
      <c r="K345"/>
      <c r="L345"/>
      <c r="M345"/>
      <c r="N345"/>
      <c r="O345"/>
      <c r="P345"/>
      <c r="Q345"/>
    </row>
    <row r="346" spans="2:17">
      <c r="B346"/>
      <c r="D346"/>
      <c r="E346"/>
      <c r="F346"/>
      <c r="G346"/>
      <c r="H346"/>
      <c r="I346" s="209"/>
      <c r="J346"/>
      <c r="K346"/>
      <c r="L346"/>
      <c r="M346"/>
      <c r="N346"/>
      <c r="O346"/>
      <c r="P346"/>
      <c r="Q346"/>
    </row>
    <row r="347" spans="2:17">
      <c r="B347"/>
      <c r="D347"/>
      <c r="E347"/>
      <c r="F347"/>
      <c r="G347"/>
      <c r="H347"/>
      <c r="I347" s="209"/>
      <c r="J347"/>
      <c r="K347"/>
      <c r="L347"/>
      <c r="M347"/>
      <c r="N347"/>
      <c r="O347"/>
      <c r="P347"/>
      <c r="Q347"/>
    </row>
    <row r="348" spans="2:17">
      <c r="B348"/>
      <c r="D348"/>
      <c r="E348"/>
      <c r="F348"/>
      <c r="G348"/>
      <c r="H348"/>
      <c r="I348" s="209"/>
      <c r="J348"/>
      <c r="K348"/>
      <c r="L348"/>
      <c r="M348"/>
      <c r="N348"/>
      <c r="O348"/>
      <c r="P348"/>
      <c r="Q348"/>
    </row>
    <row r="349" spans="2:17">
      <c r="B349"/>
      <c r="D349"/>
      <c r="E349"/>
      <c r="F349"/>
      <c r="G349"/>
      <c r="H349"/>
      <c r="I349" s="209"/>
      <c r="J349"/>
      <c r="K349"/>
      <c r="L349"/>
      <c r="M349"/>
      <c r="N349"/>
      <c r="O349"/>
      <c r="P349"/>
      <c r="Q349"/>
    </row>
    <row r="350" spans="2:17">
      <c r="B350"/>
      <c r="D350"/>
      <c r="E350"/>
      <c r="F350"/>
      <c r="G350"/>
      <c r="H350"/>
      <c r="I350" s="209"/>
      <c r="J350"/>
      <c r="K350"/>
      <c r="L350"/>
      <c r="M350"/>
      <c r="N350"/>
      <c r="O350"/>
      <c r="P350"/>
      <c r="Q350"/>
    </row>
    <row r="351" spans="2:17">
      <c r="B351"/>
      <c r="D351"/>
      <c r="E351"/>
      <c r="F351"/>
      <c r="G351"/>
      <c r="H351"/>
      <c r="I351" s="209"/>
      <c r="J351"/>
      <c r="K351"/>
      <c r="L351"/>
      <c r="M351"/>
      <c r="N351"/>
      <c r="O351"/>
      <c r="P351"/>
      <c r="Q351"/>
    </row>
    <row r="352" spans="2:17">
      <c r="B352"/>
      <c r="D352"/>
      <c r="E352"/>
      <c r="F352"/>
      <c r="G352"/>
      <c r="H352"/>
      <c r="I352" s="209"/>
      <c r="J352"/>
      <c r="K352"/>
      <c r="L352"/>
      <c r="M352"/>
      <c r="N352"/>
      <c r="O352"/>
      <c r="P352"/>
      <c r="Q352"/>
    </row>
    <row r="353" spans="2:17">
      <c r="B353"/>
      <c r="D353"/>
      <c r="E353"/>
      <c r="F353"/>
      <c r="G353"/>
      <c r="H353"/>
      <c r="I353" s="209"/>
      <c r="J353"/>
      <c r="K353"/>
      <c r="L353"/>
      <c r="M353"/>
      <c r="N353"/>
      <c r="O353"/>
      <c r="P353"/>
      <c r="Q353"/>
    </row>
    <row r="354" spans="2:17">
      <c r="B354"/>
      <c r="D354"/>
      <c r="E354"/>
      <c r="F354"/>
      <c r="G354"/>
      <c r="H354"/>
      <c r="I354" s="209"/>
      <c r="J354"/>
      <c r="K354"/>
      <c r="L354"/>
      <c r="M354"/>
      <c r="N354"/>
      <c r="O354"/>
      <c r="P354"/>
      <c r="Q354"/>
    </row>
    <row r="355" spans="2:17">
      <c r="B355"/>
      <c r="D355"/>
      <c r="E355"/>
      <c r="F355"/>
      <c r="G355"/>
      <c r="H355"/>
      <c r="I355" s="209"/>
      <c r="J355"/>
      <c r="K355"/>
      <c r="L355"/>
      <c r="M355"/>
      <c r="N355"/>
      <c r="O355"/>
      <c r="P355"/>
      <c r="Q355"/>
    </row>
    <row r="356" spans="2:17">
      <c r="B356"/>
      <c r="D356"/>
      <c r="E356"/>
      <c r="F356"/>
      <c r="G356"/>
      <c r="H356"/>
      <c r="I356" s="209"/>
      <c r="J356"/>
      <c r="K356"/>
      <c r="L356"/>
      <c r="M356"/>
      <c r="N356"/>
      <c r="O356"/>
      <c r="P356"/>
      <c r="Q356"/>
    </row>
    <row r="357" spans="2:17">
      <c r="B357"/>
      <c r="D357"/>
      <c r="E357"/>
      <c r="F357"/>
      <c r="G357"/>
      <c r="H357"/>
      <c r="I357" s="209"/>
      <c r="J357"/>
      <c r="K357"/>
      <c r="L357"/>
      <c r="M357"/>
      <c r="N357"/>
      <c r="O357"/>
      <c r="P357"/>
      <c r="Q357"/>
    </row>
    <row r="358" spans="2:17">
      <c r="B358"/>
      <c r="D358"/>
      <c r="E358"/>
      <c r="F358"/>
      <c r="G358"/>
      <c r="H358"/>
      <c r="I358" s="209"/>
      <c r="J358"/>
      <c r="K358"/>
      <c r="L358"/>
      <c r="M358"/>
      <c r="N358"/>
      <c r="O358"/>
      <c r="P358"/>
      <c r="Q358"/>
    </row>
    <row r="359" spans="2:17">
      <c r="B359"/>
      <c r="D359"/>
      <c r="E359"/>
      <c r="F359"/>
      <c r="G359"/>
      <c r="H359"/>
      <c r="I359" s="209"/>
      <c r="J359"/>
      <c r="K359"/>
      <c r="L359"/>
      <c r="M359"/>
      <c r="N359"/>
      <c r="O359"/>
      <c r="P359"/>
      <c r="Q359"/>
    </row>
    <row r="360" spans="2:17">
      <c r="B360"/>
      <c r="D360"/>
      <c r="E360"/>
      <c r="F360"/>
      <c r="G360"/>
      <c r="H360"/>
      <c r="I360" s="209"/>
      <c r="J360"/>
      <c r="K360"/>
      <c r="L360"/>
      <c r="M360"/>
      <c r="N360"/>
      <c r="O360"/>
      <c r="P360"/>
      <c r="Q360"/>
    </row>
    <row r="361" spans="2:17">
      <c r="B361"/>
      <c r="D361"/>
      <c r="E361"/>
      <c r="F361"/>
      <c r="G361"/>
      <c r="H361"/>
      <c r="I361" s="209"/>
      <c r="J361"/>
      <c r="K361"/>
      <c r="L361"/>
      <c r="M361"/>
      <c r="N361"/>
      <c r="O361"/>
      <c r="P361"/>
      <c r="Q361"/>
    </row>
    <row r="362" spans="2:17">
      <c r="B362"/>
      <c r="D362"/>
      <c r="E362"/>
      <c r="F362"/>
      <c r="G362"/>
      <c r="H362"/>
      <c r="I362" s="209"/>
      <c r="J362"/>
      <c r="K362"/>
      <c r="L362"/>
      <c r="M362"/>
      <c r="N362"/>
      <c r="O362"/>
      <c r="P362"/>
      <c r="Q362"/>
    </row>
    <row r="363" spans="2:17">
      <c r="B363"/>
      <c r="D363"/>
      <c r="E363"/>
      <c r="F363"/>
      <c r="G363"/>
      <c r="H363"/>
      <c r="I363" s="209"/>
      <c r="J363"/>
      <c r="K363"/>
      <c r="L363"/>
      <c r="M363"/>
      <c r="N363"/>
      <c r="O363"/>
      <c r="P363"/>
      <c r="Q363"/>
    </row>
    <row r="364" spans="2:17">
      <c r="B364"/>
      <c r="D364"/>
      <c r="E364"/>
      <c r="F364"/>
      <c r="G364"/>
      <c r="H364"/>
      <c r="I364" s="209"/>
      <c r="J364"/>
      <c r="K364"/>
      <c r="L364"/>
      <c r="M364"/>
      <c r="N364"/>
      <c r="O364"/>
      <c r="P364"/>
      <c r="Q364"/>
    </row>
    <row r="365" spans="2:17">
      <c r="B365"/>
      <c r="D365"/>
      <c r="E365"/>
      <c r="F365"/>
      <c r="G365"/>
      <c r="H365"/>
      <c r="I365" s="209"/>
      <c r="J365"/>
      <c r="K365"/>
      <c r="L365"/>
      <c r="M365"/>
      <c r="N365"/>
      <c r="O365"/>
      <c r="P365"/>
      <c r="Q365"/>
    </row>
    <row r="366" spans="2:17">
      <c r="B366"/>
      <c r="D366"/>
      <c r="E366"/>
      <c r="F366"/>
      <c r="G366"/>
      <c r="H366"/>
      <c r="I366" s="209"/>
      <c r="J366"/>
      <c r="K366"/>
      <c r="L366"/>
      <c r="M366"/>
      <c r="N366"/>
      <c r="O366"/>
      <c r="P366"/>
      <c r="Q366"/>
    </row>
    <row r="367" spans="2:17">
      <c r="B367"/>
      <c r="D367"/>
      <c r="E367"/>
      <c r="F367"/>
      <c r="G367"/>
      <c r="H367"/>
      <c r="I367" s="209"/>
      <c r="J367"/>
      <c r="K367"/>
      <c r="L367"/>
      <c r="M367"/>
      <c r="N367"/>
      <c r="O367"/>
      <c r="P367"/>
      <c r="Q367"/>
    </row>
    <row r="368" spans="2:17">
      <c r="B368"/>
      <c r="D368"/>
      <c r="E368"/>
      <c r="F368"/>
      <c r="G368"/>
      <c r="H368"/>
      <c r="I368" s="209"/>
      <c r="J368"/>
      <c r="K368"/>
      <c r="L368"/>
      <c r="M368"/>
      <c r="N368"/>
      <c r="O368"/>
      <c r="P368"/>
      <c r="Q368"/>
    </row>
    <row r="369" spans="2:17">
      <c r="B369"/>
      <c r="D369"/>
      <c r="E369"/>
      <c r="F369"/>
      <c r="G369"/>
      <c r="H369"/>
      <c r="I369" s="209"/>
      <c r="J369"/>
      <c r="K369"/>
      <c r="L369"/>
      <c r="M369"/>
      <c r="N369"/>
      <c r="O369"/>
      <c r="P369"/>
      <c r="Q369"/>
    </row>
    <row r="370" spans="2:17">
      <c r="B370"/>
      <c r="D370"/>
      <c r="E370"/>
      <c r="F370"/>
      <c r="G370"/>
      <c r="H370"/>
      <c r="I370" s="209"/>
      <c r="J370"/>
      <c r="K370"/>
      <c r="L370"/>
      <c r="M370"/>
      <c r="N370"/>
      <c r="O370"/>
      <c r="P370"/>
      <c r="Q370"/>
    </row>
    <row r="371" spans="2:17">
      <c r="B371"/>
      <c r="D371"/>
      <c r="E371"/>
      <c r="F371"/>
      <c r="G371"/>
      <c r="H371"/>
      <c r="I371" s="209"/>
      <c r="J371"/>
      <c r="K371"/>
      <c r="L371"/>
      <c r="M371"/>
      <c r="N371"/>
      <c r="O371"/>
      <c r="P371"/>
      <c r="Q371"/>
    </row>
    <row r="372" spans="2:17">
      <c r="B372"/>
      <c r="D372"/>
      <c r="E372"/>
      <c r="F372"/>
      <c r="G372"/>
      <c r="H372"/>
      <c r="I372" s="209"/>
      <c r="J372"/>
      <c r="K372"/>
      <c r="L372"/>
      <c r="M372"/>
      <c r="N372"/>
      <c r="O372"/>
      <c r="P372"/>
      <c r="Q372"/>
    </row>
    <row r="373" spans="2:17">
      <c r="B373"/>
      <c r="D373"/>
      <c r="E373"/>
      <c r="F373"/>
      <c r="G373"/>
      <c r="H373"/>
      <c r="I373" s="209"/>
      <c r="J373"/>
      <c r="K373"/>
      <c r="L373"/>
      <c r="M373"/>
      <c r="N373"/>
      <c r="O373"/>
      <c r="P373"/>
      <c r="Q373"/>
    </row>
    <row r="374" spans="2:17">
      <c r="B374"/>
      <c r="D374"/>
      <c r="E374"/>
      <c r="F374"/>
      <c r="G374"/>
      <c r="H374"/>
      <c r="I374" s="209"/>
      <c r="J374"/>
      <c r="K374"/>
      <c r="L374"/>
      <c r="M374"/>
      <c r="N374"/>
      <c r="O374"/>
      <c r="P374"/>
      <c r="Q374"/>
    </row>
    <row r="375" spans="2:17">
      <c r="B375"/>
      <c r="D375"/>
      <c r="E375"/>
      <c r="F375"/>
      <c r="G375"/>
      <c r="H375"/>
      <c r="I375" s="209"/>
      <c r="J375"/>
      <c r="K375"/>
      <c r="L375"/>
      <c r="M375"/>
      <c r="N375"/>
      <c r="O375"/>
      <c r="P375"/>
      <c r="Q375"/>
    </row>
    <row r="376" spans="2:17">
      <c r="B376"/>
      <c r="D376"/>
      <c r="E376"/>
      <c r="F376"/>
      <c r="G376"/>
      <c r="H376"/>
      <c r="I376" s="209"/>
      <c r="J376"/>
      <c r="K376"/>
      <c r="L376"/>
      <c r="M376"/>
      <c r="N376"/>
      <c r="O376"/>
      <c r="P376"/>
      <c r="Q376"/>
    </row>
    <row r="377" spans="2:17">
      <c r="B377"/>
      <c r="D377"/>
      <c r="E377"/>
      <c r="F377"/>
      <c r="G377"/>
      <c r="H377"/>
      <c r="I377" s="209"/>
      <c r="J377"/>
      <c r="K377"/>
      <c r="L377"/>
      <c r="M377"/>
      <c r="N377"/>
      <c r="O377"/>
      <c r="P377"/>
      <c r="Q377"/>
    </row>
    <row r="378" spans="2:17">
      <c r="B378"/>
      <c r="D378"/>
      <c r="E378"/>
      <c r="F378"/>
      <c r="G378"/>
      <c r="H378"/>
      <c r="I378" s="209"/>
      <c r="J378"/>
      <c r="K378"/>
      <c r="L378"/>
      <c r="M378"/>
      <c r="N378"/>
      <c r="O378"/>
      <c r="P378"/>
      <c r="Q378"/>
    </row>
    <row r="379" spans="2:17">
      <c r="B379"/>
      <c r="D379"/>
      <c r="E379"/>
      <c r="F379"/>
      <c r="G379"/>
      <c r="H379"/>
      <c r="I379" s="209"/>
      <c r="J379"/>
      <c r="K379"/>
      <c r="L379"/>
      <c r="M379"/>
      <c r="N379"/>
      <c r="O379"/>
      <c r="P379"/>
      <c r="Q379"/>
    </row>
    <row r="380" spans="2:17">
      <c r="B380"/>
      <c r="D380"/>
      <c r="E380"/>
      <c r="F380"/>
      <c r="G380"/>
      <c r="H380"/>
      <c r="I380" s="209"/>
      <c r="J380"/>
      <c r="K380"/>
      <c r="L380"/>
      <c r="M380"/>
      <c r="N380"/>
      <c r="O380"/>
      <c r="P380"/>
      <c r="Q380"/>
    </row>
    <row r="381" spans="2:17">
      <c r="B381"/>
      <c r="D381"/>
      <c r="E381"/>
      <c r="F381"/>
      <c r="G381"/>
      <c r="H381"/>
      <c r="I381" s="209"/>
      <c r="J381"/>
      <c r="K381"/>
      <c r="L381"/>
      <c r="M381"/>
      <c r="N381"/>
      <c r="O381"/>
      <c r="P381"/>
      <c r="Q381"/>
    </row>
    <row r="382" spans="2:17">
      <c r="B382"/>
      <c r="D382"/>
      <c r="E382"/>
      <c r="F382"/>
      <c r="G382"/>
      <c r="H382"/>
      <c r="I382" s="209"/>
      <c r="J382"/>
      <c r="K382"/>
      <c r="L382"/>
      <c r="M382"/>
      <c r="N382"/>
      <c r="O382"/>
      <c r="P382"/>
      <c r="Q382"/>
    </row>
    <row r="383" spans="2:17">
      <c r="B383"/>
      <c r="D383"/>
      <c r="E383"/>
      <c r="F383"/>
      <c r="G383"/>
      <c r="H383"/>
      <c r="I383" s="209"/>
      <c r="J383"/>
      <c r="K383"/>
      <c r="L383"/>
      <c r="M383"/>
      <c r="N383"/>
      <c r="O383"/>
      <c r="P383"/>
      <c r="Q383"/>
    </row>
    <row r="384" spans="2:17">
      <c r="B384"/>
      <c r="D384"/>
      <c r="E384"/>
      <c r="F384"/>
      <c r="G384"/>
      <c r="H384"/>
      <c r="I384" s="209"/>
      <c r="J384"/>
      <c r="K384"/>
      <c r="L384"/>
      <c r="M384"/>
      <c r="N384"/>
      <c r="O384"/>
      <c r="P384"/>
      <c r="Q384"/>
    </row>
    <row r="385" spans="2:17">
      <c r="B385"/>
      <c r="D385"/>
      <c r="E385"/>
      <c r="F385"/>
      <c r="G385"/>
      <c r="H385"/>
      <c r="I385" s="209"/>
      <c r="J385"/>
      <c r="K385"/>
      <c r="L385"/>
      <c r="M385"/>
      <c r="N385"/>
      <c r="O385"/>
      <c r="P385"/>
      <c r="Q385"/>
    </row>
    <row r="386" spans="2:17">
      <c r="B386"/>
      <c r="D386"/>
      <c r="E386"/>
      <c r="F386"/>
      <c r="G386"/>
      <c r="H386"/>
      <c r="I386" s="209"/>
      <c r="J386"/>
      <c r="K386"/>
      <c r="L386"/>
      <c r="M386"/>
      <c r="N386"/>
      <c r="O386"/>
      <c r="P386"/>
      <c r="Q386"/>
    </row>
  </sheetData>
  <phoneticPr fontId="12" type="noConversion"/>
  <pageMargins left="0.75" right="0.75" top="1" bottom="1" header="0.5" footer="0.5"/>
  <pageSetup orientation="portrait" r:id="rId6"/>
  <headerFooter alignWithMargins="0"/>
</worksheet>
</file>

<file path=xl/worksheets/sheet17.xml><?xml version="1.0" encoding="utf-8"?>
<worksheet xmlns="http://schemas.openxmlformats.org/spreadsheetml/2006/main" xmlns:r="http://schemas.openxmlformats.org/officeDocument/2006/relationships">
  <sheetPr codeName="Sheet15"/>
  <dimension ref="A1:C117"/>
  <sheetViews>
    <sheetView workbookViewId="0">
      <selection activeCell="L35" sqref="L35"/>
    </sheetView>
  </sheetViews>
  <sheetFormatPr defaultRowHeight="12.75"/>
  <cols>
    <col min="1" max="1" width="50.140625" bestFit="1" customWidth="1"/>
    <col min="2" max="2" width="12.7109375" customWidth="1"/>
    <col min="3" max="3" width="5" bestFit="1" customWidth="1"/>
  </cols>
  <sheetData>
    <row r="1" spans="1:3">
      <c r="A1" s="4" t="s">
        <v>665</v>
      </c>
    </row>
    <row r="3" spans="1:3">
      <c r="A3" s="6" t="s">
        <v>1767</v>
      </c>
      <c r="B3" s="12"/>
      <c r="C3" s="7"/>
    </row>
    <row r="4" spans="1:3">
      <c r="A4" s="231" t="s">
        <v>1868</v>
      </c>
      <c r="B4" s="6" t="s">
        <v>572</v>
      </c>
      <c r="C4" s="7" t="s">
        <v>1871</v>
      </c>
    </row>
    <row r="5" spans="1:3">
      <c r="A5" s="5" t="s">
        <v>1943</v>
      </c>
      <c r="B5" s="5">
        <v>2000</v>
      </c>
      <c r="C5" s="15">
        <v>1</v>
      </c>
    </row>
    <row r="6" spans="1:3">
      <c r="A6" s="13"/>
      <c r="B6" s="68">
        <v>2001</v>
      </c>
      <c r="C6" s="66">
        <v>1</v>
      </c>
    </row>
    <row r="7" spans="1:3">
      <c r="A7" s="13"/>
      <c r="B7" s="68">
        <v>2005</v>
      </c>
      <c r="C7" s="66">
        <v>1</v>
      </c>
    </row>
    <row r="8" spans="1:3">
      <c r="A8" s="13"/>
      <c r="B8" s="68">
        <v>2008</v>
      </c>
      <c r="C8" s="66">
        <v>2</v>
      </c>
    </row>
    <row r="9" spans="1:3">
      <c r="A9" s="13"/>
      <c r="B9" s="68">
        <v>2009</v>
      </c>
      <c r="C9" s="66">
        <v>1</v>
      </c>
    </row>
    <row r="10" spans="1:3">
      <c r="A10" s="5" t="s">
        <v>604</v>
      </c>
      <c r="B10" s="12"/>
      <c r="C10" s="15">
        <v>6</v>
      </c>
    </row>
    <row r="11" spans="1:3">
      <c r="A11" s="5" t="s">
        <v>1879</v>
      </c>
      <c r="B11" s="5">
        <v>2000</v>
      </c>
      <c r="C11" s="15">
        <v>1</v>
      </c>
    </row>
    <row r="12" spans="1:3">
      <c r="A12" s="13"/>
      <c r="B12" s="68">
        <v>2001</v>
      </c>
      <c r="C12" s="66">
        <v>1</v>
      </c>
    </row>
    <row r="13" spans="1:3">
      <c r="A13" s="13"/>
      <c r="B13" s="68">
        <v>2002</v>
      </c>
      <c r="C13" s="66">
        <v>3</v>
      </c>
    </row>
    <row r="14" spans="1:3">
      <c r="A14" s="13"/>
      <c r="B14" s="68">
        <v>2003</v>
      </c>
      <c r="C14" s="66">
        <v>3</v>
      </c>
    </row>
    <row r="15" spans="1:3">
      <c r="A15" s="13"/>
      <c r="B15" s="68">
        <v>2007</v>
      </c>
      <c r="C15" s="66">
        <v>1</v>
      </c>
    </row>
    <row r="16" spans="1:3">
      <c r="A16" s="13"/>
      <c r="B16" s="68">
        <v>2008</v>
      </c>
      <c r="C16" s="66">
        <v>2</v>
      </c>
    </row>
    <row r="17" spans="1:3">
      <c r="A17" s="13"/>
      <c r="B17" s="68">
        <v>2010</v>
      </c>
      <c r="C17" s="66">
        <v>1</v>
      </c>
    </row>
    <row r="18" spans="1:3">
      <c r="A18" s="5" t="s">
        <v>605</v>
      </c>
      <c r="B18" s="12"/>
      <c r="C18" s="15">
        <v>12</v>
      </c>
    </row>
    <row r="19" spans="1:3">
      <c r="A19" s="5" t="s">
        <v>1878</v>
      </c>
      <c r="B19" s="5">
        <v>1999</v>
      </c>
      <c r="C19" s="15">
        <v>1</v>
      </c>
    </row>
    <row r="20" spans="1:3">
      <c r="A20" s="13"/>
      <c r="B20" s="68">
        <v>2002</v>
      </c>
      <c r="C20" s="66">
        <v>1</v>
      </c>
    </row>
    <row r="21" spans="1:3">
      <c r="A21" s="13"/>
      <c r="B21" s="68">
        <v>2003</v>
      </c>
      <c r="C21" s="66">
        <v>1</v>
      </c>
    </row>
    <row r="22" spans="1:3">
      <c r="A22" s="13"/>
      <c r="B22" s="68">
        <v>2005</v>
      </c>
      <c r="C22" s="66">
        <v>1</v>
      </c>
    </row>
    <row r="23" spans="1:3">
      <c r="A23" s="13"/>
      <c r="B23" s="68">
        <v>2009</v>
      </c>
      <c r="C23" s="66">
        <v>2</v>
      </c>
    </row>
    <row r="24" spans="1:3">
      <c r="A24" s="13"/>
      <c r="B24" s="68">
        <v>2011</v>
      </c>
      <c r="C24" s="66">
        <v>1</v>
      </c>
    </row>
    <row r="25" spans="1:3">
      <c r="A25" s="5" t="s">
        <v>606</v>
      </c>
      <c r="B25" s="12"/>
      <c r="C25" s="15">
        <v>7</v>
      </c>
    </row>
    <row r="26" spans="1:3">
      <c r="A26" s="5" t="s">
        <v>1540</v>
      </c>
      <c r="B26" s="5">
        <v>2004</v>
      </c>
      <c r="C26" s="15">
        <v>5</v>
      </c>
    </row>
    <row r="27" spans="1:3">
      <c r="A27" s="13"/>
      <c r="B27" s="68">
        <v>2008</v>
      </c>
      <c r="C27" s="66">
        <v>1</v>
      </c>
    </row>
    <row r="28" spans="1:3">
      <c r="A28" s="5" t="s">
        <v>607</v>
      </c>
      <c r="B28" s="12"/>
      <c r="C28" s="15">
        <v>6</v>
      </c>
    </row>
    <row r="29" spans="1:3">
      <c r="A29" s="5" t="s">
        <v>1873</v>
      </c>
      <c r="B29" s="5">
        <v>1999</v>
      </c>
      <c r="C29" s="15">
        <v>1</v>
      </c>
    </row>
    <row r="30" spans="1:3">
      <c r="A30" s="13"/>
      <c r="B30" s="68">
        <v>2000</v>
      </c>
      <c r="C30" s="66">
        <v>1</v>
      </c>
    </row>
    <row r="31" spans="1:3">
      <c r="A31" s="13"/>
      <c r="B31" s="68">
        <v>2006</v>
      </c>
      <c r="C31" s="66">
        <v>1</v>
      </c>
    </row>
    <row r="32" spans="1:3">
      <c r="A32" s="13"/>
      <c r="B32" s="68">
        <v>2007</v>
      </c>
      <c r="C32" s="66">
        <v>2</v>
      </c>
    </row>
    <row r="33" spans="1:3">
      <c r="A33" s="13"/>
      <c r="B33" s="68">
        <v>2008</v>
      </c>
      <c r="C33" s="66">
        <v>1</v>
      </c>
    </row>
    <row r="34" spans="1:3">
      <c r="A34" s="13"/>
      <c r="B34" s="68">
        <v>2009</v>
      </c>
      <c r="C34" s="66">
        <v>1</v>
      </c>
    </row>
    <row r="35" spans="1:3">
      <c r="A35" s="5" t="s">
        <v>608</v>
      </c>
      <c r="B35" s="12"/>
      <c r="C35" s="15">
        <v>7</v>
      </c>
    </row>
    <row r="36" spans="1:3">
      <c r="A36" s="5" t="s">
        <v>682</v>
      </c>
      <c r="B36" s="5">
        <v>2004</v>
      </c>
      <c r="C36" s="15">
        <v>2</v>
      </c>
    </row>
    <row r="37" spans="1:3">
      <c r="A37" s="13"/>
      <c r="B37" s="68">
        <v>2005</v>
      </c>
      <c r="C37" s="66">
        <v>1</v>
      </c>
    </row>
    <row r="38" spans="1:3">
      <c r="A38" s="13"/>
      <c r="B38" s="68">
        <v>2006</v>
      </c>
      <c r="C38" s="66">
        <v>1</v>
      </c>
    </row>
    <row r="39" spans="1:3">
      <c r="A39" s="13"/>
      <c r="B39" s="68">
        <v>2008</v>
      </c>
      <c r="C39" s="66">
        <v>2</v>
      </c>
    </row>
    <row r="40" spans="1:3">
      <c r="A40" s="13"/>
      <c r="B40" s="68">
        <v>2009</v>
      </c>
      <c r="C40" s="66">
        <v>1</v>
      </c>
    </row>
    <row r="41" spans="1:3">
      <c r="A41" s="13"/>
      <c r="B41" s="68">
        <v>2010</v>
      </c>
      <c r="C41" s="66">
        <v>2</v>
      </c>
    </row>
    <row r="42" spans="1:3">
      <c r="A42" s="13"/>
      <c r="B42" s="68">
        <v>2011</v>
      </c>
      <c r="C42" s="66">
        <v>1</v>
      </c>
    </row>
    <row r="43" spans="1:3">
      <c r="A43" s="5" t="s">
        <v>609</v>
      </c>
      <c r="B43" s="12"/>
      <c r="C43" s="15">
        <v>10</v>
      </c>
    </row>
    <row r="44" spans="1:3">
      <c r="A44" s="5" t="s">
        <v>1944</v>
      </c>
      <c r="B44" s="5">
        <v>2000</v>
      </c>
      <c r="C44" s="15">
        <v>1</v>
      </c>
    </row>
    <row r="45" spans="1:3">
      <c r="A45" s="13"/>
      <c r="B45" s="68">
        <v>2001</v>
      </c>
      <c r="C45" s="66">
        <v>2</v>
      </c>
    </row>
    <row r="46" spans="1:3">
      <c r="A46" s="13"/>
      <c r="B46" s="68">
        <v>2002</v>
      </c>
      <c r="C46" s="66">
        <v>1</v>
      </c>
    </row>
    <row r="47" spans="1:3">
      <c r="A47" s="13"/>
      <c r="B47" s="68">
        <v>2003</v>
      </c>
      <c r="C47" s="66">
        <v>1</v>
      </c>
    </row>
    <row r="48" spans="1:3">
      <c r="A48" s="13"/>
      <c r="B48" s="68">
        <v>2010</v>
      </c>
      <c r="C48" s="66">
        <v>1</v>
      </c>
    </row>
    <row r="49" spans="1:3">
      <c r="A49" s="5" t="s">
        <v>610</v>
      </c>
      <c r="B49" s="12"/>
      <c r="C49" s="15">
        <v>6</v>
      </c>
    </row>
    <row r="50" spans="1:3">
      <c r="A50" s="5" t="s">
        <v>1565</v>
      </c>
      <c r="B50" s="5">
        <v>2000</v>
      </c>
      <c r="C50" s="15">
        <v>1</v>
      </c>
    </row>
    <row r="51" spans="1:3">
      <c r="A51" s="13"/>
      <c r="B51" s="68">
        <v>2003</v>
      </c>
      <c r="C51" s="66">
        <v>1</v>
      </c>
    </row>
    <row r="52" spans="1:3">
      <c r="A52" s="13"/>
      <c r="B52" s="68">
        <v>2005</v>
      </c>
      <c r="C52" s="66">
        <v>1</v>
      </c>
    </row>
    <row r="53" spans="1:3">
      <c r="A53" s="13"/>
      <c r="B53" s="68">
        <v>2006</v>
      </c>
      <c r="C53" s="66">
        <v>1</v>
      </c>
    </row>
    <row r="54" spans="1:3">
      <c r="A54" s="13"/>
      <c r="B54" s="68">
        <v>2008</v>
      </c>
      <c r="C54" s="66">
        <v>1</v>
      </c>
    </row>
    <row r="55" spans="1:3">
      <c r="A55" s="13"/>
      <c r="B55" s="68">
        <v>2010</v>
      </c>
      <c r="C55" s="66">
        <v>2</v>
      </c>
    </row>
    <row r="56" spans="1:3">
      <c r="A56" s="13"/>
      <c r="B56" s="68">
        <v>2011</v>
      </c>
      <c r="C56" s="66">
        <v>1</v>
      </c>
    </row>
    <row r="57" spans="1:3">
      <c r="A57" s="5" t="s">
        <v>611</v>
      </c>
      <c r="B57" s="12"/>
      <c r="C57" s="15">
        <v>8</v>
      </c>
    </row>
    <row r="58" spans="1:3">
      <c r="A58" s="5" t="s">
        <v>1590</v>
      </c>
      <c r="B58" s="5">
        <v>2002</v>
      </c>
      <c r="C58" s="15">
        <v>1</v>
      </c>
    </row>
    <row r="59" spans="1:3">
      <c r="A59" s="13"/>
      <c r="B59" s="68">
        <v>2004</v>
      </c>
      <c r="C59" s="66">
        <v>1</v>
      </c>
    </row>
    <row r="60" spans="1:3">
      <c r="A60" s="13"/>
      <c r="B60" s="68">
        <v>2005</v>
      </c>
      <c r="C60" s="66">
        <v>1</v>
      </c>
    </row>
    <row r="61" spans="1:3">
      <c r="A61" s="13"/>
      <c r="B61" s="68">
        <v>2006</v>
      </c>
      <c r="C61" s="66">
        <v>1</v>
      </c>
    </row>
    <row r="62" spans="1:3">
      <c r="A62" s="13"/>
      <c r="B62" s="68">
        <v>2008</v>
      </c>
      <c r="C62" s="66">
        <v>1</v>
      </c>
    </row>
    <row r="63" spans="1:3">
      <c r="A63" s="13"/>
      <c r="B63" s="68">
        <v>2009</v>
      </c>
      <c r="C63" s="66">
        <v>1</v>
      </c>
    </row>
    <row r="64" spans="1:3">
      <c r="A64" s="5" t="s">
        <v>612</v>
      </c>
      <c r="B64" s="12"/>
      <c r="C64" s="15">
        <v>6</v>
      </c>
    </row>
    <row r="65" spans="1:3">
      <c r="A65" s="5" t="s">
        <v>1605</v>
      </c>
      <c r="B65" s="5">
        <v>2002</v>
      </c>
      <c r="C65" s="15">
        <v>1</v>
      </c>
    </row>
    <row r="66" spans="1:3">
      <c r="A66" s="13"/>
      <c r="B66" s="68">
        <v>2003</v>
      </c>
      <c r="C66" s="66">
        <v>1</v>
      </c>
    </row>
    <row r="67" spans="1:3">
      <c r="A67" s="13"/>
      <c r="B67" s="68">
        <v>2006</v>
      </c>
      <c r="C67" s="66">
        <v>1</v>
      </c>
    </row>
    <row r="68" spans="1:3">
      <c r="A68" s="13"/>
      <c r="B68" s="68">
        <v>2007</v>
      </c>
      <c r="C68" s="66">
        <v>1</v>
      </c>
    </row>
    <row r="69" spans="1:3">
      <c r="A69" s="13"/>
      <c r="B69" s="68">
        <v>2008</v>
      </c>
      <c r="C69" s="66">
        <v>1</v>
      </c>
    </row>
    <row r="70" spans="1:3">
      <c r="A70" s="13"/>
      <c r="B70" s="68">
        <v>2009</v>
      </c>
      <c r="C70" s="66">
        <v>1</v>
      </c>
    </row>
    <row r="71" spans="1:3">
      <c r="A71" s="13"/>
      <c r="B71" s="68">
        <v>2010</v>
      </c>
      <c r="C71" s="66">
        <v>1</v>
      </c>
    </row>
    <row r="72" spans="1:3">
      <c r="A72" s="5" t="s">
        <v>613</v>
      </c>
      <c r="B72" s="12"/>
      <c r="C72" s="15">
        <v>7</v>
      </c>
    </row>
    <row r="73" spans="1:3">
      <c r="A73" s="5" t="s">
        <v>1876</v>
      </c>
      <c r="B73" s="5">
        <v>1999</v>
      </c>
      <c r="C73" s="15">
        <v>1</v>
      </c>
    </row>
    <row r="74" spans="1:3">
      <c r="A74" s="13"/>
      <c r="B74" s="68">
        <v>2000</v>
      </c>
      <c r="C74" s="66">
        <v>2</v>
      </c>
    </row>
    <row r="75" spans="1:3">
      <c r="A75" s="13"/>
      <c r="B75" s="68">
        <v>2002</v>
      </c>
      <c r="C75" s="66">
        <v>2</v>
      </c>
    </row>
    <row r="76" spans="1:3">
      <c r="A76" s="13"/>
      <c r="B76" s="68">
        <v>2003</v>
      </c>
      <c r="C76" s="66">
        <v>4</v>
      </c>
    </row>
    <row r="77" spans="1:3">
      <c r="A77" s="13"/>
      <c r="B77" s="68">
        <v>2004</v>
      </c>
      <c r="C77" s="66">
        <v>1</v>
      </c>
    </row>
    <row r="78" spans="1:3">
      <c r="A78" s="13"/>
      <c r="B78" s="68">
        <v>2006</v>
      </c>
      <c r="C78" s="66">
        <v>2</v>
      </c>
    </row>
    <row r="79" spans="1:3">
      <c r="A79" s="13"/>
      <c r="B79" s="68">
        <v>2007</v>
      </c>
      <c r="C79" s="66">
        <v>1</v>
      </c>
    </row>
    <row r="80" spans="1:3">
      <c r="A80" s="13"/>
      <c r="B80" s="68">
        <v>2008</v>
      </c>
      <c r="C80" s="66">
        <v>2</v>
      </c>
    </row>
    <row r="81" spans="1:3">
      <c r="A81" s="13"/>
      <c r="B81" s="68">
        <v>2010</v>
      </c>
      <c r="C81" s="66">
        <v>1</v>
      </c>
    </row>
    <row r="82" spans="1:3">
      <c r="A82" s="13"/>
      <c r="B82" s="68">
        <v>2011</v>
      </c>
      <c r="C82" s="66">
        <v>1</v>
      </c>
    </row>
    <row r="83" spans="1:3">
      <c r="A83" s="5" t="s">
        <v>614</v>
      </c>
      <c r="B83" s="12"/>
      <c r="C83" s="15">
        <v>17</v>
      </c>
    </row>
    <row r="84" spans="1:3">
      <c r="A84" s="5" t="s">
        <v>1886</v>
      </c>
      <c r="B84" s="5">
        <v>2000</v>
      </c>
      <c r="C84" s="15">
        <v>1</v>
      </c>
    </row>
    <row r="85" spans="1:3">
      <c r="A85" s="13"/>
      <c r="B85" s="68">
        <v>2002</v>
      </c>
      <c r="C85" s="66">
        <v>3</v>
      </c>
    </row>
    <row r="86" spans="1:3">
      <c r="A86" s="13"/>
      <c r="B86" s="68">
        <v>2008</v>
      </c>
      <c r="C86" s="66">
        <v>1</v>
      </c>
    </row>
    <row r="87" spans="1:3">
      <c r="A87" s="13"/>
      <c r="B87" s="68">
        <v>2009</v>
      </c>
      <c r="C87" s="66">
        <v>1</v>
      </c>
    </row>
    <row r="88" spans="1:3">
      <c r="A88" s="5" t="s">
        <v>615</v>
      </c>
      <c r="B88" s="12"/>
      <c r="C88" s="15">
        <v>6</v>
      </c>
    </row>
    <row r="89" spans="1:3">
      <c r="A89" s="5" t="s">
        <v>1668</v>
      </c>
      <c r="B89" s="5">
        <v>2002</v>
      </c>
      <c r="C89" s="15">
        <v>1</v>
      </c>
    </row>
    <row r="90" spans="1:3">
      <c r="A90" s="13"/>
      <c r="B90" s="68">
        <v>2006</v>
      </c>
      <c r="C90" s="66">
        <v>1</v>
      </c>
    </row>
    <row r="91" spans="1:3">
      <c r="A91" s="13"/>
      <c r="B91" s="68">
        <v>2008</v>
      </c>
      <c r="C91" s="66">
        <v>1</v>
      </c>
    </row>
    <row r="92" spans="1:3">
      <c r="A92" s="13"/>
      <c r="B92" s="68">
        <v>2009</v>
      </c>
      <c r="C92" s="66">
        <v>2</v>
      </c>
    </row>
    <row r="93" spans="1:3">
      <c r="A93" s="13"/>
      <c r="B93" s="68">
        <v>2011</v>
      </c>
      <c r="C93" s="66">
        <v>1</v>
      </c>
    </row>
    <row r="94" spans="1:3">
      <c r="A94" s="5" t="s">
        <v>616</v>
      </c>
      <c r="B94" s="12"/>
      <c r="C94" s="15">
        <v>6</v>
      </c>
    </row>
    <row r="95" spans="1:3">
      <c r="A95" s="5" t="s">
        <v>1604</v>
      </c>
      <c r="B95" s="5">
        <v>2002</v>
      </c>
      <c r="C95" s="15">
        <v>1</v>
      </c>
    </row>
    <row r="96" spans="1:3">
      <c r="A96" s="13"/>
      <c r="B96" s="68">
        <v>2003</v>
      </c>
      <c r="C96" s="66">
        <v>1</v>
      </c>
    </row>
    <row r="97" spans="1:3">
      <c r="A97" s="13"/>
      <c r="B97" s="68">
        <v>2004</v>
      </c>
      <c r="C97" s="66">
        <v>2</v>
      </c>
    </row>
    <row r="98" spans="1:3">
      <c r="A98" s="13"/>
      <c r="B98" s="68">
        <v>2005</v>
      </c>
      <c r="C98" s="66">
        <v>1</v>
      </c>
    </row>
    <row r="99" spans="1:3">
      <c r="A99" s="13"/>
      <c r="B99" s="68">
        <v>2009</v>
      </c>
      <c r="C99" s="66">
        <v>1</v>
      </c>
    </row>
    <row r="100" spans="1:3">
      <c r="A100" s="13"/>
      <c r="B100" s="68">
        <v>2011</v>
      </c>
      <c r="C100" s="66">
        <v>1</v>
      </c>
    </row>
    <row r="101" spans="1:3">
      <c r="A101" s="5" t="s">
        <v>617</v>
      </c>
      <c r="B101" s="12"/>
      <c r="C101" s="15">
        <v>7</v>
      </c>
    </row>
    <row r="102" spans="1:3">
      <c r="A102" s="5" t="s">
        <v>1992</v>
      </c>
      <c r="B102" s="5">
        <v>2005</v>
      </c>
      <c r="C102" s="15">
        <v>1</v>
      </c>
    </row>
    <row r="103" spans="1:3">
      <c r="A103" s="13"/>
      <c r="B103" s="68">
        <v>2007</v>
      </c>
      <c r="C103" s="66">
        <v>2</v>
      </c>
    </row>
    <row r="104" spans="1:3">
      <c r="A104" s="13"/>
      <c r="B104" s="68">
        <v>2008</v>
      </c>
      <c r="C104" s="66">
        <v>2</v>
      </c>
    </row>
    <row r="105" spans="1:3">
      <c r="A105" s="13"/>
      <c r="B105" s="68">
        <v>2009</v>
      </c>
      <c r="C105" s="66">
        <v>1</v>
      </c>
    </row>
    <row r="106" spans="1:3">
      <c r="A106" s="5" t="s">
        <v>663</v>
      </c>
      <c r="B106" s="12"/>
      <c r="C106" s="15">
        <v>6</v>
      </c>
    </row>
    <row r="107" spans="1:3">
      <c r="A107" s="5" t="s">
        <v>1947</v>
      </c>
      <c r="B107" s="5">
        <v>2000</v>
      </c>
      <c r="C107" s="15">
        <v>1</v>
      </c>
    </row>
    <row r="108" spans="1:3">
      <c r="A108" s="13"/>
      <c r="B108" s="68">
        <v>2001</v>
      </c>
      <c r="C108" s="66">
        <v>1</v>
      </c>
    </row>
    <row r="109" spans="1:3">
      <c r="A109" s="13"/>
      <c r="B109" s="68">
        <v>2003</v>
      </c>
      <c r="C109" s="66">
        <v>1</v>
      </c>
    </row>
    <row r="110" spans="1:3">
      <c r="A110" s="13"/>
      <c r="B110" s="68">
        <v>2006</v>
      </c>
      <c r="C110" s="66">
        <v>1</v>
      </c>
    </row>
    <row r="111" spans="1:3">
      <c r="A111" s="13"/>
      <c r="B111" s="68">
        <v>2007</v>
      </c>
      <c r="C111" s="66">
        <v>1</v>
      </c>
    </row>
    <row r="112" spans="1:3">
      <c r="A112" s="13"/>
      <c r="B112" s="68">
        <v>2008</v>
      </c>
      <c r="C112" s="66">
        <v>1</v>
      </c>
    </row>
    <row r="113" spans="1:3">
      <c r="A113" s="13"/>
      <c r="B113" s="68">
        <v>2009</v>
      </c>
      <c r="C113" s="66">
        <v>1</v>
      </c>
    </row>
    <row r="114" spans="1:3">
      <c r="A114" s="13"/>
      <c r="B114" s="68">
        <v>2010</v>
      </c>
      <c r="C114" s="66">
        <v>1</v>
      </c>
    </row>
    <row r="115" spans="1:3">
      <c r="A115" s="13"/>
      <c r="B115" s="68">
        <v>2011</v>
      </c>
      <c r="C115" s="66">
        <v>1</v>
      </c>
    </row>
    <row r="116" spans="1:3">
      <c r="A116" s="5" t="s">
        <v>664</v>
      </c>
      <c r="B116" s="12"/>
      <c r="C116" s="15">
        <v>9</v>
      </c>
    </row>
    <row r="117" spans="1:3">
      <c r="A117" s="9" t="s">
        <v>1207</v>
      </c>
      <c r="B117" s="16"/>
      <c r="C117" s="14">
        <v>126</v>
      </c>
    </row>
  </sheetData>
  <phoneticPr fontId="12" type="noConversion"/>
  <pageMargins left="0.75" right="0.75" top="1" bottom="1" header="0.5" footer="0.5"/>
  <headerFooter alignWithMargins="0"/>
</worksheet>
</file>

<file path=xl/worksheets/sheet18.xml><?xml version="1.0" encoding="utf-8"?>
<worksheet xmlns="http://schemas.openxmlformats.org/spreadsheetml/2006/main" xmlns:r="http://schemas.openxmlformats.org/officeDocument/2006/relationships">
  <sheetPr codeName="Sheet16"/>
  <dimension ref="C4:I33"/>
  <sheetViews>
    <sheetView topLeftCell="C1" workbookViewId="0">
      <selection activeCell="G40" sqref="G40"/>
    </sheetView>
  </sheetViews>
  <sheetFormatPr defaultRowHeight="12.75"/>
  <cols>
    <col min="2" max="2" width="14.5703125" bestFit="1" customWidth="1"/>
    <col min="3" max="3" width="21.28515625" customWidth="1"/>
    <col min="4" max="4" width="12.7109375" customWidth="1"/>
    <col min="5" max="5" width="50.140625" customWidth="1"/>
    <col min="6" max="6" width="24.42578125" customWidth="1"/>
    <col min="7" max="8" width="18.85546875" customWidth="1"/>
    <col min="9" max="9" width="10.140625" customWidth="1"/>
    <col min="10" max="22" width="50.140625" customWidth="1"/>
    <col min="23" max="25" width="50.140625" bestFit="1" customWidth="1"/>
    <col min="26" max="26" width="50.140625" customWidth="1"/>
    <col min="27" max="27" width="50.140625" bestFit="1" customWidth="1"/>
    <col min="28" max="28" width="50.140625" customWidth="1"/>
    <col min="29" max="29" width="50.140625" bestFit="1" customWidth="1"/>
    <col min="30" max="30" width="12.7109375" bestFit="1" customWidth="1"/>
    <col min="31" max="31" width="13.140625" bestFit="1" customWidth="1"/>
    <col min="32" max="32" width="5.7109375" customWidth="1"/>
    <col min="33" max="33" width="10.28515625" bestFit="1" customWidth="1"/>
    <col min="34" max="34" width="11.5703125" bestFit="1" customWidth="1"/>
    <col min="35" max="35" width="16.28515625" bestFit="1" customWidth="1"/>
    <col min="36" max="36" width="8.28515625" bestFit="1" customWidth="1"/>
    <col min="37" max="37" width="12.85546875" bestFit="1" customWidth="1"/>
    <col min="38" max="38" width="7.85546875" customWidth="1"/>
    <col min="39" max="39" width="12.42578125" bestFit="1" customWidth="1"/>
    <col min="40" max="40" width="8.85546875" customWidth="1"/>
    <col min="41" max="41" width="13.5703125" bestFit="1" customWidth="1"/>
    <col min="42" max="42" width="10" bestFit="1" customWidth="1"/>
    <col min="43" max="43" width="14.7109375" bestFit="1" customWidth="1"/>
    <col min="44" max="44" width="50.140625" bestFit="1" customWidth="1"/>
    <col min="45" max="45" width="55" bestFit="1" customWidth="1"/>
    <col min="46" max="46" width="8.42578125" customWidth="1"/>
    <col min="47" max="47" width="13.140625" bestFit="1" customWidth="1"/>
    <col min="48" max="48" width="11.140625" bestFit="1" customWidth="1"/>
    <col min="49" max="49" width="11.42578125" bestFit="1" customWidth="1"/>
    <col min="50" max="50" width="10.28515625" bestFit="1" customWidth="1"/>
    <col min="51" max="51" width="15" bestFit="1" customWidth="1"/>
    <col min="52" max="52" width="9.7109375" bestFit="1" customWidth="1"/>
    <col min="53" max="53" width="14.42578125" bestFit="1" customWidth="1"/>
    <col min="54" max="54" width="7.85546875" customWidth="1"/>
    <col min="55" max="55" width="12.42578125" bestFit="1" customWidth="1"/>
    <col min="56" max="56" width="12.7109375" bestFit="1" customWidth="1"/>
  </cols>
  <sheetData>
    <row r="4" spans="3:8" ht="27" customHeight="1">
      <c r="C4" s="6" t="s">
        <v>1346</v>
      </c>
      <c r="D4" s="12"/>
      <c r="E4" s="12"/>
      <c r="F4" s="12"/>
      <c r="G4" s="12"/>
      <c r="H4" s="7"/>
    </row>
    <row r="5" spans="3:8" ht="28.5" customHeight="1">
      <c r="C5" s="6" t="s">
        <v>572</v>
      </c>
      <c r="D5" s="6" t="s">
        <v>327</v>
      </c>
      <c r="E5" s="6" t="s">
        <v>1868</v>
      </c>
      <c r="F5" s="6" t="s">
        <v>358</v>
      </c>
      <c r="G5" s="6" t="s">
        <v>1146</v>
      </c>
      <c r="H5" s="7" t="s">
        <v>1871</v>
      </c>
    </row>
    <row r="6" spans="3:8">
      <c r="C6" s="5">
        <v>2010</v>
      </c>
      <c r="D6" s="234">
        <v>50000</v>
      </c>
      <c r="E6" s="5" t="s">
        <v>1753</v>
      </c>
      <c r="F6" s="5" t="s">
        <v>1601</v>
      </c>
      <c r="G6" s="75">
        <v>40330</v>
      </c>
      <c r="H6" s="67">
        <v>50000</v>
      </c>
    </row>
    <row r="7" spans="3:8">
      <c r="C7" s="13"/>
      <c r="D7" s="234">
        <v>4377346.43</v>
      </c>
      <c r="E7" s="5" t="s">
        <v>682</v>
      </c>
      <c r="F7" s="5" t="s">
        <v>656</v>
      </c>
      <c r="G7" s="75">
        <v>40190</v>
      </c>
      <c r="H7" s="67">
        <v>4377346.43</v>
      </c>
    </row>
    <row r="8" spans="3:8">
      <c r="C8" s="5" t="s">
        <v>282</v>
      </c>
      <c r="D8" s="235"/>
      <c r="E8" s="12"/>
      <c r="F8" s="12"/>
      <c r="G8" s="12"/>
      <c r="H8" s="67">
        <v>4427346.43</v>
      </c>
    </row>
    <row r="9" spans="3:8">
      <c r="C9" s="5">
        <v>2011</v>
      </c>
      <c r="D9" s="234">
        <v>100000</v>
      </c>
      <c r="E9" s="5" t="s">
        <v>15</v>
      </c>
      <c r="F9" s="5" t="s">
        <v>12</v>
      </c>
      <c r="G9" s="75">
        <v>40602</v>
      </c>
      <c r="H9" s="67">
        <v>100000</v>
      </c>
    </row>
    <row r="10" spans="3:8">
      <c r="C10" s="5" t="s">
        <v>370</v>
      </c>
      <c r="D10" s="12"/>
      <c r="E10" s="12"/>
      <c r="F10" s="12"/>
      <c r="G10" s="12"/>
      <c r="H10" s="67">
        <v>100000</v>
      </c>
    </row>
    <row r="11" spans="3:8">
      <c r="C11" s="9" t="s">
        <v>1207</v>
      </c>
      <c r="D11" s="16"/>
      <c r="E11" s="16"/>
      <c r="F11" s="16"/>
      <c r="G11" s="16"/>
      <c r="H11" s="219">
        <v>4527346.43</v>
      </c>
    </row>
    <row r="19" spans="3:9">
      <c r="C19" s="6" t="s">
        <v>291</v>
      </c>
      <c r="D19" s="12"/>
      <c r="E19" s="12"/>
      <c r="F19" s="12"/>
      <c r="G19" s="12"/>
      <c r="H19" s="12"/>
      <c r="I19" s="7"/>
    </row>
    <row r="20" spans="3:9">
      <c r="C20" s="6" t="s">
        <v>1209</v>
      </c>
      <c r="D20" s="6" t="s">
        <v>572</v>
      </c>
      <c r="E20" s="6" t="s">
        <v>1868</v>
      </c>
      <c r="F20" s="6" t="s">
        <v>358</v>
      </c>
      <c r="G20" s="6" t="s">
        <v>1754</v>
      </c>
      <c r="H20" s="236" t="s">
        <v>290</v>
      </c>
      <c r="I20" s="7" t="s">
        <v>1871</v>
      </c>
    </row>
    <row r="21" spans="3:9">
      <c r="C21" s="5" t="s">
        <v>1211</v>
      </c>
      <c r="D21" s="5">
        <v>2011</v>
      </c>
      <c r="E21" s="5" t="s">
        <v>121</v>
      </c>
      <c r="F21" s="5" t="s">
        <v>1279</v>
      </c>
      <c r="G21" s="5">
        <v>1</v>
      </c>
      <c r="H21" s="5">
        <v>80000</v>
      </c>
      <c r="I21" s="67">
        <v>80000</v>
      </c>
    </row>
    <row r="22" spans="3:9">
      <c r="C22" s="13"/>
      <c r="D22" s="13"/>
      <c r="E22" s="5" t="s">
        <v>1653</v>
      </c>
      <c r="F22" s="5" t="s">
        <v>1803</v>
      </c>
      <c r="G22" s="5" t="s">
        <v>288</v>
      </c>
      <c r="H22" s="5">
        <v>100000</v>
      </c>
      <c r="I22" s="67">
        <v>100000</v>
      </c>
    </row>
    <row r="23" spans="3:9">
      <c r="C23" s="13"/>
      <c r="D23" s="13"/>
      <c r="E23" s="5" t="s">
        <v>717</v>
      </c>
      <c r="F23" s="5" t="s">
        <v>1160</v>
      </c>
      <c r="G23" s="5" t="s">
        <v>288</v>
      </c>
      <c r="H23" s="5">
        <v>240000</v>
      </c>
      <c r="I23" s="67">
        <v>240000</v>
      </c>
    </row>
    <row r="24" spans="3:9">
      <c r="C24" s="13"/>
      <c r="D24" s="13"/>
      <c r="E24" s="5" t="s">
        <v>1878</v>
      </c>
      <c r="F24" s="5" t="s">
        <v>532</v>
      </c>
      <c r="G24" s="5" t="s">
        <v>288</v>
      </c>
      <c r="H24" s="5">
        <v>322330</v>
      </c>
      <c r="I24" s="67">
        <v>322330</v>
      </c>
    </row>
    <row r="25" spans="3:9">
      <c r="C25" s="13"/>
      <c r="D25" s="13"/>
      <c r="E25" s="5" t="s">
        <v>682</v>
      </c>
      <c r="F25" s="5" t="s">
        <v>1634</v>
      </c>
      <c r="G25" s="5" t="s">
        <v>288</v>
      </c>
      <c r="H25" s="5">
        <v>4500000</v>
      </c>
      <c r="I25" s="67">
        <v>4500000</v>
      </c>
    </row>
    <row r="26" spans="3:9">
      <c r="C26" s="13"/>
      <c r="D26" s="13"/>
      <c r="E26" s="5" t="s">
        <v>1876</v>
      </c>
      <c r="F26" s="5" t="s">
        <v>97</v>
      </c>
      <c r="G26" s="5" t="s">
        <v>288</v>
      </c>
      <c r="H26" s="5">
        <v>200000</v>
      </c>
      <c r="I26" s="67">
        <v>200000</v>
      </c>
    </row>
    <row r="27" spans="3:9">
      <c r="C27" s="13"/>
      <c r="D27" s="13"/>
      <c r="E27" s="5" t="s">
        <v>1604</v>
      </c>
      <c r="F27" s="5" t="s">
        <v>1808</v>
      </c>
      <c r="G27" s="5" t="s">
        <v>288</v>
      </c>
      <c r="H27" s="5">
        <v>9812</v>
      </c>
      <c r="I27" s="67">
        <v>9812</v>
      </c>
    </row>
    <row r="28" spans="3:9">
      <c r="C28" s="13"/>
      <c r="D28" s="13"/>
      <c r="E28" s="5" t="s">
        <v>398</v>
      </c>
      <c r="F28" s="5" t="s">
        <v>21</v>
      </c>
      <c r="G28" s="5" t="s">
        <v>288</v>
      </c>
      <c r="H28" s="5">
        <v>56000</v>
      </c>
      <c r="I28" s="67">
        <v>56000</v>
      </c>
    </row>
    <row r="29" spans="3:9">
      <c r="C29" s="13"/>
      <c r="D29" s="13"/>
      <c r="E29" s="5" t="s">
        <v>1927</v>
      </c>
      <c r="F29" s="5" t="s">
        <v>1278</v>
      </c>
      <c r="G29" s="5">
        <v>6</v>
      </c>
      <c r="H29" s="5">
        <v>145000</v>
      </c>
      <c r="I29" s="67">
        <v>145000</v>
      </c>
    </row>
    <row r="30" spans="3:9">
      <c r="C30" s="13"/>
      <c r="D30" s="13"/>
      <c r="E30" s="5" t="s">
        <v>1558</v>
      </c>
      <c r="F30" s="5" t="s">
        <v>1444</v>
      </c>
      <c r="G30" s="5" t="s">
        <v>288</v>
      </c>
      <c r="H30" s="5">
        <v>0</v>
      </c>
      <c r="I30" s="67">
        <v>0</v>
      </c>
    </row>
    <row r="31" spans="3:9">
      <c r="C31" s="13"/>
      <c r="D31" s="5" t="s">
        <v>256</v>
      </c>
      <c r="E31" s="12"/>
      <c r="F31" s="12"/>
      <c r="G31" s="12"/>
      <c r="H31" s="12"/>
      <c r="I31" s="67">
        <v>5653142</v>
      </c>
    </row>
    <row r="32" spans="3:9">
      <c r="C32" s="5" t="s">
        <v>1357</v>
      </c>
      <c r="D32" s="12"/>
      <c r="E32" s="12"/>
      <c r="F32" s="12"/>
      <c r="G32" s="12"/>
      <c r="H32" s="12"/>
      <c r="I32" s="67">
        <v>5653142</v>
      </c>
    </row>
    <row r="33" spans="3:9">
      <c r="C33" s="9" t="s">
        <v>1207</v>
      </c>
      <c r="D33" s="16"/>
      <c r="E33" s="16"/>
      <c r="F33" s="16"/>
      <c r="G33" s="16"/>
      <c r="H33" s="16"/>
      <c r="I33" s="219">
        <v>5653142</v>
      </c>
    </row>
  </sheetData>
  <phoneticPr fontId="12" type="noConversion"/>
  <pageMargins left="0.75" right="0.75" top="1" bottom="1" header="0.5" footer="0.5"/>
  <pageSetup orientation="portrait" r:id="rId3"/>
  <headerFooter alignWithMargins="0"/>
</worksheet>
</file>

<file path=xl/worksheets/sheet19.xml><?xml version="1.0" encoding="utf-8"?>
<worksheet xmlns="http://schemas.openxmlformats.org/spreadsheetml/2006/main" xmlns:r="http://schemas.openxmlformats.org/officeDocument/2006/relationships">
  <sheetPr codeName="Sheet17"/>
  <dimension ref="A3:O146"/>
  <sheetViews>
    <sheetView workbookViewId="0">
      <selection activeCell="E40" sqref="E40"/>
    </sheetView>
  </sheetViews>
  <sheetFormatPr defaultRowHeight="12.75"/>
  <cols>
    <col min="1" max="1" width="23.28515625" customWidth="1"/>
    <col min="2" max="2" width="16" customWidth="1"/>
    <col min="5" max="5" width="23.28515625" customWidth="1"/>
    <col min="6" max="6" width="15.140625" customWidth="1"/>
    <col min="10" max="10" width="17.7109375" customWidth="1"/>
    <col min="11" max="11" width="41.7109375" customWidth="1"/>
    <col min="12" max="12" width="15.7109375" customWidth="1"/>
    <col min="14" max="14" width="12.140625" style="59" bestFit="1" customWidth="1"/>
  </cols>
  <sheetData>
    <row r="3" spans="1:15">
      <c r="A3" s="132" t="s">
        <v>106</v>
      </c>
      <c r="B3" s="132"/>
      <c r="C3" s="132"/>
      <c r="E3" s="132" t="s">
        <v>106</v>
      </c>
      <c r="F3" s="132"/>
      <c r="G3" s="132"/>
      <c r="J3" s="132" t="s">
        <v>106</v>
      </c>
      <c r="K3" s="132"/>
      <c r="L3" s="132"/>
    </row>
    <row r="4" spans="1:15">
      <c r="A4" s="6" t="s">
        <v>291</v>
      </c>
      <c r="B4" s="7"/>
      <c r="E4" s="6" t="s">
        <v>291</v>
      </c>
      <c r="F4" s="7"/>
      <c r="J4" s="6" t="s">
        <v>291</v>
      </c>
      <c r="K4" s="12"/>
      <c r="L4" s="7"/>
    </row>
    <row r="5" spans="1:15">
      <c r="A5" s="6" t="s">
        <v>572</v>
      </c>
      <c r="B5" s="7" t="s">
        <v>1871</v>
      </c>
      <c r="E5" s="6" t="s">
        <v>572</v>
      </c>
      <c r="F5" s="7" t="s">
        <v>1871</v>
      </c>
      <c r="J5" s="6" t="s">
        <v>572</v>
      </c>
      <c r="K5" s="6" t="s">
        <v>358</v>
      </c>
      <c r="L5" s="7" t="s">
        <v>1871</v>
      </c>
      <c r="N5" s="59" t="s">
        <v>283</v>
      </c>
      <c r="O5" t="s">
        <v>1868</v>
      </c>
    </row>
    <row r="6" spans="1:15">
      <c r="A6" s="5">
        <v>1999</v>
      </c>
      <c r="B6" s="67">
        <v>89210000</v>
      </c>
      <c r="E6" s="5">
        <v>1999</v>
      </c>
      <c r="F6" s="67">
        <v>89210000</v>
      </c>
      <c r="J6" s="5">
        <v>2005</v>
      </c>
      <c r="K6" s="5" t="s">
        <v>1319</v>
      </c>
      <c r="L6" s="67">
        <v>100000</v>
      </c>
    </row>
    <row r="7" spans="1:15">
      <c r="A7" s="68">
        <v>2000</v>
      </c>
      <c r="B7" s="69">
        <v>9499711.1500000022</v>
      </c>
      <c r="E7" s="68">
        <v>2000</v>
      </c>
      <c r="F7" s="69">
        <v>9499711.1500000022</v>
      </c>
      <c r="J7" s="13"/>
      <c r="K7" s="68" t="s">
        <v>88</v>
      </c>
      <c r="L7" s="69">
        <v>35975</v>
      </c>
    </row>
    <row r="8" spans="1:15">
      <c r="A8" s="68">
        <v>2001</v>
      </c>
      <c r="B8" s="69">
        <v>17478376.800000001</v>
      </c>
      <c r="E8" s="68">
        <v>2001</v>
      </c>
      <c r="F8" s="69">
        <v>17478376.800000001</v>
      </c>
      <c r="J8" s="13"/>
      <c r="K8" s="68" t="s">
        <v>1811</v>
      </c>
      <c r="L8" s="69">
        <v>5000</v>
      </c>
    </row>
    <row r="9" spans="1:15">
      <c r="A9" s="68">
        <v>2002</v>
      </c>
      <c r="B9" s="69">
        <v>7259965.8400000008</v>
      </c>
      <c r="E9" s="68">
        <v>2002</v>
      </c>
      <c r="F9" s="69">
        <v>7259965.8400000008</v>
      </c>
      <c r="J9" s="13"/>
      <c r="K9" s="68" t="s">
        <v>1812</v>
      </c>
      <c r="L9" s="69">
        <v>112853.79</v>
      </c>
    </row>
    <row r="10" spans="1:15">
      <c r="A10" s="68">
        <v>2003</v>
      </c>
      <c r="B10" s="69">
        <v>3164788.6272799997</v>
      </c>
      <c r="E10" s="68">
        <v>2003</v>
      </c>
      <c r="F10" s="69">
        <v>3164788.6272799997</v>
      </c>
      <c r="J10" s="13"/>
      <c r="K10" s="68" t="s">
        <v>1813</v>
      </c>
      <c r="L10" s="69">
        <v>100000</v>
      </c>
    </row>
    <row r="11" spans="1:15">
      <c r="A11" s="68">
        <v>2004</v>
      </c>
      <c r="B11" s="69">
        <v>2131673.38845</v>
      </c>
      <c r="E11" s="68">
        <v>2004</v>
      </c>
      <c r="F11" s="69">
        <v>2131673.38845</v>
      </c>
      <c r="J11" s="13"/>
      <c r="K11" s="68" t="s">
        <v>532</v>
      </c>
      <c r="L11" s="69">
        <v>2655</v>
      </c>
    </row>
    <row r="12" spans="1:15">
      <c r="A12" s="68">
        <v>2005</v>
      </c>
      <c r="B12" s="69">
        <v>584530429.39621234</v>
      </c>
      <c r="E12" s="68">
        <v>2005</v>
      </c>
      <c r="F12" s="69">
        <v>584530429.39621234</v>
      </c>
      <c r="J12" s="13"/>
      <c r="K12" s="68" t="s">
        <v>1802</v>
      </c>
      <c r="L12" s="69">
        <v>302452.19</v>
      </c>
    </row>
    <row r="13" spans="1:15">
      <c r="A13" s="68">
        <v>2006</v>
      </c>
      <c r="B13" s="69">
        <v>42251936</v>
      </c>
      <c r="E13" s="68">
        <v>2006</v>
      </c>
      <c r="F13" s="69">
        <v>42251936</v>
      </c>
      <c r="J13" s="13"/>
      <c r="K13" s="68" t="s">
        <v>1814</v>
      </c>
      <c r="L13" s="69">
        <v>13100</v>
      </c>
    </row>
    <row r="14" spans="1:15">
      <c r="A14" s="68">
        <v>2007</v>
      </c>
      <c r="B14" s="69">
        <v>4075500</v>
      </c>
      <c r="E14" s="68">
        <v>2007</v>
      </c>
      <c r="F14" s="69">
        <v>4075500</v>
      </c>
      <c r="J14" s="13"/>
      <c r="K14" s="68" t="s">
        <v>1810</v>
      </c>
      <c r="L14" s="69">
        <v>401375</v>
      </c>
    </row>
    <row r="15" spans="1:15">
      <c r="A15" s="68">
        <v>2008</v>
      </c>
      <c r="B15" s="69">
        <v>69927075</v>
      </c>
      <c r="E15" s="68">
        <v>2008</v>
      </c>
      <c r="F15" s="69">
        <v>69927075</v>
      </c>
      <c r="J15" s="13"/>
      <c r="K15" s="68" t="s">
        <v>1815</v>
      </c>
      <c r="L15" s="176">
        <v>477328823.80666667</v>
      </c>
    </row>
    <row r="16" spans="1:15">
      <c r="A16" s="68">
        <v>2009</v>
      </c>
      <c r="B16" s="69">
        <v>8281561</v>
      </c>
      <c r="E16" s="68">
        <v>2009</v>
      </c>
      <c r="F16" s="69">
        <v>8281561</v>
      </c>
      <c r="J16" s="13"/>
      <c r="K16" s="68" t="s">
        <v>1805</v>
      </c>
      <c r="L16" s="69">
        <v>131046.88</v>
      </c>
    </row>
    <row r="17" spans="1:15">
      <c r="A17" s="68">
        <v>2010</v>
      </c>
      <c r="B17" s="69">
        <v>3369000</v>
      </c>
      <c r="E17" s="68">
        <v>2010</v>
      </c>
      <c r="F17" s="69">
        <v>3369000</v>
      </c>
      <c r="J17" s="13"/>
      <c r="K17" s="68" t="s">
        <v>1816</v>
      </c>
      <c r="L17" s="176">
        <v>1822266.6666666667</v>
      </c>
    </row>
    <row r="18" spans="1:15">
      <c r="A18" s="68">
        <v>1986</v>
      </c>
      <c r="B18" s="69">
        <v>19700000</v>
      </c>
      <c r="E18" s="134" t="s">
        <v>1207</v>
      </c>
      <c r="F18" s="133">
        <v>841180017.20194232</v>
      </c>
      <c r="J18" s="13"/>
      <c r="K18" s="68" t="s">
        <v>1808</v>
      </c>
      <c r="L18" s="69">
        <v>0</v>
      </c>
    </row>
    <row r="19" spans="1:15">
      <c r="A19" s="68">
        <v>1989</v>
      </c>
      <c r="B19" s="69">
        <v>14000000</v>
      </c>
      <c r="J19" s="13"/>
      <c r="K19" s="68" t="s">
        <v>257</v>
      </c>
      <c r="L19" s="69">
        <v>18675</v>
      </c>
    </row>
    <row r="20" spans="1:15">
      <c r="A20" s="68">
        <v>1994</v>
      </c>
      <c r="B20" s="69">
        <v>18000000</v>
      </c>
      <c r="J20" s="13"/>
      <c r="K20" s="68" t="s">
        <v>258</v>
      </c>
      <c r="L20" s="176">
        <v>103848909.52666667</v>
      </c>
      <c r="N20" s="59">
        <v>581000000</v>
      </c>
      <c r="O20">
        <v>10</v>
      </c>
    </row>
    <row r="21" spans="1:15">
      <c r="A21" s="134" t="s">
        <v>1207</v>
      </c>
      <c r="B21" s="133">
        <v>892880017.20194232</v>
      </c>
      <c r="E21" t="s">
        <v>1392</v>
      </c>
      <c r="F21" s="59">
        <f>GETPIVOTDATA("Total Contributions",$E$4)-'Disaster Data'!BF10</f>
        <v>841080017.20194232</v>
      </c>
      <c r="J21" s="13"/>
      <c r="K21" s="68" t="s">
        <v>101</v>
      </c>
      <c r="L21" s="69">
        <v>247400</v>
      </c>
    </row>
    <row r="22" spans="1:15">
      <c r="J22" s="13"/>
      <c r="K22" s="68" t="s">
        <v>259</v>
      </c>
      <c r="L22" s="69">
        <v>59896.536212325685</v>
      </c>
    </row>
    <row r="23" spans="1:15">
      <c r="J23" s="5" t="s">
        <v>260</v>
      </c>
      <c r="K23" s="12"/>
      <c r="L23" s="67">
        <v>584530429.39621234</v>
      </c>
    </row>
    <row r="24" spans="1:15">
      <c r="J24" s="5">
        <v>2006</v>
      </c>
      <c r="K24" s="5" t="s">
        <v>261</v>
      </c>
      <c r="L24" s="67">
        <v>157925</v>
      </c>
    </row>
    <row r="25" spans="1:15">
      <c r="J25" s="13"/>
      <c r="K25" s="68" t="s">
        <v>1789</v>
      </c>
      <c r="L25" s="69">
        <v>5000</v>
      </c>
    </row>
    <row r="26" spans="1:15">
      <c r="J26" s="13"/>
      <c r="K26" s="68" t="s">
        <v>441</v>
      </c>
      <c r="L26" s="69">
        <v>50000</v>
      </c>
    </row>
    <row r="27" spans="1:15">
      <c r="J27" s="13"/>
      <c r="K27" s="68" t="s">
        <v>262</v>
      </c>
      <c r="L27" s="69">
        <v>17402</v>
      </c>
    </row>
    <row r="28" spans="1:15">
      <c r="J28" s="13"/>
      <c r="K28" s="68" t="s">
        <v>1796</v>
      </c>
      <c r="L28" s="69">
        <v>150000</v>
      </c>
    </row>
    <row r="29" spans="1:15">
      <c r="J29" s="13"/>
      <c r="K29" s="68" t="s">
        <v>492</v>
      </c>
      <c r="L29" s="69">
        <v>7034</v>
      </c>
    </row>
    <row r="30" spans="1:15">
      <c r="J30" s="13"/>
      <c r="K30" s="68" t="s">
        <v>1800</v>
      </c>
      <c r="L30" s="69">
        <v>94461</v>
      </c>
    </row>
    <row r="31" spans="1:15">
      <c r="J31" s="13"/>
      <c r="K31" s="68" t="s">
        <v>1802</v>
      </c>
      <c r="L31" s="69">
        <v>75000</v>
      </c>
    </row>
    <row r="32" spans="1:15">
      <c r="J32" s="13"/>
      <c r="K32" s="68" t="s">
        <v>263</v>
      </c>
      <c r="L32" s="69">
        <v>47581</v>
      </c>
    </row>
    <row r="33" spans="10:15">
      <c r="J33" s="13"/>
      <c r="K33" s="68" t="s">
        <v>264</v>
      </c>
      <c r="L33" s="69">
        <v>108693</v>
      </c>
    </row>
    <row r="34" spans="10:15">
      <c r="J34" s="13"/>
      <c r="K34" s="68" t="s">
        <v>487</v>
      </c>
      <c r="L34" s="69">
        <v>20597</v>
      </c>
    </row>
    <row r="35" spans="10:15">
      <c r="J35" s="13"/>
      <c r="K35" s="68" t="s">
        <v>486</v>
      </c>
      <c r="L35" s="69">
        <v>497744</v>
      </c>
    </row>
    <row r="36" spans="10:15">
      <c r="J36" s="13"/>
      <c r="K36" s="68" t="s">
        <v>1786</v>
      </c>
      <c r="L36" s="69">
        <v>1485750</v>
      </c>
    </row>
    <row r="37" spans="10:15">
      <c r="J37" s="13"/>
      <c r="K37" s="68" t="s">
        <v>96</v>
      </c>
      <c r="L37" s="69">
        <v>188443</v>
      </c>
    </row>
    <row r="38" spans="10:15">
      <c r="J38" s="13"/>
      <c r="K38" s="68" t="s">
        <v>1805</v>
      </c>
      <c r="L38" s="69">
        <v>32475</v>
      </c>
    </row>
    <row r="39" spans="10:15">
      <c r="J39" s="13"/>
      <c r="K39" s="68" t="s">
        <v>265</v>
      </c>
      <c r="L39" s="69">
        <v>100000</v>
      </c>
    </row>
    <row r="40" spans="10:15">
      <c r="J40" s="13"/>
      <c r="K40" s="68" t="s">
        <v>266</v>
      </c>
      <c r="L40" s="69">
        <v>150000</v>
      </c>
    </row>
    <row r="41" spans="10:15">
      <c r="J41" s="13"/>
      <c r="K41" s="68" t="s">
        <v>1807</v>
      </c>
      <c r="L41" s="69">
        <v>209453</v>
      </c>
    </row>
    <row r="42" spans="10:15">
      <c r="J42" s="13"/>
      <c r="K42" s="68" t="s">
        <v>267</v>
      </c>
      <c r="L42" s="176">
        <v>13558310</v>
      </c>
      <c r="N42" s="59">
        <f>GETPIVOTDATA("Total Contributions",$J$4,"Disaster Name","Pakistan Earthquake","Fiscal Year",2006)</f>
        <v>13558310</v>
      </c>
      <c r="O42">
        <v>1</v>
      </c>
    </row>
    <row r="43" spans="10:15">
      <c r="J43" s="13"/>
      <c r="K43" s="68" t="s">
        <v>1791</v>
      </c>
      <c r="L43" s="69">
        <v>55000</v>
      </c>
    </row>
    <row r="44" spans="10:15">
      <c r="J44" s="13"/>
      <c r="K44" s="68" t="s">
        <v>1391</v>
      </c>
      <c r="L44" s="177">
        <v>24500000</v>
      </c>
    </row>
    <row r="45" spans="10:15">
      <c r="J45" s="13"/>
      <c r="K45" s="68" t="s">
        <v>268</v>
      </c>
      <c r="L45" s="69">
        <v>0</v>
      </c>
    </row>
    <row r="46" spans="10:15">
      <c r="J46" s="13"/>
      <c r="K46" s="68" t="s">
        <v>269</v>
      </c>
      <c r="L46" s="69">
        <v>20000</v>
      </c>
    </row>
    <row r="47" spans="10:15">
      <c r="J47" s="13"/>
      <c r="K47" s="68" t="s">
        <v>270</v>
      </c>
      <c r="L47" s="69">
        <v>50000</v>
      </c>
    </row>
    <row r="48" spans="10:15">
      <c r="J48" s="13"/>
      <c r="K48" s="68" t="s">
        <v>271</v>
      </c>
      <c r="L48" s="69">
        <v>0</v>
      </c>
    </row>
    <row r="49" spans="10:12">
      <c r="J49" s="13"/>
      <c r="K49" s="68" t="s">
        <v>1798</v>
      </c>
      <c r="L49" s="69">
        <v>21068</v>
      </c>
    </row>
    <row r="50" spans="10:12">
      <c r="J50" s="13"/>
      <c r="K50" s="68" t="s">
        <v>272</v>
      </c>
      <c r="L50" s="69">
        <v>400000</v>
      </c>
    </row>
    <row r="51" spans="10:12">
      <c r="J51" s="13"/>
      <c r="K51" s="68" t="s">
        <v>273</v>
      </c>
      <c r="L51" s="69">
        <v>250000</v>
      </c>
    </row>
    <row r="52" spans="10:12">
      <c r="J52" s="5" t="s">
        <v>274</v>
      </c>
      <c r="K52" s="12"/>
      <c r="L52" s="67">
        <v>42251936</v>
      </c>
    </row>
    <row r="53" spans="10:12">
      <c r="J53" s="5">
        <v>2007</v>
      </c>
      <c r="K53" s="5" t="s">
        <v>1803</v>
      </c>
      <c r="L53" s="67">
        <v>150000</v>
      </c>
    </row>
    <row r="54" spans="10:12">
      <c r="J54" s="13"/>
      <c r="K54" s="68" t="s">
        <v>1801</v>
      </c>
      <c r="L54" s="69">
        <v>50000</v>
      </c>
    </row>
    <row r="55" spans="10:12">
      <c r="J55" s="13"/>
      <c r="K55" s="68" t="s">
        <v>452</v>
      </c>
      <c r="L55" s="69">
        <v>5000</v>
      </c>
    </row>
    <row r="56" spans="10:12">
      <c r="J56" s="13"/>
      <c r="K56" s="68" t="s">
        <v>1782</v>
      </c>
      <c r="L56" s="69">
        <v>50000</v>
      </c>
    </row>
    <row r="57" spans="10:12">
      <c r="J57" s="13"/>
      <c r="K57" s="68" t="s">
        <v>275</v>
      </c>
      <c r="L57" s="69">
        <v>85000</v>
      </c>
    </row>
    <row r="58" spans="10:12">
      <c r="J58" s="13"/>
      <c r="K58" s="68" t="s">
        <v>1806</v>
      </c>
      <c r="L58" s="69">
        <v>200000</v>
      </c>
    </row>
    <row r="59" spans="10:12">
      <c r="J59" s="13"/>
      <c r="K59" s="68" t="s">
        <v>276</v>
      </c>
      <c r="L59" s="69">
        <v>1889600</v>
      </c>
    </row>
    <row r="60" spans="10:12">
      <c r="J60" s="13"/>
      <c r="K60" s="68" t="s">
        <v>458</v>
      </c>
      <c r="L60" s="69">
        <v>102000</v>
      </c>
    </row>
    <row r="61" spans="10:12">
      <c r="J61" s="13"/>
      <c r="K61" s="68" t="s">
        <v>453</v>
      </c>
      <c r="L61" s="69">
        <v>20000</v>
      </c>
    </row>
    <row r="62" spans="10:12">
      <c r="J62" s="13"/>
      <c r="K62" s="68" t="s">
        <v>1804</v>
      </c>
      <c r="L62" s="69">
        <v>245000</v>
      </c>
    </row>
    <row r="63" spans="10:12">
      <c r="J63" s="13"/>
      <c r="K63" s="68" t="s">
        <v>1774</v>
      </c>
      <c r="L63" s="69">
        <v>793500</v>
      </c>
    </row>
    <row r="64" spans="10:12">
      <c r="J64" s="13"/>
      <c r="K64" s="68" t="s">
        <v>1809</v>
      </c>
      <c r="L64" s="69">
        <v>5000</v>
      </c>
    </row>
    <row r="65" spans="10:15">
      <c r="J65" s="13"/>
      <c r="K65" s="68" t="s">
        <v>456</v>
      </c>
      <c r="L65" s="69">
        <v>50000</v>
      </c>
    </row>
    <row r="66" spans="10:15">
      <c r="J66" s="13"/>
      <c r="K66" s="68" t="s">
        <v>277</v>
      </c>
      <c r="L66" s="69">
        <v>0</v>
      </c>
    </row>
    <row r="67" spans="10:15">
      <c r="J67" s="13"/>
      <c r="K67" s="68" t="s">
        <v>278</v>
      </c>
      <c r="L67" s="69">
        <v>100000</v>
      </c>
    </row>
    <row r="68" spans="10:15">
      <c r="J68" s="13"/>
      <c r="K68" s="68" t="s">
        <v>442</v>
      </c>
      <c r="L68" s="69">
        <v>20500</v>
      </c>
    </row>
    <row r="69" spans="10:15">
      <c r="J69" s="13"/>
      <c r="K69" s="68" t="s">
        <v>101</v>
      </c>
      <c r="L69" s="69">
        <v>200000</v>
      </c>
    </row>
    <row r="70" spans="10:15">
      <c r="J70" s="13"/>
      <c r="K70" s="68" t="s">
        <v>102</v>
      </c>
      <c r="L70" s="69">
        <v>46900</v>
      </c>
    </row>
    <row r="71" spans="10:15">
      <c r="J71" s="13"/>
      <c r="K71" s="68" t="s">
        <v>1771</v>
      </c>
      <c r="L71" s="69">
        <v>63000</v>
      </c>
    </row>
    <row r="72" spans="10:15">
      <c r="J72" s="5" t="s">
        <v>279</v>
      </c>
      <c r="K72" s="12"/>
      <c r="L72" s="67">
        <v>4075500</v>
      </c>
    </row>
    <row r="73" spans="10:15">
      <c r="J73" s="5">
        <v>2008</v>
      </c>
      <c r="K73" s="5" t="s">
        <v>431</v>
      </c>
      <c r="L73" s="178">
        <v>1356654</v>
      </c>
      <c r="N73" s="59">
        <f>GETPIVOTDATA("Total Contributions",$J$4,"Disaster Name","Bangladesh Cyclone Sidr","Fiscal Year",2008)</f>
        <v>1356654</v>
      </c>
      <c r="O73">
        <v>1</v>
      </c>
    </row>
    <row r="74" spans="10:15">
      <c r="J74" s="13"/>
      <c r="K74" s="68" t="s">
        <v>88</v>
      </c>
      <c r="L74" s="69">
        <v>124500</v>
      </c>
    </row>
    <row r="75" spans="10:15">
      <c r="J75" s="13"/>
      <c r="K75" s="68" t="s">
        <v>91</v>
      </c>
      <c r="L75" s="69">
        <v>2000</v>
      </c>
    </row>
    <row r="76" spans="10:15">
      <c r="J76" s="13"/>
      <c r="K76" s="68" t="s">
        <v>347</v>
      </c>
      <c r="L76" s="176">
        <v>55000000</v>
      </c>
      <c r="N76" s="59">
        <f>GETPIVOTDATA("Total Contributions",$J$4,"Disaster Name","China Sichuan Earthquake","Fiscal Year",2008)</f>
        <v>55000000</v>
      </c>
      <c r="O76">
        <v>1</v>
      </c>
    </row>
    <row r="77" spans="10:15">
      <c r="J77" s="13"/>
      <c r="K77" s="68" t="s">
        <v>349</v>
      </c>
      <c r="L77" s="69">
        <v>867000</v>
      </c>
    </row>
    <row r="78" spans="10:15">
      <c r="J78" s="13"/>
      <c r="K78" s="68" t="s">
        <v>92</v>
      </c>
      <c r="L78" s="69">
        <v>245000</v>
      </c>
    </row>
    <row r="79" spans="10:15">
      <c r="J79" s="13"/>
      <c r="K79" s="68" t="s">
        <v>93</v>
      </c>
      <c r="L79" s="69">
        <v>100000</v>
      </c>
    </row>
    <row r="80" spans="10:15">
      <c r="J80" s="13"/>
      <c r="K80" s="68" t="s">
        <v>94</v>
      </c>
      <c r="L80" s="69">
        <v>40000</v>
      </c>
    </row>
    <row r="81" spans="10:15">
      <c r="J81" s="13"/>
      <c r="K81" s="68" t="s">
        <v>95</v>
      </c>
      <c r="L81" s="69">
        <v>12400</v>
      </c>
    </row>
    <row r="82" spans="10:15">
      <c r="J82" s="13"/>
      <c r="K82" s="68" t="s">
        <v>445</v>
      </c>
      <c r="L82" s="69">
        <v>335745</v>
      </c>
    </row>
    <row r="83" spans="10:15">
      <c r="J83" s="13"/>
      <c r="K83" s="68" t="s">
        <v>440</v>
      </c>
      <c r="L83" s="69">
        <v>120000</v>
      </c>
    </row>
    <row r="84" spans="10:15">
      <c r="J84" s="13"/>
      <c r="K84" s="68" t="s">
        <v>437</v>
      </c>
      <c r="L84" s="69">
        <v>3000</v>
      </c>
    </row>
    <row r="85" spans="10:15">
      <c r="J85" s="13"/>
      <c r="K85" s="68" t="s">
        <v>96</v>
      </c>
      <c r="L85" s="69">
        <v>519000</v>
      </c>
    </row>
    <row r="86" spans="10:15">
      <c r="J86" s="13"/>
      <c r="K86" s="68" t="s">
        <v>350</v>
      </c>
      <c r="L86" s="69">
        <v>300000</v>
      </c>
    </row>
    <row r="87" spans="10:15">
      <c r="J87" s="13"/>
      <c r="K87" s="68" t="s">
        <v>348</v>
      </c>
      <c r="L87" s="69">
        <v>50000</v>
      </c>
    </row>
    <row r="88" spans="10:15">
      <c r="J88" s="13"/>
      <c r="K88" s="68" t="s">
        <v>97</v>
      </c>
      <c r="L88" s="176">
        <v>1900000</v>
      </c>
      <c r="N88" s="59">
        <f>GETPIVOTDATA("Total Contributions",$J$4,"Disaster Name","Mexico Floods","Fiscal Year",2008)</f>
        <v>1900000</v>
      </c>
      <c r="O88">
        <v>1</v>
      </c>
    </row>
    <row r="89" spans="10:15">
      <c r="J89" s="13"/>
      <c r="K89" s="68" t="s">
        <v>62</v>
      </c>
      <c r="L89" s="176">
        <v>3400000</v>
      </c>
      <c r="N89" s="59">
        <f>GETPIVOTDATA("Total Contributions",$J$4,"Disaster Name","Myanmar Cyclone Nargis","Fiscal Year",2008)</f>
        <v>3400000</v>
      </c>
      <c r="O89">
        <v>1</v>
      </c>
    </row>
    <row r="90" spans="10:15">
      <c r="J90" s="13"/>
      <c r="K90" s="68" t="s">
        <v>1145</v>
      </c>
      <c r="L90" s="69">
        <v>50000</v>
      </c>
    </row>
    <row r="91" spans="10:15">
      <c r="J91" s="13"/>
      <c r="K91" s="68" t="s">
        <v>451</v>
      </c>
      <c r="L91" s="69">
        <v>295000</v>
      </c>
    </row>
    <row r="92" spans="10:15">
      <c r="J92" s="13"/>
      <c r="K92" s="68" t="s">
        <v>98</v>
      </c>
      <c r="L92" s="69">
        <v>23750</v>
      </c>
    </row>
    <row r="93" spans="10:15">
      <c r="J93" s="13"/>
      <c r="K93" s="68" t="s">
        <v>99</v>
      </c>
      <c r="L93" s="176">
        <v>3400000</v>
      </c>
      <c r="N93" s="59">
        <f>GETPIVOTDATA("Total Contributions",$J$4,"Disaster Name","Peru Earthquake","Fiscal Year",2008)</f>
        <v>3400000</v>
      </c>
      <c r="O93">
        <v>1</v>
      </c>
    </row>
    <row r="94" spans="10:15">
      <c r="J94" s="13"/>
      <c r="K94" s="68" t="s">
        <v>346</v>
      </c>
      <c r="L94" s="69">
        <v>185000</v>
      </c>
    </row>
    <row r="95" spans="10:15">
      <c r="J95" s="13"/>
      <c r="K95" s="68" t="s">
        <v>100</v>
      </c>
      <c r="L95" s="69">
        <v>10000</v>
      </c>
    </row>
    <row r="96" spans="10:15">
      <c r="J96" s="13"/>
      <c r="K96" s="68" t="s">
        <v>890</v>
      </c>
      <c r="L96" s="69">
        <v>348500</v>
      </c>
    </row>
    <row r="97" spans="10:12">
      <c r="J97" s="13"/>
      <c r="K97" s="68" t="s">
        <v>101</v>
      </c>
      <c r="L97" s="69">
        <v>714000</v>
      </c>
    </row>
    <row r="98" spans="10:12">
      <c r="J98" s="13"/>
      <c r="K98" s="68" t="s">
        <v>102</v>
      </c>
      <c r="L98" s="69">
        <v>153400</v>
      </c>
    </row>
    <row r="99" spans="10:12">
      <c r="J99" s="13"/>
      <c r="K99" s="68" t="s">
        <v>103</v>
      </c>
      <c r="L99" s="69">
        <v>19970</v>
      </c>
    </row>
    <row r="100" spans="10:12">
      <c r="J100" s="13"/>
      <c r="K100" s="68" t="s">
        <v>434</v>
      </c>
      <c r="L100" s="69">
        <v>199568</v>
      </c>
    </row>
    <row r="101" spans="10:12">
      <c r="J101" s="13"/>
      <c r="K101" s="68" t="s">
        <v>104</v>
      </c>
      <c r="L101" s="69">
        <v>17400</v>
      </c>
    </row>
    <row r="102" spans="10:12">
      <c r="J102" s="13"/>
      <c r="K102" s="68" t="s">
        <v>105</v>
      </c>
      <c r="L102" s="69">
        <v>20188</v>
      </c>
    </row>
    <row r="103" spans="10:12">
      <c r="J103" s="13"/>
      <c r="K103" s="68" t="s">
        <v>199</v>
      </c>
      <c r="L103" s="69">
        <v>115000</v>
      </c>
    </row>
    <row r="104" spans="10:12">
      <c r="J104" s="5" t="s">
        <v>280</v>
      </c>
      <c r="K104" s="12"/>
      <c r="L104" s="67">
        <v>69927075</v>
      </c>
    </row>
    <row r="105" spans="10:12">
      <c r="J105" s="5">
        <v>2009</v>
      </c>
      <c r="K105" s="5" t="s">
        <v>83</v>
      </c>
      <c r="L105" s="67">
        <v>200000</v>
      </c>
    </row>
    <row r="106" spans="10:12">
      <c r="J106" s="13"/>
      <c r="K106" s="68" t="s">
        <v>873</v>
      </c>
      <c r="L106" s="69">
        <v>1520000</v>
      </c>
    </row>
    <row r="107" spans="10:12">
      <c r="J107" s="13"/>
      <c r="K107" s="68" t="s">
        <v>29</v>
      </c>
      <c r="L107" s="69">
        <v>0</v>
      </c>
    </row>
    <row r="108" spans="10:12">
      <c r="J108" s="13"/>
      <c r="K108" s="68" t="s">
        <v>343</v>
      </c>
      <c r="L108" s="69">
        <v>246683</v>
      </c>
    </row>
    <row r="109" spans="10:12">
      <c r="J109" s="13"/>
      <c r="K109" s="68" t="s">
        <v>441</v>
      </c>
      <c r="L109" s="69">
        <v>30000</v>
      </c>
    </row>
    <row r="110" spans="10:12">
      <c r="J110" s="13"/>
      <c r="K110" s="68" t="s">
        <v>557</v>
      </c>
      <c r="L110" s="69">
        <v>74200</v>
      </c>
    </row>
    <row r="111" spans="10:12">
      <c r="J111" s="13"/>
      <c r="K111" s="68" t="s">
        <v>344</v>
      </c>
      <c r="L111" s="69">
        <v>1129943</v>
      </c>
    </row>
    <row r="112" spans="10:12">
      <c r="J112" s="13"/>
      <c r="K112" s="68" t="s">
        <v>558</v>
      </c>
      <c r="L112" s="69">
        <v>100000</v>
      </c>
    </row>
    <row r="113" spans="10:15">
      <c r="J113" s="13"/>
      <c r="K113" s="68" t="s">
        <v>345</v>
      </c>
      <c r="L113" s="176">
        <v>1532876</v>
      </c>
    </row>
    <row r="114" spans="10:15">
      <c r="J114" s="13"/>
      <c r="K114" s="68" t="s">
        <v>338</v>
      </c>
      <c r="L114" s="69">
        <v>0</v>
      </c>
    </row>
    <row r="115" spans="10:15">
      <c r="J115" s="13"/>
      <c r="K115" s="68" t="s">
        <v>403</v>
      </c>
      <c r="L115" s="69">
        <v>981315</v>
      </c>
      <c r="N115" s="59">
        <f>GETPIVOTDATA("Total Contributions",$J$4,"Disaster Name","Haiti Hurricane Season 2008","Fiscal Year",2009)</f>
        <v>1532876</v>
      </c>
      <c r="O115">
        <v>1</v>
      </c>
    </row>
    <row r="116" spans="10:15">
      <c r="J116" s="13"/>
      <c r="K116" s="68" t="s">
        <v>56</v>
      </c>
      <c r="L116" s="69">
        <v>44250</v>
      </c>
    </row>
    <row r="117" spans="10:15">
      <c r="J117" s="13"/>
      <c r="K117" s="68" t="s">
        <v>82</v>
      </c>
      <c r="L117" s="69">
        <v>50000</v>
      </c>
    </row>
    <row r="118" spans="10:15">
      <c r="J118" s="13"/>
      <c r="K118" s="68" t="s">
        <v>1145</v>
      </c>
      <c r="L118" s="69">
        <v>50000</v>
      </c>
    </row>
    <row r="119" spans="10:15">
      <c r="J119" s="13"/>
      <c r="K119" s="68" t="s">
        <v>635</v>
      </c>
      <c r="L119" s="69">
        <v>100000</v>
      </c>
    </row>
    <row r="120" spans="10:15">
      <c r="J120" s="13"/>
      <c r="K120" s="68" t="s">
        <v>2004</v>
      </c>
      <c r="L120" s="69">
        <v>330000</v>
      </c>
    </row>
    <row r="121" spans="10:15">
      <c r="J121" s="13"/>
      <c r="K121" s="68" t="s">
        <v>342</v>
      </c>
      <c r="L121" s="69">
        <v>100000</v>
      </c>
    </row>
    <row r="122" spans="10:15">
      <c r="J122" s="13"/>
      <c r="K122" s="68" t="s">
        <v>442</v>
      </c>
      <c r="L122" s="69">
        <v>500000</v>
      </c>
    </row>
    <row r="123" spans="10:15">
      <c r="J123" s="13"/>
      <c r="K123" s="68" t="s">
        <v>559</v>
      </c>
      <c r="L123" s="69">
        <v>0</v>
      </c>
    </row>
    <row r="124" spans="10:15">
      <c r="J124" s="13"/>
      <c r="K124" s="68" t="s">
        <v>337</v>
      </c>
      <c r="L124" s="69">
        <v>50000</v>
      </c>
    </row>
    <row r="125" spans="10:15">
      <c r="J125" s="13"/>
      <c r="K125" s="68" t="s">
        <v>560</v>
      </c>
      <c r="L125" s="69">
        <v>50000</v>
      </c>
    </row>
    <row r="126" spans="10:15">
      <c r="J126" s="13"/>
      <c r="K126" s="68" t="s">
        <v>561</v>
      </c>
      <c r="L126" s="69">
        <v>50000</v>
      </c>
    </row>
    <row r="127" spans="10:15">
      <c r="J127" s="13"/>
      <c r="K127" s="68" t="s">
        <v>336</v>
      </c>
      <c r="L127" s="69">
        <v>100000</v>
      </c>
    </row>
    <row r="128" spans="10:15">
      <c r="J128" s="13"/>
      <c r="K128" s="68" t="s">
        <v>1844</v>
      </c>
      <c r="L128" s="69">
        <v>121044</v>
      </c>
    </row>
    <row r="129" spans="10:15">
      <c r="J129" s="13"/>
      <c r="K129" s="68" t="s">
        <v>1843</v>
      </c>
      <c r="L129" s="69">
        <v>0</v>
      </c>
    </row>
    <row r="130" spans="10:15">
      <c r="J130" s="13"/>
      <c r="K130" s="68" t="s">
        <v>1846</v>
      </c>
      <c r="L130" s="69">
        <v>921250</v>
      </c>
    </row>
    <row r="131" spans="10:15">
      <c r="J131" s="13"/>
      <c r="K131" s="68" t="s">
        <v>1845</v>
      </c>
      <c r="L131" s="69">
        <v>0</v>
      </c>
    </row>
    <row r="132" spans="10:15">
      <c r="J132" s="5" t="s">
        <v>281</v>
      </c>
      <c r="K132" s="12"/>
      <c r="L132" s="67">
        <v>8281561</v>
      </c>
    </row>
    <row r="133" spans="10:15">
      <c r="J133" s="5">
        <v>2010</v>
      </c>
      <c r="K133" s="5" t="s">
        <v>1830</v>
      </c>
      <c r="L133" s="67">
        <v>180000</v>
      </c>
    </row>
    <row r="134" spans="10:15">
      <c r="J134" s="13"/>
      <c r="K134" s="68" t="s">
        <v>334</v>
      </c>
      <c r="L134" s="69">
        <v>0</v>
      </c>
    </row>
    <row r="135" spans="10:15">
      <c r="J135" s="13"/>
      <c r="K135" s="68" t="s">
        <v>329</v>
      </c>
      <c r="L135" s="69">
        <v>259500</v>
      </c>
    </row>
    <row r="136" spans="10:15">
      <c r="J136" s="13"/>
      <c r="K136" s="68" t="s">
        <v>340</v>
      </c>
      <c r="L136" s="69">
        <v>50000</v>
      </c>
    </row>
    <row r="137" spans="10:15">
      <c r="J137" s="13"/>
      <c r="K137" s="68" t="s">
        <v>357</v>
      </c>
      <c r="L137" s="69">
        <v>11500</v>
      </c>
    </row>
    <row r="138" spans="10:15">
      <c r="J138" s="13"/>
      <c r="K138" s="68" t="s">
        <v>1358</v>
      </c>
      <c r="L138" s="69">
        <v>900000</v>
      </c>
    </row>
    <row r="139" spans="10:15">
      <c r="J139" s="13"/>
      <c r="K139" s="68" t="s">
        <v>546</v>
      </c>
      <c r="L139" s="69">
        <v>0</v>
      </c>
      <c r="N139" s="59">
        <f>SUM(N6:N138)</f>
        <v>661147840</v>
      </c>
      <c r="O139">
        <f>SUM(O6:O138)</f>
        <v>17</v>
      </c>
    </row>
    <row r="140" spans="10:15">
      <c r="J140" s="13"/>
      <c r="K140" s="68" t="s">
        <v>547</v>
      </c>
      <c r="L140" s="69">
        <v>0</v>
      </c>
    </row>
    <row r="141" spans="10:15">
      <c r="J141" s="13"/>
      <c r="K141" s="68" t="s">
        <v>545</v>
      </c>
      <c r="L141" s="69">
        <v>918000</v>
      </c>
    </row>
    <row r="142" spans="10:15">
      <c r="J142" s="13"/>
      <c r="K142" s="68" t="s">
        <v>544</v>
      </c>
      <c r="L142" s="69">
        <v>850000</v>
      </c>
    </row>
    <row r="143" spans="10:15">
      <c r="J143" s="13"/>
      <c r="K143" s="68" t="s">
        <v>46</v>
      </c>
      <c r="L143" s="69">
        <v>100000</v>
      </c>
    </row>
    <row r="144" spans="10:15">
      <c r="J144" s="13"/>
      <c r="K144" s="68" t="s">
        <v>38</v>
      </c>
      <c r="L144" s="69">
        <v>100000</v>
      </c>
    </row>
    <row r="145" spans="10:12">
      <c r="J145" s="5" t="s">
        <v>282</v>
      </c>
      <c r="K145" s="12"/>
      <c r="L145" s="67">
        <v>3369000</v>
      </c>
    </row>
    <row r="146" spans="10:12">
      <c r="J146" s="134" t="s">
        <v>1207</v>
      </c>
      <c r="K146" s="175"/>
      <c r="L146" s="133">
        <v>712435501.39621234</v>
      </c>
    </row>
  </sheetData>
  <phoneticPr fontId="12" type="noConversion"/>
  <pageMargins left="0.75" right="0.75" top="1" bottom="1" header="0.5" footer="0.5"/>
  <pageSetup orientation="portrait" r:id="rId4"/>
  <headerFooter alignWithMargins="0"/>
</worksheet>
</file>

<file path=xl/worksheets/sheet20.xml><?xml version="1.0" encoding="utf-8"?>
<worksheet xmlns="http://schemas.openxmlformats.org/spreadsheetml/2006/main" xmlns:r="http://schemas.openxmlformats.org/officeDocument/2006/relationships">
  <sheetPr codeName="Sheet18"/>
  <dimension ref="A1:W269"/>
  <sheetViews>
    <sheetView topLeftCell="A49" workbookViewId="0">
      <selection activeCell="L47" sqref="L47"/>
    </sheetView>
  </sheetViews>
  <sheetFormatPr defaultRowHeight="12.75"/>
  <cols>
    <col min="1" max="1" width="6.7109375" customWidth="1"/>
    <col min="2" max="2" width="7.140625" style="223" customWidth="1"/>
    <col min="3" max="3" width="7.42578125" customWidth="1"/>
    <col min="4" max="4" width="42.28515625" customWidth="1"/>
    <col min="5" max="6" width="12.140625" customWidth="1"/>
    <col min="7" max="7" width="22.85546875" customWidth="1"/>
    <col min="8" max="8" width="18.28515625" style="223" customWidth="1"/>
    <col min="9" max="9" width="19.85546875" customWidth="1"/>
    <col min="10" max="10" width="42.28515625" customWidth="1"/>
    <col min="11" max="12" width="12.140625" customWidth="1"/>
    <col min="13" max="13" width="38" customWidth="1"/>
    <col min="14" max="17" width="12.140625" customWidth="1"/>
    <col min="18" max="18" width="5.140625" customWidth="1"/>
    <col min="19" max="19" width="12.140625" customWidth="1"/>
    <col min="21" max="21" width="12.7109375" customWidth="1"/>
    <col min="22" max="22" width="14.7109375" customWidth="1"/>
    <col min="23" max="23" width="14.28515625" style="221" customWidth="1"/>
  </cols>
  <sheetData>
    <row r="1" spans="1:23">
      <c r="A1" t="s">
        <v>880</v>
      </c>
      <c r="G1" t="s">
        <v>880</v>
      </c>
    </row>
    <row r="3" spans="1:23">
      <c r="A3" s="6" t="s">
        <v>291</v>
      </c>
      <c r="B3" s="12"/>
      <c r="C3" s="12"/>
      <c r="D3" s="12"/>
      <c r="E3" s="7"/>
      <c r="F3" s="46"/>
      <c r="G3" s="6" t="s">
        <v>291</v>
      </c>
      <c r="H3" s="12"/>
      <c r="I3" s="12"/>
      <c r="J3" s="12"/>
      <c r="K3" s="7"/>
    </row>
    <row r="4" spans="1:23">
      <c r="A4" s="6" t="s">
        <v>572</v>
      </c>
      <c r="B4" s="224" t="s">
        <v>1146</v>
      </c>
      <c r="C4" s="6" t="s">
        <v>211</v>
      </c>
      <c r="D4" s="6" t="s">
        <v>358</v>
      </c>
      <c r="E4" s="7" t="s">
        <v>1871</v>
      </c>
      <c r="F4" s="46"/>
      <c r="G4" s="6" t="s">
        <v>572</v>
      </c>
      <c r="H4" s="6" t="s">
        <v>1209</v>
      </c>
      <c r="I4" s="224" t="s">
        <v>1146</v>
      </c>
      <c r="J4" s="6" t="s">
        <v>358</v>
      </c>
      <c r="K4" s="7" t="s">
        <v>1871</v>
      </c>
      <c r="L4" s="4" t="s">
        <v>1472</v>
      </c>
      <c r="M4" s="4" t="s">
        <v>1473</v>
      </c>
      <c r="N4" s="4" t="s">
        <v>283</v>
      </c>
      <c r="U4" s="4" t="s">
        <v>817</v>
      </c>
    </row>
    <row r="5" spans="1:23">
      <c r="A5" s="5">
        <v>2006</v>
      </c>
      <c r="B5" s="75">
        <v>38534</v>
      </c>
      <c r="C5" s="5">
        <v>1</v>
      </c>
      <c r="D5" s="5" t="s">
        <v>250</v>
      </c>
      <c r="E5" s="67">
        <v>32475</v>
      </c>
      <c r="F5" s="181"/>
      <c r="G5" s="5">
        <v>2005</v>
      </c>
      <c r="H5" s="5" t="s">
        <v>1210</v>
      </c>
      <c r="I5" s="75">
        <v>38200</v>
      </c>
      <c r="J5" s="5" t="s">
        <v>1813</v>
      </c>
      <c r="K5" s="67">
        <v>100000</v>
      </c>
      <c r="L5" s="225">
        <v>39630</v>
      </c>
      <c r="M5" s="3" t="s">
        <v>559</v>
      </c>
      <c r="N5" s="11">
        <v>0</v>
      </c>
      <c r="R5">
        <v>1</v>
      </c>
      <c r="S5" s="67">
        <v>0</v>
      </c>
      <c r="U5" t="s">
        <v>824</v>
      </c>
      <c r="V5" s="221" t="s">
        <v>826</v>
      </c>
      <c r="W5" t="s">
        <v>825</v>
      </c>
    </row>
    <row r="6" spans="1:23">
      <c r="A6" s="13"/>
      <c r="B6" s="13"/>
      <c r="C6" s="13"/>
      <c r="D6" s="68" t="s">
        <v>251</v>
      </c>
      <c r="E6" s="69">
        <v>75000</v>
      </c>
      <c r="F6" s="181"/>
      <c r="G6" s="13"/>
      <c r="H6" s="13"/>
      <c r="I6" s="13"/>
      <c r="J6" s="68" t="s">
        <v>101</v>
      </c>
      <c r="K6" s="69">
        <v>247400</v>
      </c>
      <c r="L6" s="225">
        <v>39699</v>
      </c>
      <c r="M6" s="3" t="s">
        <v>1843</v>
      </c>
      <c r="N6" s="11">
        <v>0</v>
      </c>
      <c r="R6">
        <v>2</v>
      </c>
      <c r="S6" s="69">
        <v>0</v>
      </c>
      <c r="U6" s="2" t="s">
        <v>823</v>
      </c>
      <c r="V6" s="222">
        <f>V19</f>
        <v>3.2</v>
      </c>
      <c r="W6" s="222">
        <f>W19</f>
        <v>16</v>
      </c>
    </row>
    <row r="7" spans="1:23">
      <c r="A7" s="13"/>
      <c r="B7" s="13"/>
      <c r="C7" s="13"/>
      <c r="D7" s="68" t="s">
        <v>252</v>
      </c>
      <c r="E7" s="69">
        <v>108693</v>
      </c>
      <c r="F7" s="181"/>
      <c r="G7" s="13"/>
      <c r="H7" s="5" t="s">
        <v>599</v>
      </c>
      <c r="I7" s="12"/>
      <c r="J7" s="12"/>
      <c r="K7" s="67">
        <v>347400</v>
      </c>
      <c r="L7" s="225">
        <v>39791</v>
      </c>
      <c r="M7" s="3" t="s">
        <v>342</v>
      </c>
      <c r="N7" s="11">
        <v>0</v>
      </c>
      <c r="R7">
        <v>3</v>
      </c>
      <c r="S7" s="69">
        <v>0</v>
      </c>
      <c r="U7" s="2" t="s">
        <v>882</v>
      </c>
      <c r="V7" s="222">
        <f>SUM(V18:V19)</f>
        <v>4.8000000000000007</v>
      </c>
      <c r="W7" s="222">
        <f>SUM(W18:W19)</f>
        <v>24</v>
      </c>
    </row>
    <row r="8" spans="1:23">
      <c r="A8" s="13"/>
      <c r="B8" s="13"/>
      <c r="C8" s="5" t="s">
        <v>1685</v>
      </c>
      <c r="D8" s="12"/>
      <c r="E8" s="67">
        <v>216168</v>
      </c>
      <c r="F8" s="181"/>
      <c r="G8" s="13"/>
      <c r="H8" s="5" t="s">
        <v>570</v>
      </c>
      <c r="I8" s="75">
        <v>38200</v>
      </c>
      <c r="J8" s="5" t="s">
        <v>88</v>
      </c>
      <c r="K8" s="67">
        <v>35975</v>
      </c>
      <c r="L8" s="225">
        <v>39792</v>
      </c>
      <c r="M8" s="3" t="s">
        <v>338</v>
      </c>
      <c r="N8" s="11">
        <v>0</v>
      </c>
      <c r="R8">
        <v>4</v>
      </c>
      <c r="S8" s="69">
        <v>0</v>
      </c>
      <c r="U8" s="2" t="s">
        <v>883</v>
      </c>
      <c r="V8" s="222">
        <f>SUM(V17:V19)</f>
        <v>6.8000000000000007</v>
      </c>
      <c r="W8" s="222">
        <f>SUM(W17:W19)</f>
        <v>34</v>
      </c>
    </row>
    <row r="9" spans="1:23">
      <c r="A9" s="13"/>
      <c r="B9" s="13"/>
      <c r="C9" s="5">
        <v>2</v>
      </c>
      <c r="D9" s="5" t="s">
        <v>1391</v>
      </c>
      <c r="E9" s="67">
        <v>36200</v>
      </c>
      <c r="F9" s="181"/>
      <c r="G9" s="13"/>
      <c r="H9" s="13"/>
      <c r="I9" s="13"/>
      <c r="J9" s="68" t="s">
        <v>259</v>
      </c>
      <c r="K9" s="69">
        <v>59896.536212325685</v>
      </c>
      <c r="L9" s="225">
        <v>39793</v>
      </c>
      <c r="M9" s="3" t="s">
        <v>338</v>
      </c>
      <c r="N9" s="11">
        <v>0</v>
      </c>
      <c r="R9">
        <v>5</v>
      </c>
      <c r="S9" s="69">
        <v>0</v>
      </c>
      <c r="U9" s="2" t="s">
        <v>884</v>
      </c>
      <c r="V9" s="222">
        <f>SUM(V16:V19)</f>
        <v>10</v>
      </c>
      <c r="W9" s="222">
        <f>SUM(W16:W19)</f>
        <v>50</v>
      </c>
    </row>
    <row r="10" spans="1:23">
      <c r="A10" s="13"/>
      <c r="B10" s="13"/>
      <c r="C10" s="5" t="s">
        <v>1686</v>
      </c>
      <c r="D10" s="12"/>
      <c r="E10" s="67">
        <v>36200</v>
      </c>
      <c r="F10" s="181"/>
      <c r="G10" s="13"/>
      <c r="H10" s="13"/>
      <c r="I10" s="75">
        <v>38322</v>
      </c>
      <c r="J10" s="5" t="s">
        <v>1815</v>
      </c>
      <c r="K10" s="67">
        <v>477328823.80666667</v>
      </c>
      <c r="L10" s="225">
        <v>39794</v>
      </c>
      <c r="M10" s="3" t="s">
        <v>338</v>
      </c>
      <c r="N10" s="11">
        <v>0</v>
      </c>
      <c r="R10">
        <v>6</v>
      </c>
      <c r="S10" s="69">
        <v>2000</v>
      </c>
      <c r="U10" s="2" t="s">
        <v>885</v>
      </c>
      <c r="V10" s="222">
        <f>SUM(V15:V19)</f>
        <v>14.400000000000002</v>
      </c>
      <c r="W10" s="222">
        <f>SUM(W15:W19)</f>
        <v>72</v>
      </c>
    </row>
    <row r="11" spans="1:23">
      <c r="A11" s="13"/>
      <c r="B11" s="75">
        <v>38626</v>
      </c>
      <c r="C11" s="5">
        <v>4</v>
      </c>
      <c r="D11" s="5" t="s">
        <v>267</v>
      </c>
      <c r="E11" s="67">
        <v>12558310</v>
      </c>
      <c r="F11" s="181"/>
      <c r="G11" s="13"/>
      <c r="H11" s="13"/>
      <c r="I11" s="13"/>
      <c r="J11" s="68" t="s">
        <v>1816</v>
      </c>
      <c r="K11" s="69">
        <v>1822266.6666666667</v>
      </c>
      <c r="L11" s="225">
        <v>39795</v>
      </c>
      <c r="M11" s="3" t="s">
        <v>338</v>
      </c>
      <c r="N11" s="11">
        <v>0</v>
      </c>
      <c r="R11">
        <v>7</v>
      </c>
      <c r="S11" s="69">
        <v>3000</v>
      </c>
      <c r="U11" s="3" t="s">
        <v>881</v>
      </c>
      <c r="V11" s="222">
        <f>SUM(V14:V19)</f>
        <v>22.6</v>
      </c>
      <c r="W11" s="222">
        <f>SUM(W14:W19)</f>
        <v>113</v>
      </c>
    </row>
    <row r="12" spans="1:23">
      <c r="A12" s="13"/>
      <c r="B12" s="13"/>
      <c r="C12" s="5" t="s">
        <v>1687</v>
      </c>
      <c r="D12" s="12"/>
      <c r="E12" s="67">
        <v>12558310</v>
      </c>
      <c r="F12" s="181"/>
      <c r="G12" s="13"/>
      <c r="H12" s="13"/>
      <c r="I12" s="13"/>
      <c r="J12" s="68" t="s">
        <v>258</v>
      </c>
      <c r="K12" s="69">
        <v>103848909.52666667</v>
      </c>
      <c r="L12" s="225">
        <v>39799</v>
      </c>
      <c r="M12" s="3" t="s">
        <v>1845</v>
      </c>
      <c r="N12" s="11">
        <v>0</v>
      </c>
      <c r="R12">
        <v>8</v>
      </c>
      <c r="S12" s="69">
        <v>5000</v>
      </c>
    </row>
    <row r="13" spans="1:23">
      <c r="A13" s="13"/>
      <c r="B13" s="13"/>
      <c r="C13" s="5">
        <v>5</v>
      </c>
      <c r="D13" s="5" t="s">
        <v>192</v>
      </c>
      <c r="E13" s="67">
        <v>47581</v>
      </c>
      <c r="F13" s="181"/>
      <c r="G13" s="13"/>
      <c r="H13" s="5" t="s">
        <v>600</v>
      </c>
      <c r="I13" s="12"/>
      <c r="J13" s="12"/>
      <c r="K13" s="67">
        <v>583095871.53621233</v>
      </c>
      <c r="L13" s="225">
        <v>39990</v>
      </c>
      <c r="M13" s="3" t="s">
        <v>29</v>
      </c>
      <c r="N13" s="11">
        <v>0</v>
      </c>
      <c r="R13">
        <v>9</v>
      </c>
      <c r="S13" s="69">
        <v>5000</v>
      </c>
      <c r="U13" t="s">
        <v>824</v>
      </c>
      <c r="V13" s="221" t="s">
        <v>826</v>
      </c>
      <c r="W13" t="s">
        <v>825</v>
      </c>
    </row>
    <row r="14" spans="1:23">
      <c r="A14" s="13"/>
      <c r="B14" s="13"/>
      <c r="C14" s="13"/>
      <c r="D14" s="68" t="s">
        <v>191</v>
      </c>
      <c r="E14" s="69">
        <v>342378</v>
      </c>
      <c r="F14" s="181"/>
      <c r="G14" s="13"/>
      <c r="H14" s="5" t="s">
        <v>1211</v>
      </c>
      <c r="I14" s="75">
        <v>38200</v>
      </c>
      <c r="J14" s="5" t="s">
        <v>257</v>
      </c>
      <c r="K14" s="67">
        <v>18675</v>
      </c>
      <c r="L14" s="225">
        <v>40058</v>
      </c>
      <c r="M14" s="3" t="s">
        <v>334</v>
      </c>
      <c r="N14" s="11">
        <v>0</v>
      </c>
      <c r="R14">
        <v>10</v>
      </c>
      <c r="S14" s="69">
        <v>5000</v>
      </c>
      <c r="U14" s="3" t="s">
        <v>818</v>
      </c>
      <c r="V14" s="222">
        <f t="shared" ref="V14:V19" si="0">W14/5</f>
        <v>8.1999999999999993</v>
      </c>
      <c r="W14" s="3">
        <f>R45</f>
        <v>41</v>
      </c>
    </row>
    <row r="15" spans="1:23">
      <c r="A15" s="13"/>
      <c r="B15" s="13"/>
      <c r="C15" s="5" t="s">
        <v>1688</v>
      </c>
      <c r="D15" s="12"/>
      <c r="E15" s="67">
        <v>389959</v>
      </c>
      <c r="F15" s="181"/>
      <c r="G15" s="13"/>
      <c r="H15" s="13"/>
      <c r="I15" s="75">
        <v>38231</v>
      </c>
      <c r="J15" s="5" t="s">
        <v>1319</v>
      </c>
      <c r="K15" s="67">
        <v>100000</v>
      </c>
      <c r="L15" s="225">
        <v>40066</v>
      </c>
      <c r="M15" s="3" t="s">
        <v>547</v>
      </c>
      <c r="N15" s="11">
        <v>0</v>
      </c>
      <c r="R15">
        <v>11</v>
      </c>
      <c r="S15" s="69">
        <v>7034</v>
      </c>
      <c r="U15" s="2" t="s">
        <v>819</v>
      </c>
      <c r="V15" s="222">
        <f t="shared" si="0"/>
        <v>4.4000000000000004</v>
      </c>
      <c r="W15" s="3">
        <f>R67</f>
        <v>22</v>
      </c>
    </row>
    <row r="16" spans="1:23">
      <c r="A16" s="13"/>
      <c r="B16" s="13"/>
      <c r="C16" s="5">
        <v>6</v>
      </c>
      <c r="D16" s="5" t="s">
        <v>492</v>
      </c>
      <c r="E16" s="67">
        <v>7034</v>
      </c>
      <c r="F16" s="181"/>
      <c r="G16" s="13"/>
      <c r="H16" s="13"/>
      <c r="I16" s="13"/>
      <c r="J16" s="68" t="s">
        <v>1812</v>
      </c>
      <c r="K16" s="69">
        <v>112853.79000000001</v>
      </c>
      <c r="L16" s="225">
        <v>40066</v>
      </c>
      <c r="M16" s="3" t="s">
        <v>546</v>
      </c>
      <c r="N16" s="11">
        <v>0</v>
      </c>
      <c r="R16">
        <v>12</v>
      </c>
      <c r="S16" s="69">
        <v>10000</v>
      </c>
      <c r="U16" s="2" t="s">
        <v>820</v>
      </c>
      <c r="V16" s="222">
        <f t="shared" si="0"/>
        <v>3.2</v>
      </c>
      <c r="W16" s="3">
        <f>R83</f>
        <v>16</v>
      </c>
    </row>
    <row r="17" spans="1:23">
      <c r="A17" s="13"/>
      <c r="B17" s="13"/>
      <c r="C17" s="5" t="s">
        <v>1689</v>
      </c>
      <c r="D17" s="12"/>
      <c r="E17" s="67">
        <v>7034</v>
      </c>
      <c r="F17" s="181"/>
      <c r="G17" s="13"/>
      <c r="H17" s="13"/>
      <c r="I17" s="13"/>
      <c r="J17" s="68" t="s">
        <v>1802</v>
      </c>
      <c r="K17" s="69">
        <v>302452.19</v>
      </c>
      <c r="L17" s="225">
        <v>40129</v>
      </c>
      <c r="M17" s="3" t="s">
        <v>1810</v>
      </c>
      <c r="N17" s="11">
        <v>0</v>
      </c>
      <c r="R17">
        <v>13</v>
      </c>
      <c r="S17" s="69">
        <v>11500</v>
      </c>
      <c r="U17" s="2" t="s">
        <v>821</v>
      </c>
      <c r="V17" s="222">
        <f t="shared" si="0"/>
        <v>2</v>
      </c>
      <c r="W17" s="3">
        <f>R93</f>
        <v>10</v>
      </c>
    </row>
    <row r="18" spans="1:23">
      <c r="A18" s="13"/>
      <c r="B18" s="13"/>
      <c r="C18" s="5">
        <v>7</v>
      </c>
      <c r="D18" s="5" t="s">
        <v>487</v>
      </c>
      <c r="E18" s="67">
        <v>20597</v>
      </c>
      <c r="F18" s="181"/>
      <c r="G18" s="13"/>
      <c r="H18" s="13"/>
      <c r="I18" s="13"/>
      <c r="J18" s="68" t="s">
        <v>1810</v>
      </c>
      <c r="K18" s="69">
        <v>401375</v>
      </c>
      <c r="L18" s="225">
        <v>39607</v>
      </c>
      <c r="M18" s="3" t="s">
        <v>91</v>
      </c>
      <c r="N18" s="11">
        <v>2000</v>
      </c>
      <c r="R18">
        <v>14</v>
      </c>
      <c r="S18" s="69">
        <v>12400</v>
      </c>
      <c r="U18" s="2" t="s">
        <v>822</v>
      </c>
      <c r="V18" s="222">
        <f t="shared" si="0"/>
        <v>1.6</v>
      </c>
      <c r="W18" s="3">
        <f>R101</f>
        <v>8</v>
      </c>
    </row>
    <row r="19" spans="1:23">
      <c r="A19" s="13"/>
      <c r="B19" s="13"/>
      <c r="C19" s="13"/>
      <c r="D19" s="68" t="s">
        <v>486</v>
      </c>
      <c r="E19" s="69">
        <v>497744</v>
      </c>
      <c r="F19" s="181"/>
      <c r="G19" s="13"/>
      <c r="H19" s="13"/>
      <c r="I19" s="13"/>
      <c r="J19" s="68" t="s">
        <v>1805</v>
      </c>
      <c r="K19" s="69">
        <v>131046.88</v>
      </c>
      <c r="L19" s="225">
        <v>39326</v>
      </c>
      <c r="M19" s="3" t="s">
        <v>437</v>
      </c>
      <c r="N19" s="11">
        <v>3000</v>
      </c>
      <c r="R19">
        <v>15</v>
      </c>
      <c r="S19" s="69">
        <v>17400</v>
      </c>
      <c r="U19" s="2" t="s">
        <v>823</v>
      </c>
      <c r="V19" s="222">
        <f t="shared" si="0"/>
        <v>3.2</v>
      </c>
      <c r="W19" s="3">
        <f>R117</f>
        <v>16</v>
      </c>
    </row>
    <row r="20" spans="1:23">
      <c r="A20" s="13"/>
      <c r="B20" s="13"/>
      <c r="C20" s="5" t="s">
        <v>1690</v>
      </c>
      <c r="D20" s="12"/>
      <c r="E20" s="67">
        <v>518341</v>
      </c>
      <c r="F20" s="181"/>
      <c r="G20" s="13"/>
      <c r="H20" s="13"/>
      <c r="I20" s="75">
        <v>38292</v>
      </c>
      <c r="J20" s="5" t="s">
        <v>532</v>
      </c>
      <c r="K20" s="67">
        <v>2655</v>
      </c>
      <c r="L20" s="225">
        <v>38838</v>
      </c>
      <c r="M20" s="3" t="s">
        <v>1789</v>
      </c>
      <c r="N20" s="11">
        <v>5000</v>
      </c>
      <c r="R20">
        <v>16</v>
      </c>
      <c r="S20" s="69">
        <v>17402</v>
      </c>
      <c r="U20" s="2" t="s">
        <v>1871</v>
      </c>
      <c r="V20" s="222">
        <f>SUM(V14:V19)</f>
        <v>22.6</v>
      </c>
      <c r="W20" s="3">
        <f>SUM(W14:W19)</f>
        <v>113</v>
      </c>
    </row>
    <row r="21" spans="1:23">
      <c r="A21" s="13"/>
      <c r="B21" s="13"/>
      <c r="C21" s="5">
        <v>8</v>
      </c>
      <c r="D21" s="5" t="s">
        <v>1798</v>
      </c>
      <c r="E21" s="67">
        <v>21068</v>
      </c>
      <c r="F21" s="181"/>
      <c r="G21" s="13"/>
      <c r="H21" s="13"/>
      <c r="I21" s="75">
        <v>38322</v>
      </c>
      <c r="J21" s="5" t="s">
        <v>1808</v>
      </c>
      <c r="K21" s="67">
        <v>0</v>
      </c>
      <c r="L21" s="225">
        <v>38899</v>
      </c>
      <c r="M21" s="3" t="s">
        <v>1809</v>
      </c>
      <c r="N21" s="11">
        <v>5000</v>
      </c>
      <c r="R21">
        <v>17</v>
      </c>
      <c r="S21" s="69">
        <v>19970</v>
      </c>
    </row>
    <row r="22" spans="1:23">
      <c r="A22" s="13"/>
      <c r="B22" s="13"/>
      <c r="C22" s="5" t="s">
        <v>1691</v>
      </c>
      <c r="D22" s="12"/>
      <c r="E22" s="67">
        <v>21068</v>
      </c>
      <c r="F22" s="181"/>
      <c r="G22" s="13"/>
      <c r="H22" s="13"/>
      <c r="I22" s="75">
        <v>38353</v>
      </c>
      <c r="J22" s="5" t="s">
        <v>1814</v>
      </c>
      <c r="K22" s="67">
        <v>13100</v>
      </c>
      <c r="L22" s="225">
        <v>39203</v>
      </c>
      <c r="M22" s="3" t="s">
        <v>452</v>
      </c>
      <c r="N22" s="11">
        <v>5000</v>
      </c>
      <c r="R22">
        <v>18</v>
      </c>
      <c r="S22" s="69">
        <v>20000</v>
      </c>
    </row>
    <row r="23" spans="1:23">
      <c r="A23" s="13"/>
      <c r="B23" s="75">
        <v>38657</v>
      </c>
      <c r="C23" s="5">
        <v>9</v>
      </c>
      <c r="D23" s="5" t="s">
        <v>262</v>
      </c>
      <c r="E23" s="67">
        <v>17402</v>
      </c>
      <c r="F23" s="181"/>
      <c r="G23" s="13"/>
      <c r="H23" s="5" t="s">
        <v>1357</v>
      </c>
      <c r="I23" s="12"/>
      <c r="J23" s="12"/>
      <c r="K23" s="67">
        <v>1082157.8599999999</v>
      </c>
      <c r="L23" s="225">
        <v>38626</v>
      </c>
      <c r="M23" s="3" t="s">
        <v>492</v>
      </c>
      <c r="N23" s="11">
        <v>7034</v>
      </c>
      <c r="R23">
        <v>19</v>
      </c>
      <c r="S23" s="69">
        <v>20000</v>
      </c>
    </row>
    <row r="24" spans="1:23">
      <c r="A24" s="13"/>
      <c r="B24" s="13"/>
      <c r="C24" s="5" t="s">
        <v>1692</v>
      </c>
      <c r="D24" s="12"/>
      <c r="E24" s="67">
        <v>17402</v>
      </c>
      <c r="F24" s="181"/>
      <c r="G24" s="13"/>
      <c r="H24" s="5" t="s">
        <v>1212</v>
      </c>
      <c r="I24" s="75">
        <v>38504</v>
      </c>
      <c r="J24" s="5" t="s">
        <v>1811</v>
      </c>
      <c r="K24" s="67">
        <v>5000</v>
      </c>
      <c r="L24" s="225">
        <v>39607</v>
      </c>
      <c r="M24" s="3" t="s">
        <v>100</v>
      </c>
      <c r="N24" s="11">
        <v>10000</v>
      </c>
      <c r="R24">
        <v>20</v>
      </c>
      <c r="S24" s="67">
        <v>20188</v>
      </c>
    </row>
    <row r="25" spans="1:23">
      <c r="A25" s="13"/>
      <c r="B25" s="75">
        <v>38718</v>
      </c>
      <c r="C25" s="5">
        <v>10</v>
      </c>
      <c r="D25" s="5" t="s">
        <v>1243</v>
      </c>
      <c r="E25" s="67">
        <v>100000</v>
      </c>
      <c r="F25" s="181"/>
      <c r="G25" s="13"/>
      <c r="H25" s="5" t="s">
        <v>601</v>
      </c>
      <c r="I25" s="12"/>
      <c r="J25" s="12"/>
      <c r="K25" s="67">
        <v>5000</v>
      </c>
      <c r="L25" s="225">
        <v>40037</v>
      </c>
      <c r="M25" s="3" t="s">
        <v>357</v>
      </c>
      <c r="N25" s="11">
        <v>11500</v>
      </c>
      <c r="R25">
        <v>21</v>
      </c>
      <c r="S25" s="69">
        <v>21068</v>
      </c>
    </row>
    <row r="26" spans="1:23">
      <c r="A26" s="13"/>
      <c r="B26" s="13"/>
      <c r="C26" s="13"/>
      <c r="D26" s="68" t="s">
        <v>1244</v>
      </c>
      <c r="E26" s="69">
        <v>150000</v>
      </c>
      <c r="F26" s="181"/>
      <c r="G26" s="5">
        <v>2006</v>
      </c>
      <c r="H26" s="5" t="s">
        <v>1210</v>
      </c>
      <c r="I26" s="75">
        <v>38534</v>
      </c>
      <c r="J26" s="5" t="s">
        <v>1391</v>
      </c>
      <c r="K26" s="67">
        <v>36200</v>
      </c>
      <c r="L26" s="225">
        <v>39479</v>
      </c>
      <c r="M26" s="3" t="s">
        <v>95</v>
      </c>
      <c r="N26" s="11">
        <v>12400</v>
      </c>
      <c r="R26">
        <v>22</v>
      </c>
      <c r="S26" s="69">
        <v>23750</v>
      </c>
    </row>
    <row r="27" spans="1:23">
      <c r="A27" s="13"/>
      <c r="B27" s="13"/>
      <c r="C27" s="13"/>
      <c r="D27" s="68" t="s">
        <v>245</v>
      </c>
      <c r="E27" s="69">
        <v>250000</v>
      </c>
      <c r="F27" s="181"/>
      <c r="G27" s="13"/>
      <c r="H27" s="13"/>
      <c r="I27" s="75">
        <v>38718</v>
      </c>
      <c r="J27" s="5" t="s">
        <v>1243</v>
      </c>
      <c r="K27" s="67">
        <v>100000</v>
      </c>
      <c r="L27" s="225">
        <v>39326</v>
      </c>
      <c r="M27" s="3" t="s">
        <v>104</v>
      </c>
      <c r="N27" s="11">
        <v>17400</v>
      </c>
      <c r="R27">
        <v>23</v>
      </c>
      <c r="S27" s="69">
        <v>30000</v>
      </c>
    </row>
    <row r="28" spans="1:23">
      <c r="A28" s="13"/>
      <c r="B28" s="13"/>
      <c r="C28" s="13"/>
      <c r="D28" s="68" t="s">
        <v>246</v>
      </c>
      <c r="E28" s="69">
        <v>400000</v>
      </c>
      <c r="F28" s="181"/>
      <c r="G28" s="13"/>
      <c r="H28" s="13"/>
      <c r="I28" s="13"/>
      <c r="J28" s="68" t="s">
        <v>1244</v>
      </c>
      <c r="K28" s="69">
        <v>150000</v>
      </c>
      <c r="L28" s="225">
        <v>38657</v>
      </c>
      <c r="M28" s="3" t="s">
        <v>262</v>
      </c>
      <c r="N28" s="11">
        <v>17402</v>
      </c>
      <c r="R28">
        <v>24</v>
      </c>
      <c r="S28" s="69">
        <v>36200</v>
      </c>
    </row>
    <row r="29" spans="1:23">
      <c r="A29" s="13"/>
      <c r="B29" s="13"/>
      <c r="C29" s="5" t="s">
        <v>1693</v>
      </c>
      <c r="D29" s="12"/>
      <c r="E29" s="67">
        <v>900000</v>
      </c>
      <c r="F29" s="181"/>
      <c r="G29" s="13"/>
      <c r="H29" s="13"/>
      <c r="I29" s="13"/>
      <c r="J29" s="68" t="s">
        <v>245</v>
      </c>
      <c r="K29" s="69">
        <v>250000</v>
      </c>
      <c r="L29" s="225">
        <v>39326</v>
      </c>
      <c r="M29" s="3" t="s">
        <v>103</v>
      </c>
      <c r="N29" s="11">
        <v>19970</v>
      </c>
      <c r="R29">
        <v>25</v>
      </c>
      <c r="S29" s="69">
        <v>40000</v>
      </c>
    </row>
    <row r="30" spans="1:23">
      <c r="A30" s="13"/>
      <c r="B30" s="75">
        <v>38749</v>
      </c>
      <c r="C30" s="5">
        <v>13</v>
      </c>
      <c r="D30" s="5" t="s">
        <v>270</v>
      </c>
      <c r="E30" s="67">
        <v>50000</v>
      </c>
      <c r="F30" s="181"/>
      <c r="G30" s="13"/>
      <c r="H30" s="13"/>
      <c r="I30" s="13"/>
      <c r="J30" s="68" t="s">
        <v>246</v>
      </c>
      <c r="K30" s="69">
        <v>400000</v>
      </c>
      <c r="L30" s="225">
        <v>38808</v>
      </c>
      <c r="M30" s="3" t="s">
        <v>269</v>
      </c>
      <c r="N30" s="11">
        <v>20000</v>
      </c>
      <c r="R30">
        <v>26</v>
      </c>
      <c r="S30" s="69">
        <v>46900</v>
      </c>
    </row>
    <row r="31" spans="1:23">
      <c r="A31" s="13"/>
      <c r="B31" s="13"/>
      <c r="C31" s="5" t="s">
        <v>1696</v>
      </c>
      <c r="D31" s="12"/>
      <c r="E31" s="67">
        <v>50000</v>
      </c>
      <c r="F31" s="181"/>
      <c r="G31" s="13"/>
      <c r="H31" s="13"/>
      <c r="I31" s="75">
        <v>38777</v>
      </c>
      <c r="J31" s="5" t="s">
        <v>1796</v>
      </c>
      <c r="K31" s="67">
        <v>150000</v>
      </c>
      <c r="L31" s="225">
        <v>39203</v>
      </c>
      <c r="M31" s="3" t="s">
        <v>453</v>
      </c>
      <c r="N31" s="11">
        <v>20000</v>
      </c>
      <c r="R31">
        <v>27</v>
      </c>
      <c r="S31" s="69">
        <v>48500</v>
      </c>
    </row>
    <row r="32" spans="1:23">
      <c r="A32" s="13"/>
      <c r="B32" s="13"/>
      <c r="C32" s="5">
        <v>14</v>
      </c>
      <c r="D32" s="5" t="s">
        <v>1791</v>
      </c>
      <c r="E32" s="67">
        <v>55000</v>
      </c>
      <c r="F32" s="181"/>
      <c r="G32" s="13"/>
      <c r="H32" s="13"/>
      <c r="I32" s="75">
        <v>38808</v>
      </c>
      <c r="J32" s="5" t="s">
        <v>1800</v>
      </c>
      <c r="K32" s="67">
        <v>94461</v>
      </c>
      <c r="L32" s="225">
        <v>39264</v>
      </c>
      <c r="M32" s="3" t="s">
        <v>105</v>
      </c>
      <c r="N32" s="11">
        <v>20188</v>
      </c>
      <c r="R32">
        <v>28</v>
      </c>
      <c r="S32" s="69">
        <v>50000</v>
      </c>
    </row>
    <row r="33" spans="1:19">
      <c r="A33" s="13"/>
      <c r="B33" s="13"/>
      <c r="C33" s="5" t="s">
        <v>1697</v>
      </c>
      <c r="D33" s="12"/>
      <c r="E33" s="67">
        <v>55000</v>
      </c>
      <c r="F33" s="181"/>
      <c r="G33" s="13"/>
      <c r="H33" s="13"/>
      <c r="I33" s="13"/>
      <c r="J33" s="68" t="s">
        <v>268</v>
      </c>
      <c r="K33" s="69">
        <v>250000</v>
      </c>
      <c r="L33" s="225">
        <v>38626</v>
      </c>
      <c r="M33" s="3" t="s">
        <v>487</v>
      </c>
      <c r="N33" s="11">
        <v>20597</v>
      </c>
      <c r="R33">
        <v>29</v>
      </c>
      <c r="S33" s="69">
        <v>50000</v>
      </c>
    </row>
    <row r="34" spans="1:19">
      <c r="A34" s="13"/>
      <c r="B34" s="75">
        <v>38777</v>
      </c>
      <c r="C34" s="5">
        <v>11</v>
      </c>
      <c r="D34" s="5" t="s">
        <v>1796</v>
      </c>
      <c r="E34" s="67">
        <v>150000</v>
      </c>
      <c r="F34" s="181"/>
      <c r="G34" s="13"/>
      <c r="H34" s="13"/>
      <c r="I34" s="75">
        <v>38838</v>
      </c>
      <c r="J34" s="5" t="s">
        <v>1789</v>
      </c>
      <c r="K34" s="67">
        <v>5000</v>
      </c>
      <c r="L34" s="225">
        <v>38626</v>
      </c>
      <c r="M34" s="3" t="s">
        <v>1798</v>
      </c>
      <c r="N34" s="11">
        <v>21068</v>
      </c>
      <c r="R34">
        <v>30</v>
      </c>
      <c r="S34" s="69">
        <v>50000</v>
      </c>
    </row>
    <row r="35" spans="1:19">
      <c r="A35" s="13"/>
      <c r="B35" s="13"/>
      <c r="C35" s="5" t="s">
        <v>1694</v>
      </c>
      <c r="D35" s="12"/>
      <c r="E35" s="67">
        <v>150000</v>
      </c>
      <c r="F35" s="181"/>
      <c r="G35" s="13"/>
      <c r="H35" s="5" t="s">
        <v>599</v>
      </c>
      <c r="I35" s="12"/>
      <c r="J35" s="12"/>
      <c r="K35" s="67">
        <v>1435661</v>
      </c>
      <c r="L35" s="225">
        <v>39387</v>
      </c>
      <c r="M35" s="3" t="s">
        <v>98</v>
      </c>
      <c r="N35" s="11">
        <v>23750</v>
      </c>
      <c r="R35">
        <v>31</v>
      </c>
      <c r="S35" s="69">
        <v>50000</v>
      </c>
    </row>
    <row r="36" spans="1:19">
      <c r="A36" s="13"/>
      <c r="B36" s="13"/>
      <c r="C36" s="5">
        <v>12</v>
      </c>
      <c r="D36" s="5" t="s">
        <v>1240</v>
      </c>
      <c r="E36" s="67">
        <v>188443</v>
      </c>
      <c r="F36" s="181"/>
      <c r="G36" s="13"/>
      <c r="H36" s="5" t="s">
        <v>570</v>
      </c>
      <c r="I36" s="75">
        <v>38626</v>
      </c>
      <c r="J36" s="5" t="s">
        <v>267</v>
      </c>
      <c r="K36" s="67">
        <v>12558310</v>
      </c>
      <c r="L36" s="225">
        <v>39891</v>
      </c>
      <c r="M36" s="3" t="s">
        <v>441</v>
      </c>
      <c r="N36" s="11">
        <v>30000</v>
      </c>
      <c r="R36">
        <v>32</v>
      </c>
      <c r="S36" s="69">
        <v>50000</v>
      </c>
    </row>
    <row r="37" spans="1:19">
      <c r="A37" s="13"/>
      <c r="B37" s="13"/>
      <c r="C37" s="5" t="s">
        <v>1695</v>
      </c>
      <c r="D37" s="12"/>
      <c r="E37" s="67">
        <v>188443</v>
      </c>
      <c r="F37" s="181"/>
      <c r="G37" s="13"/>
      <c r="H37" s="13"/>
      <c r="I37" s="13"/>
      <c r="J37" s="68" t="s">
        <v>1798</v>
      </c>
      <c r="K37" s="69">
        <v>21068</v>
      </c>
      <c r="L37" s="225">
        <v>38534</v>
      </c>
      <c r="M37" s="3" t="s">
        <v>1805</v>
      </c>
      <c r="N37" s="11">
        <v>32475</v>
      </c>
      <c r="R37">
        <v>33</v>
      </c>
      <c r="S37" s="69">
        <v>50000</v>
      </c>
    </row>
    <row r="38" spans="1:19">
      <c r="A38" s="13"/>
      <c r="B38" s="75">
        <v>38808</v>
      </c>
      <c r="C38" s="5">
        <v>16</v>
      </c>
      <c r="D38" s="5" t="s">
        <v>1800</v>
      </c>
      <c r="E38" s="67">
        <v>94461</v>
      </c>
      <c r="F38" s="181"/>
      <c r="G38" s="13"/>
      <c r="H38" s="13"/>
      <c r="I38" s="75">
        <v>38749</v>
      </c>
      <c r="J38" s="5" t="s">
        <v>1791</v>
      </c>
      <c r="K38" s="67">
        <v>55000</v>
      </c>
      <c r="L38" s="225">
        <v>38534</v>
      </c>
      <c r="M38" s="3" t="s">
        <v>1391</v>
      </c>
      <c r="N38" s="11">
        <v>36200</v>
      </c>
      <c r="R38">
        <v>34</v>
      </c>
      <c r="S38" s="69">
        <v>50000</v>
      </c>
    </row>
    <row r="39" spans="1:19">
      <c r="A39" s="13"/>
      <c r="B39" s="13"/>
      <c r="C39" s="5" t="s">
        <v>1699</v>
      </c>
      <c r="D39" s="12"/>
      <c r="E39" s="67">
        <v>94461</v>
      </c>
      <c r="F39" s="181"/>
      <c r="G39" s="13"/>
      <c r="H39" s="13"/>
      <c r="I39" s="13"/>
      <c r="J39" s="68" t="s">
        <v>270</v>
      </c>
      <c r="K39" s="69">
        <v>50000</v>
      </c>
      <c r="L39" s="225">
        <v>39326</v>
      </c>
      <c r="M39" s="3" t="s">
        <v>94</v>
      </c>
      <c r="N39" s="11">
        <v>40000</v>
      </c>
      <c r="R39">
        <v>35</v>
      </c>
      <c r="S39" s="69">
        <v>50000</v>
      </c>
    </row>
    <row r="40" spans="1:19">
      <c r="A40" s="13"/>
      <c r="B40" s="13"/>
      <c r="C40" s="5">
        <v>17</v>
      </c>
      <c r="D40" s="5" t="s">
        <v>268</v>
      </c>
      <c r="E40" s="67">
        <v>250000</v>
      </c>
      <c r="F40" s="181"/>
      <c r="G40" s="13"/>
      <c r="H40" s="13"/>
      <c r="I40" s="75">
        <v>38777</v>
      </c>
      <c r="J40" s="5" t="s">
        <v>1240</v>
      </c>
      <c r="K40" s="67">
        <v>188443</v>
      </c>
      <c r="L40" s="225">
        <v>39661</v>
      </c>
      <c r="M40" s="3" t="s">
        <v>56</v>
      </c>
      <c r="N40" s="11">
        <v>44250</v>
      </c>
      <c r="R40">
        <v>36</v>
      </c>
      <c r="S40" s="69">
        <v>50000</v>
      </c>
    </row>
    <row r="41" spans="1:19">
      <c r="A41" s="13"/>
      <c r="B41" s="13"/>
      <c r="C41" s="5" t="s">
        <v>1700</v>
      </c>
      <c r="D41" s="12"/>
      <c r="E41" s="67">
        <v>250000</v>
      </c>
      <c r="F41" s="181"/>
      <c r="G41" s="13"/>
      <c r="H41" s="13"/>
      <c r="I41" s="75">
        <v>38808</v>
      </c>
      <c r="J41" s="5" t="s">
        <v>269</v>
      </c>
      <c r="K41" s="67">
        <v>20000</v>
      </c>
      <c r="L41" s="225">
        <v>38961</v>
      </c>
      <c r="M41" s="3" t="s">
        <v>102</v>
      </c>
      <c r="N41" s="11">
        <v>46900</v>
      </c>
      <c r="R41">
        <v>37</v>
      </c>
      <c r="S41" s="69">
        <v>50000</v>
      </c>
    </row>
    <row r="42" spans="1:19">
      <c r="A42" s="13"/>
      <c r="B42" s="13"/>
      <c r="C42" s="5">
        <v>18</v>
      </c>
      <c r="D42" s="5" t="s">
        <v>269</v>
      </c>
      <c r="E42" s="67">
        <v>20000</v>
      </c>
      <c r="F42" s="181"/>
      <c r="G42" s="13"/>
      <c r="H42" s="13"/>
      <c r="I42" s="75">
        <v>38838</v>
      </c>
      <c r="J42" s="5" t="s">
        <v>1786</v>
      </c>
      <c r="K42" s="67">
        <v>1485750</v>
      </c>
      <c r="L42" s="225">
        <v>38626</v>
      </c>
      <c r="M42" s="3" t="s">
        <v>192</v>
      </c>
      <c r="N42" s="11">
        <v>47581</v>
      </c>
      <c r="R42">
        <v>38</v>
      </c>
      <c r="S42" s="69">
        <v>50000</v>
      </c>
    </row>
    <row r="43" spans="1:19">
      <c r="A43" s="13"/>
      <c r="B43" s="13"/>
      <c r="C43" s="5" t="s">
        <v>1701</v>
      </c>
      <c r="D43" s="12"/>
      <c r="E43" s="67">
        <v>20000</v>
      </c>
      <c r="F43" s="181"/>
      <c r="G43" s="13"/>
      <c r="H43" s="5" t="s">
        <v>600</v>
      </c>
      <c r="I43" s="12"/>
      <c r="J43" s="12"/>
      <c r="K43" s="67">
        <v>14378571</v>
      </c>
      <c r="L43" s="225">
        <v>38749</v>
      </c>
      <c r="M43" s="3" t="s">
        <v>270</v>
      </c>
      <c r="N43" s="11">
        <v>50000</v>
      </c>
      <c r="R43">
        <v>39</v>
      </c>
      <c r="S43" s="67">
        <v>50000</v>
      </c>
    </row>
    <row r="44" spans="1:19">
      <c r="A44" s="13"/>
      <c r="B44" s="75">
        <v>38838</v>
      </c>
      <c r="C44" s="5">
        <v>15</v>
      </c>
      <c r="D44" s="5" t="s">
        <v>1789</v>
      </c>
      <c r="E44" s="67">
        <v>5000</v>
      </c>
      <c r="F44" s="181"/>
      <c r="G44" s="13"/>
      <c r="H44" s="5" t="s">
        <v>1211</v>
      </c>
      <c r="I44" s="75">
        <v>38534</v>
      </c>
      <c r="J44" s="5" t="s">
        <v>250</v>
      </c>
      <c r="K44" s="67">
        <v>32475</v>
      </c>
      <c r="L44" s="225">
        <v>38838</v>
      </c>
      <c r="M44" s="3" t="s">
        <v>441</v>
      </c>
      <c r="N44" s="11">
        <v>50000</v>
      </c>
      <c r="R44">
        <v>40</v>
      </c>
      <c r="S44" s="69">
        <v>50000</v>
      </c>
    </row>
    <row r="45" spans="1:19">
      <c r="A45" s="13"/>
      <c r="B45" s="13"/>
      <c r="C45" s="5" t="s">
        <v>1698</v>
      </c>
      <c r="D45" s="12"/>
      <c r="E45" s="67">
        <v>5000</v>
      </c>
      <c r="F45" s="181"/>
      <c r="G45" s="13"/>
      <c r="H45" s="13"/>
      <c r="I45" s="13"/>
      <c r="J45" s="68" t="s">
        <v>251</v>
      </c>
      <c r="K45" s="69">
        <v>75000</v>
      </c>
      <c r="L45" s="225">
        <v>38930</v>
      </c>
      <c r="M45" s="3" t="s">
        <v>1801</v>
      </c>
      <c r="N45" s="11">
        <v>50000</v>
      </c>
      <c r="R45">
        <v>41</v>
      </c>
      <c r="S45" s="69">
        <v>50000</v>
      </c>
    </row>
    <row r="46" spans="1:19">
      <c r="A46" s="13"/>
      <c r="B46" s="13"/>
      <c r="C46" s="5">
        <v>19</v>
      </c>
      <c r="D46" s="5" t="s">
        <v>441</v>
      </c>
      <c r="E46" s="67">
        <v>50000</v>
      </c>
      <c r="F46" s="181"/>
      <c r="G46" s="13"/>
      <c r="H46" s="13"/>
      <c r="I46" s="13"/>
      <c r="J46" s="68" t="s">
        <v>252</v>
      </c>
      <c r="K46" s="69">
        <v>108693</v>
      </c>
      <c r="L46" s="225">
        <v>38930</v>
      </c>
      <c r="M46" s="3" t="s">
        <v>1782</v>
      </c>
      <c r="N46" s="11">
        <v>50000</v>
      </c>
      <c r="R46">
        <v>1</v>
      </c>
      <c r="S46" s="69">
        <v>55000</v>
      </c>
    </row>
    <row r="47" spans="1:19">
      <c r="A47" s="13"/>
      <c r="B47" s="13"/>
      <c r="C47" s="5" t="s">
        <v>1702</v>
      </c>
      <c r="D47" s="12"/>
      <c r="E47" s="67">
        <v>50000</v>
      </c>
      <c r="F47" s="181"/>
      <c r="G47" s="13"/>
      <c r="H47" s="13"/>
      <c r="I47" s="75">
        <v>38626</v>
      </c>
      <c r="J47" s="5" t="s">
        <v>492</v>
      </c>
      <c r="K47" s="67">
        <v>7034</v>
      </c>
      <c r="L47" s="225">
        <v>39022</v>
      </c>
      <c r="M47" s="3" t="s">
        <v>277</v>
      </c>
      <c r="N47" s="11">
        <v>50000</v>
      </c>
      <c r="R47">
        <v>2</v>
      </c>
      <c r="S47" s="69">
        <v>63000</v>
      </c>
    </row>
    <row r="48" spans="1:19">
      <c r="A48" s="13"/>
      <c r="B48" s="13"/>
      <c r="C48" s="5">
        <v>20</v>
      </c>
      <c r="D48" s="5" t="s">
        <v>1786</v>
      </c>
      <c r="E48" s="67">
        <v>1485750</v>
      </c>
      <c r="F48" s="181"/>
      <c r="G48" s="13"/>
      <c r="H48" s="13"/>
      <c r="I48" s="13"/>
      <c r="J48" s="68" t="s">
        <v>192</v>
      </c>
      <c r="K48" s="69">
        <v>47581</v>
      </c>
      <c r="L48" s="225">
        <v>39173</v>
      </c>
      <c r="M48" s="3" t="s">
        <v>456</v>
      </c>
      <c r="N48" s="11">
        <v>50000</v>
      </c>
      <c r="R48">
        <v>3</v>
      </c>
      <c r="S48" s="69">
        <v>74200</v>
      </c>
    </row>
    <row r="49" spans="1:19">
      <c r="A49" s="13"/>
      <c r="B49" s="13"/>
      <c r="C49" s="5" t="s">
        <v>1703</v>
      </c>
      <c r="D49" s="12"/>
      <c r="E49" s="67">
        <v>1485750</v>
      </c>
      <c r="F49" s="181"/>
      <c r="G49" s="13"/>
      <c r="H49" s="13"/>
      <c r="I49" s="13"/>
      <c r="J49" s="68" t="s">
        <v>191</v>
      </c>
      <c r="K49" s="69">
        <v>342378</v>
      </c>
      <c r="L49" s="225">
        <v>39295</v>
      </c>
      <c r="M49" s="3" t="s">
        <v>1145</v>
      </c>
      <c r="N49" s="11">
        <v>50000</v>
      </c>
      <c r="R49">
        <v>4</v>
      </c>
      <c r="S49" s="69">
        <v>85000</v>
      </c>
    </row>
    <row r="50" spans="1:19">
      <c r="A50" s="5">
        <v>2007</v>
      </c>
      <c r="B50" s="75">
        <v>38899</v>
      </c>
      <c r="C50" s="5">
        <v>1</v>
      </c>
      <c r="D50" s="5" t="s">
        <v>1809</v>
      </c>
      <c r="E50" s="67">
        <v>5000</v>
      </c>
      <c r="F50" s="181"/>
      <c r="G50" s="13"/>
      <c r="H50" s="13"/>
      <c r="I50" s="13"/>
      <c r="J50" s="68" t="s">
        <v>487</v>
      </c>
      <c r="K50" s="69">
        <v>20597</v>
      </c>
      <c r="L50" s="225">
        <v>39515</v>
      </c>
      <c r="M50" s="3" t="s">
        <v>348</v>
      </c>
      <c r="N50" s="11">
        <v>50000</v>
      </c>
      <c r="R50">
        <v>5</v>
      </c>
      <c r="S50" s="69">
        <v>94461</v>
      </c>
    </row>
    <row r="51" spans="1:19">
      <c r="A51" s="13"/>
      <c r="B51" s="13"/>
      <c r="C51" s="5" t="s">
        <v>1685</v>
      </c>
      <c r="D51" s="12"/>
      <c r="E51" s="67">
        <v>5000</v>
      </c>
      <c r="F51" s="181"/>
      <c r="G51" s="13"/>
      <c r="H51" s="13"/>
      <c r="I51" s="13"/>
      <c r="J51" s="68" t="s">
        <v>486</v>
      </c>
      <c r="K51" s="69">
        <v>497744</v>
      </c>
      <c r="L51" s="225">
        <v>39637</v>
      </c>
      <c r="M51" s="3" t="s">
        <v>561</v>
      </c>
      <c r="N51" s="11">
        <v>50000</v>
      </c>
      <c r="R51">
        <v>6</v>
      </c>
      <c r="S51" s="69">
        <v>100000</v>
      </c>
    </row>
    <row r="52" spans="1:19">
      <c r="A52" s="13"/>
      <c r="B52" s="13"/>
      <c r="C52" s="5">
        <v>2</v>
      </c>
      <c r="D52" s="5" t="s">
        <v>1238</v>
      </c>
      <c r="E52" s="67">
        <v>1889600</v>
      </c>
      <c r="F52" s="181"/>
      <c r="G52" s="13"/>
      <c r="H52" s="13"/>
      <c r="I52" s="75">
        <v>38657</v>
      </c>
      <c r="J52" s="5" t="s">
        <v>262</v>
      </c>
      <c r="K52" s="67">
        <v>17402</v>
      </c>
      <c r="L52" s="225">
        <v>39699</v>
      </c>
      <c r="M52" s="3" t="s">
        <v>1145</v>
      </c>
      <c r="N52" s="11">
        <v>50000</v>
      </c>
      <c r="R52">
        <v>7</v>
      </c>
      <c r="S52" s="69">
        <v>100000</v>
      </c>
    </row>
    <row r="53" spans="1:19">
      <c r="A53" s="13"/>
      <c r="B53" s="13"/>
      <c r="C53" s="5" t="s">
        <v>1686</v>
      </c>
      <c r="D53" s="12"/>
      <c r="E53" s="67">
        <v>1889600</v>
      </c>
      <c r="F53" s="181"/>
      <c r="G53" s="13"/>
      <c r="H53" s="13"/>
      <c r="I53" s="75">
        <v>38838</v>
      </c>
      <c r="J53" s="5" t="s">
        <v>441</v>
      </c>
      <c r="K53" s="67">
        <v>50000</v>
      </c>
      <c r="L53" s="225">
        <v>39760</v>
      </c>
      <c r="M53" s="3" t="s">
        <v>560</v>
      </c>
      <c r="N53" s="11">
        <v>50000</v>
      </c>
      <c r="R53">
        <v>8</v>
      </c>
      <c r="S53" s="69">
        <v>100000</v>
      </c>
    </row>
    <row r="54" spans="1:19">
      <c r="A54" s="13"/>
      <c r="B54" s="75">
        <v>38930</v>
      </c>
      <c r="C54" s="5">
        <v>4</v>
      </c>
      <c r="D54" s="5" t="s">
        <v>1782</v>
      </c>
      <c r="E54" s="67">
        <v>50000</v>
      </c>
      <c r="F54" s="181"/>
      <c r="G54" s="13"/>
      <c r="H54" s="5" t="s">
        <v>1357</v>
      </c>
      <c r="I54" s="12"/>
      <c r="J54" s="12"/>
      <c r="K54" s="67">
        <v>1198904</v>
      </c>
      <c r="L54" s="225">
        <v>39796</v>
      </c>
      <c r="M54" s="3" t="s">
        <v>337</v>
      </c>
      <c r="N54" s="11">
        <v>50000</v>
      </c>
      <c r="R54">
        <v>9</v>
      </c>
      <c r="S54" s="69">
        <v>100000</v>
      </c>
    </row>
    <row r="55" spans="1:19">
      <c r="A55" s="13"/>
      <c r="B55" s="13"/>
      <c r="C55" s="5" t="s">
        <v>1687</v>
      </c>
      <c r="D55" s="12"/>
      <c r="E55" s="67">
        <v>50000</v>
      </c>
      <c r="F55" s="181"/>
      <c r="G55" s="13"/>
      <c r="H55" s="5" t="s">
        <v>1212</v>
      </c>
      <c r="I55" s="75">
        <v>38565</v>
      </c>
      <c r="J55" s="5" t="s">
        <v>190</v>
      </c>
      <c r="K55" s="67">
        <v>0</v>
      </c>
      <c r="L55" s="225">
        <v>39948</v>
      </c>
      <c r="M55" s="3" t="s">
        <v>82</v>
      </c>
      <c r="N55" s="11">
        <v>50000</v>
      </c>
      <c r="R55">
        <v>10</v>
      </c>
      <c r="S55" s="69">
        <v>100000</v>
      </c>
    </row>
    <row r="56" spans="1:19">
      <c r="A56" s="13"/>
      <c r="B56" s="13"/>
      <c r="C56" s="5">
        <v>5</v>
      </c>
      <c r="D56" s="5" t="s">
        <v>275</v>
      </c>
      <c r="E56" s="67">
        <v>85000</v>
      </c>
      <c r="F56" s="181"/>
      <c r="G56" s="13"/>
      <c r="H56" s="5" t="s">
        <v>601</v>
      </c>
      <c r="I56" s="12"/>
      <c r="J56" s="12"/>
      <c r="K56" s="67">
        <v>0</v>
      </c>
      <c r="L56" s="225">
        <v>40057</v>
      </c>
      <c r="M56" s="3" t="s">
        <v>340</v>
      </c>
      <c r="N56" s="11">
        <v>50000</v>
      </c>
      <c r="R56">
        <v>11</v>
      </c>
      <c r="S56" s="69">
        <v>100000</v>
      </c>
    </row>
    <row r="57" spans="1:19">
      <c r="A57" s="13"/>
      <c r="B57" s="13"/>
      <c r="C57" s="5" t="s">
        <v>1688</v>
      </c>
      <c r="D57" s="12"/>
      <c r="E57" s="67">
        <v>85000</v>
      </c>
      <c r="F57" s="181"/>
      <c r="G57" s="5">
        <v>2007</v>
      </c>
      <c r="H57" s="5" t="s">
        <v>1210</v>
      </c>
      <c r="I57" s="75">
        <v>38930</v>
      </c>
      <c r="J57" s="5" t="s">
        <v>275</v>
      </c>
      <c r="K57" s="67">
        <v>85000</v>
      </c>
      <c r="L57" s="225">
        <v>40318</v>
      </c>
      <c r="M57" s="3" t="s">
        <v>1624</v>
      </c>
      <c r="N57" s="11">
        <v>50000</v>
      </c>
      <c r="R57">
        <v>12</v>
      </c>
      <c r="S57" s="69">
        <v>100000</v>
      </c>
    </row>
    <row r="58" spans="1:19">
      <c r="A58" s="13"/>
      <c r="B58" s="75">
        <v>38961</v>
      </c>
      <c r="C58" s="5">
        <v>6</v>
      </c>
      <c r="D58" s="5" t="s">
        <v>102</v>
      </c>
      <c r="E58" s="67">
        <v>46900</v>
      </c>
      <c r="F58" s="181"/>
      <c r="G58" s="13"/>
      <c r="H58" s="13"/>
      <c r="I58" s="75">
        <v>38961</v>
      </c>
      <c r="J58" s="5" t="s">
        <v>102</v>
      </c>
      <c r="K58" s="67">
        <v>46900</v>
      </c>
      <c r="L58" s="225">
        <v>38749</v>
      </c>
      <c r="M58" s="3" t="s">
        <v>1791</v>
      </c>
      <c r="N58" s="11">
        <v>55000</v>
      </c>
      <c r="R58">
        <v>13</v>
      </c>
      <c r="S58" s="69">
        <v>100000</v>
      </c>
    </row>
    <row r="59" spans="1:19">
      <c r="A59" s="13"/>
      <c r="B59" s="13"/>
      <c r="C59" s="5" t="s">
        <v>1689</v>
      </c>
      <c r="D59" s="12"/>
      <c r="E59" s="67">
        <v>46900</v>
      </c>
      <c r="F59" s="181"/>
      <c r="G59" s="13"/>
      <c r="H59" s="13"/>
      <c r="I59" s="75">
        <v>39022</v>
      </c>
      <c r="J59" s="5" t="s">
        <v>1806</v>
      </c>
      <c r="K59" s="67">
        <v>200000</v>
      </c>
      <c r="L59" s="225">
        <v>38991</v>
      </c>
      <c r="M59" s="3" t="s">
        <v>1771</v>
      </c>
      <c r="N59" s="11">
        <v>63000</v>
      </c>
      <c r="R59">
        <v>14</v>
      </c>
      <c r="S59" s="69">
        <v>100000</v>
      </c>
    </row>
    <row r="60" spans="1:19">
      <c r="A60" s="13"/>
      <c r="B60" s="75">
        <v>38991</v>
      </c>
      <c r="C60" s="5">
        <v>7</v>
      </c>
      <c r="D60" s="5" t="s">
        <v>1774</v>
      </c>
      <c r="E60" s="67">
        <v>793500</v>
      </c>
      <c r="F60" s="181"/>
      <c r="G60" s="13"/>
      <c r="H60" s="13"/>
      <c r="I60" s="13"/>
      <c r="J60" s="68" t="s">
        <v>277</v>
      </c>
      <c r="K60" s="69">
        <v>50000</v>
      </c>
      <c r="L60" s="225">
        <v>39821</v>
      </c>
      <c r="M60" s="3" t="s">
        <v>557</v>
      </c>
      <c r="N60" s="11">
        <v>74200</v>
      </c>
      <c r="R60">
        <v>15</v>
      </c>
      <c r="S60" s="69">
        <v>102000</v>
      </c>
    </row>
    <row r="61" spans="1:19">
      <c r="A61" s="13"/>
      <c r="B61" s="13"/>
      <c r="C61" s="5" t="s">
        <v>1690</v>
      </c>
      <c r="D61" s="12"/>
      <c r="E61" s="67">
        <v>793500</v>
      </c>
      <c r="F61" s="181"/>
      <c r="G61" s="13"/>
      <c r="H61" s="13"/>
      <c r="I61" s="13"/>
      <c r="J61" s="68" t="s">
        <v>278</v>
      </c>
      <c r="K61" s="69">
        <v>100000</v>
      </c>
      <c r="L61" s="225">
        <v>38534</v>
      </c>
      <c r="M61" s="3" t="s">
        <v>1802</v>
      </c>
      <c r="N61" s="11">
        <v>75000</v>
      </c>
      <c r="R61">
        <v>16</v>
      </c>
      <c r="S61" s="69">
        <v>115000</v>
      </c>
    </row>
    <row r="62" spans="1:19">
      <c r="A62" s="13"/>
      <c r="B62" s="13"/>
      <c r="C62" s="5">
        <v>8</v>
      </c>
      <c r="D62" s="5" t="s">
        <v>1771</v>
      </c>
      <c r="E62" s="67">
        <v>63000</v>
      </c>
      <c r="F62" s="181"/>
      <c r="G62" s="13"/>
      <c r="H62" s="13"/>
      <c r="I62" s="75">
        <v>39114</v>
      </c>
      <c r="J62" s="5" t="s">
        <v>1804</v>
      </c>
      <c r="K62" s="67">
        <v>245000</v>
      </c>
      <c r="L62" s="225">
        <v>38930</v>
      </c>
      <c r="M62" s="3" t="s">
        <v>275</v>
      </c>
      <c r="N62" s="11">
        <v>85000</v>
      </c>
      <c r="R62">
        <v>17</v>
      </c>
      <c r="S62" s="69">
        <v>120000</v>
      </c>
    </row>
    <row r="63" spans="1:19">
      <c r="A63" s="13"/>
      <c r="B63" s="13"/>
      <c r="C63" s="5" t="s">
        <v>1691</v>
      </c>
      <c r="D63" s="12"/>
      <c r="E63" s="67">
        <v>63000</v>
      </c>
      <c r="F63" s="181"/>
      <c r="G63" s="13"/>
      <c r="H63" s="13"/>
      <c r="I63" s="75">
        <v>39142</v>
      </c>
      <c r="J63" s="5" t="s">
        <v>458</v>
      </c>
      <c r="K63" s="67">
        <v>102000</v>
      </c>
      <c r="L63" s="225">
        <v>38808</v>
      </c>
      <c r="M63" s="3" t="s">
        <v>1800</v>
      </c>
      <c r="N63" s="11">
        <v>94461</v>
      </c>
      <c r="R63">
        <v>18</v>
      </c>
      <c r="S63" s="69">
        <v>121044</v>
      </c>
    </row>
    <row r="64" spans="1:19">
      <c r="A64" s="13"/>
      <c r="B64" s="75">
        <v>39022</v>
      </c>
      <c r="C64" s="5">
        <v>9</v>
      </c>
      <c r="D64" s="5" t="s">
        <v>277</v>
      </c>
      <c r="E64" s="67">
        <v>50000</v>
      </c>
      <c r="F64" s="181"/>
      <c r="G64" s="13"/>
      <c r="H64" s="13"/>
      <c r="I64" s="75">
        <v>39234</v>
      </c>
      <c r="J64" s="5" t="s">
        <v>277</v>
      </c>
      <c r="K64" s="67">
        <v>100000</v>
      </c>
      <c r="L64" s="225">
        <v>39387</v>
      </c>
      <c r="M64" s="3" t="s">
        <v>434</v>
      </c>
      <c r="N64" s="11">
        <v>95513</v>
      </c>
      <c r="R64">
        <v>19</v>
      </c>
      <c r="S64" s="69">
        <v>124500</v>
      </c>
    </row>
    <row r="65" spans="1:19">
      <c r="A65" s="13"/>
      <c r="B65" s="13"/>
      <c r="C65" s="5" t="s">
        <v>1692</v>
      </c>
      <c r="D65" s="12"/>
      <c r="E65" s="67">
        <v>50000</v>
      </c>
      <c r="F65" s="181"/>
      <c r="G65" s="13"/>
      <c r="H65" s="13"/>
      <c r="I65" s="13"/>
      <c r="J65" s="68" t="s">
        <v>101</v>
      </c>
      <c r="K65" s="69">
        <v>200000</v>
      </c>
      <c r="L65" s="225">
        <v>38718</v>
      </c>
      <c r="M65" s="3" t="s">
        <v>265</v>
      </c>
      <c r="N65" s="11">
        <v>100000</v>
      </c>
      <c r="R65">
        <v>20</v>
      </c>
      <c r="S65" s="69">
        <v>145000</v>
      </c>
    </row>
    <row r="66" spans="1:19">
      <c r="A66" s="13"/>
      <c r="B66" s="13"/>
      <c r="C66" s="5">
        <v>10</v>
      </c>
      <c r="D66" s="5" t="s">
        <v>1806</v>
      </c>
      <c r="E66" s="67">
        <v>200000</v>
      </c>
      <c r="F66" s="181"/>
      <c r="G66" s="13"/>
      <c r="H66" s="5" t="s">
        <v>599</v>
      </c>
      <c r="I66" s="12"/>
      <c r="J66" s="12"/>
      <c r="K66" s="67">
        <v>1128900</v>
      </c>
      <c r="L66" s="225">
        <v>39022</v>
      </c>
      <c r="M66" s="3" t="s">
        <v>278</v>
      </c>
      <c r="N66" s="11">
        <v>100000</v>
      </c>
      <c r="R66">
        <v>21</v>
      </c>
      <c r="S66" s="69">
        <v>150000</v>
      </c>
    </row>
    <row r="67" spans="1:19">
      <c r="A67" s="13"/>
      <c r="B67" s="13"/>
      <c r="C67" s="5" t="s">
        <v>1693</v>
      </c>
      <c r="D67" s="12"/>
      <c r="E67" s="67">
        <v>200000</v>
      </c>
      <c r="F67" s="181"/>
      <c r="G67" s="13"/>
      <c r="H67" s="5" t="s">
        <v>570</v>
      </c>
      <c r="I67" s="75">
        <v>38899</v>
      </c>
      <c r="J67" s="5" t="s">
        <v>1809</v>
      </c>
      <c r="K67" s="67">
        <v>5000</v>
      </c>
      <c r="L67" s="225">
        <v>39234</v>
      </c>
      <c r="M67" s="3" t="s">
        <v>277</v>
      </c>
      <c r="N67" s="11">
        <v>100000</v>
      </c>
      <c r="R67">
        <v>22</v>
      </c>
      <c r="S67" s="69">
        <v>150000</v>
      </c>
    </row>
    <row r="68" spans="1:19">
      <c r="A68" s="13"/>
      <c r="B68" s="13"/>
      <c r="C68" s="5">
        <v>11</v>
      </c>
      <c r="D68" s="5" t="s">
        <v>278</v>
      </c>
      <c r="E68" s="67">
        <v>100000</v>
      </c>
      <c r="F68" s="181"/>
      <c r="G68" s="13"/>
      <c r="H68" s="13"/>
      <c r="I68" s="13"/>
      <c r="J68" s="68" t="s">
        <v>1238</v>
      </c>
      <c r="K68" s="69">
        <v>1889600</v>
      </c>
      <c r="L68" s="225">
        <v>39607</v>
      </c>
      <c r="M68" s="3" t="s">
        <v>93</v>
      </c>
      <c r="N68" s="11">
        <v>100000</v>
      </c>
      <c r="R68">
        <v>1</v>
      </c>
      <c r="S68" s="69">
        <v>153400</v>
      </c>
    </row>
    <row r="69" spans="1:19">
      <c r="A69" s="13"/>
      <c r="B69" s="13"/>
      <c r="C69" s="5" t="s">
        <v>1694</v>
      </c>
      <c r="D69" s="12"/>
      <c r="E69" s="67">
        <v>100000</v>
      </c>
      <c r="F69" s="181"/>
      <c r="G69" s="13"/>
      <c r="H69" s="13"/>
      <c r="I69" s="75">
        <v>38930</v>
      </c>
      <c r="J69" s="5" t="s">
        <v>1801</v>
      </c>
      <c r="K69" s="67">
        <v>50000</v>
      </c>
      <c r="L69" s="225">
        <v>39661</v>
      </c>
      <c r="M69" s="3" t="s">
        <v>558</v>
      </c>
      <c r="N69" s="11">
        <v>100000</v>
      </c>
      <c r="R69">
        <v>2</v>
      </c>
      <c r="S69" s="69">
        <v>180000</v>
      </c>
    </row>
    <row r="70" spans="1:19">
      <c r="A70" s="13"/>
      <c r="B70" s="75">
        <v>39114</v>
      </c>
      <c r="C70" s="5">
        <v>12</v>
      </c>
      <c r="D70" s="5" t="s">
        <v>1804</v>
      </c>
      <c r="E70" s="67">
        <v>245000</v>
      </c>
      <c r="F70" s="181"/>
      <c r="G70" s="13"/>
      <c r="H70" s="13"/>
      <c r="I70" s="75">
        <v>38991</v>
      </c>
      <c r="J70" s="5" t="s">
        <v>1774</v>
      </c>
      <c r="K70" s="67">
        <v>793500</v>
      </c>
      <c r="L70" s="225">
        <v>39760</v>
      </c>
      <c r="M70" s="3" t="s">
        <v>635</v>
      </c>
      <c r="N70" s="11">
        <v>100000</v>
      </c>
      <c r="R70">
        <v>3</v>
      </c>
      <c r="S70" s="69">
        <v>185000</v>
      </c>
    </row>
    <row r="71" spans="1:19">
      <c r="A71" s="13"/>
      <c r="B71" s="13"/>
      <c r="C71" s="5" t="s">
        <v>1695</v>
      </c>
      <c r="D71" s="12"/>
      <c r="E71" s="67">
        <v>245000</v>
      </c>
      <c r="F71" s="181"/>
      <c r="G71" s="13"/>
      <c r="H71" s="13"/>
      <c r="I71" s="13"/>
      <c r="J71" s="68" t="s">
        <v>1771</v>
      </c>
      <c r="K71" s="69">
        <v>63000</v>
      </c>
      <c r="L71" s="225">
        <v>39790</v>
      </c>
      <c r="M71" s="3" t="s">
        <v>342</v>
      </c>
      <c r="N71" s="11">
        <v>100000</v>
      </c>
      <c r="R71">
        <v>4</v>
      </c>
      <c r="S71" s="69">
        <v>188443</v>
      </c>
    </row>
    <row r="72" spans="1:19">
      <c r="A72" s="13"/>
      <c r="B72" s="13"/>
      <c r="C72" s="5">
        <v>13</v>
      </c>
      <c r="D72" s="5" t="s">
        <v>1803</v>
      </c>
      <c r="E72" s="67">
        <v>150000</v>
      </c>
      <c r="F72" s="181"/>
      <c r="G72" s="13"/>
      <c r="H72" s="13"/>
      <c r="I72" s="75">
        <v>39142</v>
      </c>
      <c r="J72" s="5" t="s">
        <v>442</v>
      </c>
      <c r="K72" s="67">
        <v>2000000</v>
      </c>
      <c r="L72" s="225">
        <v>39799</v>
      </c>
      <c r="M72" s="3" t="s">
        <v>336</v>
      </c>
      <c r="N72" s="11">
        <v>100000</v>
      </c>
      <c r="R72">
        <v>5</v>
      </c>
      <c r="S72" s="69">
        <v>190000</v>
      </c>
    </row>
    <row r="73" spans="1:19">
      <c r="A73" s="13"/>
      <c r="B73" s="13"/>
      <c r="C73" s="5" t="s">
        <v>1696</v>
      </c>
      <c r="D73" s="12"/>
      <c r="E73" s="67">
        <v>150000</v>
      </c>
      <c r="F73" s="181"/>
      <c r="G73" s="13"/>
      <c r="H73" s="13"/>
      <c r="I73" s="75">
        <v>39173</v>
      </c>
      <c r="J73" s="5" t="s">
        <v>456</v>
      </c>
      <c r="K73" s="67">
        <v>50000</v>
      </c>
      <c r="L73" s="225">
        <v>40087</v>
      </c>
      <c r="M73" s="3" t="s">
        <v>46</v>
      </c>
      <c r="N73" s="11">
        <v>100000</v>
      </c>
      <c r="R73">
        <v>6</v>
      </c>
      <c r="S73" s="69">
        <v>199568</v>
      </c>
    </row>
    <row r="74" spans="1:19">
      <c r="A74" s="13"/>
      <c r="B74" s="75">
        <v>39142</v>
      </c>
      <c r="C74" s="5">
        <v>14</v>
      </c>
      <c r="D74" s="5" t="s">
        <v>442</v>
      </c>
      <c r="E74" s="67">
        <v>2000000</v>
      </c>
      <c r="F74" s="181"/>
      <c r="G74" s="13"/>
      <c r="H74" s="5" t="s">
        <v>600</v>
      </c>
      <c r="I74" s="12"/>
      <c r="J74" s="12"/>
      <c r="K74" s="67">
        <v>4851100</v>
      </c>
      <c r="L74" s="225">
        <v>40122</v>
      </c>
      <c r="M74" s="3" t="s">
        <v>38</v>
      </c>
      <c r="N74" s="11">
        <v>100000</v>
      </c>
      <c r="R74">
        <v>7</v>
      </c>
      <c r="S74" s="69">
        <v>200000</v>
      </c>
    </row>
    <row r="75" spans="1:19">
      <c r="A75" s="13"/>
      <c r="B75" s="13"/>
      <c r="C75" s="5" t="s">
        <v>1697</v>
      </c>
      <c r="D75" s="12"/>
      <c r="E75" s="67">
        <v>2000000</v>
      </c>
      <c r="F75" s="181"/>
      <c r="G75" s="13"/>
      <c r="H75" s="5" t="s">
        <v>1211</v>
      </c>
      <c r="I75" s="75">
        <v>38930</v>
      </c>
      <c r="J75" s="5" t="s">
        <v>1782</v>
      </c>
      <c r="K75" s="67">
        <v>50000</v>
      </c>
      <c r="L75" s="225">
        <v>39142</v>
      </c>
      <c r="M75" s="3" t="s">
        <v>458</v>
      </c>
      <c r="N75" s="11">
        <v>102000</v>
      </c>
      <c r="R75">
        <v>8</v>
      </c>
      <c r="S75" s="67">
        <v>200000</v>
      </c>
    </row>
    <row r="76" spans="1:19">
      <c r="A76" s="13"/>
      <c r="B76" s="13"/>
      <c r="C76" s="5">
        <v>15</v>
      </c>
      <c r="D76" s="5" t="s">
        <v>458</v>
      </c>
      <c r="E76" s="67">
        <v>102000</v>
      </c>
      <c r="F76" s="181"/>
      <c r="G76" s="13"/>
      <c r="H76" s="13"/>
      <c r="I76" s="75">
        <v>39114</v>
      </c>
      <c r="J76" s="5" t="s">
        <v>1803</v>
      </c>
      <c r="K76" s="67">
        <v>150000</v>
      </c>
      <c r="L76" s="225">
        <v>39356</v>
      </c>
      <c r="M76" s="3" t="s">
        <v>434</v>
      </c>
      <c r="N76" s="11">
        <v>104055</v>
      </c>
      <c r="R76">
        <v>9</v>
      </c>
      <c r="S76" s="69">
        <v>200000</v>
      </c>
    </row>
    <row r="77" spans="1:19">
      <c r="A77" s="13"/>
      <c r="B77" s="13"/>
      <c r="C77" s="5" t="s">
        <v>1698</v>
      </c>
      <c r="D77" s="12"/>
      <c r="E77" s="67">
        <v>102000</v>
      </c>
      <c r="F77" s="181"/>
      <c r="G77" s="13"/>
      <c r="H77" s="13"/>
      <c r="I77" s="75">
        <v>39203</v>
      </c>
      <c r="J77" s="5" t="s">
        <v>452</v>
      </c>
      <c r="K77" s="67">
        <v>5000</v>
      </c>
      <c r="L77" s="225">
        <v>38534</v>
      </c>
      <c r="M77" s="3" t="s">
        <v>264</v>
      </c>
      <c r="N77" s="11">
        <v>108693</v>
      </c>
      <c r="R77">
        <v>10</v>
      </c>
      <c r="S77" s="69">
        <v>200000</v>
      </c>
    </row>
    <row r="78" spans="1:19">
      <c r="A78" s="13"/>
      <c r="B78" s="75">
        <v>39173</v>
      </c>
      <c r="C78" s="5">
        <v>16</v>
      </c>
      <c r="D78" s="5" t="s">
        <v>456</v>
      </c>
      <c r="E78" s="67">
        <v>50000</v>
      </c>
      <c r="F78" s="181"/>
      <c r="G78" s="13"/>
      <c r="H78" s="13"/>
      <c r="I78" s="13"/>
      <c r="J78" s="68" t="s">
        <v>453</v>
      </c>
      <c r="K78" s="69">
        <v>20000</v>
      </c>
      <c r="L78" s="225">
        <v>39387</v>
      </c>
      <c r="M78" s="3" t="s">
        <v>199</v>
      </c>
      <c r="N78" s="11">
        <v>115000</v>
      </c>
      <c r="R78">
        <v>11</v>
      </c>
      <c r="S78" s="69">
        <v>200000</v>
      </c>
    </row>
    <row r="79" spans="1:19">
      <c r="A79" s="13"/>
      <c r="B79" s="13"/>
      <c r="C79" s="5" t="s">
        <v>1699</v>
      </c>
      <c r="D79" s="12"/>
      <c r="E79" s="67">
        <v>50000</v>
      </c>
      <c r="F79" s="181"/>
      <c r="G79" s="13"/>
      <c r="H79" s="5" t="s">
        <v>1357</v>
      </c>
      <c r="I79" s="12"/>
      <c r="J79" s="12"/>
      <c r="K79" s="67">
        <v>225000</v>
      </c>
      <c r="L79" s="225">
        <v>39326</v>
      </c>
      <c r="M79" s="3" t="s">
        <v>440</v>
      </c>
      <c r="N79" s="11">
        <v>120000</v>
      </c>
      <c r="R79">
        <v>12</v>
      </c>
      <c r="S79" s="69">
        <v>216168</v>
      </c>
    </row>
    <row r="80" spans="1:19">
      <c r="A80" s="13"/>
      <c r="B80" s="75">
        <v>39203</v>
      </c>
      <c r="C80" s="5">
        <v>17</v>
      </c>
      <c r="D80" s="5" t="s">
        <v>452</v>
      </c>
      <c r="E80" s="67">
        <v>5000</v>
      </c>
      <c r="F80" s="181"/>
      <c r="G80" s="5">
        <v>2008</v>
      </c>
      <c r="H80" s="5" t="s">
        <v>1210</v>
      </c>
      <c r="I80" s="75">
        <v>39264</v>
      </c>
      <c r="J80" s="5" t="s">
        <v>102</v>
      </c>
      <c r="K80" s="67">
        <v>153400</v>
      </c>
      <c r="L80" s="225">
        <v>39699</v>
      </c>
      <c r="M80" s="3" t="s">
        <v>1844</v>
      </c>
      <c r="N80" s="11">
        <v>121044</v>
      </c>
      <c r="R80">
        <v>13</v>
      </c>
      <c r="S80" s="69">
        <v>245000</v>
      </c>
    </row>
    <row r="81" spans="1:19">
      <c r="A81" s="13"/>
      <c r="B81" s="13"/>
      <c r="C81" s="5" t="s">
        <v>1700</v>
      </c>
      <c r="D81" s="12"/>
      <c r="E81" s="67">
        <v>5000</v>
      </c>
      <c r="F81" s="181"/>
      <c r="G81" s="13"/>
      <c r="H81" s="13"/>
      <c r="I81" s="75">
        <v>39326</v>
      </c>
      <c r="J81" s="5" t="s">
        <v>103</v>
      </c>
      <c r="K81" s="67">
        <v>19970</v>
      </c>
      <c r="L81" s="225">
        <v>39264</v>
      </c>
      <c r="M81" s="3" t="s">
        <v>88</v>
      </c>
      <c r="N81" s="11">
        <v>124500</v>
      </c>
      <c r="R81">
        <v>14</v>
      </c>
      <c r="S81" s="69">
        <v>245000</v>
      </c>
    </row>
    <row r="82" spans="1:19">
      <c r="A82" s="13"/>
      <c r="B82" s="13"/>
      <c r="C82" s="5">
        <v>18</v>
      </c>
      <c r="D82" s="5" t="s">
        <v>453</v>
      </c>
      <c r="E82" s="67">
        <v>20000</v>
      </c>
      <c r="F82" s="181"/>
      <c r="G82" s="13"/>
      <c r="H82" s="13"/>
      <c r="I82" s="13"/>
      <c r="J82" s="68" t="s">
        <v>104</v>
      </c>
      <c r="K82" s="69">
        <v>17400</v>
      </c>
      <c r="L82" s="225">
        <v>40308</v>
      </c>
      <c r="M82" s="3" t="s">
        <v>1359</v>
      </c>
      <c r="N82" s="11">
        <v>145000</v>
      </c>
      <c r="R82">
        <v>15</v>
      </c>
      <c r="S82" s="69">
        <v>246683</v>
      </c>
    </row>
    <row r="83" spans="1:19">
      <c r="A83" s="13"/>
      <c r="B83" s="13"/>
      <c r="C83" s="5" t="s">
        <v>1701</v>
      </c>
      <c r="D83" s="12"/>
      <c r="E83" s="67">
        <v>20000</v>
      </c>
      <c r="F83" s="181"/>
      <c r="G83" s="13"/>
      <c r="H83" s="13"/>
      <c r="I83" s="75">
        <v>39448</v>
      </c>
      <c r="J83" s="5" t="s">
        <v>350</v>
      </c>
      <c r="K83" s="67">
        <v>300000</v>
      </c>
      <c r="L83" s="225">
        <v>38718</v>
      </c>
      <c r="M83" s="3" t="s">
        <v>266</v>
      </c>
      <c r="N83" s="11">
        <v>150000</v>
      </c>
      <c r="R83">
        <v>16</v>
      </c>
      <c r="S83" s="69">
        <v>250000</v>
      </c>
    </row>
    <row r="84" spans="1:19">
      <c r="A84" s="13"/>
      <c r="B84" s="75">
        <v>39234</v>
      </c>
      <c r="C84" s="5">
        <v>19</v>
      </c>
      <c r="D84" s="5" t="s">
        <v>277</v>
      </c>
      <c r="E84" s="67">
        <v>100000</v>
      </c>
      <c r="F84" s="181"/>
      <c r="G84" s="13"/>
      <c r="H84" s="13"/>
      <c r="I84" s="75">
        <v>39479</v>
      </c>
      <c r="J84" s="5" t="s">
        <v>95</v>
      </c>
      <c r="K84" s="67">
        <v>12400</v>
      </c>
      <c r="L84" s="225">
        <v>38777</v>
      </c>
      <c r="M84" s="3" t="s">
        <v>1796</v>
      </c>
      <c r="N84" s="11">
        <v>150000</v>
      </c>
      <c r="R84">
        <v>1</v>
      </c>
      <c r="S84" s="69">
        <v>259500</v>
      </c>
    </row>
    <row r="85" spans="1:19">
      <c r="A85" s="13"/>
      <c r="B85" s="13"/>
      <c r="C85" s="5" t="s">
        <v>1702</v>
      </c>
      <c r="D85" s="12"/>
      <c r="E85" s="67">
        <v>100000</v>
      </c>
      <c r="F85" s="181"/>
      <c r="G85" s="13"/>
      <c r="H85" s="13"/>
      <c r="I85" s="13"/>
      <c r="J85" s="68" t="s">
        <v>101</v>
      </c>
      <c r="K85" s="69">
        <v>714000</v>
      </c>
      <c r="L85" s="225">
        <v>39114</v>
      </c>
      <c r="M85" s="3" t="s">
        <v>1803</v>
      </c>
      <c r="N85" s="11">
        <v>150000</v>
      </c>
      <c r="R85">
        <v>2</v>
      </c>
      <c r="S85" s="69">
        <v>269000</v>
      </c>
    </row>
    <row r="86" spans="1:19">
      <c r="A86" s="13"/>
      <c r="B86" s="13"/>
      <c r="C86" s="5">
        <v>20</v>
      </c>
      <c r="D86" s="5" t="s">
        <v>101</v>
      </c>
      <c r="E86" s="67">
        <v>200000</v>
      </c>
      <c r="F86" s="181"/>
      <c r="G86" s="13"/>
      <c r="H86" s="13"/>
      <c r="I86" s="75">
        <v>39515</v>
      </c>
      <c r="J86" s="5" t="s">
        <v>348</v>
      </c>
      <c r="K86" s="67">
        <v>50000</v>
      </c>
      <c r="L86" s="225">
        <v>39264</v>
      </c>
      <c r="M86" s="3" t="s">
        <v>102</v>
      </c>
      <c r="N86" s="11">
        <v>153400</v>
      </c>
      <c r="R86">
        <v>3</v>
      </c>
      <c r="S86" s="69">
        <v>274845</v>
      </c>
    </row>
    <row r="87" spans="1:19">
      <c r="A87" s="13"/>
      <c r="B87" s="13"/>
      <c r="C87" s="5" t="s">
        <v>1703</v>
      </c>
      <c r="D87" s="12"/>
      <c r="E87" s="67">
        <v>200000</v>
      </c>
      <c r="F87" s="181"/>
      <c r="G87" s="13"/>
      <c r="H87" s="13"/>
      <c r="I87" s="13"/>
      <c r="J87" s="68" t="s">
        <v>890</v>
      </c>
      <c r="K87" s="69">
        <v>348500</v>
      </c>
      <c r="L87" s="225">
        <v>40330</v>
      </c>
      <c r="M87" s="3" t="s">
        <v>1648</v>
      </c>
      <c r="N87" s="11">
        <v>180000</v>
      </c>
      <c r="R87">
        <v>4</v>
      </c>
      <c r="S87" s="69">
        <v>295000</v>
      </c>
    </row>
    <row r="88" spans="1:19">
      <c r="A88" s="5">
        <v>2008</v>
      </c>
      <c r="B88" s="75">
        <v>39264</v>
      </c>
      <c r="C88" s="5">
        <v>1</v>
      </c>
      <c r="D88" s="5" t="s">
        <v>451</v>
      </c>
      <c r="E88" s="67">
        <v>295000</v>
      </c>
      <c r="F88" s="181"/>
      <c r="G88" s="13"/>
      <c r="H88" s="13"/>
      <c r="I88" s="75">
        <v>39607</v>
      </c>
      <c r="J88" s="5" t="s">
        <v>93</v>
      </c>
      <c r="K88" s="67">
        <v>100000</v>
      </c>
      <c r="L88" s="225">
        <v>39607</v>
      </c>
      <c r="M88" s="3" t="s">
        <v>346</v>
      </c>
      <c r="N88" s="11">
        <v>185000</v>
      </c>
      <c r="R88">
        <v>5</v>
      </c>
      <c r="S88" s="69">
        <v>300000</v>
      </c>
    </row>
    <row r="89" spans="1:19">
      <c r="A89" s="13"/>
      <c r="B89" s="13"/>
      <c r="C89" s="5" t="s">
        <v>1685</v>
      </c>
      <c r="D89" s="12"/>
      <c r="E89" s="67">
        <v>295000</v>
      </c>
      <c r="F89" s="181"/>
      <c r="G89" s="13"/>
      <c r="H89" s="13"/>
      <c r="I89" s="13"/>
      <c r="J89" s="68" t="s">
        <v>100</v>
      </c>
      <c r="K89" s="69">
        <v>10000</v>
      </c>
      <c r="L89" s="225">
        <v>38777</v>
      </c>
      <c r="M89" s="3" t="s">
        <v>96</v>
      </c>
      <c r="N89" s="11">
        <v>188443</v>
      </c>
      <c r="R89">
        <v>6</v>
      </c>
      <c r="S89" s="69">
        <v>300000</v>
      </c>
    </row>
    <row r="90" spans="1:19">
      <c r="A90" s="13"/>
      <c r="B90" s="13"/>
      <c r="C90" s="5">
        <v>2</v>
      </c>
      <c r="D90" s="5" t="s">
        <v>88</v>
      </c>
      <c r="E90" s="67">
        <v>124500</v>
      </c>
      <c r="F90" s="181"/>
      <c r="G90" s="13"/>
      <c r="H90" s="5" t="s">
        <v>599</v>
      </c>
      <c r="I90" s="12"/>
      <c r="J90" s="12"/>
      <c r="K90" s="67">
        <v>1725670</v>
      </c>
      <c r="L90" s="225">
        <v>40113</v>
      </c>
      <c r="M90" s="3" t="s">
        <v>1830</v>
      </c>
      <c r="N90" s="11">
        <v>190000</v>
      </c>
      <c r="R90">
        <v>7</v>
      </c>
      <c r="S90" s="69">
        <v>330000</v>
      </c>
    </row>
    <row r="91" spans="1:19">
      <c r="A91" s="13"/>
      <c r="B91" s="13"/>
      <c r="C91" s="5" t="s">
        <v>1686</v>
      </c>
      <c r="D91" s="12"/>
      <c r="E91" s="67">
        <v>124500</v>
      </c>
      <c r="F91" s="181"/>
      <c r="G91" s="13"/>
      <c r="H91" s="5" t="s">
        <v>570</v>
      </c>
      <c r="I91" s="75">
        <v>39264</v>
      </c>
      <c r="J91" s="5" t="s">
        <v>88</v>
      </c>
      <c r="K91" s="67">
        <v>124500</v>
      </c>
      <c r="L91" s="225">
        <v>39022</v>
      </c>
      <c r="M91" s="3" t="s">
        <v>1806</v>
      </c>
      <c r="N91" s="11">
        <v>200000</v>
      </c>
      <c r="R91">
        <v>8</v>
      </c>
      <c r="S91" s="69">
        <v>335745</v>
      </c>
    </row>
    <row r="92" spans="1:19">
      <c r="A92" s="13"/>
      <c r="B92" s="13"/>
      <c r="C92" s="5">
        <v>4</v>
      </c>
      <c r="D92" s="5" t="s">
        <v>102</v>
      </c>
      <c r="E92" s="67">
        <v>153400</v>
      </c>
      <c r="F92" s="181"/>
      <c r="G92" s="13"/>
      <c r="H92" s="13"/>
      <c r="I92" s="13"/>
      <c r="J92" s="68" t="s">
        <v>96</v>
      </c>
      <c r="K92" s="69">
        <v>250000</v>
      </c>
      <c r="L92" s="225">
        <v>39234</v>
      </c>
      <c r="M92" s="3" t="s">
        <v>101</v>
      </c>
      <c r="N92" s="11">
        <v>200000</v>
      </c>
      <c r="R92">
        <v>9</v>
      </c>
      <c r="S92" s="69">
        <v>389959</v>
      </c>
    </row>
    <row r="93" spans="1:19">
      <c r="A93" s="13"/>
      <c r="B93" s="13"/>
      <c r="C93" s="5" t="s">
        <v>1687</v>
      </c>
      <c r="D93" s="12"/>
      <c r="E93" s="67">
        <v>153400</v>
      </c>
      <c r="F93" s="181"/>
      <c r="G93" s="13"/>
      <c r="H93" s="13"/>
      <c r="I93" s="13"/>
      <c r="J93" s="68" t="s">
        <v>451</v>
      </c>
      <c r="K93" s="69">
        <v>295000</v>
      </c>
      <c r="L93" s="225">
        <v>39948</v>
      </c>
      <c r="M93" s="3" t="s">
        <v>83</v>
      </c>
      <c r="N93" s="11">
        <v>200000</v>
      </c>
      <c r="R93">
        <v>10</v>
      </c>
      <c r="S93" s="69">
        <v>500000</v>
      </c>
    </row>
    <row r="94" spans="1:19">
      <c r="A94" s="13"/>
      <c r="B94" s="13"/>
      <c r="C94" s="5">
        <v>5</v>
      </c>
      <c r="D94" s="5" t="s">
        <v>105</v>
      </c>
      <c r="E94" s="67">
        <v>20188</v>
      </c>
      <c r="F94" s="181"/>
      <c r="G94" s="13"/>
      <c r="H94" s="13"/>
      <c r="I94" s="13"/>
      <c r="J94" s="68" t="s">
        <v>105</v>
      </c>
      <c r="K94" s="69">
        <v>20188</v>
      </c>
      <c r="L94" s="225">
        <v>40203</v>
      </c>
      <c r="M94" s="3" t="s">
        <v>51</v>
      </c>
      <c r="N94" s="11">
        <v>200000</v>
      </c>
      <c r="R94">
        <v>1</v>
      </c>
      <c r="S94" s="69">
        <v>518341</v>
      </c>
    </row>
    <row r="95" spans="1:19">
      <c r="A95" s="13"/>
      <c r="B95" s="13"/>
      <c r="C95" s="5" t="s">
        <v>1688</v>
      </c>
      <c r="D95" s="12"/>
      <c r="E95" s="67">
        <v>20188</v>
      </c>
      <c r="F95" s="181"/>
      <c r="G95" s="13"/>
      <c r="H95" s="13"/>
      <c r="I95" s="75">
        <v>39295</v>
      </c>
      <c r="J95" s="5" t="s">
        <v>1145</v>
      </c>
      <c r="K95" s="67">
        <v>50000</v>
      </c>
      <c r="L95" s="225">
        <v>40330</v>
      </c>
      <c r="M95" s="3" t="s">
        <v>1601</v>
      </c>
      <c r="N95" s="11">
        <v>200000</v>
      </c>
      <c r="R95">
        <v>2</v>
      </c>
      <c r="S95" s="69">
        <v>714000</v>
      </c>
    </row>
    <row r="96" spans="1:19">
      <c r="A96" s="13"/>
      <c r="B96" s="75">
        <v>39295</v>
      </c>
      <c r="C96" s="5">
        <v>6</v>
      </c>
      <c r="D96" s="5" t="s">
        <v>1145</v>
      </c>
      <c r="E96" s="67">
        <v>50000</v>
      </c>
      <c r="F96" s="181"/>
      <c r="G96" s="13"/>
      <c r="H96" s="13"/>
      <c r="I96" s="75">
        <v>39326</v>
      </c>
      <c r="J96" s="5" t="s">
        <v>94</v>
      </c>
      <c r="K96" s="67">
        <v>40000</v>
      </c>
      <c r="L96" s="225">
        <v>39114</v>
      </c>
      <c r="M96" s="3" t="s">
        <v>1804</v>
      </c>
      <c r="N96" s="11">
        <v>245000</v>
      </c>
      <c r="R96">
        <v>3</v>
      </c>
      <c r="S96" s="69">
        <v>793500</v>
      </c>
    </row>
    <row r="97" spans="1:19">
      <c r="A97" s="13"/>
      <c r="B97" s="13"/>
      <c r="C97" s="5" t="s">
        <v>1689</v>
      </c>
      <c r="D97" s="12"/>
      <c r="E97" s="67">
        <v>50000</v>
      </c>
      <c r="F97" s="181"/>
      <c r="G97" s="13"/>
      <c r="H97" s="13"/>
      <c r="I97" s="13"/>
      <c r="J97" s="68" t="s">
        <v>437</v>
      </c>
      <c r="K97" s="69">
        <v>3000</v>
      </c>
      <c r="L97" s="225">
        <v>39479</v>
      </c>
      <c r="M97" s="3" t="s">
        <v>92</v>
      </c>
      <c r="N97" s="11">
        <v>245000</v>
      </c>
      <c r="R97">
        <v>4</v>
      </c>
      <c r="S97" s="69">
        <v>867000</v>
      </c>
    </row>
    <row r="98" spans="1:19">
      <c r="A98" s="13"/>
      <c r="B98" s="13"/>
      <c r="C98" s="5">
        <v>7</v>
      </c>
      <c r="D98" s="5" t="s">
        <v>99</v>
      </c>
      <c r="E98" s="67">
        <v>3400000</v>
      </c>
      <c r="F98" s="181"/>
      <c r="G98" s="13"/>
      <c r="H98" s="13"/>
      <c r="I98" s="75">
        <v>39387</v>
      </c>
      <c r="J98" s="5" t="s">
        <v>431</v>
      </c>
      <c r="K98" s="67">
        <v>1356654</v>
      </c>
      <c r="L98" s="225">
        <v>39722</v>
      </c>
      <c r="M98" s="3" t="s">
        <v>343</v>
      </c>
      <c r="N98" s="11">
        <v>246683</v>
      </c>
      <c r="R98">
        <v>5</v>
      </c>
      <c r="S98" s="69">
        <v>900000</v>
      </c>
    </row>
    <row r="99" spans="1:19">
      <c r="A99" s="13"/>
      <c r="B99" s="13"/>
      <c r="C99" s="5" t="s">
        <v>1690</v>
      </c>
      <c r="D99" s="12"/>
      <c r="E99" s="67">
        <v>3400000</v>
      </c>
      <c r="F99" s="181"/>
      <c r="G99" s="13"/>
      <c r="H99" s="13"/>
      <c r="I99" s="13"/>
      <c r="J99" s="68" t="s">
        <v>98</v>
      </c>
      <c r="K99" s="69">
        <v>23750</v>
      </c>
      <c r="L99" s="225">
        <v>38718</v>
      </c>
      <c r="M99" s="3" t="s">
        <v>273</v>
      </c>
      <c r="N99" s="11">
        <v>250000</v>
      </c>
      <c r="R99">
        <v>6</v>
      </c>
      <c r="S99" s="67">
        <v>921250</v>
      </c>
    </row>
    <row r="100" spans="1:19">
      <c r="A100" s="13"/>
      <c r="B100" s="13"/>
      <c r="C100" s="5">
        <v>8</v>
      </c>
      <c r="D100" s="5" t="s">
        <v>445</v>
      </c>
      <c r="E100" s="67">
        <v>335745</v>
      </c>
      <c r="F100" s="181"/>
      <c r="G100" s="13"/>
      <c r="H100" s="13"/>
      <c r="I100" s="13"/>
      <c r="J100" s="68" t="s">
        <v>199</v>
      </c>
      <c r="K100" s="69">
        <v>115000</v>
      </c>
      <c r="L100" s="225">
        <v>38808</v>
      </c>
      <c r="M100" s="3" t="s">
        <v>268</v>
      </c>
      <c r="N100" s="11">
        <v>250000</v>
      </c>
      <c r="R100">
        <v>7</v>
      </c>
      <c r="S100" s="69">
        <v>981315</v>
      </c>
    </row>
    <row r="101" spans="1:19">
      <c r="A101" s="13"/>
      <c r="B101" s="13"/>
      <c r="C101" s="5" t="s">
        <v>1691</v>
      </c>
      <c r="D101" s="12"/>
      <c r="E101" s="67">
        <v>335745</v>
      </c>
      <c r="F101" s="181"/>
      <c r="G101" s="13"/>
      <c r="H101" s="13"/>
      <c r="I101" s="75">
        <v>39479</v>
      </c>
      <c r="J101" s="5" t="s">
        <v>349</v>
      </c>
      <c r="K101" s="67">
        <v>867000</v>
      </c>
      <c r="L101" s="225">
        <v>39264</v>
      </c>
      <c r="M101" s="3" t="s">
        <v>96</v>
      </c>
      <c r="N101" s="11">
        <v>250000</v>
      </c>
      <c r="R101">
        <v>8</v>
      </c>
      <c r="S101" s="69">
        <v>1000000</v>
      </c>
    </row>
    <row r="102" spans="1:19">
      <c r="A102" s="13"/>
      <c r="B102" s="75">
        <v>39326</v>
      </c>
      <c r="C102" s="5">
        <v>9</v>
      </c>
      <c r="D102" s="5" t="s">
        <v>94</v>
      </c>
      <c r="E102" s="67">
        <v>40000</v>
      </c>
      <c r="F102" s="181"/>
      <c r="G102" s="13"/>
      <c r="H102" s="13"/>
      <c r="I102" s="75">
        <v>39515</v>
      </c>
      <c r="J102" s="5" t="s">
        <v>96</v>
      </c>
      <c r="K102" s="67">
        <v>269000</v>
      </c>
      <c r="L102" s="225">
        <v>40059</v>
      </c>
      <c r="M102" s="3" t="s">
        <v>329</v>
      </c>
      <c r="N102" s="11">
        <v>259500</v>
      </c>
      <c r="R102">
        <v>1</v>
      </c>
      <c r="S102" s="69">
        <v>1129943</v>
      </c>
    </row>
    <row r="103" spans="1:19">
      <c r="A103" s="13"/>
      <c r="B103" s="13"/>
      <c r="C103" s="5" t="s">
        <v>1692</v>
      </c>
      <c r="D103" s="12"/>
      <c r="E103" s="67">
        <v>40000</v>
      </c>
      <c r="F103" s="181"/>
      <c r="G103" s="13"/>
      <c r="H103" s="13"/>
      <c r="I103" s="75">
        <v>39576</v>
      </c>
      <c r="J103" s="5" t="s">
        <v>347</v>
      </c>
      <c r="K103" s="67">
        <v>55000000</v>
      </c>
      <c r="L103" s="225">
        <v>39515</v>
      </c>
      <c r="M103" s="3" t="s">
        <v>96</v>
      </c>
      <c r="N103" s="11">
        <v>269000</v>
      </c>
      <c r="R103">
        <v>2</v>
      </c>
      <c r="S103" s="69">
        <v>1356654</v>
      </c>
    </row>
    <row r="104" spans="1:19">
      <c r="A104" s="13"/>
      <c r="B104" s="13"/>
      <c r="C104" s="5">
        <v>10</v>
      </c>
      <c r="D104" s="5" t="s">
        <v>440</v>
      </c>
      <c r="E104" s="67">
        <v>120000</v>
      </c>
      <c r="F104" s="181"/>
      <c r="G104" s="13"/>
      <c r="H104" s="13"/>
      <c r="I104" s="13"/>
      <c r="J104" s="68" t="s">
        <v>62</v>
      </c>
      <c r="K104" s="69">
        <v>3400000</v>
      </c>
      <c r="L104" s="225">
        <v>40133</v>
      </c>
      <c r="M104" s="3" t="s">
        <v>508</v>
      </c>
      <c r="N104" s="11">
        <v>274845</v>
      </c>
      <c r="R104">
        <v>3</v>
      </c>
      <c r="S104" s="69">
        <v>1485750</v>
      </c>
    </row>
    <row r="105" spans="1:19">
      <c r="A105" s="13"/>
      <c r="B105" s="13"/>
      <c r="C105" s="5" t="s">
        <v>1693</v>
      </c>
      <c r="D105" s="12"/>
      <c r="E105" s="67">
        <v>120000</v>
      </c>
      <c r="F105" s="181"/>
      <c r="G105" s="13"/>
      <c r="H105" s="13"/>
      <c r="I105" s="75">
        <v>39607</v>
      </c>
      <c r="J105" s="5" t="s">
        <v>346</v>
      </c>
      <c r="K105" s="67">
        <v>185000</v>
      </c>
      <c r="L105" s="225">
        <v>39264</v>
      </c>
      <c r="M105" s="3" t="s">
        <v>451</v>
      </c>
      <c r="N105" s="11">
        <v>295000</v>
      </c>
      <c r="R105">
        <v>4</v>
      </c>
      <c r="S105" s="69">
        <v>1520000</v>
      </c>
    </row>
    <row r="106" spans="1:19">
      <c r="A106" s="13"/>
      <c r="B106" s="13"/>
      <c r="C106" s="5">
        <v>11</v>
      </c>
      <c r="D106" s="5" t="s">
        <v>437</v>
      </c>
      <c r="E106" s="67">
        <v>3000</v>
      </c>
      <c r="F106" s="181"/>
      <c r="G106" s="13"/>
      <c r="H106" s="5" t="s">
        <v>600</v>
      </c>
      <c r="I106" s="12"/>
      <c r="J106" s="12"/>
      <c r="K106" s="67">
        <v>61999092</v>
      </c>
      <c r="L106" s="225">
        <v>39448</v>
      </c>
      <c r="M106" s="3" t="s">
        <v>350</v>
      </c>
      <c r="N106" s="11">
        <v>300000</v>
      </c>
      <c r="R106">
        <v>5</v>
      </c>
      <c r="S106" s="69">
        <v>1532876</v>
      </c>
    </row>
    <row r="107" spans="1:19">
      <c r="A107" s="13"/>
      <c r="B107" s="13"/>
      <c r="C107" s="5" t="s">
        <v>1694</v>
      </c>
      <c r="D107" s="12"/>
      <c r="E107" s="67">
        <v>3000</v>
      </c>
      <c r="F107" s="181"/>
      <c r="G107" s="13"/>
      <c r="H107" s="5" t="s">
        <v>1211</v>
      </c>
      <c r="I107" s="75">
        <v>39295</v>
      </c>
      <c r="J107" s="5" t="s">
        <v>445</v>
      </c>
      <c r="K107" s="67">
        <v>335745</v>
      </c>
      <c r="L107" s="225">
        <v>39948</v>
      </c>
      <c r="M107" s="3" t="s">
        <v>2004</v>
      </c>
      <c r="N107" s="11">
        <v>330000</v>
      </c>
      <c r="R107">
        <v>6</v>
      </c>
      <c r="S107" s="69">
        <v>1664192.86</v>
      </c>
    </row>
    <row r="108" spans="1:19">
      <c r="A108" s="13"/>
      <c r="B108" s="13"/>
      <c r="C108" s="5">
        <v>12</v>
      </c>
      <c r="D108" s="5" t="s">
        <v>104</v>
      </c>
      <c r="E108" s="67">
        <v>17400</v>
      </c>
      <c r="F108" s="181"/>
      <c r="G108" s="13"/>
      <c r="H108" s="13"/>
      <c r="I108" s="13"/>
      <c r="J108" s="68" t="s">
        <v>99</v>
      </c>
      <c r="K108" s="69">
        <v>3400000</v>
      </c>
      <c r="L108" s="225">
        <v>39295</v>
      </c>
      <c r="M108" s="3" t="s">
        <v>445</v>
      </c>
      <c r="N108" s="11">
        <v>335745</v>
      </c>
      <c r="R108">
        <v>7</v>
      </c>
      <c r="S108" s="69">
        <v>1889600</v>
      </c>
    </row>
    <row r="109" spans="1:19">
      <c r="A109" s="13"/>
      <c r="B109" s="13"/>
      <c r="C109" s="5" t="s">
        <v>1695</v>
      </c>
      <c r="D109" s="12"/>
      <c r="E109" s="67">
        <v>17400</v>
      </c>
      <c r="F109" s="181"/>
      <c r="G109" s="13"/>
      <c r="H109" s="13"/>
      <c r="I109" s="75">
        <v>39326</v>
      </c>
      <c r="J109" s="5" t="s">
        <v>440</v>
      </c>
      <c r="K109" s="67">
        <v>120000</v>
      </c>
      <c r="L109" s="225">
        <v>38626</v>
      </c>
      <c r="M109" s="3" t="s">
        <v>191</v>
      </c>
      <c r="N109" s="11">
        <v>342378</v>
      </c>
      <c r="R109">
        <v>8</v>
      </c>
      <c r="S109" s="69">
        <v>1900000</v>
      </c>
    </row>
    <row r="110" spans="1:19">
      <c r="A110" s="13"/>
      <c r="B110" s="13"/>
      <c r="C110" s="5">
        <v>13</v>
      </c>
      <c r="D110" s="5" t="s">
        <v>103</v>
      </c>
      <c r="E110" s="67">
        <v>19970</v>
      </c>
      <c r="F110" s="181"/>
      <c r="G110" s="13"/>
      <c r="H110" s="13"/>
      <c r="I110" s="75">
        <v>39356</v>
      </c>
      <c r="J110" s="5" t="s">
        <v>434</v>
      </c>
      <c r="K110" s="67">
        <v>104055</v>
      </c>
      <c r="L110" s="225">
        <v>39515</v>
      </c>
      <c r="M110" s="3" t="s">
        <v>890</v>
      </c>
      <c r="N110" s="11">
        <v>348500</v>
      </c>
      <c r="R110">
        <v>9</v>
      </c>
      <c r="S110" s="69">
        <v>2000000</v>
      </c>
    </row>
    <row r="111" spans="1:19">
      <c r="A111" s="13"/>
      <c r="B111" s="13"/>
      <c r="C111" s="5" t="s">
        <v>1696</v>
      </c>
      <c r="D111" s="12"/>
      <c r="E111" s="67">
        <v>19970</v>
      </c>
      <c r="F111" s="181"/>
      <c r="G111" s="13"/>
      <c r="H111" s="13"/>
      <c r="I111" s="75">
        <v>39387</v>
      </c>
      <c r="J111" s="5" t="s">
        <v>97</v>
      </c>
      <c r="K111" s="67">
        <v>1900000</v>
      </c>
      <c r="L111" s="225">
        <v>38718</v>
      </c>
      <c r="M111" s="3" t="s">
        <v>272</v>
      </c>
      <c r="N111" s="11">
        <v>400000</v>
      </c>
      <c r="R111">
        <v>10</v>
      </c>
      <c r="S111" s="69">
        <v>3318000</v>
      </c>
    </row>
    <row r="112" spans="1:19">
      <c r="A112" s="13"/>
      <c r="B112" s="75">
        <v>39356</v>
      </c>
      <c r="C112" s="5">
        <v>14</v>
      </c>
      <c r="D112" s="5" t="s">
        <v>434</v>
      </c>
      <c r="E112" s="67">
        <v>104055</v>
      </c>
      <c r="F112" s="181"/>
      <c r="G112" s="13"/>
      <c r="H112" s="13"/>
      <c r="I112" s="13"/>
      <c r="J112" s="68" t="s">
        <v>434</v>
      </c>
      <c r="K112" s="69">
        <v>95513</v>
      </c>
      <c r="L112" s="225">
        <v>38626</v>
      </c>
      <c r="M112" s="3" t="s">
        <v>486</v>
      </c>
      <c r="N112" s="11">
        <v>497744</v>
      </c>
      <c r="R112">
        <v>11</v>
      </c>
      <c r="S112" s="69">
        <v>3400000</v>
      </c>
    </row>
    <row r="113" spans="1:20">
      <c r="A113" s="13"/>
      <c r="B113" s="13"/>
      <c r="C113" s="5" t="s">
        <v>1697</v>
      </c>
      <c r="D113" s="12"/>
      <c r="E113" s="67">
        <v>104055</v>
      </c>
      <c r="F113" s="181"/>
      <c r="G113" s="13"/>
      <c r="H113" s="13"/>
      <c r="I113" s="75">
        <v>39479</v>
      </c>
      <c r="J113" s="5" t="s">
        <v>92</v>
      </c>
      <c r="K113" s="67">
        <v>245000</v>
      </c>
      <c r="L113" s="225">
        <v>39877</v>
      </c>
      <c r="M113" s="3" t="s">
        <v>442</v>
      </c>
      <c r="N113" s="11">
        <v>500000</v>
      </c>
      <c r="R113">
        <v>12</v>
      </c>
      <c r="S113" s="69">
        <v>3400000</v>
      </c>
    </row>
    <row r="114" spans="1:20">
      <c r="A114" s="13"/>
      <c r="B114" s="75">
        <v>39387</v>
      </c>
      <c r="C114" s="5">
        <v>14</v>
      </c>
      <c r="D114" s="5" t="s">
        <v>434</v>
      </c>
      <c r="E114" s="67">
        <v>95513</v>
      </c>
      <c r="F114" s="181"/>
      <c r="G114" s="13"/>
      <c r="H114" s="13"/>
      <c r="I114" s="75">
        <v>39607</v>
      </c>
      <c r="J114" s="5" t="s">
        <v>91</v>
      </c>
      <c r="K114" s="67">
        <v>2000</v>
      </c>
      <c r="L114" s="225">
        <v>39479</v>
      </c>
      <c r="M114" s="3" t="s">
        <v>101</v>
      </c>
      <c r="N114" s="11">
        <v>714000</v>
      </c>
      <c r="R114">
        <v>13</v>
      </c>
      <c r="S114" s="69">
        <v>6400000</v>
      </c>
    </row>
    <row r="115" spans="1:20">
      <c r="A115" s="13"/>
      <c r="B115" s="13"/>
      <c r="C115" s="5" t="s">
        <v>1697</v>
      </c>
      <c r="D115" s="12"/>
      <c r="E115" s="67">
        <v>95513</v>
      </c>
      <c r="F115" s="181"/>
      <c r="G115" s="13"/>
      <c r="H115" s="5" t="s">
        <v>1357</v>
      </c>
      <c r="I115" s="12"/>
      <c r="J115" s="12"/>
      <c r="K115" s="67">
        <v>6202313</v>
      </c>
      <c r="L115" s="225">
        <v>38991</v>
      </c>
      <c r="M115" s="3" t="s">
        <v>1774</v>
      </c>
      <c r="N115" s="11">
        <v>793500</v>
      </c>
      <c r="R115">
        <v>14</v>
      </c>
      <c r="S115" s="176">
        <v>12558310</v>
      </c>
      <c r="T115" t="s">
        <v>816</v>
      </c>
    </row>
    <row r="116" spans="1:20">
      <c r="A116" s="13"/>
      <c r="B116" s="13"/>
      <c r="C116" s="5">
        <v>15</v>
      </c>
      <c r="D116" s="5" t="s">
        <v>97</v>
      </c>
      <c r="E116" s="67">
        <v>1900000</v>
      </c>
      <c r="F116" s="181"/>
      <c r="G116" s="5">
        <v>2009</v>
      </c>
      <c r="H116" s="5" t="s">
        <v>1210</v>
      </c>
      <c r="I116" s="75">
        <v>39792</v>
      </c>
      <c r="J116" s="5" t="s">
        <v>338</v>
      </c>
      <c r="K116" s="67">
        <v>0</v>
      </c>
      <c r="L116" s="225">
        <v>39479</v>
      </c>
      <c r="M116" s="3" t="s">
        <v>349</v>
      </c>
      <c r="N116" s="11">
        <v>867000</v>
      </c>
      <c r="R116">
        <v>15</v>
      </c>
      <c r="S116" s="69">
        <v>55000000</v>
      </c>
    </row>
    <row r="117" spans="1:20">
      <c r="A117" s="13"/>
      <c r="B117" s="13"/>
      <c r="C117" s="5" t="s">
        <v>1698</v>
      </c>
      <c r="D117" s="12"/>
      <c r="E117" s="67">
        <v>1900000</v>
      </c>
      <c r="F117" s="181"/>
      <c r="G117" s="13"/>
      <c r="H117" s="13"/>
      <c r="I117" s="75">
        <v>39793</v>
      </c>
      <c r="J117" s="5" t="s">
        <v>338</v>
      </c>
      <c r="K117" s="67">
        <v>0</v>
      </c>
      <c r="L117" s="225">
        <v>39799</v>
      </c>
      <c r="M117" s="3" t="s">
        <v>1846</v>
      </c>
      <c r="N117" s="11">
        <v>921250</v>
      </c>
      <c r="R117">
        <v>16</v>
      </c>
      <c r="S117" s="69">
        <v>476000000</v>
      </c>
    </row>
    <row r="118" spans="1:20">
      <c r="A118" s="13"/>
      <c r="B118" s="13"/>
      <c r="C118" s="5">
        <v>16</v>
      </c>
      <c r="D118" s="5" t="s">
        <v>199</v>
      </c>
      <c r="E118" s="67">
        <v>115000</v>
      </c>
      <c r="F118" s="181"/>
      <c r="G118" s="13"/>
      <c r="H118" s="13"/>
      <c r="I118" s="75">
        <v>39794</v>
      </c>
      <c r="J118" s="5" t="s">
        <v>338</v>
      </c>
      <c r="K118" s="67">
        <v>0</v>
      </c>
      <c r="L118" s="225">
        <v>39910</v>
      </c>
      <c r="M118" s="3" t="s">
        <v>403</v>
      </c>
      <c r="N118" s="11">
        <v>981315</v>
      </c>
    </row>
    <row r="119" spans="1:20">
      <c r="A119" s="13"/>
      <c r="B119" s="13"/>
      <c r="C119" s="5" t="s">
        <v>1699</v>
      </c>
      <c r="D119" s="12"/>
      <c r="E119" s="67">
        <v>115000</v>
      </c>
      <c r="F119" s="181"/>
      <c r="G119" s="13"/>
      <c r="H119" s="13"/>
      <c r="I119" s="75">
        <v>39795</v>
      </c>
      <c r="J119" s="5" t="s">
        <v>338</v>
      </c>
      <c r="K119" s="67">
        <v>0</v>
      </c>
      <c r="L119" s="225">
        <v>40278</v>
      </c>
      <c r="M119" s="3" t="s">
        <v>1070</v>
      </c>
      <c r="N119" s="11">
        <v>1000000</v>
      </c>
    </row>
    <row r="120" spans="1:20">
      <c r="A120" s="13"/>
      <c r="B120" s="13"/>
      <c r="C120" s="5">
        <v>17</v>
      </c>
      <c r="D120" s="5" t="s">
        <v>431</v>
      </c>
      <c r="E120" s="67">
        <v>1356654</v>
      </c>
      <c r="F120" s="181"/>
      <c r="G120" s="13"/>
      <c r="H120" s="13"/>
      <c r="I120" s="75">
        <v>39796</v>
      </c>
      <c r="J120" s="5" t="s">
        <v>337</v>
      </c>
      <c r="K120" s="67">
        <v>50000</v>
      </c>
      <c r="L120" s="225">
        <v>39699</v>
      </c>
      <c r="M120" s="3" t="s">
        <v>344</v>
      </c>
      <c r="N120" s="11">
        <v>1129943</v>
      </c>
    </row>
    <row r="121" spans="1:20">
      <c r="A121" s="13"/>
      <c r="B121" s="13"/>
      <c r="C121" s="5" t="s">
        <v>1700</v>
      </c>
      <c r="D121" s="12"/>
      <c r="E121" s="67">
        <v>1356654</v>
      </c>
      <c r="F121" s="181"/>
      <c r="G121" s="13"/>
      <c r="H121" s="13"/>
      <c r="I121" s="75">
        <v>39799</v>
      </c>
      <c r="J121" s="5" t="s">
        <v>336</v>
      </c>
      <c r="K121" s="67">
        <v>100000</v>
      </c>
      <c r="L121" s="225">
        <v>40058</v>
      </c>
      <c r="M121" s="3" t="s">
        <v>545</v>
      </c>
      <c r="N121" s="11">
        <v>1168000</v>
      </c>
    </row>
    <row r="122" spans="1:20">
      <c r="A122" s="13"/>
      <c r="B122" s="13"/>
      <c r="C122" s="5">
        <v>18</v>
      </c>
      <c r="D122" s="5" t="s">
        <v>98</v>
      </c>
      <c r="E122" s="67">
        <v>23750</v>
      </c>
      <c r="F122" s="181"/>
      <c r="G122" s="13"/>
      <c r="H122" s="13"/>
      <c r="I122" s="75">
        <v>39948</v>
      </c>
      <c r="J122" s="5" t="s">
        <v>83</v>
      </c>
      <c r="K122" s="67">
        <v>200000</v>
      </c>
      <c r="L122" s="225">
        <v>39387</v>
      </c>
      <c r="M122" s="3" t="s">
        <v>431</v>
      </c>
      <c r="N122" s="11">
        <v>1356654</v>
      </c>
    </row>
    <row r="123" spans="1:20">
      <c r="A123" s="13"/>
      <c r="B123" s="13"/>
      <c r="C123" s="5" t="s">
        <v>1701</v>
      </c>
      <c r="D123" s="12"/>
      <c r="E123" s="67">
        <v>23750</v>
      </c>
      <c r="F123" s="181"/>
      <c r="G123" s="13"/>
      <c r="H123" s="13"/>
      <c r="I123" s="13"/>
      <c r="J123" s="68" t="s">
        <v>82</v>
      </c>
      <c r="K123" s="69">
        <v>50000</v>
      </c>
      <c r="L123" s="225">
        <v>38838</v>
      </c>
      <c r="M123" s="3" t="s">
        <v>1786</v>
      </c>
      <c r="N123" s="11">
        <v>1485750</v>
      </c>
    </row>
    <row r="124" spans="1:20">
      <c r="A124" s="13"/>
      <c r="B124" s="75">
        <v>39448</v>
      </c>
      <c r="C124" s="5">
        <v>19</v>
      </c>
      <c r="D124" s="5" t="s">
        <v>350</v>
      </c>
      <c r="E124" s="67">
        <v>300000</v>
      </c>
      <c r="F124" s="181"/>
      <c r="G124" s="13"/>
      <c r="H124" s="5" t="s">
        <v>599</v>
      </c>
      <c r="I124" s="12"/>
      <c r="J124" s="12"/>
      <c r="K124" s="67">
        <v>400000</v>
      </c>
      <c r="L124" s="225">
        <v>39851</v>
      </c>
      <c r="M124" s="3" t="s">
        <v>873</v>
      </c>
      <c r="N124" s="11">
        <v>1520000</v>
      </c>
    </row>
    <row r="125" spans="1:20">
      <c r="A125" s="13"/>
      <c r="B125" s="13"/>
      <c r="C125" s="5" t="s">
        <v>1702</v>
      </c>
      <c r="D125" s="12"/>
      <c r="E125" s="67">
        <v>300000</v>
      </c>
      <c r="F125" s="181"/>
      <c r="G125" s="13"/>
      <c r="H125" s="5" t="s">
        <v>570</v>
      </c>
      <c r="I125" s="75">
        <v>39637</v>
      </c>
      <c r="J125" s="5" t="s">
        <v>561</v>
      </c>
      <c r="K125" s="67">
        <v>50000</v>
      </c>
      <c r="L125" s="225">
        <v>39699</v>
      </c>
      <c r="M125" s="3" t="s">
        <v>345</v>
      </c>
      <c r="N125" s="11">
        <v>1532876</v>
      </c>
    </row>
    <row r="126" spans="1:20">
      <c r="A126" s="13"/>
      <c r="B126" s="75">
        <v>39479</v>
      </c>
      <c r="C126" s="5">
        <v>20</v>
      </c>
      <c r="D126" s="5" t="s">
        <v>349</v>
      </c>
      <c r="E126" s="67">
        <v>867000</v>
      </c>
      <c r="F126" s="181"/>
      <c r="G126" s="13"/>
      <c r="H126" s="13"/>
      <c r="I126" s="75">
        <v>39661</v>
      </c>
      <c r="J126" s="5" t="s">
        <v>558</v>
      </c>
      <c r="K126" s="67">
        <v>100000</v>
      </c>
      <c r="L126" s="225">
        <v>40058</v>
      </c>
      <c r="M126" s="3" t="s">
        <v>1358</v>
      </c>
      <c r="N126" s="11">
        <v>1664192.86</v>
      </c>
    </row>
    <row r="127" spans="1:20">
      <c r="A127" s="13"/>
      <c r="B127" s="13"/>
      <c r="C127" s="5" t="s">
        <v>1703</v>
      </c>
      <c r="D127" s="12"/>
      <c r="E127" s="67">
        <v>867000</v>
      </c>
      <c r="F127" s="181"/>
      <c r="G127" s="13"/>
      <c r="H127" s="13"/>
      <c r="I127" s="13"/>
      <c r="J127" s="68" t="s">
        <v>56</v>
      </c>
      <c r="K127" s="69">
        <v>44250</v>
      </c>
      <c r="L127" s="225">
        <v>38899</v>
      </c>
      <c r="M127" s="3" t="s">
        <v>276</v>
      </c>
      <c r="N127" s="11">
        <v>1889600</v>
      </c>
    </row>
    <row r="128" spans="1:20">
      <c r="A128" s="13"/>
      <c r="B128" s="13"/>
      <c r="C128" s="5">
        <v>21</v>
      </c>
      <c r="D128" s="5" t="s">
        <v>95</v>
      </c>
      <c r="E128" s="67">
        <v>12400</v>
      </c>
      <c r="F128" s="181"/>
      <c r="G128" s="13"/>
      <c r="H128" s="13"/>
      <c r="I128" s="75">
        <v>39699</v>
      </c>
      <c r="J128" s="5" t="s">
        <v>1145</v>
      </c>
      <c r="K128" s="67">
        <v>50000</v>
      </c>
      <c r="L128" s="225">
        <v>39387</v>
      </c>
      <c r="M128" s="3" t="s">
        <v>97</v>
      </c>
      <c r="N128" s="11">
        <v>1900000</v>
      </c>
    </row>
    <row r="129" spans="1:14">
      <c r="A129" s="13"/>
      <c r="B129" s="13"/>
      <c r="C129" s="5" t="s">
        <v>1704</v>
      </c>
      <c r="D129" s="12"/>
      <c r="E129" s="67">
        <v>12400</v>
      </c>
      <c r="F129" s="181"/>
      <c r="G129" s="13"/>
      <c r="H129" s="13"/>
      <c r="I129" s="75">
        <v>39760</v>
      </c>
      <c r="J129" s="5" t="s">
        <v>635</v>
      </c>
      <c r="K129" s="67">
        <v>100000</v>
      </c>
      <c r="L129" s="225">
        <v>39142</v>
      </c>
      <c r="M129" s="3" t="s">
        <v>442</v>
      </c>
      <c r="N129" s="11">
        <v>2000000</v>
      </c>
    </row>
    <row r="130" spans="1:14">
      <c r="A130" s="13"/>
      <c r="B130" s="13"/>
      <c r="C130" s="5">
        <v>22</v>
      </c>
      <c r="D130" s="5" t="s">
        <v>101</v>
      </c>
      <c r="E130" s="67">
        <v>714000</v>
      </c>
      <c r="F130" s="181"/>
      <c r="G130" s="13"/>
      <c r="H130" s="13"/>
      <c r="I130" s="13"/>
      <c r="J130" s="68" t="s">
        <v>560</v>
      </c>
      <c r="K130" s="69">
        <v>50000</v>
      </c>
      <c r="L130" s="225">
        <v>40058</v>
      </c>
      <c r="M130" s="3" t="s">
        <v>544</v>
      </c>
      <c r="N130" s="11">
        <v>2150000</v>
      </c>
    </row>
    <row r="131" spans="1:14">
      <c r="A131" s="13"/>
      <c r="B131" s="13"/>
      <c r="C131" s="5" t="s">
        <v>1705</v>
      </c>
      <c r="D131" s="12"/>
      <c r="E131" s="67">
        <v>714000</v>
      </c>
      <c r="F131" s="181"/>
      <c r="G131" s="13"/>
      <c r="H131" s="13"/>
      <c r="I131" s="75">
        <v>39799</v>
      </c>
      <c r="J131" s="5" t="s">
        <v>1845</v>
      </c>
      <c r="K131" s="67">
        <v>0</v>
      </c>
      <c r="L131" s="225">
        <v>39295</v>
      </c>
      <c r="M131" s="3" t="s">
        <v>99</v>
      </c>
      <c r="N131" s="11">
        <v>3400000</v>
      </c>
    </row>
    <row r="132" spans="1:14">
      <c r="A132" s="13"/>
      <c r="B132" s="13"/>
      <c r="C132" s="5">
        <v>23</v>
      </c>
      <c r="D132" s="5" t="s">
        <v>92</v>
      </c>
      <c r="E132" s="67">
        <v>245000</v>
      </c>
      <c r="F132" s="181"/>
      <c r="G132" s="13"/>
      <c r="H132" s="13"/>
      <c r="I132" s="13"/>
      <c r="J132" s="68" t="s">
        <v>1846</v>
      </c>
      <c r="K132" s="69">
        <v>921250</v>
      </c>
      <c r="L132" s="225">
        <v>39576</v>
      </c>
      <c r="M132" s="3" t="s">
        <v>62</v>
      </c>
      <c r="N132" s="11">
        <v>3400000</v>
      </c>
    </row>
    <row r="133" spans="1:14">
      <c r="A133" s="13"/>
      <c r="B133" s="13"/>
      <c r="C133" s="5" t="s">
        <v>1706</v>
      </c>
      <c r="D133" s="12"/>
      <c r="E133" s="67">
        <v>245000</v>
      </c>
      <c r="F133" s="181"/>
      <c r="G133" s="13"/>
      <c r="H133" s="13"/>
      <c r="I133" s="75">
        <v>39851</v>
      </c>
      <c r="J133" s="5" t="s">
        <v>873</v>
      </c>
      <c r="K133" s="67">
        <v>1520000</v>
      </c>
      <c r="L133" s="225">
        <v>40236</v>
      </c>
      <c r="M133" s="3" t="s">
        <v>53</v>
      </c>
      <c r="N133" s="11">
        <v>6400000</v>
      </c>
    </row>
    <row r="134" spans="1:14">
      <c r="A134" s="13"/>
      <c r="B134" s="75">
        <v>39515</v>
      </c>
      <c r="C134" s="5">
        <v>24</v>
      </c>
      <c r="D134" s="5" t="s">
        <v>96</v>
      </c>
      <c r="E134" s="67">
        <v>269000</v>
      </c>
      <c r="F134" s="181"/>
      <c r="G134" s="13"/>
      <c r="H134" s="13"/>
      <c r="I134" s="75">
        <v>39877</v>
      </c>
      <c r="J134" s="5" t="s">
        <v>442</v>
      </c>
      <c r="K134" s="67">
        <v>500000</v>
      </c>
      <c r="L134" s="225">
        <v>38626</v>
      </c>
      <c r="M134" s="3" t="s">
        <v>267</v>
      </c>
      <c r="N134" s="11">
        <v>12558310</v>
      </c>
    </row>
    <row r="135" spans="1:14">
      <c r="A135" s="13"/>
      <c r="B135" s="13"/>
      <c r="C135" s="5" t="s">
        <v>1707</v>
      </c>
      <c r="D135" s="12"/>
      <c r="E135" s="67">
        <v>269000</v>
      </c>
      <c r="F135" s="181"/>
      <c r="G135" s="13"/>
      <c r="H135" s="13"/>
      <c r="I135" s="75">
        <v>39910</v>
      </c>
      <c r="J135" s="5" t="s">
        <v>403</v>
      </c>
      <c r="K135" s="67">
        <v>981315</v>
      </c>
      <c r="L135" s="225">
        <v>39576</v>
      </c>
      <c r="M135" s="3" t="s">
        <v>347</v>
      </c>
      <c r="N135" s="11">
        <v>55000000</v>
      </c>
    </row>
    <row r="136" spans="1:14">
      <c r="A136" s="13"/>
      <c r="B136" s="13"/>
      <c r="C136" s="5">
        <v>25</v>
      </c>
      <c r="D136" s="5" t="s">
        <v>348</v>
      </c>
      <c r="E136" s="67">
        <v>50000</v>
      </c>
      <c r="F136" s="181"/>
      <c r="G136" s="13"/>
      <c r="H136" s="13"/>
      <c r="I136" s="75">
        <v>39948</v>
      </c>
      <c r="J136" s="5" t="s">
        <v>2004</v>
      </c>
      <c r="K136" s="67">
        <v>330000</v>
      </c>
      <c r="L136" s="225">
        <v>40190</v>
      </c>
      <c r="M136" s="3" t="s">
        <v>656</v>
      </c>
      <c r="N136" s="11">
        <v>476000000</v>
      </c>
    </row>
    <row r="137" spans="1:14">
      <c r="A137" s="13"/>
      <c r="B137" s="13"/>
      <c r="C137" s="5" t="s">
        <v>1708</v>
      </c>
      <c r="D137" s="12"/>
      <c r="E137" s="67">
        <v>50000</v>
      </c>
      <c r="F137" s="181"/>
      <c r="G137" s="13"/>
      <c r="H137" s="13"/>
      <c r="I137" s="75">
        <v>39990</v>
      </c>
      <c r="J137" s="5" t="s">
        <v>29</v>
      </c>
      <c r="K137" s="67">
        <v>0</v>
      </c>
    </row>
    <row r="138" spans="1:14">
      <c r="A138" s="13"/>
      <c r="B138" s="13"/>
      <c r="C138" s="5">
        <v>26</v>
      </c>
      <c r="D138" s="5" t="s">
        <v>890</v>
      </c>
      <c r="E138" s="67">
        <v>300000</v>
      </c>
      <c r="F138" s="181"/>
      <c r="G138" s="13"/>
      <c r="H138" s="5" t="s">
        <v>600</v>
      </c>
      <c r="I138" s="12"/>
      <c r="J138" s="12"/>
      <c r="K138" s="67">
        <v>4646815</v>
      </c>
    </row>
    <row r="139" spans="1:14">
      <c r="A139" s="13"/>
      <c r="B139" s="13"/>
      <c r="C139" s="5" t="s">
        <v>1709</v>
      </c>
      <c r="D139" s="12"/>
      <c r="E139" s="67">
        <v>300000</v>
      </c>
      <c r="F139" s="181"/>
      <c r="G139" s="13"/>
      <c r="H139" s="5" t="s">
        <v>1211</v>
      </c>
      <c r="I139" s="75">
        <v>39630</v>
      </c>
      <c r="J139" s="5" t="s">
        <v>559</v>
      </c>
      <c r="K139" s="67">
        <v>0</v>
      </c>
    </row>
    <row r="140" spans="1:14">
      <c r="A140" s="13"/>
      <c r="B140" s="13"/>
      <c r="C140" s="5">
        <v>27</v>
      </c>
      <c r="D140" s="5" t="s">
        <v>890</v>
      </c>
      <c r="E140" s="67">
        <v>48500</v>
      </c>
      <c r="F140" s="181"/>
      <c r="G140" s="13"/>
      <c r="H140" s="13"/>
      <c r="I140" s="75">
        <v>39699</v>
      </c>
      <c r="J140" s="5" t="s">
        <v>1843</v>
      </c>
      <c r="K140" s="67">
        <v>0</v>
      </c>
    </row>
    <row r="141" spans="1:14">
      <c r="A141" s="13"/>
      <c r="B141" s="13"/>
      <c r="C141" s="5" t="s">
        <v>1710</v>
      </c>
      <c r="D141" s="12"/>
      <c r="E141" s="67">
        <v>48500</v>
      </c>
      <c r="F141" s="181"/>
      <c r="G141" s="13"/>
      <c r="H141" s="13"/>
      <c r="I141" s="13"/>
      <c r="J141" s="68" t="s">
        <v>1844</v>
      </c>
      <c r="K141" s="69">
        <v>121044</v>
      </c>
    </row>
    <row r="142" spans="1:14">
      <c r="A142" s="13"/>
      <c r="B142" s="75">
        <v>39576</v>
      </c>
      <c r="C142" s="5">
        <v>28</v>
      </c>
      <c r="D142" s="5" t="s">
        <v>62</v>
      </c>
      <c r="E142" s="67">
        <v>3400000</v>
      </c>
      <c r="F142" s="181"/>
      <c r="G142" s="13"/>
      <c r="H142" s="13"/>
      <c r="I142" s="13"/>
      <c r="J142" s="68" t="s">
        <v>344</v>
      </c>
      <c r="K142" s="69">
        <v>1129943</v>
      </c>
    </row>
    <row r="143" spans="1:14">
      <c r="A143" s="13"/>
      <c r="B143" s="13"/>
      <c r="C143" s="5" t="s">
        <v>1711</v>
      </c>
      <c r="D143" s="12"/>
      <c r="E143" s="67">
        <v>3400000</v>
      </c>
      <c r="F143" s="181"/>
      <c r="G143" s="13"/>
      <c r="H143" s="13"/>
      <c r="I143" s="13"/>
      <c r="J143" s="68" t="s">
        <v>345</v>
      </c>
      <c r="K143" s="69">
        <v>1532876</v>
      </c>
    </row>
    <row r="144" spans="1:14">
      <c r="A144" s="13"/>
      <c r="B144" s="13"/>
      <c r="C144" s="5">
        <v>29</v>
      </c>
      <c r="D144" s="5" t="s">
        <v>347</v>
      </c>
      <c r="E144" s="67">
        <v>55000000</v>
      </c>
      <c r="F144" s="181"/>
      <c r="G144" s="13"/>
      <c r="H144" s="13"/>
      <c r="I144" s="75">
        <v>39722</v>
      </c>
      <c r="J144" s="5" t="s">
        <v>343</v>
      </c>
      <c r="K144" s="67">
        <v>246683</v>
      </c>
    </row>
    <row r="145" spans="1:11">
      <c r="A145" s="13"/>
      <c r="B145" s="13"/>
      <c r="C145" s="5" t="s">
        <v>1712</v>
      </c>
      <c r="D145" s="12"/>
      <c r="E145" s="67">
        <v>55000000</v>
      </c>
      <c r="F145" s="181"/>
      <c r="G145" s="13"/>
      <c r="H145" s="13"/>
      <c r="I145" s="75">
        <v>39790</v>
      </c>
      <c r="J145" s="5" t="s">
        <v>342</v>
      </c>
      <c r="K145" s="67">
        <v>100000</v>
      </c>
    </row>
    <row r="146" spans="1:11">
      <c r="A146" s="13"/>
      <c r="B146" s="75">
        <v>39607</v>
      </c>
      <c r="C146" s="5">
        <v>30</v>
      </c>
      <c r="D146" s="5" t="s">
        <v>100</v>
      </c>
      <c r="E146" s="67">
        <v>10000</v>
      </c>
      <c r="F146" s="181"/>
      <c r="G146" s="13"/>
      <c r="H146" s="13"/>
      <c r="I146" s="75">
        <v>39791</v>
      </c>
      <c r="J146" s="5" t="s">
        <v>342</v>
      </c>
      <c r="K146" s="67">
        <v>0</v>
      </c>
    </row>
    <row r="147" spans="1:11">
      <c r="A147" s="13"/>
      <c r="B147" s="13"/>
      <c r="C147" s="5" t="s">
        <v>1713</v>
      </c>
      <c r="D147" s="12"/>
      <c r="E147" s="67">
        <v>10000</v>
      </c>
      <c r="F147" s="181"/>
      <c r="G147" s="13"/>
      <c r="H147" s="13"/>
      <c r="I147" s="75">
        <v>39821</v>
      </c>
      <c r="J147" s="5" t="s">
        <v>557</v>
      </c>
      <c r="K147" s="67">
        <v>74200</v>
      </c>
    </row>
    <row r="148" spans="1:11">
      <c r="A148" s="13"/>
      <c r="B148" s="13"/>
      <c r="C148" s="5">
        <v>31</v>
      </c>
      <c r="D148" s="5" t="s">
        <v>91</v>
      </c>
      <c r="E148" s="67">
        <v>2000</v>
      </c>
      <c r="F148" s="181"/>
      <c r="G148" s="13"/>
      <c r="H148" s="13"/>
      <c r="I148" s="75">
        <v>39891</v>
      </c>
      <c r="J148" s="5" t="s">
        <v>441</v>
      </c>
      <c r="K148" s="67">
        <v>30000</v>
      </c>
    </row>
    <row r="149" spans="1:11">
      <c r="A149" s="13"/>
      <c r="B149" s="13"/>
      <c r="C149" s="5" t="s">
        <v>1714</v>
      </c>
      <c r="D149" s="12"/>
      <c r="E149" s="67">
        <v>2000</v>
      </c>
      <c r="F149" s="181"/>
      <c r="G149" s="13"/>
      <c r="H149" s="5" t="s">
        <v>1357</v>
      </c>
      <c r="I149" s="12"/>
      <c r="J149" s="12"/>
      <c r="K149" s="67">
        <v>3234746</v>
      </c>
    </row>
    <row r="150" spans="1:11">
      <c r="A150" s="13"/>
      <c r="B150" s="13"/>
      <c r="C150" s="5">
        <v>32</v>
      </c>
      <c r="D150" s="5" t="s">
        <v>93</v>
      </c>
      <c r="E150" s="67">
        <v>100000</v>
      </c>
      <c r="F150" s="181"/>
      <c r="G150" s="5">
        <v>2010</v>
      </c>
      <c r="H150" s="5" t="s">
        <v>1210</v>
      </c>
      <c r="I150" s="75">
        <v>40066</v>
      </c>
      <c r="J150" s="5" t="s">
        <v>547</v>
      </c>
      <c r="K150" s="67">
        <v>0</v>
      </c>
    </row>
    <row r="151" spans="1:11">
      <c r="A151" s="13"/>
      <c r="B151" s="13"/>
      <c r="C151" s="5" t="s">
        <v>1715</v>
      </c>
      <c r="D151" s="12"/>
      <c r="E151" s="67">
        <v>100000</v>
      </c>
      <c r="F151" s="181"/>
      <c r="G151" s="13"/>
      <c r="H151" s="13"/>
      <c r="I151" s="13"/>
      <c r="J151" s="68" t="s">
        <v>546</v>
      </c>
      <c r="K151" s="69">
        <v>0</v>
      </c>
    </row>
    <row r="152" spans="1:11">
      <c r="A152" s="13"/>
      <c r="B152" s="13"/>
      <c r="C152" s="5">
        <v>33</v>
      </c>
      <c r="D152" s="5" t="s">
        <v>346</v>
      </c>
      <c r="E152" s="67">
        <v>185000</v>
      </c>
      <c r="F152" s="181"/>
      <c r="G152" s="13"/>
      <c r="H152" s="13"/>
      <c r="I152" s="75">
        <v>40122</v>
      </c>
      <c r="J152" s="5" t="s">
        <v>38</v>
      </c>
      <c r="K152" s="67">
        <v>100000</v>
      </c>
    </row>
    <row r="153" spans="1:11">
      <c r="A153" s="13"/>
      <c r="B153" s="13"/>
      <c r="C153" s="5" t="s">
        <v>1716</v>
      </c>
      <c r="D153" s="12"/>
      <c r="E153" s="67">
        <v>185000</v>
      </c>
      <c r="F153" s="181"/>
      <c r="G153" s="13"/>
      <c r="H153" s="13"/>
      <c r="I153" s="75">
        <v>40203</v>
      </c>
      <c r="J153" s="5" t="s">
        <v>51</v>
      </c>
      <c r="K153" s="67">
        <v>200000</v>
      </c>
    </row>
    <row r="154" spans="1:11">
      <c r="A154" s="5">
        <v>2009</v>
      </c>
      <c r="B154" s="75">
        <v>39630</v>
      </c>
      <c r="C154" s="5">
        <v>2</v>
      </c>
      <c r="D154" s="5" t="s">
        <v>559</v>
      </c>
      <c r="E154" s="67">
        <v>0</v>
      </c>
      <c r="F154" s="181"/>
      <c r="G154" s="13"/>
      <c r="H154" s="5" t="s">
        <v>599</v>
      </c>
      <c r="I154" s="12"/>
      <c r="J154" s="12"/>
      <c r="K154" s="67">
        <v>300000</v>
      </c>
    </row>
    <row r="155" spans="1:11">
      <c r="A155" s="13"/>
      <c r="B155" s="13"/>
      <c r="C155" s="5" t="s">
        <v>1686</v>
      </c>
      <c r="D155" s="12"/>
      <c r="E155" s="67">
        <v>0</v>
      </c>
      <c r="F155" s="181"/>
      <c r="G155" s="13"/>
      <c r="H155" s="5" t="s">
        <v>570</v>
      </c>
      <c r="I155" s="75">
        <v>40037</v>
      </c>
      <c r="J155" s="5" t="s">
        <v>357</v>
      </c>
      <c r="K155" s="67">
        <v>11500</v>
      </c>
    </row>
    <row r="156" spans="1:11">
      <c r="A156" s="13"/>
      <c r="B156" s="75">
        <v>39637</v>
      </c>
      <c r="C156" s="5">
        <v>1</v>
      </c>
      <c r="D156" s="5" t="s">
        <v>561</v>
      </c>
      <c r="E156" s="67">
        <v>50000</v>
      </c>
      <c r="F156" s="181"/>
      <c r="G156" s="13"/>
      <c r="H156" s="13"/>
      <c r="I156" s="75">
        <v>40057</v>
      </c>
      <c r="J156" s="5" t="s">
        <v>340</v>
      </c>
      <c r="K156" s="67">
        <v>50000</v>
      </c>
    </row>
    <row r="157" spans="1:11">
      <c r="A157" s="13"/>
      <c r="B157" s="13"/>
      <c r="C157" s="5" t="s">
        <v>1685</v>
      </c>
      <c r="D157" s="12"/>
      <c r="E157" s="67">
        <v>50000</v>
      </c>
      <c r="F157" s="181"/>
      <c r="G157" s="13"/>
      <c r="H157" s="13"/>
      <c r="I157" s="75">
        <v>40058</v>
      </c>
      <c r="J157" s="5" t="s">
        <v>334</v>
      </c>
      <c r="K157" s="67">
        <v>0</v>
      </c>
    </row>
    <row r="158" spans="1:11">
      <c r="A158" s="13"/>
      <c r="B158" s="75">
        <v>39661</v>
      </c>
      <c r="C158" s="5">
        <v>4</v>
      </c>
      <c r="D158" s="5" t="s">
        <v>558</v>
      </c>
      <c r="E158" s="67">
        <v>100000</v>
      </c>
      <c r="F158" s="181"/>
      <c r="G158" s="13"/>
      <c r="H158" s="13"/>
      <c r="I158" s="13"/>
      <c r="J158" s="68" t="s">
        <v>545</v>
      </c>
      <c r="K158" s="69">
        <v>1168000</v>
      </c>
    </row>
    <row r="159" spans="1:11">
      <c r="A159" s="13"/>
      <c r="B159" s="13"/>
      <c r="C159" s="5" t="s">
        <v>1687</v>
      </c>
      <c r="D159" s="12"/>
      <c r="E159" s="67">
        <v>100000</v>
      </c>
      <c r="F159" s="181"/>
      <c r="G159" s="13"/>
      <c r="H159" s="13"/>
      <c r="I159" s="13"/>
      <c r="J159" s="68" t="s">
        <v>544</v>
      </c>
      <c r="K159" s="69">
        <v>2150000</v>
      </c>
    </row>
    <row r="160" spans="1:11">
      <c r="A160" s="13"/>
      <c r="B160" s="75">
        <v>39699</v>
      </c>
      <c r="C160" s="5">
        <v>5</v>
      </c>
      <c r="D160" s="5" t="s">
        <v>1145</v>
      </c>
      <c r="E160" s="67">
        <v>50000</v>
      </c>
      <c r="F160" s="181"/>
      <c r="G160" s="13"/>
      <c r="H160" s="13"/>
      <c r="I160" s="13"/>
      <c r="J160" s="68" t="s">
        <v>1358</v>
      </c>
      <c r="K160" s="69">
        <v>1664192.8599999999</v>
      </c>
    </row>
    <row r="161" spans="1:11">
      <c r="A161" s="13"/>
      <c r="B161" s="13"/>
      <c r="C161" s="5" t="s">
        <v>1688</v>
      </c>
      <c r="D161" s="12"/>
      <c r="E161" s="67">
        <v>50000</v>
      </c>
      <c r="F161" s="181"/>
      <c r="G161" s="13"/>
      <c r="H161" s="13"/>
      <c r="I161" s="75">
        <v>40087</v>
      </c>
      <c r="J161" s="5" t="s">
        <v>46</v>
      </c>
      <c r="K161" s="67">
        <v>100000</v>
      </c>
    </row>
    <row r="162" spans="1:11">
      <c r="A162" s="13"/>
      <c r="B162" s="13"/>
      <c r="C162" s="5">
        <v>6</v>
      </c>
      <c r="D162" s="5" t="s">
        <v>345</v>
      </c>
      <c r="E162" s="67">
        <v>1532876</v>
      </c>
      <c r="F162" s="181"/>
      <c r="G162" s="13"/>
      <c r="H162" s="13"/>
      <c r="I162" s="75">
        <v>40113</v>
      </c>
      <c r="J162" s="5" t="s">
        <v>1830</v>
      </c>
      <c r="K162" s="67">
        <v>190000</v>
      </c>
    </row>
    <row r="163" spans="1:11">
      <c r="A163" s="13"/>
      <c r="B163" s="13"/>
      <c r="C163" s="5" t="s">
        <v>1689</v>
      </c>
      <c r="D163" s="12"/>
      <c r="E163" s="67">
        <v>1532876</v>
      </c>
      <c r="F163" s="181"/>
      <c r="G163" s="13"/>
      <c r="H163" s="13"/>
      <c r="I163" s="75">
        <v>40278</v>
      </c>
      <c r="J163" s="5" t="s">
        <v>1070</v>
      </c>
      <c r="K163" s="67">
        <v>1000000</v>
      </c>
    </row>
    <row r="164" spans="1:11">
      <c r="A164" s="13"/>
      <c r="B164" s="13"/>
      <c r="C164" s="5">
        <v>7</v>
      </c>
      <c r="D164" s="5" t="s">
        <v>1843</v>
      </c>
      <c r="E164" s="67">
        <v>0</v>
      </c>
      <c r="F164" s="181"/>
      <c r="G164" s="13"/>
      <c r="H164" s="13"/>
      <c r="I164" s="75">
        <v>40308</v>
      </c>
      <c r="J164" s="5" t="s">
        <v>1359</v>
      </c>
      <c r="K164" s="67">
        <v>145000</v>
      </c>
    </row>
    <row r="165" spans="1:11">
      <c r="A165" s="13"/>
      <c r="B165" s="13"/>
      <c r="C165" s="13"/>
      <c r="D165" s="68" t="s">
        <v>1844</v>
      </c>
      <c r="E165" s="69">
        <v>121044</v>
      </c>
      <c r="F165" s="181"/>
      <c r="G165" s="13"/>
      <c r="H165" s="13"/>
      <c r="I165" s="75">
        <v>40318</v>
      </c>
      <c r="J165" s="5" t="s">
        <v>1624</v>
      </c>
      <c r="K165" s="67">
        <v>50000</v>
      </c>
    </row>
    <row r="166" spans="1:11">
      <c r="A166" s="13"/>
      <c r="B166" s="13"/>
      <c r="C166" s="5" t="s">
        <v>1690</v>
      </c>
      <c r="D166" s="12"/>
      <c r="E166" s="67">
        <v>121044</v>
      </c>
      <c r="F166" s="181"/>
      <c r="G166" s="13"/>
      <c r="H166" s="13"/>
      <c r="I166" s="75">
        <v>40330</v>
      </c>
      <c r="J166" s="5" t="s">
        <v>1601</v>
      </c>
      <c r="K166" s="67">
        <v>200000</v>
      </c>
    </row>
    <row r="167" spans="1:11">
      <c r="A167" s="13"/>
      <c r="B167" s="13"/>
      <c r="C167" s="5">
        <v>8</v>
      </c>
      <c r="D167" s="5" t="s">
        <v>344</v>
      </c>
      <c r="E167" s="67">
        <v>1129943</v>
      </c>
      <c r="F167" s="181"/>
      <c r="G167" s="13"/>
      <c r="H167" s="5" t="s">
        <v>600</v>
      </c>
      <c r="I167" s="12"/>
      <c r="J167" s="12"/>
      <c r="K167" s="67">
        <v>6728692.8599999994</v>
      </c>
    </row>
    <row r="168" spans="1:11">
      <c r="A168" s="13"/>
      <c r="B168" s="13"/>
      <c r="C168" s="5" t="s">
        <v>1691</v>
      </c>
      <c r="D168" s="12"/>
      <c r="E168" s="67">
        <v>1129943</v>
      </c>
      <c r="F168" s="181"/>
      <c r="G168" s="13"/>
      <c r="H168" s="5" t="s">
        <v>1211</v>
      </c>
      <c r="I168" s="75">
        <v>40059</v>
      </c>
      <c r="J168" s="5" t="s">
        <v>329</v>
      </c>
      <c r="K168" s="67">
        <v>259500</v>
      </c>
    </row>
    <row r="169" spans="1:11">
      <c r="A169" s="13"/>
      <c r="B169" s="75">
        <v>39722</v>
      </c>
      <c r="C169" s="5">
        <v>9</v>
      </c>
      <c r="D169" s="5" t="s">
        <v>343</v>
      </c>
      <c r="E169" s="67">
        <v>246683</v>
      </c>
      <c r="F169" s="181"/>
      <c r="G169" s="13"/>
      <c r="H169" s="13"/>
      <c r="I169" s="75">
        <v>40129</v>
      </c>
      <c r="J169" s="5" t="s">
        <v>1810</v>
      </c>
      <c r="K169" s="67">
        <v>0</v>
      </c>
    </row>
    <row r="170" spans="1:11">
      <c r="A170" s="13"/>
      <c r="B170" s="13"/>
      <c r="C170" s="5" t="s">
        <v>1692</v>
      </c>
      <c r="D170" s="12"/>
      <c r="E170" s="67">
        <v>246683</v>
      </c>
      <c r="F170" s="181"/>
      <c r="G170" s="13"/>
      <c r="H170" s="13"/>
      <c r="I170" s="75">
        <v>40133</v>
      </c>
      <c r="J170" s="5" t="s">
        <v>508</v>
      </c>
      <c r="K170" s="67">
        <v>274845</v>
      </c>
    </row>
    <row r="171" spans="1:11">
      <c r="A171" s="13"/>
      <c r="B171" s="75">
        <v>39760</v>
      </c>
      <c r="C171" s="5">
        <v>10</v>
      </c>
      <c r="D171" s="5" t="s">
        <v>635</v>
      </c>
      <c r="E171" s="67">
        <v>100000</v>
      </c>
      <c r="F171" s="181"/>
      <c r="G171" s="13"/>
      <c r="H171" s="13"/>
      <c r="I171" s="75">
        <v>40190</v>
      </c>
      <c r="J171" s="5" t="s">
        <v>656</v>
      </c>
      <c r="K171" s="67">
        <v>139611532</v>
      </c>
    </row>
    <row r="172" spans="1:11">
      <c r="A172" s="13"/>
      <c r="B172" s="13"/>
      <c r="C172" s="5" t="s">
        <v>1693</v>
      </c>
      <c r="D172" s="12"/>
      <c r="E172" s="67">
        <v>100000</v>
      </c>
      <c r="F172" s="181"/>
      <c r="G172" s="13"/>
      <c r="H172" s="13"/>
      <c r="I172" s="75">
        <v>40236</v>
      </c>
      <c r="J172" s="5" t="s">
        <v>53</v>
      </c>
      <c r="K172" s="67">
        <v>6400000</v>
      </c>
    </row>
    <row r="173" spans="1:11">
      <c r="A173" s="13"/>
      <c r="B173" s="13"/>
      <c r="C173" s="5">
        <v>11</v>
      </c>
      <c r="D173" s="5" t="s">
        <v>560</v>
      </c>
      <c r="E173" s="67">
        <v>50000</v>
      </c>
      <c r="F173" s="181"/>
      <c r="G173" s="13"/>
      <c r="H173" s="13"/>
      <c r="I173" s="75">
        <v>40330</v>
      </c>
      <c r="J173" s="5" t="s">
        <v>1648</v>
      </c>
      <c r="K173" s="67">
        <v>180000</v>
      </c>
    </row>
    <row r="174" spans="1:11">
      <c r="A174" s="13"/>
      <c r="B174" s="13"/>
      <c r="C174" s="5" t="s">
        <v>1694</v>
      </c>
      <c r="D174" s="12"/>
      <c r="E174" s="67">
        <v>50000</v>
      </c>
      <c r="F174" s="181"/>
      <c r="G174" s="13"/>
      <c r="H174" s="5" t="s">
        <v>1357</v>
      </c>
      <c r="I174" s="12"/>
      <c r="J174" s="12"/>
      <c r="K174" s="67">
        <v>146725877</v>
      </c>
    </row>
    <row r="175" spans="1:11">
      <c r="A175" s="13"/>
      <c r="B175" s="75">
        <v>39790</v>
      </c>
      <c r="C175" s="5">
        <v>12</v>
      </c>
      <c r="D175" s="5" t="s">
        <v>342</v>
      </c>
      <c r="E175" s="67">
        <v>100000</v>
      </c>
      <c r="F175" s="181"/>
      <c r="G175" s="9" t="s">
        <v>1207</v>
      </c>
      <c r="H175" s="16"/>
      <c r="I175" s="16"/>
      <c r="J175" s="16"/>
      <c r="K175" s="219">
        <v>839711771.25621235</v>
      </c>
    </row>
    <row r="176" spans="1:11">
      <c r="A176" s="13"/>
      <c r="B176" s="13"/>
      <c r="C176" s="5" t="s">
        <v>1695</v>
      </c>
      <c r="D176" s="12"/>
      <c r="E176" s="67">
        <v>100000</v>
      </c>
      <c r="F176" s="181"/>
      <c r="H176"/>
    </row>
    <row r="177" spans="1:8">
      <c r="A177" s="13"/>
      <c r="B177" s="75">
        <v>39791</v>
      </c>
      <c r="C177" s="5">
        <v>12</v>
      </c>
      <c r="D177" s="5" t="s">
        <v>342</v>
      </c>
      <c r="E177" s="67">
        <v>0</v>
      </c>
      <c r="F177" s="181"/>
      <c r="H177"/>
    </row>
    <row r="178" spans="1:8">
      <c r="A178" s="13"/>
      <c r="B178" s="13"/>
      <c r="C178" s="5" t="s">
        <v>1695</v>
      </c>
      <c r="D178" s="12"/>
      <c r="E178" s="67">
        <v>0</v>
      </c>
      <c r="F178" s="181"/>
      <c r="H178"/>
    </row>
    <row r="179" spans="1:8">
      <c r="A179" s="13"/>
      <c r="B179" s="75">
        <v>39792</v>
      </c>
      <c r="C179" s="5">
        <v>13</v>
      </c>
      <c r="D179" s="5" t="s">
        <v>338</v>
      </c>
      <c r="E179" s="67">
        <v>0</v>
      </c>
      <c r="F179" s="181"/>
      <c r="H179"/>
    </row>
    <row r="180" spans="1:8">
      <c r="A180" s="13"/>
      <c r="B180" s="13"/>
      <c r="C180" s="5" t="s">
        <v>1696</v>
      </c>
      <c r="D180" s="12"/>
      <c r="E180" s="67">
        <v>0</v>
      </c>
      <c r="F180" s="181"/>
      <c r="H180"/>
    </row>
    <row r="181" spans="1:8">
      <c r="A181" s="13"/>
      <c r="B181" s="75">
        <v>39793</v>
      </c>
      <c r="C181" s="5">
        <v>13</v>
      </c>
      <c r="D181" s="5" t="s">
        <v>338</v>
      </c>
      <c r="E181" s="67">
        <v>0</v>
      </c>
      <c r="F181" s="181"/>
      <c r="H181"/>
    </row>
    <row r="182" spans="1:8">
      <c r="A182" s="13"/>
      <c r="B182" s="13"/>
      <c r="C182" s="5" t="s">
        <v>1696</v>
      </c>
      <c r="D182" s="12"/>
      <c r="E182" s="67">
        <v>0</v>
      </c>
      <c r="F182" s="181"/>
      <c r="H182"/>
    </row>
    <row r="183" spans="1:8">
      <c r="A183" s="13"/>
      <c r="B183" s="75">
        <v>39794</v>
      </c>
      <c r="C183" s="5">
        <v>13</v>
      </c>
      <c r="D183" s="5" t="s">
        <v>338</v>
      </c>
      <c r="E183" s="67">
        <v>0</v>
      </c>
      <c r="F183" s="181"/>
      <c r="H183"/>
    </row>
    <row r="184" spans="1:8">
      <c r="A184" s="13"/>
      <c r="B184" s="13"/>
      <c r="C184" s="5" t="s">
        <v>1696</v>
      </c>
      <c r="D184" s="12"/>
      <c r="E184" s="67">
        <v>0</v>
      </c>
      <c r="F184" s="181"/>
      <c r="H184"/>
    </row>
    <row r="185" spans="1:8">
      <c r="A185" s="13"/>
      <c r="B185" s="75">
        <v>39795</v>
      </c>
      <c r="C185" s="5">
        <v>13</v>
      </c>
      <c r="D185" s="5" t="s">
        <v>338</v>
      </c>
      <c r="E185" s="67">
        <v>0</v>
      </c>
      <c r="F185" s="181"/>
      <c r="H185"/>
    </row>
    <row r="186" spans="1:8">
      <c r="A186" s="13"/>
      <c r="B186" s="13"/>
      <c r="C186" s="5" t="s">
        <v>1696</v>
      </c>
      <c r="D186" s="12"/>
      <c r="E186" s="67">
        <v>0</v>
      </c>
      <c r="F186" s="181"/>
      <c r="H186"/>
    </row>
    <row r="187" spans="1:8">
      <c r="A187" s="13"/>
      <c r="B187" s="75">
        <v>39796</v>
      </c>
      <c r="C187" s="5">
        <v>14</v>
      </c>
      <c r="D187" s="5" t="s">
        <v>337</v>
      </c>
      <c r="E187" s="67">
        <v>50000</v>
      </c>
      <c r="F187" s="181"/>
      <c r="H187"/>
    </row>
    <row r="188" spans="1:8">
      <c r="A188" s="13"/>
      <c r="B188" s="13"/>
      <c r="C188" s="5" t="s">
        <v>1697</v>
      </c>
      <c r="D188" s="12"/>
      <c r="E188" s="67">
        <v>50000</v>
      </c>
      <c r="F188" s="181"/>
      <c r="H188"/>
    </row>
    <row r="189" spans="1:8">
      <c r="A189" s="13"/>
      <c r="B189" s="75">
        <v>39799</v>
      </c>
      <c r="C189" s="5">
        <v>15</v>
      </c>
      <c r="D189" s="5" t="s">
        <v>336</v>
      </c>
      <c r="E189" s="67">
        <v>100000</v>
      </c>
      <c r="F189" s="181"/>
      <c r="H189"/>
    </row>
    <row r="190" spans="1:8">
      <c r="A190" s="13"/>
      <c r="B190" s="13"/>
      <c r="C190" s="5" t="s">
        <v>1698</v>
      </c>
      <c r="D190" s="12"/>
      <c r="E190" s="67">
        <v>100000</v>
      </c>
      <c r="F190" s="181"/>
      <c r="H190"/>
    </row>
    <row r="191" spans="1:8">
      <c r="A191" s="13"/>
      <c r="B191" s="13"/>
      <c r="C191" s="5">
        <v>16</v>
      </c>
      <c r="D191" s="5" t="s">
        <v>1845</v>
      </c>
      <c r="E191" s="67">
        <v>0</v>
      </c>
      <c r="F191" s="181"/>
      <c r="H191"/>
    </row>
    <row r="192" spans="1:8">
      <c r="A192" s="13"/>
      <c r="B192" s="13"/>
      <c r="C192" s="13"/>
      <c r="D192" s="68" t="s">
        <v>1846</v>
      </c>
      <c r="E192" s="69">
        <v>921250</v>
      </c>
      <c r="F192" s="181"/>
      <c r="H192"/>
    </row>
    <row r="193" spans="1:8">
      <c r="A193" s="13"/>
      <c r="B193" s="13"/>
      <c r="C193" s="5" t="s">
        <v>1699</v>
      </c>
      <c r="D193" s="12"/>
      <c r="E193" s="67">
        <v>921250</v>
      </c>
      <c r="F193" s="181"/>
      <c r="H193"/>
    </row>
    <row r="194" spans="1:8">
      <c r="A194" s="13"/>
      <c r="B194" s="75">
        <v>39821</v>
      </c>
      <c r="C194" s="5">
        <v>17</v>
      </c>
      <c r="D194" s="5" t="s">
        <v>557</v>
      </c>
      <c r="E194" s="67">
        <v>74200</v>
      </c>
      <c r="F194" s="181"/>
      <c r="H194"/>
    </row>
    <row r="195" spans="1:8">
      <c r="A195" s="13"/>
      <c r="B195" s="13"/>
      <c r="C195" s="5" t="s">
        <v>1700</v>
      </c>
      <c r="D195" s="12"/>
      <c r="E195" s="67">
        <v>74200</v>
      </c>
      <c r="F195" s="181"/>
      <c r="H195"/>
    </row>
    <row r="196" spans="1:8">
      <c r="A196" s="13"/>
      <c r="B196" s="75">
        <v>39851</v>
      </c>
      <c r="C196" s="5">
        <v>18</v>
      </c>
      <c r="D196" s="5" t="s">
        <v>873</v>
      </c>
      <c r="E196" s="67">
        <v>1520000</v>
      </c>
      <c r="F196" s="181"/>
      <c r="H196"/>
    </row>
    <row r="197" spans="1:8">
      <c r="A197" s="13"/>
      <c r="B197" s="13"/>
      <c r="C197" s="5" t="s">
        <v>1701</v>
      </c>
      <c r="D197" s="12"/>
      <c r="E197" s="67">
        <v>1520000</v>
      </c>
      <c r="F197" s="181"/>
      <c r="H197"/>
    </row>
    <row r="198" spans="1:8">
      <c r="A198" s="13"/>
      <c r="B198" s="75">
        <v>39877</v>
      </c>
      <c r="C198" s="5">
        <v>19</v>
      </c>
      <c r="D198" s="5" t="s">
        <v>442</v>
      </c>
      <c r="E198" s="67">
        <v>500000</v>
      </c>
      <c r="F198" s="181"/>
      <c r="H198"/>
    </row>
    <row r="199" spans="1:8">
      <c r="A199" s="13"/>
      <c r="B199" s="13"/>
      <c r="C199" s="5" t="s">
        <v>1702</v>
      </c>
      <c r="D199" s="12"/>
      <c r="E199" s="67">
        <v>500000</v>
      </c>
      <c r="F199" s="181"/>
      <c r="H199"/>
    </row>
    <row r="200" spans="1:8">
      <c r="A200" s="13"/>
      <c r="B200" s="75">
        <v>39891</v>
      </c>
      <c r="C200" s="5">
        <v>20</v>
      </c>
      <c r="D200" s="5" t="s">
        <v>441</v>
      </c>
      <c r="E200" s="67">
        <v>30000</v>
      </c>
      <c r="F200" s="181"/>
      <c r="H200"/>
    </row>
    <row r="201" spans="1:8">
      <c r="A201" s="13"/>
      <c r="B201" s="13"/>
      <c r="C201" s="5" t="s">
        <v>1703</v>
      </c>
      <c r="D201" s="12"/>
      <c r="E201" s="67">
        <v>30000</v>
      </c>
      <c r="F201" s="181"/>
      <c r="H201"/>
    </row>
    <row r="202" spans="1:8">
      <c r="A202" s="13"/>
      <c r="B202" s="75">
        <v>39910</v>
      </c>
      <c r="C202" s="5">
        <v>21</v>
      </c>
      <c r="D202" s="5" t="s">
        <v>403</v>
      </c>
      <c r="E202" s="67">
        <v>981315</v>
      </c>
      <c r="F202" s="181"/>
      <c r="H202"/>
    </row>
    <row r="203" spans="1:8">
      <c r="A203" s="13"/>
      <c r="B203" s="13"/>
      <c r="C203" s="5" t="s">
        <v>1704</v>
      </c>
      <c r="D203" s="12"/>
      <c r="E203" s="67">
        <v>981315</v>
      </c>
      <c r="F203" s="181"/>
      <c r="H203"/>
    </row>
    <row r="204" spans="1:8">
      <c r="A204" s="13"/>
      <c r="B204" s="75">
        <v>39948</v>
      </c>
      <c r="C204" s="5">
        <v>22</v>
      </c>
      <c r="D204" s="5" t="s">
        <v>82</v>
      </c>
      <c r="E204" s="67">
        <v>50000</v>
      </c>
      <c r="F204" s="181"/>
      <c r="H204"/>
    </row>
    <row r="205" spans="1:8">
      <c r="A205" s="13"/>
      <c r="B205" s="13"/>
      <c r="C205" s="5" t="s">
        <v>1705</v>
      </c>
      <c r="D205" s="12"/>
      <c r="E205" s="67">
        <v>50000</v>
      </c>
      <c r="F205" s="181"/>
      <c r="H205"/>
    </row>
    <row r="206" spans="1:8">
      <c r="A206" s="13"/>
      <c r="B206" s="13"/>
      <c r="C206" s="5">
        <v>23</v>
      </c>
      <c r="D206" s="5" t="s">
        <v>83</v>
      </c>
      <c r="E206" s="67">
        <v>200000</v>
      </c>
      <c r="F206" s="181"/>
      <c r="H206"/>
    </row>
    <row r="207" spans="1:8">
      <c r="A207" s="13"/>
      <c r="B207" s="13"/>
      <c r="C207" s="5" t="s">
        <v>1706</v>
      </c>
      <c r="D207" s="12"/>
      <c r="E207" s="67">
        <v>200000</v>
      </c>
      <c r="F207" s="181"/>
      <c r="H207"/>
    </row>
    <row r="208" spans="1:8">
      <c r="A208" s="13"/>
      <c r="B208" s="13"/>
      <c r="C208" s="5">
        <v>24</v>
      </c>
      <c r="D208" s="5" t="s">
        <v>2004</v>
      </c>
      <c r="E208" s="67">
        <v>330000</v>
      </c>
      <c r="F208" s="181"/>
      <c r="H208"/>
    </row>
    <row r="209" spans="1:8">
      <c r="A209" s="13"/>
      <c r="B209" s="13"/>
      <c r="C209" s="5" t="s">
        <v>1707</v>
      </c>
      <c r="D209" s="12"/>
      <c r="E209" s="67">
        <v>330000</v>
      </c>
      <c r="F209" s="181"/>
      <c r="H209"/>
    </row>
    <row r="210" spans="1:8">
      <c r="A210" s="13"/>
      <c r="B210" s="75">
        <v>39990</v>
      </c>
      <c r="C210" s="5">
        <v>25</v>
      </c>
      <c r="D210" s="5" t="s">
        <v>29</v>
      </c>
      <c r="E210" s="67">
        <v>0</v>
      </c>
      <c r="F210" s="181"/>
      <c r="H210"/>
    </row>
    <row r="211" spans="1:8">
      <c r="A211" s="13"/>
      <c r="B211" s="13"/>
      <c r="C211" s="5" t="s">
        <v>1708</v>
      </c>
      <c r="D211" s="12"/>
      <c r="E211" s="67">
        <v>0</v>
      </c>
      <c r="F211" s="181"/>
      <c r="H211"/>
    </row>
    <row r="212" spans="1:8">
      <c r="A212" s="5">
        <v>2010</v>
      </c>
      <c r="B212" s="75">
        <v>40037</v>
      </c>
      <c r="C212" s="5">
        <v>1</v>
      </c>
      <c r="D212" s="5" t="s">
        <v>357</v>
      </c>
      <c r="E212" s="67">
        <v>11500</v>
      </c>
      <c r="F212" s="181"/>
      <c r="H212"/>
    </row>
    <row r="213" spans="1:8">
      <c r="A213" s="13"/>
      <c r="B213" s="13"/>
      <c r="C213" s="5" t="s">
        <v>1685</v>
      </c>
      <c r="D213" s="12"/>
      <c r="E213" s="67">
        <v>11500</v>
      </c>
      <c r="F213" s="181"/>
      <c r="H213"/>
    </row>
    <row r="214" spans="1:8">
      <c r="A214" s="13"/>
      <c r="B214" s="75">
        <v>40057</v>
      </c>
      <c r="C214" s="5">
        <v>2</v>
      </c>
      <c r="D214" s="5" t="s">
        <v>340</v>
      </c>
      <c r="E214" s="67">
        <v>50000</v>
      </c>
      <c r="F214" s="181"/>
      <c r="H214"/>
    </row>
    <row r="215" spans="1:8">
      <c r="A215" s="13"/>
      <c r="B215" s="13"/>
      <c r="C215" s="5" t="s">
        <v>1686</v>
      </c>
      <c r="D215" s="12"/>
      <c r="E215" s="67">
        <v>50000</v>
      </c>
      <c r="F215" s="181"/>
      <c r="H215"/>
    </row>
    <row r="216" spans="1:8">
      <c r="A216" s="13"/>
      <c r="B216" s="75">
        <v>40058</v>
      </c>
      <c r="C216" s="5">
        <v>5</v>
      </c>
      <c r="D216" s="5" t="s">
        <v>334</v>
      </c>
      <c r="E216" s="67">
        <v>0</v>
      </c>
      <c r="F216" s="181"/>
      <c r="H216"/>
    </row>
    <row r="217" spans="1:8">
      <c r="A217" s="13"/>
      <c r="B217" s="13"/>
      <c r="C217" s="5" t="s">
        <v>1688</v>
      </c>
      <c r="D217" s="12"/>
      <c r="E217" s="67">
        <v>0</v>
      </c>
      <c r="F217" s="181"/>
      <c r="H217"/>
    </row>
    <row r="218" spans="1:8">
      <c r="A218" s="13"/>
      <c r="B218" s="13"/>
      <c r="C218" s="5">
        <v>6</v>
      </c>
      <c r="D218" s="5" t="s">
        <v>545</v>
      </c>
      <c r="E218" s="67">
        <v>1168000</v>
      </c>
      <c r="F218" s="181"/>
      <c r="H218"/>
    </row>
    <row r="219" spans="1:8">
      <c r="A219" s="13"/>
      <c r="B219" s="13"/>
      <c r="C219" s="13"/>
      <c r="D219" s="68" t="s">
        <v>544</v>
      </c>
      <c r="E219" s="69">
        <v>2150000</v>
      </c>
      <c r="F219" s="181"/>
      <c r="H219"/>
    </row>
    <row r="220" spans="1:8">
      <c r="A220" s="13"/>
      <c r="B220" s="13"/>
      <c r="C220" s="5" t="s">
        <v>1689</v>
      </c>
      <c r="D220" s="12"/>
      <c r="E220" s="67">
        <v>3318000</v>
      </c>
      <c r="F220" s="181"/>
      <c r="H220"/>
    </row>
    <row r="221" spans="1:8">
      <c r="A221" s="13"/>
      <c r="B221" s="13"/>
      <c r="C221" s="5">
        <v>7</v>
      </c>
      <c r="D221" s="5" t="s">
        <v>1358</v>
      </c>
      <c r="E221" s="67">
        <v>1664192.8599999999</v>
      </c>
      <c r="F221" s="181"/>
      <c r="H221"/>
    </row>
    <row r="222" spans="1:8">
      <c r="A222" s="13"/>
      <c r="B222" s="13"/>
      <c r="C222" s="5" t="s">
        <v>1690</v>
      </c>
      <c r="D222" s="12"/>
      <c r="E222" s="67">
        <v>1664192.8599999999</v>
      </c>
      <c r="F222" s="181"/>
      <c r="H222"/>
    </row>
    <row r="223" spans="1:8">
      <c r="A223" s="13"/>
      <c r="B223" s="75">
        <v>40059</v>
      </c>
      <c r="C223" s="5">
        <v>4</v>
      </c>
      <c r="D223" s="5" t="s">
        <v>329</v>
      </c>
      <c r="E223" s="67">
        <v>259500</v>
      </c>
      <c r="F223" s="181"/>
      <c r="H223"/>
    </row>
    <row r="224" spans="1:8">
      <c r="A224" s="13"/>
      <c r="B224" s="13"/>
      <c r="C224" s="5" t="s">
        <v>1687</v>
      </c>
      <c r="D224" s="12"/>
      <c r="E224" s="67">
        <v>259500</v>
      </c>
      <c r="F224" s="181"/>
      <c r="H224"/>
    </row>
    <row r="225" spans="1:8">
      <c r="A225" s="13"/>
      <c r="B225" s="75">
        <v>40087</v>
      </c>
      <c r="C225" s="5">
        <v>8</v>
      </c>
      <c r="D225" s="5" t="s">
        <v>46</v>
      </c>
      <c r="E225" s="67">
        <v>100000</v>
      </c>
      <c r="F225" s="181"/>
      <c r="H225"/>
    </row>
    <row r="226" spans="1:8">
      <c r="A226" s="13"/>
      <c r="B226" s="13"/>
      <c r="C226" s="5" t="s">
        <v>1691</v>
      </c>
      <c r="D226" s="12"/>
      <c r="E226" s="67">
        <v>100000</v>
      </c>
      <c r="F226" s="181"/>
      <c r="H226"/>
    </row>
    <row r="227" spans="1:8">
      <c r="A227" s="13"/>
      <c r="B227" s="75">
        <v>40113</v>
      </c>
      <c r="C227" s="5">
        <v>9</v>
      </c>
      <c r="D227" s="5" t="s">
        <v>1830</v>
      </c>
      <c r="E227" s="67">
        <v>190000</v>
      </c>
      <c r="F227" s="181"/>
      <c r="H227"/>
    </row>
    <row r="228" spans="1:8">
      <c r="A228" s="13"/>
      <c r="B228" s="13"/>
      <c r="C228" s="5" t="s">
        <v>1692</v>
      </c>
      <c r="D228" s="12"/>
      <c r="E228" s="67">
        <v>190000</v>
      </c>
      <c r="F228" s="181"/>
      <c r="H228"/>
    </row>
    <row r="229" spans="1:8">
      <c r="A229" s="13"/>
      <c r="B229" s="75">
        <v>40122</v>
      </c>
      <c r="C229" s="5">
        <v>10</v>
      </c>
      <c r="D229" s="5" t="s">
        <v>38</v>
      </c>
      <c r="E229" s="67">
        <v>100000</v>
      </c>
      <c r="F229" s="181"/>
      <c r="H229"/>
    </row>
    <row r="230" spans="1:8">
      <c r="A230" s="13"/>
      <c r="B230" s="13"/>
      <c r="C230" s="5" t="s">
        <v>1693</v>
      </c>
      <c r="D230" s="12"/>
      <c r="E230" s="67">
        <v>100000</v>
      </c>
      <c r="F230" s="181"/>
      <c r="H230"/>
    </row>
    <row r="231" spans="1:8">
      <c r="A231" s="13"/>
      <c r="B231" s="75">
        <v>40129</v>
      </c>
      <c r="C231" s="5">
        <v>11</v>
      </c>
      <c r="D231" s="5" t="s">
        <v>1810</v>
      </c>
      <c r="E231" s="67">
        <v>0</v>
      </c>
      <c r="F231" s="181"/>
      <c r="H231"/>
    </row>
    <row r="232" spans="1:8">
      <c r="A232" s="13"/>
      <c r="B232" s="13"/>
      <c r="C232" s="5" t="s">
        <v>1694</v>
      </c>
      <c r="D232" s="12"/>
      <c r="E232" s="67">
        <v>0</v>
      </c>
      <c r="F232" s="181"/>
      <c r="H232"/>
    </row>
    <row r="233" spans="1:8">
      <c r="A233" s="13"/>
      <c r="B233" s="75">
        <v>40133</v>
      </c>
      <c r="C233" s="5">
        <v>12</v>
      </c>
      <c r="D233" s="5" t="s">
        <v>508</v>
      </c>
      <c r="E233" s="67">
        <v>274845</v>
      </c>
      <c r="F233" s="181"/>
      <c r="H233"/>
    </row>
    <row r="234" spans="1:8">
      <c r="A234" s="13"/>
      <c r="B234" s="13"/>
      <c r="C234" s="5" t="s">
        <v>1695</v>
      </c>
      <c r="D234" s="12"/>
      <c r="E234" s="67">
        <v>274845</v>
      </c>
      <c r="F234" s="181"/>
      <c r="H234"/>
    </row>
    <row r="235" spans="1:8">
      <c r="A235" s="13"/>
      <c r="B235" s="75">
        <v>40190</v>
      </c>
      <c r="C235" s="5">
        <v>13</v>
      </c>
      <c r="D235" s="5" t="s">
        <v>656</v>
      </c>
      <c r="E235" s="67">
        <v>139611532</v>
      </c>
      <c r="F235" s="181"/>
      <c r="H235"/>
    </row>
    <row r="236" spans="1:8">
      <c r="A236" s="13"/>
      <c r="B236" s="13"/>
      <c r="C236" s="5" t="s">
        <v>1696</v>
      </c>
      <c r="D236" s="12"/>
      <c r="E236" s="67">
        <v>139611532</v>
      </c>
      <c r="F236" s="181"/>
      <c r="H236"/>
    </row>
    <row r="237" spans="1:8">
      <c r="A237" s="13"/>
      <c r="B237" s="75">
        <v>40203</v>
      </c>
      <c r="C237" s="5">
        <v>14</v>
      </c>
      <c r="D237" s="5" t="s">
        <v>51</v>
      </c>
      <c r="E237" s="67">
        <v>200000</v>
      </c>
      <c r="F237" s="181"/>
      <c r="H237"/>
    </row>
    <row r="238" spans="1:8">
      <c r="A238" s="13"/>
      <c r="B238" s="13"/>
      <c r="C238" s="5" t="s">
        <v>1697</v>
      </c>
      <c r="D238" s="12"/>
      <c r="E238" s="67">
        <v>200000</v>
      </c>
      <c r="F238" s="181"/>
      <c r="H238"/>
    </row>
    <row r="239" spans="1:8">
      <c r="A239" s="13"/>
      <c r="B239" s="75">
        <v>40236</v>
      </c>
      <c r="C239" s="5">
        <v>15</v>
      </c>
      <c r="D239" s="5" t="s">
        <v>53</v>
      </c>
      <c r="E239" s="67">
        <v>6400000</v>
      </c>
      <c r="F239" s="181"/>
      <c r="H239"/>
    </row>
    <row r="240" spans="1:8">
      <c r="A240" s="13"/>
      <c r="B240" s="13"/>
      <c r="C240" s="5" t="s">
        <v>1698</v>
      </c>
      <c r="D240" s="12"/>
      <c r="E240" s="67">
        <v>6400000</v>
      </c>
      <c r="F240" s="181"/>
      <c r="H240"/>
    </row>
    <row r="241" spans="1:8">
      <c r="A241" s="13"/>
      <c r="B241" s="75">
        <v>40278</v>
      </c>
      <c r="C241" s="5">
        <v>16</v>
      </c>
      <c r="D241" s="5" t="s">
        <v>1070</v>
      </c>
      <c r="E241" s="67">
        <v>1000000</v>
      </c>
      <c r="F241" s="181"/>
      <c r="H241"/>
    </row>
    <row r="242" spans="1:8">
      <c r="A242" s="13"/>
      <c r="B242" s="13"/>
      <c r="C242" s="5" t="s">
        <v>1699</v>
      </c>
      <c r="D242" s="12"/>
      <c r="E242" s="67">
        <v>1000000</v>
      </c>
      <c r="H242"/>
    </row>
    <row r="243" spans="1:8">
      <c r="A243" s="13"/>
      <c r="B243" s="75">
        <v>40308</v>
      </c>
      <c r="C243" s="5">
        <v>17</v>
      </c>
      <c r="D243" s="5" t="s">
        <v>1359</v>
      </c>
      <c r="E243" s="67">
        <v>145000</v>
      </c>
      <c r="H243"/>
    </row>
    <row r="244" spans="1:8">
      <c r="A244" s="13"/>
      <c r="B244" s="13"/>
      <c r="C244" s="5" t="s">
        <v>1700</v>
      </c>
      <c r="D244" s="12"/>
      <c r="E244" s="67">
        <v>145000</v>
      </c>
      <c r="H244"/>
    </row>
    <row r="245" spans="1:8">
      <c r="A245" s="13"/>
      <c r="B245" s="75">
        <v>40318</v>
      </c>
      <c r="C245" s="5">
        <v>18</v>
      </c>
      <c r="D245" s="5" t="s">
        <v>1624</v>
      </c>
      <c r="E245" s="67">
        <v>50000</v>
      </c>
      <c r="H245"/>
    </row>
    <row r="246" spans="1:8">
      <c r="A246" s="13"/>
      <c r="B246" s="13"/>
      <c r="C246" s="5" t="s">
        <v>1701</v>
      </c>
      <c r="D246" s="12"/>
      <c r="E246" s="67">
        <v>50000</v>
      </c>
      <c r="H246"/>
    </row>
    <row r="247" spans="1:8">
      <c r="A247" s="13"/>
      <c r="B247" s="75">
        <v>40330</v>
      </c>
      <c r="C247" s="5">
        <v>19</v>
      </c>
      <c r="D247" s="5" t="s">
        <v>1648</v>
      </c>
      <c r="E247" s="67">
        <v>180000</v>
      </c>
      <c r="H247"/>
    </row>
    <row r="248" spans="1:8">
      <c r="A248" s="13"/>
      <c r="B248" s="13"/>
      <c r="C248" s="5" t="s">
        <v>1702</v>
      </c>
      <c r="D248" s="12"/>
      <c r="E248" s="67">
        <v>180000</v>
      </c>
      <c r="H248"/>
    </row>
    <row r="249" spans="1:8">
      <c r="A249" s="13"/>
      <c r="B249" s="13"/>
      <c r="C249" s="5">
        <v>20</v>
      </c>
      <c r="D249" s="5" t="s">
        <v>1601</v>
      </c>
      <c r="E249" s="67">
        <v>200000</v>
      </c>
      <c r="H249"/>
    </row>
    <row r="250" spans="1:8">
      <c r="A250" s="13"/>
      <c r="B250" s="13"/>
      <c r="C250" s="5" t="s">
        <v>1703</v>
      </c>
      <c r="D250" s="12"/>
      <c r="E250" s="67">
        <v>200000</v>
      </c>
      <c r="H250"/>
    </row>
    <row r="251" spans="1:8">
      <c r="A251" s="9" t="s">
        <v>1207</v>
      </c>
      <c r="B251" s="16"/>
      <c r="C251" s="16"/>
      <c r="D251" s="16"/>
      <c r="E251" s="219">
        <v>254837091.86000001</v>
      </c>
      <c r="H251"/>
    </row>
    <row r="252" spans="1:8">
      <c r="H252"/>
    </row>
    <row r="253" spans="1:8">
      <c r="H253"/>
    </row>
    <row r="254" spans="1:8">
      <c r="H254"/>
    </row>
    <row r="255" spans="1:8">
      <c r="H255"/>
    </row>
    <row r="256" spans="1:8">
      <c r="H256"/>
    </row>
    <row r="257" spans="8:8">
      <c r="H257"/>
    </row>
    <row r="258" spans="8:8">
      <c r="H258"/>
    </row>
    <row r="259" spans="8:8">
      <c r="H259"/>
    </row>
    <row r="260" spans="8:8">
      <c r="H260"/>
    </row>
    <row r="261" spans="8:8">
      <c r="H261"/>
    </row>
    <row r="262" spans="8:8">
      <c r="H262"/>
    </row>
    <row r="263" spans="8:8">
      <c r="H263"/>
    </row>
    <row r="264" spans="8:8">
      <c r="H264"/>
    </row>
    <row r="265" spans="8:8">
      <c r="H265"/>
    </row>
    <row r="266" spans="8:8">
      <c r="H266"/>
    </row>
    <row r="267" spans="8:8">
      <c r="H267"/>
    </row>
    <row r="268" spans="8:8">
      <c r="H268"/>
    </row>
    <row r="269" spans="8:8">
      <c r="H269"/>
    </row>
  </sheetData>
  <autoFilter ref="L4:N4"/>
  <phoneticPr fontId="12" type="noConversion"/>
  <pageMargins left="0.75" right="0.75" top="1" bottom="1" header="0.5" footer="0.5"/>
  <pageSetup orientation="portrait" r:id="rId3"/>
  <headerFooter alignWithMargins="0"/>
</worksheet>
</file>

<file path=xl/worksheets/sheet21.xml><?xml version="1.0" encoding="utf-8"?>
<worksheet xmlns="http://schemas.openxmlformats.org/spreadsheetml/2006/main" xmlns:r="http://schemas.openxmlformats.org/officeDocument/2006/relationships">
  <sheetPr codeName="Sheet19"/>
  <dimension ref="A1:AG859"/>
  <sheetViews>
    <sheetView topLeftCell="A61" workbookViewId="0">
      <selection activeCell="H5" sqref="H5:H260"/>
      <pivotSelection pane="bottomRight" showHeader="1" axis="axisRow" dimension="1" activeRow="3" activeCol="7" previousRow="3" previousCol="7" click="1" r:id="rId6">
        <pivotArea dataOnly="0" labelOnly="1" outline="0" fieldPosition="0">
          <references count="1">
            <reference field="2" count="0"/>
          </references>
        </pivotArea>
      </pivotSelection>
    </sheetView>
  </sheetViews>
  <sheetFormatPr defaultRowHeight="12.75"/>
  <cols>
    <col min="1" max="1" width="22.85546875" customWidth="1"/>
    <col min="2" max="2" width="42.28515625" style="223" customWidth="1"/>
    <col min="3" max="6" width="12.140625" customWidth="1"/>
    <col min="7" max="7" width="25.28515625" customWidth="1"/>
    <col min="8" max="8" width="42.28515625" style="223" customWidth="1"/>
    <col min="9" max="12" width="9" customWidth="1"/>
    <col min="13" max="13" width="50.140625" customWidth="1"/>
    <col min="14" max="16" width="5" customWidth="1"/>
    <col min="17" max="17" width="12.140625" customWidth="1"/>
    <col min="18" max="18" width="5.140625" customWidth="1"/>
    <col min="19" max="19" width="21" customWidth="1"/>
    <col min="20" max="20" width="42.28515625" customWidth="1"/>
    <col min="21" max="21" width="5" customWidth="1"/>
    <col min="22" max="22" width="1.85546875" customWidth="1"/>
    <col min="23" max="23" width="12.7109375" style="221" customWidth="1"/>
    <col min="24" max="24" width="4" style="221" customWidth="1"/>
    <col min="25" max="25" width="23.42578125" customWidth="1"/>
    <col min="26" max="26" width="13" customWidth="1"/>
    <col min="27" max="28" width="12.140625" customWidth="1"/>
    <col min="29" max="29" width="28.140625" customWidth="1"/>
    <col min="30" max="30" width="42.28515625" customWidth="1"/>
    <col min="31" max="31" width="10.140625" customWidth="1"/>
    <col min="32" max="32" width="9" customWidth="1"/>
    <col min="33" max="237" width="42.28515625" bestFit="1" customWidth="1"/>
    <col min="238" max="238" width="10.5703125" bestFit="1" customWidth="1"/>
  </cols>
  <sheetData>
    <row r="1" spans="1:33">
      <c r="A1" t="s">
        <v>880</v>
      </c>
      <c r="G1" s="8" t="s">
        <v>290</v>
      </c>
      <c r="H1" s="82" t="s">
        <v>1101</v>
      </c>
      <c r="Y1" s="4" t="s">
        <v>2097</v>
      </c>
      <c r="AC1" s="4" t="s">
        <v>1012</v>
      </c>
      <c r="AG1" s="4" t="s">
        <v>1013</v>
      </c>
    </row>
    <row r="2" spans="1:33">
      <c r="N2" s="223"/>
    </row>
    <row r="3" spans="1:33">
      <c r="A3" s="6" t="s">
        <v>291</v>
      </c>
      <c r="B3" s="12"/>
      <c r="C3" s="7"/>
      <c r="F3" s="46"/>
      <c r="G3" s="5"/>
      <c r="H3" s="12"/>
      <c r="I3" s="5"/>
      <c r="J3" s="12"/>
      <c r="K3" s="12"/>
      <c r="L3" s="60"/>
      <c r="M3" s="6" t="s">
        <v>1767</v>
      </c>
      <c r="N3" s="7"/>
      <c r="S3" s="6" t="s">
        <v>1718</v>
      </c>
      <c r="T3" s="12"/>
      <c r="U3" s="7"/>
      <c r="W3"/>
      <c r="X3"/>
      <c r="Y3" s="6" t="s">
        <v>1760</v>
      </c>
      <c r="Z3" s="12"/>
      <c r="AA3" s="7"/>
      <c r="AC3" s="6" t="s">
        <v>533</v>
      </c>
      <c r="AD3" s="12"/>
      <c r="AE3" s="7"/>
    </row>
    <row r="4" spans="1:33">
      <c r="A4" s="6" t="s">
        <v>572</v>
      </c>
      <c r="B4" s="6" t="s">
        <v>358</v>
      </c>
      <c r="C4" s="7" t="s">
        <v>1871</v>
      </c>
      <c r="F4" s="46"/>
      <c r="G4" s="6" t="s">
        <v>572</v>
      </c>
      <c r="H4" s="6" t="s">
        <v>358</v>
      </c>
      <c r="I4" s="13"/>
      <c r="J4" s="61"/>
      <c r="K4" s="61"/>
      <c r="L4" s="62"/>
      <c r="M4" s="6" t="s">
        <v>1868</v>
      </c>
      <c r="N4" s="7" t="s">
        <v>1871</v>
      </c>
      <c r="S4" s="6" t="s">
        <v>572</v>
      </c>
      <c r="T4" s="6" t="s">
        <v>358</v>
      </c>
      <c r="U4" s="7" t="s">
        <v>1871</v>
      </c>
      <c r="W4"/>
      <c r="X4"/>
      <c r="Y4" s="6" t="s">
        <v>358</v>
      </c>
      <c r="Z4" s="6" t="s">
        <v>572</v>
      </c>
      <c r="AA4" s="7" t="s">
        <v>1871</v>
      </c>
      <c r="AC4" s="6" t="s">
        <v>572</v>
      </c>
      <c r="AD4" s="6" t="s">
        <v>358</v>
      </c>
      <c r="AE4" s="7" t="s">
        <v>1871</v>
      </c>
    </row>
    <row r="5" spans="1:33">
      <c r="A5" s="5">
        <v>2001</v>
      </c>
      <c r="B5" s="5" t="s">
        <v>1455</v>
      </c>
      <c r="C5" s="67">
        <v>2577.8000000000002</v>
      </c>
      <c r="F5" s="181"/>
      <c r="G5" s="5">
        <v>2001</v>
      </c>
      <c r="H5" s="5" t="s">
        <v>1455</v>
      </c>
      <c r="I5" s="5"/>
      <c r="J5" s="12"/>
      <c r="K5" s="12"/>
      <c r="L5" s="60"/>
      <c r="M5" s="5" t="s">
        <v>1852</v>
      </c>
      <c r="N5" s="15">
        <v>1</v>
      </c>
      <c r="S5" s="5">
        <v>2001</v>
      </c>
      <c r="T5" s="5" t="s">
        <v>1455</v>
      </c>
      <c r="U5" s="15">
        <v>1</v>
      </c>
      <c r="W5"/>
      <c r="X5"/>
      <c r="Y5" s="5" t="s">
        <v>1815</v>
      </c>
      <c r="Z5" s="5">
        <v>2005</v>
      </c>
      <c r="AA5" s="67">
        <v>477328823.80666667</v>
      </c>
      <c r="AC5" s="5">
        <v>2001</v>
      </c>
      <c r="AD5" s="5" t="s">
        <v>1455</v>
      </c>
      <c r="AE5" s="15"/>
    </row>
    <row r="6" spans="1:33">
      <c r="A6" s="13"/>
      <c r="B6" s="68" t="s">
        <v>1456</v>
      </c>
      <c r="C6" s="69">
        <v>30500</v>
      </c>
      <c r="F6" s="181"/>
      <c r="G6" s="13"/>
      <c r="H6" s="68" t="s">
        <v>1456</v>
      </c>
      <c r="I6" s="13"/>
      <c r="J6" s="61"/>
      <c r="K6" s="61"/>
      <c r="L6" s="62"/>
      <c r="M6" s="68" t="s">
        <v>1667</v>
      </c>
      <c r="N6" s="66">
        <v>2</v>
      </c>
      <c r="S6" s="13"/>
      <c r="T6" s="68" t="s">
        <v>1456</v>
      </c>
      <c r="U6" s="66">
        <v>1</v>
      </c>
      <c r="W6"/>
      <c r="X6"/>
      <c r="Y6" s="5" t="s">
        <v>656</v>
      </c>
      <c r="Z6" s="5">
        <v>2010</v>
      </c>
      <c r="AA6" s="67">
        <v>139611532</v>
      </c>
      <c r="AC6" s="13"/>
      <c r="AD6" s="68" t="s">
        <v>1456</v>
      </c>
      <c r="AE6" s="66"/>
    </row>
    <row r="7" spans="1:33">
      <c r="A7" s="13"/>
      <c r="B7" s="68" t="s">
        <v>88</v>
      </c>
      <c r="C7" s="69">
        <v>25000</v>
      </c>
      <c r="F7" s="181"/>
      <c r="G7" s="13"/>
      <c r="H7" s="68" t="s">
        <v>88</v>
      </c>
      <c r="I7" s="13"/>
      <c r="J7" s="61"/>
      <c r="K7" s="61"/>
      <c r="L7" s="62"/>
      <c r="M7" s="68" t="s">
        <v>1594</v>
      </c>
      <c r="N7" s="66">
        <v>1</v>
      </c>
      <c r="S7" s="13"/>
      <c r="T7" s="68" t="s">
        <v>88</v>
      </c>
      <c r="U7" s="66">
        <v>1</v>
      </c>
      <c r="W7"/>
      <c r="X7"/>
      <c r="Y7" s="5" t="s">
        <v>258</v>
      </c>
      <c r="Z7" s="5">
        <v>2005</v>
      </c>
      <c r="AA7" s="67">
        <v>103848909.52666667</v>
      </c>
      <c r="AC7" s="13"/>
      <c r="AD7" s="68" t="s">
        <v>88</v>
      </c>
      <c r="AE7" s="66"/>
    </row>
    <row r="8" spans="1:33">
      <c r="A8" s="13"/>
      <c r="B8" s="68" t="s">
        <v>1450</v>
      </c>
      <c r="C8" s="69">
        <v>118500</v>
      </c>
      <c r="F8" s="181"/>
      <c r="G8" s="13"/>
      <c r="H8" s="68" t="s">
        <v>1450</v>
      </c>
      <c r="I8" s="13"/>
      <c r="J8" s="61"/>
      <c r="K8" s="61"/>
      <c r="L8" s="62"/>
      <c r="M8" s="68" t="s">
        <v>1543</v>
      </c>
      <c r="N8" s="66">
        <v>1</v>
      </c>
      <c r="S8" s="13"/>
      <c r="T8" s="68" t="s">
        <v>1450</v>
      </c>
      <c r="U8" s="66">
        <v>1</v>
      </c>
      <c r="W8"/>
      <c r="X8"/>
      <c r="Y8" s="5" t="s">
        <v>347</v>
      </c>
      <c r="Z8" s="5">
        <v>2008</v>
      </c>
      <c r="AA8" s="67">
        <v>55000000</v>
      </c>
      <c r="AC8" s="13"/>
      <c r="AD8" s="68" t="s">
        <v>1450</v>
      </c>
      <c r="AE8" s="66"/>
    </row>
    <row r="9" spans="1:33">
      <c r="A9" s="13"/>
      <c r="B9" s="68" t="s">
        <v>1803</v>
      </c>
      <c r="C9" s="69">
        <v>15000</v>
      </c>
      <c r="F9" s="181"/>
      <c r="G9" s="13"/>
      <c r="H9" s="68" t="s">
        <v>1803</v>
      </c>
      <c r="I9" s="13"/>
      <c r="J9" s="61"/>
      <c r="K9" s="61"/>
      <c r="L9" s="62"/>
      <c r="M9" s="68" t="s">
        <v>416</v>
      </c>
      <c r="N9" s="66">
        <v>1</v>
      </c>
      <c r="S9" s="13"/>
      <c r="T9" s="68" t="s">
        <v>1803</v>
      </c>
      <c r="U9" s="66">
        <v>1</v>
      </c>
      <c r="W9"/>
      <c r="X9"/>
      <c r="Y9" s="5" t="s">
        <v>2032</v>
      </c>
      <c r="Z9" s="5">
        <v>2011</v>
      </c>
      <c r="AA9" s="67">
        <v>16068357</v>
      </c>
      <c r="AC9" s="13"/>
      <c r="AD9" s="68" t="s">
        <v>1803</v>
      </c>
      <c r="AE9" s="66"/>
    </row>
    <row r="10" spans="1:33">
      <c r="A10" s="13"/>
      <c r="B10" s="68" t="s">
        <v>1467</v>
      </c>
      <c r="C10" s="69">
        <v>18000</v>
      </c>
      <c r="F10" s="181"/>
      <c r="G10" s="13"/>
      <c r="H10" s="68" t="s">
        <v>1467</v>
      </c>
      <c r="I10" s="13"/>
      <c r="J10" s="61"/>
      <c r="K10" s="61"/>
      <c r="L10" s="62"/>
      <c r="M10" s="68" t="s">
        <v>1554</v>
      </c>
      <c r="N10" s="66">
        <v>1</v>
      </c>
      <c r="S10" s="13"/>
      <c r="T10" s="68" t="s">
        <v>1467</v>
      </c>
      <c r="U10" s="66">
        <v>1</v>
      </c>
      <c r="W10"/>
      <c r="X10"/>
      <c r="Y10" s="5" t="s">
        <v>1461</v>
      </c>
      <c r="Z10" s="5">
        <v>2001</v>
      </c>
      <c r="AA10" s="67">
        <v>14000000</v>
      </c>
      <c r="AC10" s="13"/>
      <c r="AD10" s="68" t="s">
        <v>1467</v>
      </c>
      <c r="AE10" s="66"/>
    </row>
    <row r="11" spans="1:33">
      <c r="A11" s="13"/>
      <c r="B11" s="68" t="s">
        <v>1404</v>
      </c>
      <c r="C11" s="69">
        <v>352704</v>
      </c>
      <c r="F11" s="181"/>
      <c r="G11" s="13"/>
      <c r="H11" s="68" t="s">
        <v>1404</v>
      </c>
      <c r="I11" s="13"/>
      <c r="J11" s="61"/>
      <c r="K11" s="61"/>
      <c r="L11" s="62"/>
      <c r="M11" s="68" t="s">
        <v>1009</v>
      </c>
      <c r="N11" s="66">
        <v>1</v>
      </c>
      <c r="S11" s="13"/>
      <c r="T11" s="68" t="s">
        <v>1404</v>
      </c>
      <c r="U11" s="66">
        <v>1</v>
      </c>
      <c r="W11"/>
      <c r="X11"/>
      <c r="Y11" s="5" t="s">
        <v>267</v>
      </c>
      <c r="Z11" s="5">
        <v>2006</v>
      </c>
      <c r="AA11" s="67">
        <v>12558310</v>
      </c>
      <c r="AC11" s="13"/>
      <c r="AD11" s="68" t="s">
        <v>1404</v>
      </c>
      <c r="AE11" s="66"/>
    </row>
    <row r="12" spans="1:33">
      <c r="A12" s="13"/>
      <c r="B12" s="68" t="s">
        <v>1464</v>
      </c>
      <c r="C12" s="69">
        <v>1000</v>
      </c>
      <c r="F12" s="181"/>
      <c r="G12" s="13"/>
      <c r="H12" s="68" t="s">
        <v>1464</v>
      </c>
      <c r="I12" s="13"/>
      <c r="J12" s="61"/>
      <c r="K12" s="61"/>
      <c r="L12" s="62"/>
      <c r="M12" s="68" t="s">
        <v>1757</v>
      </c>
      <c r="N12" s="66">
        <v>2</v>
      </c>
      <c r="S12" s="13"/>
      <c r="T12" s="68" t="s">
        <v>1464</v>
      </c>
      <c r="U12" s="66">
        <v>1</v>
      </c>
      <c r="W12"/>
      <c r="X12"/>
      <c r="Y12" s="5" t="s">
        <v>1477</v>
      </c>
      <c r="Z12" s="5">
        <v>2002</v>
      </c>
      <c r="AA12" s="67">
        <v>12000000</v>
      </c>
      <c r="AC12" s="13"/>
      <c r="AD12" s="68" t="s">
        <v>1464</v>
      </c>
      <c r="AE12" s="66"/>
    </row>
    <row r="13" spans="1:33">
      <c r="A13" s="13"/>
      <c r="B13" s="68" t="s">
        <v>1460</v>
      </c>
      <c r="C13" s="69">
        <v>50000</v>
      </c>
      <c r="F13" s="181"/>
      <c r="G13" s="13"/>
      <c r="H13" s="68" t="s">
        <v>1460</v>
      </c>
      <c r="I13" s="13"/>
      <c r="J13" s="61"/>
      <c r="K13" s="61"/>
      <c r="L13" s="62"/>
      <c r="M13" s="68" t="s">
        <v>130</v>
      </c>
      <c r="N13" s="66">
        <v>2</v>
      </c>
      <c r="S13" s="13"/>
      <c r="T13" s="68" t="s">
        <v>1460</v>
      </c>
      <c r="U13" s="66">
        <v>1</v>
      </c>
      <c r="W13"/>
      <c r="X13"/>
      <c r="Y13" s="5" t="s">
        <v>1600</v>
      </c>
      <c r="Z13" s="5">
        <v>2011</v>
      </c>
      <c r="AA13" s="67">
        <v>8200000</v>
      </c>
      <c r="AC13" s="13"/>
      <c r="AD13" s="68" t="s">
        <v>1460</v>
      </c>
      <c r="AE13" s="66"/>
    </row>
    <row r="14" spans="1:33">
      <c r="A14" s="13"/>
      <c r="B14" s="68" t="s">
        <v>1459</v>
      </c>
      <c r="C14" s="69">
        <v>917500</v>
      </c>
      <c r="F14" s="181"/>
      <c r="G14" s="13"/>
      <c r="H14" s="68" t="s">
        <v>1459</v>
      </c>
      <c r="I14" s="13"/>
      <c r="J14" s="61"/>
      <c r="K14" s="61"/>
      <c r="L14" s="62"/>
      <c r="M14" s="68" t="s">
        <v>412</v>
      </c>
      <c r="N14" s="66">
        <v>1</v>
      </c>
      <c r="S14" s="13"/>
      <c r="T14" s="68" t="s">
        <v>1459</v>
      </c>
      <c r="U14" s="66">
        <v>2</v>
      </c>
      <c r="W14"/>
      <c r="X14"/>
      <c r="Y14" s="5" t="s">
        <v>53</v>
      </c>
      <c r="Z14" s="5">
        <v>2010</v>
      </c>
      <c r="AA14" s="67">
        <v>6400000</v>
      </c>
      <c r="AC14" s="13"/>
      <c r="AD14" s="68" t="s">
        <v>1459</v>
      </c>
      <c r="AE14" s="66"/>
    </row>
    <row r="15" spans="1:33">
      <c r="A15" s="13"/>
      <c r="B15" s="68" t="s">
        <v>1461</v>
      </c>
      <c r="C15" s="69">
        <v>14000000</v>
      </c>
      <c r="F15" s="181"/>
      <c r="G15" s="13"/>
      <c r="H15" s="68" t="s">
        <v>1461</v>
      </c>
      <c r="I15" s="13"/>
      <c r="J15" s="61"/>
      <c r="K15" s="61"/>
      <c r="L15" s="62"/>
      <c r="M15" s="68" t="s">
        <v>1891</v>
      </c>
      <c r="N15" s="66">
        <v>5</v>
      </c>
      <c r="S15" s="13"/>
      <c r="T15" s="68" t="s">
        <v>1461</v>
      </c>
      <c r="U15" s="66">
        <v>1</v>
      </c>
      <c r="W15"/>
      <c r="X15"/>
      <c r="Y15" s="9" t="s">
        <v>1207</v>
      </c>
      <c r="Z15" s="16"/>
      <c r="AA15" s="219">
        <v>477328823.80666667</v>
      </c>
      <c r="AC15" s="13"/>
      <c r="AD15" s="68" t="s">
        <v>1461</v>
      </c>
      <c r="AE15" s="66"/>
    </row>
    <row r="16" spans="1:33">
      <c r="A16" s="13"/>
      <c r="B16" s="68" t="s">
        <v>1830</v>
      </c>
      <c r="C16" s="69">
        <v>389265</v>
      </c>
      <c r="F16" s="181"/>
      <c r="G16" s="13"/>
      <c r="H16" s="68" t="s">
        <v>1830</v>
      </c>
      <c r="I16" s="13"/>
      <c r="J16" s="61"/>
      <c r="K16" s="61"/>
      <c r="L16" s="62"/>
      <c r="M16" s="68" t="s">
        <v>2000</v>
      </c>
      <c r="N16" s="66">
        <v>1</v>
      </c>
      <c r="S16" s="13"/>
      <c r="T16" s="68" t="s">
        <v>1830</v>
      </c>
      <c r="U16" s="66">
        <v>1</v>
      </c>
      <c r="W16"/>
      <c r="X16"/>
      <c r="AC16" s="13"/>
      <c r="AD16" s="68" t="s">
        <v>1830</v>
      </c>
      <c r="AE16" s="66"/>
    </row>
    <row r="17" spans="1:31">
      <c r="A17" s="13"/>
      <c r="B17" s="68" t="s">
        <v>1451</v>
      </c>
      <c r="C17" s="69">
        <v>40000</v>
      </c>
      <c r="F17" s="181"/>
      <c r="G17" s="13"/>
      <c r="H17" s="68" t="s">
        <v>1451</v>
      </c>
      <c r="I17" s="13"/>
      <c r="J17" s="61"/>
      <c r="K17" s="61"/>
      <c r="L17" s="62"/>
      <c r="M17" s="68" t="s">
        <v>1943</v>
      </c>
      <c r="N17" s="66">
        <v>6</v>
      </c>
      <c r="S17" s="13"/>
      <c r="T17" s="68" t="s">
        <v>1451</v>
      </c>
      <c r="U17" s="66">
        <v>1</v>
      </c>
      <c r="W17"/>
      <c r="X17"/>
      <c r="AC17" s="13"/>
      <c r="AD17" s="68" t="s">
        <v>1451</v>
      </c>
      <c r="AE17" s="66"/>
    </row>
    <row r="18" spans="1:31">
      <c r="A18" s="13"/>
      <c r="B18" s="68" t="s">
        <v>1452</v>
      </c>
      <c r="C18" s="69">
        <v>172000</v>
      </c>
      <c r="F18" s="181"/>
      <c r="G18" s="13"/>
      <c r="H18" s="68" t="s">
        <v>1452</v>
      </c>
      <c r="I18" s="13"/>
      <c r="J18" s="61"/>
      <c r="K18" s="61"/>
      <c r="L18" s="62"/>
      <c r="M18" s="68" t="s">
        <v>121</v>
      </c>
      <c r="N18" s="66">
        <v>4</v>
      </c>
      <c r="S18" s="13"/>
      <c r="T18" s="68" t="s">
        <v>1452</v>
      </c>
      <c r="U18" s="66">
        <v>1</v>
      </c>
      <c r="W18"/>
      <c r="X18"/>
      <c r="AC18" s="13"/>
      <c r="AD18" s="68" t="s">
        <v>1452</v>
      </c>
      <c r="AE18" s="66"/>
    </row>
    <row r="19" spans="1:31">
      <c r="A19" s="13"/>
      <c r="B19" s="68" t="s">
        <v>1466</v>
      </c>
      <c r="C19" s="69">
        <v>20700</v>
      </c>
      <c r="F19" s="181"/>
      <c r="G19" s="13"/>
      <c r="H19" s="68" t="s">
        <v>1466</v>
      </c>
      <c r="I19" s="13"/>
      <c r="J19" s="61"/>
      <c r="K19" s="61"/>
      <c r="L19" s="62"/>
      <c r="M19" s="68" t="s">
        <v>1653</v>
      </c>
      <c r="N19" s="66">
        <v>4</v>
      </c>
      <c r="S19" s="13"/>
      <c r="T19" s="68" t="s">
        <v>1466</v>
      </c>
      <c r="U19" s="66">
        <v>1</v>
      </c>
      <c r="W19"/>
      <c r="X19"/>
      <c r="AC19" s="13"/>
      <c r="AD19" s="68" t="s">
        <v>1466</v>
      </c>
      <c r="AE19" s="66"/>
    </row>
    <row r="20" spans="1:31">
      <c r="A20" s="13"/>
      <c r="B20" s="68" t="s">
        <v>1462</v>
      </c>
      <c r="C20" s="69">
        <v>174000</v>
      </c>
      <c r="F20" s="181"/>
      <c r="G20" s="13"/>
      <c r="H20" s="68" t="s">
        <v>1462</v>
      </c>
      <c r="I20" s="13"/>
      <c r="J20" s="61"/>
      <c r="K20" s="61"/>
      <c r="L20" s="62"/>
      <c r="M20" s="68" t="s">
        <v>1659</v>
      </c>
      <c r="N20" s="66">
        <v>1</v>
      </c>
      <c r="S20" s="13"/>
      <c r="T20" s="68" t="s">
        <v>1462</v>
      </c>
      <c r="U20" s="66">
        <v>1</v>
      </c>
      <c r="W20"/>
      <c r="X20"/>
      <c r="AC20" s="13"/>
      <c r="AD20" s="68" t="s">
        <v>1462</v>
      </c>
      <c r="AE20" s="66"/>
    </row>
    <row r="21" spans="1:31">
      <c r="A21" s="13"/>
      <c r="B21" s="68" t="s">
        <v>1804</v>
      </c>
      <c r="C21" s="69">
        <v>250000</v>
      </c>
      <c r="F21" s="181"/>
      <c r="G21" s="13"/>
      <c r="H21" s="68" t="s">
        <v>1804</v>
      </c>
      <c r="I21" s="13"/>
      <c r="J21" s="61"/>
      <c r="K21" s="61"/>
      <c r="L21" s="62"/>
      <c r="M21" s="68" t="s">
        <v>1561</v>
      </c>
      <c r="N21" s="66">
        <v>1</v>
      </c>
      <c r="S21" s="13"/>
      <c r="T21" s="68" t="s">
        <v>1804</v>
      </c>
      <c r="U21" s="66">
        <v>1</v>
      </c>
      <c r="W21"/>
      <c r="X21"/>
      <c r="AC21" s="13"/>
      <c r="AD21" s="68" t="s">
        <v>1804</v>
      </c>
      <c r="AE21" s="66"/>
    </row>
    <row r="22" spans="1:31">
      <c r="A22" s="13"/>
      <c r="B22" s="68" t="s">
        <v>1453</v>
      </c>
      <c r="C22" s="69">
        <v>90000</v>
      </c>
      <c r="F22" s="181"/>
      <c r="G22" s="13"/>
      <c r="H22" s="68" t="s">
        <v>1453</v>
      </c>
      <c r="I22" s="13"/>
      <c r="J22" s="61"/>
      <c r="K22" s="61"/>
      <c r="L22" s="62"/>
      <c r="M22" s="68" t="s">
        <v>1420</v>
      </c>
      <c r="N22" s="66">
        <v>1</v>
      </c>
      <c r="S22" s="13"/>
      <c r="T22" s="68" t="s">
        <v>1453</v>
      </c>
      <c r="U22" s="66">
        <v>1</v>
      </c>
      <c r="W22"/>
      <c r="X22"/>
      <c r="AC22" s="13"/>
      <c r="AD22" s="68" t="s">
        <v>1453</v>
      </c>
      <c r="AE22" s="66"/>
    </row>
    <row r="23" spans="1:31">
      <c r="A23" s="13"/>
      <c r="B23" s="68" t="s">
        <v>99</v>
      </c>
      <c r="C23" s="69">
        <v>699130</v>
      </c>
      <c r="F23" s="181"/>
      <c r="G23" s="13"/>
      <c r="H23" s="68" t="s">
        <v>99</v>
      </c>
      <c r="I23" s="13"/>
      <c r="J23" s="61"/>
      <c r="K23" s="61"/>
      <c r="L23" s="62"/>
      <c r="M23" s="68" t="s">
        <v>1889</v>
      </c>
      <c r="N23" s="66">
        <v>3</v>
      </c>
      <c r="S23" s="13"/>
      <c r="T23" s="68" t="s">
        <v>99</v>
      </c>
      <c r="U23" s="66">
        <v>1</v>
      </c>
      <c r="W23"/>
      <c r="X23"/>
      <c r="AC23" s="13"/>
      <c r="AD23" s="68" t="s">
        <v>99</v>
      </c>
      <c r="AE23" s="66"/>
    </row>
    <row r="24" spans="1:31">
      <c r="A24" s="13"/>
      <c r="B24" s="68" t="s">
        <v>1463</v>
      </c>
      <c r="C24" s="69">
        <v>15000</v>
      </c>
      <c r="F24" s="181"/>
      <c r="G24" s="13"/>
      <c r="H24" s="68" t="s">
        <v>1463</v>
      </c>
      <c r="I24" s="13"/>
      <c r="J24" s="61"/>
      <c r="K24" s="61"/>
      <c r="L24" s="62"/>
      <c r="M24" s="68" t="s">
        <v>1656</v>
      </c>
      <c r="N24" s="66">
        <v>3</v>
      </c>
      <c r="S24" s="13"/>
      <c r="T24" s="68" t="s">
        <v>1463</v>
      </c>
      <c r="U24" s="66">
        <v>1</v>
      </c>
      <c r="W24"/>
      <c r="X24"/>
      <c r="AC24" s="13"/>
      <c r="AD24" s="68" t="s">
        <v>1463</v>
      </c>
      <c r="AE24" s="66"/>
    </row>
    <row r="25" spans="1:31">
      <c r="A25" s="13"/>
      <c r="B25" s="68" t="s">
        <v>1465</v>
      </c>
      <c r="C25" s="69">
        <v>25000</v>
      </c>
      <c r="F25" s="181"/>
      <c r="G25" s="13"/>
      <c r="H25" s="68" t="s">
        <v>1465</v>
      </c>
      <c r="I25" s="13"/>
      <c r="J25" s="61"/>
      <c r="K25" s="61"/>
      <c r="L25" s="62"/>
      <c r="M25" s="68" t="s">
        <v>1999</v>
      </c>
      <c r="N25" s="66">
        <v>1</v>
      </c>
      <c r="S25" s="13"/>
      <c r="T25" s="68" t="s">
        <v>1465</v>
      </c>
      <c r="U25" s="66">
        <v>1</v>
      </c>
      <c r="W25"/>
      <c r="X25"/>
      <c r="AC25" s="13"/>
      <c r="AD25" s="68" t="s">
        <v>1465</v>
      </c>
      <c r="AE25" s="66"/>
    </row>
    <row r="26" spans="1:31">
      <c r="A26" s="13"/>
      <c r="B26" s="68" t="s">
        <v>1458</v>
      </c>
      <c r="C26" s="69">
        <v>25000</v>
      </c>
      <c r="F26" s="181"/>
      <c r="G26" s="13"/>
      <c r="H26" s="68" t="s">
        <v>1458</v>
      </c>
      <c r="I26" s="13"/>
      <c r="J26" s="61"/>
      <c r="K26" s="61"/>
      <c r="L26" s="62"/>
      <c r="M26" s="68" t="s">
        <v>687</v>
      </c>
      <c r="N26" s="66">
        <v>1</v>
      </c>
      <c r="S26" s="13"/>
      <c r="T26" s="68" t="s">
        <v>1458</v>
      </c>
      <c r="U26" s="66">
        <v>1</v>
      </c>
      <c r="W26"/>
      <c r="X26"/>
      <c r="AC26" s="13"/>
      <c r="AD26" s="68" t="s">
        <v>1458</v>
      </c>
      <c r="AE26" s="66"/>
    </row>
    <row r="27" spans="1:31">
      <c r="A27" s="13"/>
      <c r="B27" s="68" t="s">
        <v>1457</v>
      </c>
      <c r="C27" s="69">
        <v>20000</v>
      </c>
      <c r="F27" s="181"/>
      <c r="G27" s="13"/>
      <c r="H27" s="68" t="s">
        <v>1457</v>
      </c>
      <c r="I27" s="13"/>
      <c r="J27" s="61"/>
      <c r="K27" s="61"/>
      <c r="L27" s="62"/>
      <c r="M27" s="68" t="s">
        <v>1400</v>
      </c>
      <c r="N27" s="66">
        <v>2</v>
      </c>
      <c r="S27" s="13"/>
      <c r="T27" s="68" t="s">
        <v>1457</v>
      </c>
      <c r="U27" s="66">
        <v>1</v>
      </c>
      <c r="W27"/>
      <c r="X27"/>
      <c r="AC27" s="13"/>
      <c r="AD27" s="68" t="s">
        <v>1457</v>
      </c>
      <c r="AE27" s="66"/>
    </row>
    <row r="28" spans="1:31">
      <c r="A28" s="13"/>
      <c r="B28" s="68" t="s">
        <v>1454</v>
      </c>
      <c r="C28" s="69">
        <v>7500</v>
      </c>
      <c r="F28" s="181"/>
      <c r="G28" s="13"/>
      <c r="H28" s="68" t="s">
        <v>1454</v>
      </c>
      <c r="I28" s="13"/>
      <c r="J28" s="61"/>
      <c r="K28" s="61"/>
      <c r="L28" s="62"/>
      <c r="M28" s="68" t="s">
        <v>1879</v>
      </c>
      <c r="N28" s="66">
        <v>12</v>
      </c>
      <c r="S28" s="13"/>
      <c r="T28" s="68" t="s">
        <v>1454</v>
      </c>
      <c r="U28" s="66">
        <v>1</v>
      </c>
      <c r="W28" s="70" t="s">
        <v>1758</v>
      </c>
      <c r="X28" s="70"/>
      <c r="AC28" s="13"/>
      <c r="AD28" s="68" t="s">
        <v>1454</v>
      </c>
      <c r="AE28" s="66"/>
    </row>
    <row r="29" spans="1:31">
      <c r="A29" s="13"/>
      <c r="B29" s="68" t="s">
        <v>560</v>
      </c>
      <c r="C29" s="69">
        <v>20000</v>
      </c>
      <c r="F29" s="181"/>
      <c r="G29" s="13"/>
      <c r="H29" s="68" t="s">
        <v>560</v>
      </c>
      <c r="I29" s="13"/>
      <c r="J29" s="61"/>
      <c r="K29" s="61"/>
      <c r="L29" s="62"/>
      <c r="M29" s="68" t="s">
        <v>717</v>
      </c>
      <c r="N29" s="66">
        <v>5</v>
      </c>
      <c r="S29" s="13"/>
      <c r="T29" s="68" t="s">
        <v>560</v>
      </c>
      <c r="U29" s="66">
        <v>1</v>
      </c>
      <c r="W29" s="70">
        <f>COUNT(U5:U29)</f>
        <v>25</v>
      </c>
      <c r="X29" s="70"/>
      <c r="AC29" s="13"/>
      <c r="AD29" s="68" t="s">
        <v>560</v>
      </c>
      <c r="AE29" s="66"/>
    </row>
    <row r="30" spans="1:31">
      <c r="A30" s="5">
        <v>2002</v>
      </c>
      <c r="B30" s="5" t="s">
        <v>1477</v>
      </c>
      <c r="C30" s="67">
        <v>12000000</v>
      </c>
      <c r="F30" s="181"/>
      <c r="G30" s="5">
        <v>2002</v>
      </c>
      <c r="H30" s="5" t="s">
        <v>1477</v>
      </c>
      <c r="I30" s="13"/>
      <c r="J30" s="61"/>
      <c r="K30" s="61"/>
      <c r="L30" s="62"/>
      <c r="M30" s="68" t="s">
        <v>1878</v>
      </c>
      <c r="N30" s="66">
        <v>7</v>
      </c>
      <c r="S30" s="5">
        <v>2002</v>
      </c>
      <c r="T30" s="5" t="s">
        <v>1477</v>
      </c>
      <c r="U30" s="15">
        <v>1</v>
      </c>
      <c r="W30"/>
      <c r="X30"/>
      <c r="AC30" s="5" t="s">
        <v>534</v>
      </c>
      <c r="AD30" s="12"/>
      <c r="AE30" s="15"/>
    </row>
    <row r="31" spans="1:31">
      <c r="A31" s="13"/>
      <c r="B31" s="68" t="s">
        <v>1494</v>
      </c>
      <c r="C31" s="69">
        <v>104805</v>
      </c>
      <c r="F31" s="181"/>
      <c r="G31" s="13"/>
      <c r="H31" s="68" t="s">
        <v>1494</v>
      </c>
      <c r="I31" s="13"/>
      <c r="J31" s="61"/>
      <c r="K31" s="61"/>
      <c r="L31" s="62"/>
      <c r="M31" s="68" t="s">
        <v>1589</v>
      </c>
      <c r="N31" s="66">
        <v>3</v>
      </c>
      <c r="S31" s="13"/>
      <c r="T31" s="68" t="s">
        <v>1494</v>
      </c>
      <c r="U31" s="66">
        <v>1</v>
      </c>
      <c r="W31"/>
      <c r="X31"/>
      <c r="AC31" s="5">
        <v>2002</v>
      </c>
      <c r="AD31" s="5" t="s">
        <v>1477</v>
      </c>
      <c r="AE31" s="15"/>
    </row>
    <row r="32" spans="1:31">
      <c r="A32" s="13"/>
      <c r="B32" s="68" t="s">
        <v>1491</v>
      </c>
      <c r="C32" s="69">
        <v>71832</v>
      </c>
      <c r="F32" s="181"/>
      <c r="G32" s="13"/>
      <c r="H32" s="68" t="s">
        <v>1491</v>
      </c>
      <c r="I32" s="13"/>
      <c r="J32" s="61"/>
      <c r="K32" s="61"/>
      <c r="L32" s="62"/>
      <c r="M32" s="68" t="s">
        <v>389</v>
      </c>
      <c r="N32" s="66">
        <v>1</v>
      </c>
      <c r="S32" s="13"/>
      <c r="T32" s="68" t="s">
        <v>1491</v>
      </c>
      <c r="U32" s="66">
        <v>1</v>
      </c>
      <c r="W32"/>
      <c r="X32"/>
      <c r="AC32" s="13"/>
      <c r="AD32" s="68" t="s">
        <v>1494</v>
      </c>
      <c r="AE32" s="66"/>
    </row>
    <row r="33" spans="1:31">
      <c r="A33" s="13"/>
      <c r="B33" s="68" t="s">
        <v>1319</v>
      </c>
      <c r="C33" s="69">
        <v>5000</v>
      </c>
      <c r="F33" s="181"/>
      <c r="G33" s="13"/>
      <c r="H33" s="68" t="s">
        <v>1319</v>
      </c>
      <c r="I33" s="13"/>
      <c r="J33" s="61"/>
      <c r="K33" s="61"/>
      <c r="L33" s="62"/>
      <c r="M33" s="68" t="s">
        <v>973</v>
      </c>
      <c r="N33" s="66">
        <v>1</v>
      </c>
      <c r="S33" s="13"/>
      <c r="T33" s="68" t="s">
        <v>1319</v>
      </c>
      <c r="U33" s="66">
        <v>1</v>
      </c>
      <c r="W33"/>
      <c r="X33"/>
      <c r="AC33" s="13"/>
      <c r="AD33" s="68" t="s">
        <v>1491</v>
      </c>
      <c r="AE33" s="66"/>
    </row>
    <row r="34" spans="1:31">
      <c r="A34" s="13"/>
      <c r="B34" s="68" t="s">
        <v>1484</v>
      </c>
      <c r="C34" s="69">
        <v>97982</v>
      </c>
      <c r="F34" s="181"/>
      <c r="G34" s="13"/>
      <c r="H34" s="68" t="s">
        <v>1484</v>
      </c>
      <c r="I34" s="13"/>
      <c r="J34" s="61"/>
      <c r="K34" s="61"/>
      <c r="L34" s="62"/>
      <c r="M34" s="68" t="s">
        <v>1949</v>
      </c>
      <c r="N34" s="66">
        <v>1</v>
      </c>
      <c r="S34" s="13"/>
      <c r="T34" s="68" t="s">
        <v>1484</v>
      </c>
      <c r="U34" s="66">
        <v>1</v>
      </c>
      <c r="W34"/>
      <c r="X34"/>
      <c r="AC34" s="13"/>
      <c r="AD34" s="68" t="s">
        <v>1319</v>
      </c>
      <c r="AE34" s="66"/>
    </row>
    <row r="35" spans="1:31">
      <c r="A35" s="13"/>
      <c r="B35" s="68" t="s">
        <v>1485</v>
      </c>
      <c r="C35" s="69">
        <v>4400</v>
      </c>
      <c r="F35" s="181"/>
      <c r="G35" s="13"/>
      <c r="H35" s="68" t="s">
        <v>1485</v>
      </c>
      <c r="I35" s="13"/>
      <c r="J35" s="61"/>
      <c r="K35" s="61"/>
      <c r="L35" s="62"/>
      <c r="M35" s="68" t="s">
        <v>1540</v>
      </c>
      <c r="N35" s="66">
        <v>6</v>
      </c>
      <c r="S35" s="13"/>
      <c r="T35" s="68" t="s">
        <v>1485</v>
      </c>
      <c r="U35" s="66">
        <v>1</v>
      </c>
      <c r="W35"/>
      <c r="X35"/>
      <c r="AC35" s="13"/>
      <c r="AD35" s="68" t="s">
        <v>1484</v>
      </c>
      <c r="AE35" s="66"/>
    </row>
    <row r="36" spans="1:31">
      <c r="A36" s="13"/>
      <c r="B36" s="68" t="s">
        <v>1803</v>
      </c>
      <c r="C36" s="69">
        <v>11700</v>
      </c>
      <c r="F36" s="181"/>
      <c r="G36" s="13"/>
      <c r="H36" s="68" t="s">
        <v>1803</v>
      </c>
      <c r="I36" s="13"/>
      <c r="J36" s="61"/>
      <c r="K36" s="61"/>
      <c r="L36" s="62"/>
      <c r="M36" s="68" t="s">
        <v>1596</v>
      </c>
      <c r="N36" s="66">
        <v>1</v>
      </c>
      <c r="S36" s="13"/>
      <c r="T36" s="68" t="s">
        <v>1803</v>
      </c>
      <c r="U36" s="66">
        <v>1</v>
      </c>
      <c r="W36"/>
      <c r="X36"/>
      <c r="AC36" s="13"/>
      <c r="AD36" s="68" t="s">
        <v>1485</v>
      </c>
      <c r="AE36" s="66"/>
    </row>
    <row r="37" spans="1:31">
      <c r="A37" s="13"/>
      <c r="B37" s="68" t="s">
        <v>1490</v>
      </c>
      <c r="C37" s="69">
        <v>10000</v>
      </c>
      <c r="F37" s="181"/>
      <c r="G37" s="13"/>
      <c r="H37" s="68" t="s">
        <v>1490</v>
      </c>
      <c r="I37" s="13"/>
      <c r="J37" s="61"/>
      <c r="K37" s="61"/>
      <c r="L37" s="62"/>
      <c r="M37" s="68" t="s">
        <v>1662</v>
      </c>
      <c r="N37" s="66">
        <v>3</v>
      </c>
      <c r="S37" s="13"/>
      <c r="T37" s="68" t="s">
        <v>1490</v>
      </c>
      <c r="U37" s="66">
        <v>1</v>
      </c>
      <c r="W37"/>
      <c r="X37"/>
      <c r="AC37" s="13"/>
      <c r="AD37" s="68" t="s">
        <v>1803</v>
      </c>
      <c r="AE37" s="66"/>
    </row>
    <row r="38" spans="1:31">
      <c r="A38" s="13"/>
      <c r="B38" s="68" t="s">
        <v>1801</v>
      </c>
      <c r="C38" s="69">
        <v>200000</v>
      </c>
      <c r="F38" s="181"/>
      <c r="G38" s="13"/>
      <c r="H38" s="68" t="s">
        <v>1801</v>
      </c>
      <c r="I38" s="13"/>
      <c r="J38" s="61"/>
      <c r="K38" s="61"/>
      <c r="L38" s="62"/>
      <c r="M38" s="68" t="s">
        <v>1641</v>
      </c>
      <c r="N38" s="66">
        <v>5</v>
      </c>
      <c r="S38" s="13"/>
      <c r="T38" s="68" t="s">
        <v>1801</v>
      </c>
      <c r="U38" s="66">
        <v>3</v>
      </c>
      <c r="W38"/>
      <c r="X38"/>
      <c r="AC38" s="13"/>
      <c r="AD38" s="68" t="s">
        <v>1490</v>
      </c>
      <c r="AE38" s="66"/>
    </row>
    <row r="39" spans="1:31">
      <c r="A39" s="13"/>
      <c r="B39" s="68" t="s">
        <v>532</v>
      </c>
      <c r="C39" s="69">
        <v>2000</v>
      </c>
      <c r="F39" s="181"/>
      <c r="G39" s="13"/>
      <c r="H39" s="68" t="s">
        <v>532</v>
      </c>
      <c r="I39" s="13"/>
      <c r="J39" s="61"/>
      <c r="K39" s="61"/>
      <c r="L39" s="62"/>
      <c r="M39" s="68" t="s">
        <v>1873</v>
      </c>
      <c r="N39" s="66">
        <v>6</v>
      </c>
      <c r="S39" s="13"/>
      <c r="T39" s="68" t="s">
        <v>532</v>
      </c>
      <c r="U39" s="66">
        <v>1</v>
      </c>
      <c r="W39"/>
      <c r="X39"/>
      <c r="AC39" s="13"/>
      <c r="AD39" s="68" t="s">
        <v>1801</v>
      </c>
      <c r="AE39" s="66"/>
    </row>
    <row r="40" spans="1:31">
      <c r="A40" s="13"/>
      <c r="B40" s="68" t="s">
        <v>1488</v>
      </c>
      <c r="C40" s="69">
        <v>0</v>
      </c>
      <c r="F40" s="181"/>
      <c r="G40" s="13"/>
      <c r="H40" s="68" t="s">
        <v>1488</v>
      </c>
      <c r="I40" s="13"/>
      <c r="J40" s="61"/>
      <c r="K40" s="61"/>
      <c r="L40" s="62"/>
      <c r="M40" s="68" t="s">
        <v>1625</v>
      </c>
      <c r="N40" s="66">
        <v>1</v>
      </c>
      <c r="S40" s="13"/>
      <c r="T40" s="68" t="s">
        <v>1488</v>
      </c>
      <c r="U40" s="66">
        <v>1</v>
      </c>
      <c r="W40"/>
      <c r="X40"/>
      <c r="AC40" s="13"/>
      <c r="AD40" s="68" t="s">
        <v>532</v>
      </c>
      <c r="AE40" s="66"/>
    </row>
    <row r="41" spans="1:31">
      <c r="A41" s="13"/>
      <c r="B41" s="68" t="s">
        <v>1492</v>
      </c>
      <c r="C41" s="69">
        <v>45000</v>
      </c>
      <c r="F41" s="181"/>
      <c r="G41" s="13"/>
      <c r="H41" s="68" t="s">
        <v>1492</v>
      </c>
      <c r="I41" s="13"/>
      <c r="J41" s="61"/>
      <c r="K41" s="61"/>
      <c r="L41" s="62"/>
      <c r="M41" s="68" t="s">
        <v>202</v>
      </c>
      <c r="N41" s="66">
        <v>1</v>
      </c>
      <c r="S41" s="13"/>
      <c r="T41" s="68" t="s">
        <v>1492</v>
      </c>
      <c r="U41" s="66">
        <v>1</v>
      </c>
      <c r="W41"/>
      <c r="X41"/>
      <c r="AC41" s="13"/>
      <c r="AD41" s="68" t="s">
        <v>1488</v>
      </c>
      <c r="AE41" s="66"/>
    </row>
    <row r="42" spans="1:31">
      <c r="A42" s="13"/>
      <c r="B42" s="68" t="s">
        <v>1476</v>
      </c>
      <c r="C42" s="69">
        <v>10000</v>
      </c>
      <c r="F42" s="181"/>
      <c r="G42" s="13"/>
      <c r="H42" s="68" t="s">
        <v>1476</v>
      </c>
      <c r="I42" s="13"/>
      <c r="J42" s="61"/>
      <c r="K42" s="61"/>
      <c r="L42" s="62"/>
      <c r="M42" s="68" t="s">
        <v>387</v>
      </c>
      <c r="N42" s="66">
        <v>1</v>
      </c>
      <c r="S42" s="13"/>
      <c r="T42" s="68" t="s">
        <v>1476</v>
      </c>
      <c r="U42" s="66">
        <v>1</v>
      </c>
      <c r="W42"/>
      <c r="X42"/>
      <c r="AC42" s="13"/>
      <c r="AD42" s="68" t="s">
        <v>1492</v>
      </c>
      <c r="AE42" s="66"/>
    </row>
    <row r="43" spans="1:31">
      <c r="A43" s="13"/>
      <c r="B43" s="68" t="s">
        <v>1468</v>
      </c>
      <c r="C43" s="69">
        <v>25000</v>
      </c>
      <c r="F43" s="181"/>
      <c r="G43" s="13"/>
      <c r="H43" s="68" t="s">
        <v>1468</v>
      </c>
      <c r="I43" s="13"/>
      <c r="J43" s="61"/>
      <c r="K43" s="61"/>
      <c r="L43" s="62"/>
      <c r="M43" s="68" t="s">
        <v>1890</v>
      </c>
      <c r="N43" s="66">
        <v>2</v>
      </c>
      <c r="S43" s="13"/>
      <c r="T43" s="68" t="s">
        <v>1468</v>
      </c>
      <c r="U43" s="66">
        <v>1</v>
      </c>
      <c r="W43"/>
      <c r="X43"/>
      <c r="AC43" s="13"/>
      <c r="AD43" s="68" t="s">
        <v>1476</v>
      </c>
      <c r="AE43" s="66"/>
    </row>
    <row r="44" spans="1:31">
      <c r="A44" s="13"/>
      <c r="B44" s="68" t="s">
        <v>1475</v>
      </c>
      <c r="C44" s="69">
        <v>0</v>
      </c>
      <c r="F44" s="181"/>
      <c r="G44" s="13"/>
      <c r="H44" s="68" t="s">
        <v>1475</v>
      </c>
      <c r="I44" s="13"/>
      <c r="J44" s="61"/>
      <c r="K44" s="61"/>
      <c r="L44" s="62"/>
      <c r="M44" s="68" t="s">
        <v>1556</v>
      </c>
      <c r="N44" s="66">
        <v>3</v>
      </c>
      <c r="S44" s="13"/>
      <c r="T44" s="68" t="s">
        <v>1475</v>
      </c>
      <c r="U44" s="66">
        <v>1</v>
      </c>
      <c r="W44"/>
      <c r="X44"/>
      <c r="AC44" s="13"/>
      <c r="AD44" s="68" t="s">
        <v>1468</v>
      </c>
      <c r="AE44" s="66"/>
    </row>
    <row r="45" spans="1:31">
      <c r="A45" s="13"/>
      <c r="B45" s="68" t="s">
        <v>1469</v>
      </c>
      <c r="C45" s="69">
        <v>0</v>
      </c>
      <c r="F45" s="181"/>
      <c r="G45" s="13"/>
      <c r="H45" s="68" t="s">
        <v>1469</v>
      </c>
      <c r="I45" s="13"/>
      <c r="J45" s="61"/>
      <c r="K45" s="61"/>
      <c r="L45" s="62"/>
      <c r="M45" s="68" t="s">
        <v>1661</v>
      </c>
      <c r="N45" s="66">
        <v>4</v>
      </c>
      <c r="S45" s="13"/>
      <c r="T45" s="68" t="s">
        <v>1469</v>
      </c>
      <c r="U45" s="66">
        <v>1</v>
      </c>
      <c r="W45"/>
      <c r="X45"/>
      <c r="AC45" s="13"/>
      <c r="AD45" s="68" t="s">
        <v>1475</v>
      </c>
      <c r="AE45" s="66"/>
    </row>
    <row r="46" spans="1:31">
      <c r="A46" s="13"/>
      <c r="B46" s="68" t="s">
        <v>1486</v>
      </c>
      <c r="C46" s="69">
        <v>0</v>
      </c>
      <c r="F46" s="181"/>
      <c r="G46" s="13"/>
      <c r="H46" s="68" t="s">
        <v>1486</v>
      </c>
      <c r="I46" s="13"/>
      <c r="J46" s="61"/>
      <c r="K46" s="61"/>
      <c r="L46" s="62"/>
      <c r="M46" s="68" t="s">
        <v>2012</v>
      </c>
      <c r="N46" s="66">
        <v>2</v>
      </c>
      <c r="S46" s="13"/>
      <c r="T46" s="68" t="s">
        <v>1486</v>
      </c>
      <c r="U46" s="66">
        <v>1</v>
      </c>
      <c r="W46"/>
      <c r="X46"/>
      <c r="AC46" s="13"/>
      <c r="AD46" s="68" t="s">
        <v>1469</v>
      </c>
      <c r="AE46" s="66"/>
    </row>
    <row r="47" spans="1:31">
      <c r="A47" s="13"/>
      <c r="B47" s="68" t="s">
        <v>1830</v>
      </c>
      <c r="C47" s="69">
        <v>100000</v>
      </c>
      <c r="F47" s="181"/>
      <c r="G47" s="13"/>
      <c r="H47" s="68" t="s">
        <v>1830</v>
      </c>
      <c r="I47" s="13"/>
      <c r="J47" s="61"/>
      <c r="K47" s="61"/>
      <c r="L47" s="62"/>
      <c r="M47" s="68" t="s">
        <v>682</v>
      </c>
      <c r="N47" s="66">
        <v>9</v>
      </c>
      <c r="S47" s="13"/>
      <c r="T47" s="68" t="s">
        <v>1830</v>
      </c>
      <c r="U47" s="66">
        <v>1</v>
      </c>
      <c r="W47"/>
      <c r="X47"/>
      <c r="AC47" s="13"/>
      <c r="AD47" s="68" t="s">
        <v>1486</v>
      </c>
      <c r="AE47" s="66"/>
    </row>
    <row r="48" spans="1:31">
      <c r="A48" s="13"/>
      <c r="B48" s="68" t="s">
        <v>1480</v>
      </c>
      <c r="C48" s="69">
        <v>0</v>
      </c>
      <c r="F48" s="181"/>
      <c r="G48" s="13"/>
      <c r="H48" s="68" t="s">
        <v>1480</v>
      </c>
      <c r="I48" s="13"/>
      <c r="J48" s="61"/>
      <c r="K48" s="61"/>
      <c r="L48" s="62"/>
      <c r="M48" s="68" t="s">
        <v>1660</v>
      </c>
      <c r="N48" s="66">
        <v>5</v>
      </c>
      <c r="S48" s="13"/>
      <c r="T48" s="68" t="s">
        <v>1480</v>
      </c>
      <c r="U48" s="66">
        <v>1</v>
      </c>
      <c r="W48"/>
      <c r="X48"/>
      <c r="AC48" s="13"/>
      <c r="AD48" s="68" t="s">
        <v>1830</v>
      </c>
      <c r="AE48" s="66"/>
    </row>
    <row r="49" spans="1:31">
      <c r="A49" s="13"/>
      <c r="B49" s="68" t="s">
        <v>1805</v>
      </c>
      <c r="C49" s="69">
        <v>5000</v>
      </c>
      <c r="F49" s="181"/>
      <c r="G49" s="13"/>
      <c r="H49" s="68" t="s">
        <v>1805</v>
      </c>
      <c r="I49" s="13"/>
      <c r="J49" s="61"/>
      <c r="K49" s="61"/>
      <c r="L49" s="62"/>
      <c r="M49" s="68" t="s">
        <v>1034</v>
      </c>
      <c r="N49" s="66">
        <v>1</v>
      </c>
      <c r="S49" s="13"/>
      <c r="T49" s="68" t="s">
        <v>1805</v>
      </c>
      <c r="U49" s="66">
        <v>1</v>
      </c>
      <c r="W49"/>
      <c r="X49"/>
      <c r="AC49" s="13"/>
      <c r="AD49" s="68" t="s">
        <v>1480</v>
      </c>
      <c r="AE49" s="66"/>
    </row>
    <row r="50" spans="1:31">
      <c r="A50" s="13"/>
      <c r="B50" s="68" t="s">
        <v>1452</v>
      </c>
      <c r="C50" s="69">
        <v>225000</v>
      </c>
      <c r="F50" s="181"/>
      <c r="G50" s="13"/>
      <c r="H50" s="68" t="s">
        <v>1452</v>
      </c>
      <c r="I50" s="13"/>
      <c r="J50" s="61"/>
      <c r="K50" s="61"/>
      <c r="L50" s="62"/>
      <c r="M50" s="68" t="s">
        <v>393</v>
      </c>
      <c r="N50" s="66">
        <v>1</v>
      </c>
      <c r="S50" s="13"/>
      <c r="T50" s="68" t="s">
        <v>1452</v>
      </c>
      <c r="U50" s="66">
        <v>1</v>
      </c>
      <c r="W50"/>
      <c r="X50"/>
      <c r="AC50" s="13"/>
      <c r="AD50" s="68" t="s">
        <v>1805</v>
      </c>
      <c r="AE50" s="66"/>
    </row>
    <row r="51" spans="1:31">
      <c r="A51" s="13"/>
      <c r="B51" s="68" t="s">
        <v>1806</v>
      </c>
      <c r="C51" s="69">
        <v>10000</v>
      </c>
      <c r="F51" s="181"/>
      <c r="G51" s="13"/>
      <c r="H51" s="68" t="s">
        <v>1806</v>
      </c>
      <c r="I51" s="13"/>
      <c r="J51" s="61"/>
      <c r="K51" s="61"/>
      <c r="L51" s="62"/>
      <c r="M51" s="68" t="s">
        <v>1944</v>
      </c>
      <c r="N51" s="66">
        <v>6</v>
      </c>
      <c r="S51" s="13"/>
      <c r="T51" s="68" t="s">
        <v>1806</v>
      </c>
      <c r="U51" s="66">
        <v>1</v>
      </c>
      <c r="W51"/>
      <c r="X51"/>
      <c r="AC51" s="13"/>
      <c r="AD51" s="68" t="s">
        <v>1452</v>
      </c>
      <c r="AE51" s="66"/>
    </row>
    <row r="52" spans="1:31">
      <c r="A52" s="13"/>
      <c r="B52" s="68" t="s">
        <v>1495</v>
      </c>
      <c r="C52" s="69">
        <v>100000</v>
      </c>
      <c r="F52" s="181"/>
      <c r="G52" s="13"/>
      <c r="H52" s="68" t="s">
        <v>1495</v>
      </c>
      <c r="I52" s="13"/>
      <c r="J52" s="61"/>
      <c r="K52" s="61"/>
      <c r="L52" s="62"/>
      <c r="M52" s="68" t="s">
        <v>1565</v>
      </c>
      <c r="N52" s="66">
        <v>8</v>
      </c>
      <c r="S52" s="13"/>
      <c r="T52" s="68" t="s">
        <v>1495</v>
      </c>
      <c r="U52" s="66">
        <v>1</v>
      </c>
      <c r="W52"/>
      <c r="X52"/>
      <c r="AC52" s="13"/>
      <c r="AD52" s="68" t="s">
        <v>1806</v>
      </c>
      <c r="AE52" s="66"/>
    </row>
    <row r="53" spans="1:31">
      <c r="A53" s="13"/>
      <c r="B53" s="68" t="s">
        <v>1807</v>
      </c>
      <c r="C53" s="69">
        <v>25000</v>
      </c>
      <c r="F53" s="181"/>
      <c r="G53" s="13"/>
      <c r="H53" s="68" t="s">
        <v>1807</v>
      </c>
      <c r="I53" s="13"/>
      <c r="J53" s="61"/>
      <c r="K53" s="61"/>
      <c r="L53" s="62"/>
      <c r="M53" s="68" t="s">
        <v>1670</v>
      </c>
      <c r="N53" s="66">
        <v>4</v>
      </c>
      <c r="S53" s="13"/>
      <c r="T53" s="68" t="s">
        <v>1807</v>
      </c>
      <c r="U53" s="66">
        <v>1</v>
      </c>
      <c r="W53"/>
      <c r="X53"/>
      <c r="AC53" s="13"/>
      <c r="AD53" s="68" t="s">
        <v>1495</v>
      </c>
      <c r="AE53" s="66"/>
    </row>
    <row r="54" spans="1:31">
      <c r="A54" s="13"/>
      <c r="B54" s="68" t="s">
        <v>1483</v>
      </c>
      <c r="C54" s="69">
        <v>15000</v>
      </c>
      <c r="F54" s="181"/>
      <c r="G54" s="13"/>
      <c r="H54" s="68" t="s">
        <v>1483</v>
      </c>
      <c r="I54" s="13"/>
      <c r="J54" s="61"/>
      <c r="K54" s="61"/>
      <c r="L54" s="62"/>
      <c r="M54" s="68" t="s">
        <v>1005</v>
      </c>
      <c r="N54" s="66">
        <v>4</v>
      </c>
      <c r="S54" s="13"/>
      <c r="T54" s="68" t="s">
        <v>1483</v>
      </c>
      <c r="U54" s="66">
        <v>1</v>
      </c>
      <c r="W54"/>
      <c r="X54"/>
      <c r="AC54" s="13"/>
      <c r="AD54" s="68" t="s">
        <v>1807</v>
      </c>
      <c r="AE54" s="66"/>
    </row>
    <row r="55" spans="1:31">
      <c r="A55" s="13"/>
      <c r="B55" s="68" t="s">
        <v>1496</v>
      </c>
      <c r="C55" s="69">
        <v>0</v>
      </c>
      <c r="F55" s="181"/>
      <c r="G55" s="13"/>
      <c r="H55" s="68" t="s">
        <v>1496</v>
      </c>
      <c r="I55" s="13"/>
      <c r="J55" s="61"/>
      <c r="K55" s="61"/>
      <c r="L55" s="62"/>
      <c r="M55" s="68" t="s">
        <v>124</v>
      </c>
      <c r="N55" s="66">
        <v>2</v>
      </c>
      <c r="S55" s="13"/>
      <c r="T55" s="68" t="s">
        <v>1496</v>
      </c>
      <c r="U55" s="66">
        <v>1</v>
      </c>
      <c r="W55"/>
      <c r="X55"/>
      <c r="AC55" s="13"/>
      <c r="AD55" s="68" t="s">
        <v>1483</v>
      </c>
      <c r="AE55" s="66"/>
    </row>
    <row r="56" spans="1:31">
      <c r="A56" s="13"/>
      <c r="B56" s="68" t="s">
        <v>1474</v>
      </c>
      <c r="C56" s="69">
        <v>0</v>
      </c>
      <c r="F56" s="181"/>
      <c r="G56" s="13"/>
      <c r="H56" s="68" t="s">
        <v>1474</v>
      </c>
      <c r="I56" s="13"/>
      <c r="J56" s="61"/>
      <c r="K56" s="61"/>
      <c r="L56" s="62"/>
      <c r="M56" s="68" t="s">
        <v>1750</v>
      </c>
      <c r="N56" s="66">
        <v>2</v>
      </c>
      <c r="S56" s="13"/>
      <c r="T56" s="68" t="s">
        <v>1474</v>
      </c>
      <c r="U56" s="66">
        <v>1</v>
      </c>
      <c r="W56"/>
      <c r="X56"/>
      <c r="AC56" s="13"/>
      <c r="AD56" s="68" t="s">
        <v>1496</v>
      </c>
      <c r="AE56" s="66"/>
    </row>
    <row r="57" spans="1:31">
      <c r="A57" s="13"/>
      <c r="B57" s="68" t="s">
        <v>1487</v>
      </c>
      <c r="C57" s="69">
        <v>60000</v>
      </c>
      <c r="F57" s="181"/>
      <c r="G57" s="13"/>
      <c r="H57" s="68" t="s">
        <v>1487</v>
      </c>
      <c r="I57" s="13"/>
      <c r="J57" s="61"/>
      <c r="K57" s="61"/>
      <c r="L57" s="62"/>
      <c r="M57" s="68" t="s">
        <v>1590</v>
      </c>
      <c r="N57" s="66">
        <v>6</v>
      </c>
      <c r="S57" s="13"/>
      <c r="T57" s="68" t="s">
        <v>1487</v>
      </c>
      <c r="U57" s="66">
        <v>1</v>
      </c>
      <c r="W57"/>
      <c r="X57"/>
      <c r="AC57" s="13"/>
      <c r="AD57" s="68" t="s">
        <v>1474</v>
      </c>
      <c r="AE57" s="66"/>
    </row>
    <row r="58" spans="1:31">
      <c r="A58" s="13"/>
      <c r="B58" s="68" t="s">
        <v>1493</v>
      </c>
      <c r="C58" s="69">
        <v>21612.23</v>
      </c>
      <c r="F58" s="181"/>
      <c r="G58" s="13"/>
      <c r="H58" s="68" t="s">
        <v>1493</v>
      </c>
      <c r="I58" s="13"/>
      <c r="J58" s="61"/>
      <c r="K58" s="61"/>
      <c r="L58" s="62"/>
      <c r="M58" s="68" t="s">
        <v>1936</v>
      </c>
      <c r="N58" s="66">
        <v>1</v>
      </c>
      <c r="S58" s="13"/>
      <c r="T58" s="68" t="s">
        <v>1493</v>
      </c>
      <c r="U58" s="66">
        <v>1</v>
      </c>
      <c r="W58"/>
      <c r="X58"/>
      <c r="AC58" s="13"/>
      <c r="AD58" s="68" t="s">
        <v>1487</v>
      </c>
      <c r="AE58" s="66"/>
    </row>
    <row r="59" spans="1:31">
      <c r="A59" s="13"/>
      <c r="B59" s="68" t="s">
        <v>1478</v>
      </c>
      <c r="C59" s="69">
        <v>0</v>
      </c>
      <c r="F59" s="181"/>
      <c r="G59" s="13"/>
      <c r="H59" s="68" t="s">
        <v>1478</v>
      </c>
      <c r="I59" s="13"/>
      <c r="J59" s="61"/>
      <c r="K59" s="61"/>
      <c r="L59" s="62"/>
      <c r="M59" s="68" t="s">
        <v>126</v>
      </c>
      <c r="N59" s="66">
        <v>3</v>
      </c>
      <c r="S59" s="13"/>
      <c r="T59" s="68" t="s">
        <v>1478</v>
      </c>
      <c r="U59" s="66">
        <v>1</v>
      </c>
      <c r="W59"/>
      <c r="X59"/>
      <c r="AC59" s="13"/>
      <c r="AD59" s="68" t="s">
        <v>1493</v>
      </c>
      <c r="AE59" s="66"/>
    </row>
    <row r="60" spans="1:31">
      <c r="A60" s="13"/>
      <c r="B60" s="68" t="s">
        <v>1808</v>
      </c>
      <c r="C60" s="69">
        <v>2000</v>
      </c>
      <c r="F60" s="181"/>
      <c r="G60" s="13"/>
      <c r="H60" s="68" t="s">
        <v>1808</v>
      </c>
      <c r="I60" s="13"/>
      <c r="J60" s="61"/>
      <c r="K60" s="61"/>
      <c r="L60" s="62"/>
      <c r="M60" s="68" t="s">
        <v>1605</v>
      </c>
      <c r="N60" s="66">
        <v>7</v>
      </c>
      <c r="S60" s="13"/>
      <c r="T60" s="68" t="s">
        <v>1808</v>
      </c>
      <c r="U60" s="66">
        <v>1</v>
      </c>
      <c r="W60"/>
      <c r="X60"/>
      <c r="AC60" s="13"/>
      <c r="AD60" s="68" t="s">
        <v>1478</v>
      </c>
      <c r="AE60" s="66"/>
    </row>
    <row r="61" spans="1:31">
      <c r="A61" s="13"/>
      <c r="B61" s="68" t="s">
        <v>1497</v>
      </c>
      <c r="C61" s="69">
        <v>10000</v>
      </c>
      <c r="F61" s="181"/>
      <c r="G61" s="13"/>
      <c r="H61" s="68" t="s">
        <v>1497</v>
      </c>
      <c r="I61" s="13"/>
      <c r="J61" s="61"/>
      <c r="K61" s="61"/>
      <c r="L61" s="62"/>
      <c r="M61" s="68" t="s">
        <v>1753</v>
      </c>
      <c r="N61" s="66">
        <v>1</v>
      </c>
      <c r="S61" s="13"/>
      <c r="T61" s="68" t="s">
        <v>1497</v>
      </c>
      <c r="U61" s="66">
        <v>1</v>
      </c>
      <c r="W61"/>
      <c r="X61"/>
      <c r="AC61" s="13"/>
      <c r="AD61" s="68" t="s">
        <v>1808</v>
      </c>
      <c r="AE61" s="66"/>
    </row>
    <row r="62" spans="1:31">
      <c r="A62" s="13"/>
      <c r="B62" s="68" t="s">
        <v>1402</v>
      </c>
      <c r="C62" s="69">
        <v>350424.24</v>
      </c>
      <c r="F62" s="181"/>
      <c r="G62" s="13"/>
      <c r="H62" s="68" t="s">
        <v>1402</v>
      </c>
      <c r="I62" s="13"/>
      <c r="J62" s="61"/>
      <c r="K62" s="61"/>
      <c r="L62" s="62"/>
      <c r="M62" s="68" t="s">
        <v>505</v>
      </c>
      <c r="N62" s="66">
        <v>1</v>
      </c>
      <c r="S62" s="13"/>
      <c r="T62" s="68" t="s">
        <v>1402</v>
      </c>
      <c r="U62" s="66">
        <v>1</v>
      </c>
      <c r="W62"/>
      <c r="X62"/>
      <c r="AC62" s="13"/>
      <c r="AD62" s="68" t="s">
        <v>1497</v>
      </c>
      <c r="AE62" s="66"/>
    </row>
    <row r="63" spans="1:31">
      <c r="A63" s="13"/>
      <c r="B63" s="68" t="s">
        <v>1481</v>
      </c>
      <c r="C63" s="69">
        <v>0</v>
      </c>
      <c r="F63" s="181"/>
      <c r="G63" s="13"/>
      <c r="H63" s="68" t="s">
        <v>1481</v>
      </c>
      <c r="I63" s="13"/>
      <c r="J63" s="61"/>
      <c r="K63" s="61"/>
      <c r="L63" s="62"/>
      <c r="M63" s="68" t="s">
        <v>594</v>
      </c>
      <c r="N63" s="66">
        <v>2</v>
      </c>
      <c r="S63" s="13"/>
      <c r="T63" s="68" t="s">
        <v>1481</v>
      </c>
      <c r="U63" s="66">
        <v>1</v>
      </c>
      <c r="W63"/>
      <c r="X63"/>
      <c r="AC63" s="13"/>
      <c r="AD63" s="68" t="s">
        <v>1402</v>
      </c>
      <c r="AE63" s="66"/>
    </row>
    <row r="64" spans="1:31">
      <c r="A64" s="13"/>
      <c r="B64" s="68" t="s">
        <v>1482</v>
      </c>
      <c r="C64" s="69">
        <v>3515479.37</v>
      </c>
      <c r="F64" s="181"/>
      <c r="G64" s="13"/>
      <c r="H64" s="68" t="s">
        <v>1482</v>
      </c>
      <c r="I64" s="13"/>
      <c r="J64" s="61"/>
      <c r="K64" s="61"/>
      <c r="L64" s="62"/>
      <c r="M64" s="68" t="s">
        <v>1544</v>
      </c>
      <c r="N64" s="66">
        <v>1</v>
      </c>
      <c r="S64" s="13"/>
      <c r="T64" s="68" t="s">
        <v>1482</v>
      </c>
      <c r="U64" s="66">
        <v>1</v>
      </c>
      <c r="W64"/>
      <c r="X64"/>
      <c r="AC64" s="13"/>
      <c r="AD64" s="68" t="s">
        <v>1481</v>
      </c>
      <c r="AE64" s="66"/>
    </row>
    <row r="65" spans="1:31">
      <c r="A65" s="13"/>
      <c r="B65" s="68" t="s">
        <v>1489</v>
      </c>
      <c r="C65" s="69">
        <v>500</v>
      </c>
      <c r="F65" s="181"/>
      <c r="G65" s="13"/>
      <c r="H65" s="68" t="s">
        <v>1489</v>
      </c>
      <c r="I65" s="13"/>
      <c r="J65" s="61"/>
      <c r="K65" s="61"/>
      <c r="L65" s="62"/>
      <c r="M65" s="68" t="s">
        <v>1657</v>
      </c>
      <c r="N65" s="66">
        <v>1</v>
      </c>
      <c r="S65" s="13"/>
      <c r="T65" s="68" t="s">
        <v>1489</v>
      </c>
      <c r="U65" s="66">
        <v>1</v>
      </c>
      <c r="W65" s="70" t="s">
        <v>1758</v>
      </c>
      <c r="X65" s="70"/>
      <c r="AC65" s="13"/>
      <c r="AD65" s="68" t="s">
        <v>1482</v>
      </c>
      <c r="AE65" s="66"/>
    </row>
    <row r="66" spans="1:31">
      <c r="A66" s="13"/>
      <c r="B66" s="68" t="s">
        <v>1479</v>
      </c>
      <c r="C66" s="69">
        <v>0</v>
      </c>
      <c r="F66" s="181"/>
      <c r="G66" s="13"/>
      <c r="H66" s="68" t="s">
        <v>1479</v>
      </c>
      <c r="I66" s="13"/>
      <c r="J66" s="61"/>
      <c r="K66" s="61"/>
      <c r="L66" s="62"/>
      <c r="M66" s="68" t="s">
        <v>1564</v>
      </c>
      <c r="N66" s="66">
        <v>3</v>
      </c>
      <c r="S66" s="13"/>
      <c r="T66" s="68" t="s">
        <v>1479</v>
      </c>
      <c r="U66" s="66">
        <v>1</v>
      </c>
      <c r="W66" s="70">
        <f>COUNT(U30:U66)</f>
        <v>37</v>
      </c>
      <c r="X66" s="70"/>
      <c r="AC66" s="13"/>
      <c r="AD66" s="68" t="s">
        <v>1489</v>
      </c>
      <c r="AE66" s="66"/>
    </row>
    <row r="67" spans="1:31">
      <c r="A67" s="5">
        <v>2003</v>
      </c>
      <c r="B67" s="5" t="s">
        <v>1517</v>
      </c>
      <c r="C67" s="67">
        <v>15000</v>
      </c>
      <c r="F67" s="181"/>
      <c r="G67" s="5">
        <v>2003</v>
      </c>
      <c r="H67" s="5" t="s">
        <v>1517</v>
      </c>
      <c r="I67" s="13"/>
      <c r="J67" s="61"/>
      <c r="K67" s="61"/>
      <c r="L67" s="62"/>
      <c r="M67" s="68" t="s">
        <v>1651</v>
      </c>
      <c r="N67" s="66">
        <v>4</v>
      </c>
      <c r="S67" s="5">
        <v>2003</v>
      </c>
      <c r="T67" s="5" t="s">
        <v>1517</v>
      </c>
      <c r="U67" s="15">
        <v>1</v>
      </c>
      <c r="W67"/>
      <c r="X67"/>
      <c r="AC67" s="13"/>
      <c r="AD67" s="68" t="s">
        <v>1479</v>
      </c>
      <c r="AE67" s="66"/>
    </row>
    <row r="68" spans="1:31">
      <c r="A68" s="13"/>
      <c r="B68" s="68" t="s">
        <v>1509</v>
      </c>
      <c r="C68" s="69">
        <v>237898.78</v>
      </c>
      <c r="F68" s="181"/>
      <c r="G68" s="13"/>
      <c r="H68" s="68" t="s">
        <v>1509</v>
      </c>
      <c r="I68" s="13"/>
      <c r="J68" s="61"/>
      <c r="K68" s="61"/>
      <c r="L68" s="62"/>
      <c r="M68" s="68" t="s">
        <v>2010</v>
      </c>
      <c r="N68" s="66">
        <v>1</v>
      </c>
      <c r="S68" s="13"/>
      <c r="T68" s="68" t="s">
        <v>1509</v>
      </c>
      <c r="U68" s="66">
        <v>1</v>
      </c>
      <c r="W68"/>
      <c r="X68"/>
      <c r="AC68" s="5" t="s">
        <v>535</v>
      </c>
      <c r="AD68" s="12"/>
      <c r="AE68" s="15"/>
    </row>
    <row r="69" spans="1:31">
      <c r="A69" s="13"/>
      <c r="B69" s="68" t="s">
        <v>1505</v>
      </c>
      <c r="C69" s="69">
        <v>25000</v>
      </c>
      <c r="F69" s="181"/>
      <c r="G69" s="13"/>
      <c r="H69" s="68" t="s">
        <v>1505</v>
      </c>
      <c r="I69" s="13"/>
      <c r="J69" s="61"/>
      <c r="K69" s="61"/>
      <c r="L69" s="62"/>
      <c r="M69" s="68" t="s">
        <v>1876</v>
      </c>
      <c r="N69" s="66">
        <v>17</v>
      </c>
      <c r="S69" s="13"/>
      <c r="T69" s="68" t="s">
        <v>1505</v>
      </c>
      <c r="U69" s="66">
        <v>1</v>
      </c>
      <c r="W69"/>
      <c r="X69"/>
      <c r="AC69" s="5">
        <v>2003</v>
      </c>
      <c r="AD69" s="5" t="s">
        <v>1517</v>
      </c>
      <c r="AE69" s="15"/>
    </row>
    <row r="70" spans="1:31">
      <c r="A70" s="13"/>
      <c r="B70" s="68" t="s">
        <v>1500</v>
      </c>
      <c r="C70" s="69">
        <v>5000</v>
      </c>
      <c r="F70" s="181"/>
      <c r="G70" s="13"/>
      <c r="H70" s="68" t="s">
        <v>1500</v>
      </c>
      <c r="I70" s="13"/>
      <c r="J70" s="61"/>
      <c r="K70" s="61"/>
      <c r="L70" s="62"/>
      <c r="M70" s="68" t="s">
        <v>1071</v>
      </c>
      <c r="N70" s="66">
        <v>1</v>
      </c>
      <c r="S70" s="13"/>
      <c r="T70" s="68" t="s">
        <v>1500</v>
      </c>
      <c r="U70" s="66">
        <v>1</v>
      </c>
      <c r="W70"/>
      <c r="X70"/>
      <c r="AC70" s="13"/>
      <c r="AD70" s="68" t="s">
        <v>1509</v>
      </c>
      <c r="AE70" s="66"/>
    </row>
    <row r="71" spans="1:31">
      <c r="A71" s="13"/>
      <c r="B71" s="68" t="s">
        <v>1070</v>
      </c>
      <c r="C71" s="69">
        <v>50000</v>
      </c>
      <c r="F71" s="181"/>
      <c r="G71" s="13"/>
      <c r="H71" s="68" t="s">
        <v>1070</v>
      </c>
      <c r="I71" s="13"/>
      <c r="J71" s="61"/>
      <c r="K71" s="61"/>
      <c r="L71" s="62"/>
      <c r="M71" s="68" t="s">
        <v>1563</v>
      </c>
      <c r="N71" s="66">
        <v>3</v>
      </c>
      <c r="S71" s="13"/>
      <c r="T71" s="68" t="s">
        <v>1070</v>
      </c>
      <c r="U71" s="66">
        <v>1</v>
      </c>
      <c r="W71"/>
      <c r="X71"/>
      <c r="AC71" s="13"/>
      <c r="AD71" s="68" t="s">
        <v>1505</v>
      </c>
      <c r="AE71" s="66"/>
    </row>
    <row r="72" spans="1:31">
      <c r="A72" s="13"/>
      <c r="B72" s="68" t="s">
        <v>1518</v>
      </c>
      <c r="C72" s="69">
        <v>403142</v>
      </c>
      <c r="F72" s="181"/>
      <c r="G72" s="13"/>
      <c r="H72" s="68" t="s">
        <v>1518</v>
      </c>
      <c r="I72" s="13"/>
      <c r="J72" s="61"/>
      <c r="K72" s="61"/>
      <c r="L72" s="62"/>
      <c r="M72" s="68" t="s">
        <v>1394</v>
      </c>
      <c r="N72" s="66">
        <v>1</v>
      </c>
      <c r="S72" s="13"/>
      <c r="T72" s="68" t="s">
        <v>1518</v>
      </c>
      <c r="U72" s="66">
        <v>2</v>
      </c>
      <c r="W72"/>
      <c r="X72"/>
      <c r="AC72" s="13"/>
      <c r="AD72" s="68" t="s">
        <v>1500</v>
      </c>
      <c r="AE72" s="66"/>
    </row>
    <row r="73" spans="1:31">
      <c r="A73" s="13"/>
      <c r="B73" s="68" t="s">
        <v>532</v>
      </c>
      <c r="C73" s="69">
        <v>1000</v>
      </c>
      <c r="F73" s="181"/>
      <c r="G73" s="13"/>
      <c r="H73" s="68" t="s">
        <v>532</v>
      </c>
      <c r="I73" s="13"/>
      <c r="J73" s="61"/>
      <c r="K73" s="61"/>
      <c r="L73" s="62"/>
      <c r="M73" s="68" t="s">
        <v>85</v>
      </c>
      <c r="N73" s="66">
        <v>1</v>
      </c>
      <c r="S73" s="13"/>
      <c r="T73" s="68" t="s">
        <v>532</v>
      </c>
      <c r="U73" s="66">
        <v>1</v>
      </c>
      <c r="W73"/>
      <c r="X73"/>
      <c r="AC73" s="13"/>
      <c r="AD73" s="68" t="s">
        <v>1070</v>
      </c>
      <c r="AE73" s="66"/>
    </row>
    <row r="74" spans="1:31">
      <c r="A74" s="13"/>
      <c r="B74" s="68" t="s">
        <v>1488</v>
      </c>
      <c r="C74" s="69">
        <v>10000</v>
      </c>
      <c r="F74" s="181"/>
      <c r="G74" s="13"/>
      <c r="H74" s="68" t="s">
        <v>1488</v>
      </c>
      <c r="I74" s="13"/>
      <c r="J74" s="61"/>
      <c r="K74" s="61"/>
      <c r="L74" s="62"/>
      <c r="M74" s="68" t="s">
        <v>35</v>
      </c>
      <c r="N74" s="66">
        <v>3</v>
      </c>
      <c r="S74" s="13"/>
      <c r="T74" s="68" t="s">
        <v>1488</v>
      </c>
      <c r="U74" s="66">
        <v>1</v>
      </c>
      <c r="W74"/>
      <c r="X74"/>
      <c r="AC74" s="13"/>
      <c r="AD74" s="68" t="s">
        <v>1518</v>
      </c>
      <c r="AE74" s="66"/>
    </row>
    <row r="75" spans="1:31">
      <c r="A75" s="13"/>
      <c r="B75" s="68" t="s">
        <v>1502</v>
      </c>
      <c r="C75" s="69">
        <v>90000</v>
      </c>
      <c r="F75" s="181"/>
      <c r="G75" s="13"/>
      <c r="H75" s="68" t="s">
        <v>1502</v>
      </c>
      <c r="I75" s="13"/>
      <c r="J75" s="61"/>
      <c r="K75" s="61"/>
      <c r="L75" s="62"/>
      <c r="M75" s="68" t="s">
        <v>1886</v>
      </c>
      <c r="N75" s="66">
        <v>6</v>
      </c>
      <c r="S75" s="13"/>
      <c r="T75" s="68" t="s">
        <v>1502</v>
      </c>
      <c r="U75" s="66">
        <v>1</v>
      </c>
      <c r="W75"/>
      <c r="X75"/>
      <c r="AC75" s="13"/>
      <c r="AD75" s="68" t="s">
        <v>532</v>
      </c>
      <c r="AE75" s="66"/>
    </row>
    <row r="76" spans="1:31">
      <c r="A76" s="13"/>
      <c r="B76" s="68" t="s">
        <v>1498</v>
      </c>
      <c r="C76" s="69">
        <v>10000</v>
      </c>
      <c r="F76" s="181"/>
      <c r="G76" s="13"/>
      <c r="H76" s="68" t="s">
        <v>1498</v>
      </c>
      <c r="I76" s="13"/>
      <c r="J76" s="61"/>
      <c r="K76" s="61"/>
      <c r="L76" s="62"/>
      <c r="M76" s="68" t="s">
        <v>2022</v>
      </c>
      <c r="N76" s="66">
        <v>1</v>
      </c>
      <c r="S76" s="13"/>
      <c r="T76" s="68" t="s">
        <v>1498</v>
      </c>
      <c r="U76" s="66">
        <v>1</v>
      </c>
      <c r="W76"/>
      <c r="X76"/>
      <c r="AC76" s="13"/>
      <c r="AD76" s="68" t="s">
        <v>1488</v>
      </c>
      <c r="AE76" s="66"/>
    </row>
    <row r="77" spans="1:31">
      <c r="A77" s="13"/>
      <c r="B77" s="68" t="s">
        <v>1501</v>
      </c>
      <c r="C77" s="69">
        <v>75000</v>
      </c>
      <c r="F77" s="181"/>
      <c r="G77" s="13"/>
      <c r="H77" s="68" t="s">
        <v>1501</v>
      </c>
      <c r="I77" s="13"/>
      <c r="J77" s="61"/>
      <c r="K77" s="61"/>
      <c r="L77" s="62"/>
      <c r="M77" s="68" t="s">
        <v>1598</v>
      </c>
      <c r="N77" s="66">
        <v>1</v>
      </c>
      <c r="S77" s="13"/>
      <c r="T77" s="68" t="s">
        <v>1501</v>
      </c>
      <c r="U77" s="66">
        <v>1</v>
      </c>
      <c r="W77"/>
      <c r="X77"/>
      <c r="AC77" s="13"/>
      <c r="AD77" s="68" t="s">
        <v>1502</v>
      </c>
      <c r="AE77" s="66"/>
    </row>
    <row r="78" spans="1:31">
      <c r="A78" s="13"/>
      <c r="B78" s="68" t="s">
        <v>1519</v>
      </c>
      <c r="C78" s="69">
        <v>60000</v>
      </c>
      <c r="F78" s="181"/>
      <c r="G78" s="13"/>
      <c r="H78" s="68" t="s">
        <v>1519</v>
      </c>
      <c r="I78" s="13"/>
      <c r="J78" s="61"/>
      <c r="K78" s="61"/>
      <c r="L78" s="62"/>
      <c r="M78" s="68" t="s">
        <v>1668</v>
      </c>
      <c r="N78" s="66">
        <v>6</v>
      </c>
      <c r="S78" s="13"/>
      <c r="T78" s="68" t="s">
        <v>1519</v>
      </c>
      <c r="U78" s="66">
        <v>1</v>
      </c>
      <c r="W78"/>
      <c r="X78"/>
      <c r="AC78" s="13"/>
      <c r="AD78" s="68" t="s">
        <v>1498</v>
      </c>
      <c r="AE78" s="66"/>
    </row>
    <row r="79" spans="1:31">
      <c r="A79" s="13"/>
      <c r="B79" s="68" t="s">
        <v>1504</v>
      </c>
      <c r="C79" s="69">
        <v>35000</v>
      </c>
      <c r="F79" s="181"/>
      <c r="G79" s="13"/>
      <c r="H79" s="68" t="s">
        <v>1504</v>
      </c>
      <c r="I79" s="13"/>
      <c r="J79" s="61"/>
      <c r="K79" s="61"/>
      <c r="L79" s="62"/>
      <c r="M79" s="68" t="s">
        <v>974</v>
      </c>
      <c r="N79" s="66">
        <v>2</v>
      </c>
      <c r="S79" s="13"/>
      <c r="T79" s="68" t="s">
        <v>1504</v>
      </c>
      <c r="U79" s="66">
        <v>1</v>
      </c>
      <c r="W79"/>
      <c r="X79"/>
      <c r="AC79" s="13"/>
      <c r="AD79" s="68" t="s">
        <v>1501</v>
      </c>
      <c r="AE79" s="66"/>
    </row>
    <row r="80" spans="1:31">
      <c r="A80" s="13"/>
      <c r="B80" s="68" t="s">
        <v>1830</v>
      </c>
      <c r="C80" s="69">
        <v>232252.87</v>
      </c>
      <c r="F80" s="181"/>
      <c r="G80" s="13"/>
      <c r="H80" s="68" t="s">
        <v>1830</v>
      </c>
      <c r="I80" s="13"/>
      <c r="J80" s="61"/>
      <c r="K80" s="61"/>
      <c r="L80" s="62"/>
      <c r="M80" s="68" t="s">
        <v>1604</v>
      </c>
      <c r="N80" s="66">
        <v>7</v>
      </c>
      <c r="S80" s="13"/>
      <c r="T80" s="68" t="s">
        <v>1830</v>
      </c>
      <c r="U80" s="66">
        <v>1</v>
      </c>
      <c r="W80"/>
      <c r="X80"/>
      <c r="AC80" s="13"/>
      <c r="AD80" s="68" t="s">
        <v>1519</v>
      </c>
      <c r="AE80" s="66"/>
    </row>
    <row r="81" spans="1:31">
      <c r="A81" s="13"/>
      <c r="B81" s="68" t="s">
        <v>1508</v>
      </c>
      <c r="C81" s="69">
        <v>46670</v>
      </c>
      <c r="F81" s="181"/>
      <c r="G81" s="13"/>
      <c r="H81" s="68" t="s">
        <v>1508</v>
      </c>
      <c r="I81" s="13"/>
      <c r="J81" s="61"/>
      <c r="K81" s="61"/>
      <c r="L81" s="62"/>
      <c r="M81" s="68" t="s">
        <v>898</v>
      </c>
      <c r="N81" s="66">
        <v>1</v>
      </c>
      <c r="S81" s="13"/>
      <c r="T81" s="68" t="s">
        <v>1508</v>
      </c>
      <c r="U81" s="66">
        <v>1</v>
      </c>
      <c r="W81"/>
      <c r="X81"/>
      <c r="AC81" s="13"/>
      <c r="AD81" s="68" t="s">
        <v>1504</v>
      </c>
      <c r="AE81" s="66"/>
    </row>
    <row r="82" spans="1:31">
      <c r="A82" s="13"/>
      <c r="B82" s="68" t="s">
        <v>96</v>
      </c>
      <c r="C82" s="69">
        <v>421694</v>
      </c>
      <c r="F82" s="181"/>
      <c r="G82" s="13"/>
      <c r="H82" s="68" t="s">
        <v>96</v>
      </c>
      <c r="I82" s="13"/>
      <c r="J82" s="61"/>
      <c r="K82" s="61"/>
      <c r="L82" s="62"/>
      <c r="M82" s="68" t="s">
        <v>398</v>
      </c>
      <c r="N82" s="66">
        <v>2</v>
      </c>
      <c r="S82" s="13"/>
      <c r="T82" s="68" t="s">
        <v>96</v>
      </c>
      <c r="U82" s="66">
        <v>1</v>
      </c>
      <c r="W82"/>
      <c r="X82"/>
      <c r="AC82" s="13"/>
      <c r="AD82" s="68" t="s">
        <v>1830</v>
      </c>
      <c r="AE82" s="66"/>
    </row>
    <row r="83" spans="1:31">
      <c r="A83" s="13"/>
      <c r="B83" s="68" t="s">
        <v>403</v>
      </c>
      <c r="C83" s="69">
        <v>10000</v>
      </c>
      <c r="F83" s="181"/>
      <c r="G83" s="13"/>
      <c r="H83" s="68" t="s">
        <v>403</v>
      </c>
      <c r="I83" s="13"/>
      <c r="J83" s="61"/>
      <c r="K83" s="61"/>
      <c r="L83" s="62"/>
      <c r="M83" s="68" t="s">
        <v>1655</v>
      </c>
      <c r="N83" s="66">
        <v>4</v>
      </c>
      <c r="S83" s="13"/>
      <c r="T83" s="68" t="s">
        <v>403</v>
      </c>
      <c r="U83" s="66">
        <v>1</v>
      </c>
      <c r="W83"/>
      <c r="X83"/>
      <c r="AC83" s="13"/>
      <c r="AD83" s="68" t="s">
        <v>1508</v>
      </c>
      <c r="AE83" s="66"/>
    </row>
    <row r="84" spans="1:31">
      <c r="A84" s="13"/>
      <c r="B84" s="68" t="s">
        <v>1452</v>
      </c>
      <c r="C84" s="69">
        <v>32812</v>
      </c>
      <c r="F84" s="181"/>
      <c r="G84" s="13"/>
      <c r="H84" s="68" t="s">
        <v>1452</v>
      </c>
      <c r="I84" s="13"/>
      <c r="J84" s="61"/>
      <c r="K84" s="61"/>
      <c r="L84" s="62"/>
      <c r="M84" s="68" t="s">
        <v>2026</v>
      </c>
      <c r="N84" s="66">
        <v>5</v>
      </c>
      <c r="S84" s="13"/>
      <c r="T84" s="68" t="s">
        <v>1452</v>
      </c>
      <c r="U84" s="66">
        <v>1</v>
      </c>
      <c r="W84"/>
      <c r="X84"/>
      <c r="AC84" s="13"/>
      <c r="AD84" s="68" t="s">
        <v>96</v>
      </c>
      <c r="AE84" s="66"/>
    </row>
    <row r="85" spans="1:31">
      <c r="A85" s="13"/>
      <c r="B85" s="68" t="s">
        <v>1512</v>
      </c>
      <c r="C85" s="69">
        <v>5000</v>
      </c>
      <c r="F85" s="181"/>
      <c r="G85" s="13"/>
      <c r="H85" s="68" t="s">
        <v>1512</v>
      </c>
      <c r="I85" s="13"/>
      <c r="J85" s="61"/>
      <c r="K85" s="61"/>
      <c r="L85" s="62"/>
      <c r="M85" s="68" t="s">
        <v>386</v>
      </c>
      <c r="N85" s="66">
        <v>2</v>
      </c>
      <c r="S85" s="13"/>
      <c r="T85" s="68" t="s">
        <v>1512</v>
      </c>
      <c r="U85" s="66">
        <v>1</v>
      </c>
      <c r="W85"/>
      <c r="X85"/>
      <c r="AC85" s="13"/>
      <c r="AD85" s="68" t="s">
        <v>403</v>
      </c>
      <c r="AE85" s="66"/>
    </row>
    <row r="86" spans="1:31">
      <c r="A86" s="13"/>
      <c r="B86" s="68" t="s">
        <v>1511</v>
      </c>
      <c r="C86" s="69">
        <v>25000</v>
      </c>
      <c r="F86" s="181"/>
      <c r="G86" s="13"/>
      <c r="H86" s="68" t="s">
        <v>1511</v>
      </c>
      <c r="I86" s="13"/>
      <c r="J86" s="61"/>
      <c r="K86" s="61"/>
      <c r="L86" s="62"/>
      <c r="M86" s="68" t="s">
        <v>1939</v>
      </c>
      <c r="N86" s="66">
        <v>3</v>
      </c>
      <c r="S86" s="13"/>
      <c r="T86" s="68" t="s">
        <v>1511</v>
      </c>
      <c r="U86" s="66">
        <v>1</v>
      </c>
      <c r="W86"/>
      <c r="X86"/>
      <c r="AC86" s="13"/>
      <c r="AD86" s="68" t="s">
        <v>1452</v>
      </c>
      <c r="AE86" s="66"/>
    </row>
    <row r="87" spans="1:31">
      <c r="A87" s="13"/>
      <c r="B87" s="68" t="s">
        <v>1387</v>
      </c>
      <c r="C87" s="69">
        <v>450000</v>
      </c>
      <c r="F87" s="181"/>
      <c r="G87" s="13"/>
      <c r="H87" s="68" t="s">
        <v>1387</v>
      </c>
      <c r="I87" s="13"/>
      <c r="J87" s="61"/>
      <c r="K87" s="61"/>
      <c r="L87" s="62"/>
      <c r="M87" s="68" t="s">
        <v>1927</v>
      </c>
      <c r="N87" s="66">
        <v>1</v>
      </c>
      <c r="S87" s="13"/>
      <c r="T87" s="68" t="s">
        <v>1387</v>
      </c>
      <c r="U87" s="66">
        <v>2</v>
      </c>
      <c r="W87"/>
      <c r="X87"/>
      <c r="AC87" s="13"/>
      <c r="AD87" s="68" t="s">
        <v>1512</v>
      </c>
      <c r="AE87" s="66"/>
    </row>
    <row r="88" spans="1:31">
      <c r="A88" s="13"/>
      <c r="B88" s="68" t="s">
        <v>1807</v>
      </c>
      <c r="C88" s="69">
        <v>60000</v>
      </c>
      <c r="F88" s="181"/>
      <c r="G88" s="13"/>
      <c r="H88" s="68" t="s">
        <v>1807</v>
      </c>
      <c r="I88" s="13"/>
      <c r="J88" s="61"/>
      <c r="K88" s="61"/>
      <c r="L88" s="62"/>
      <c r="M88" s="68" t="s">
        <v>47</v>
      </c>
      <c r="N88" s="66">
        <v>1</v>
      </c>
      <c r="S88" s="13"/>
      <c r="T88" s="68" t="s">
        <v>1807</v>
      </c>
      <c r="U88" s="66">
        <v>2</v>
      </c>
      <c r="W88"/>
      <c r="X88"/>
      <c r="AC88" s="13"/>
      <c r="AD88" s="68" t="s">
        <v>1511</v>
      </c>
      <c r="AE88" s="66"/>
    </row>
    <row r="89" spans="1:31">
      <c r="A89" s="13"/>
      <c r="B89" s="68" t="s">
        <v>1808</v>
      </c>
      <c r="C89" s="69">
        <v>1345</v>
      </c>
      <c r="F89" s="181"/>
      <c r="G89" s="13"/>
      <c r="H89" s="68" t="s">
        <v>1808</v>
      </c>
      <c r="I89" s="13"/>
      <c r="J89" s="61"/>
      <c r="K89" s="61"/>
      <c r="L89" s="62"/>
      <c r="M89" s="68" t="s">
        <v>1902</v>
      </c>
      <c r="N89" s="66">
        <v>1</v>
      </c>
      <c r="S89" s="13"/>
      <c r="T89" s="68" t="s">
        <v>1808</v>
      </c>
      <c r="U89" s="66">
        <v>1</v>
      </c>
      <c r="W89"/>
      <c r="X89"/>
      <c r="AC89" s="13"/>
      <c r="AD89" s="68" t="s">
        <v>1387</v>
      </c>
      <c r="AE89" s="66"/>
    </row>
    <row r="90" spans="1:31">
      <c r="A90" s="13"/>
      <c r="B90" s="68" t="s">
        <v>1506</v>
      </c>
      <c r="C90" s="69">
        <v>0</v>
      </c>
      <c r="F90" s="181"/>
      <c r="G90" s="13"/>
      <c r="H90" s="68" t="s">
        <v>1506</v>
      </c>
      <c r="I90" s="13"/>
      <c r="J90" s="61"/>
      <c r="K90" s="61"/>
      <c r="L90" s="62"/>
      <c r="M90" s="68" t="s">
        <v>391</v>
      </c>
      <c r="N90" s="66">
        <v>1</v>
      </c>
      <c r="S90" s="13"/>
      <c r="T90" s="68" t="s">
        <v>1506</v>
      </c>
      <c r="U90" s="66">
        <v>1</v>
      </c>
      <c r="W90"/>
      <c r="X90"/>
      <c r="AC90" s="13"/>
      <c r="AD90" s="68" t="s">
        <v>1807</v>
      </c>
      <c r="AE90" s="66"/>
    </row>
    <row r="91" spans="1:31">
      <c r="A91" s="13"/>
      <c r="B91" s="68" t="s">
        <v>1499</v>
      </c>
      <c r="C91" s="69">
        <v>5000</v>
      </c>
      <c r="F91" s="181"/>
      <c r="G91" s="13"/>
      <c r="H91" s="68" t="s">
        <v>1499</v>
      </c>
      <c r="I91" s="13"/>
      <c r="J91" s="61"/>
      <c r="K91" s="61"/>
      <c r="L91" s="62"/>
      <c r="M91" s="68" t="s">
        <v>1897</v>
      </c>
      <c r="N91" s="66">
        <v>2</v>
      </c>
      <c r="S91" s="13"/>
      <c r="T91" s="68" t="s">
        <v>1499</v>
      </c>
      <c r="U91" s="66">
        <v>1</v>
      </c>
      <c r="W91"/>
      <c r="X91"/>
      <c r="AC91" s="13"/>
      <c r="AD91" s="68" t="s">
        <v>1808</v>
      </c>
      <c r="AE91" s="66"/>
    </row>
    <row r="92" spans="1:31">
      <c r="A92" s="13"/>
      <c r="B92" s="68" t="s">
        <v>1809</v>
      </c>
      <c r="C92" s="69">
        <v>115139.84</v>
      </c>
      <c r="F92" s="181"/>
      <c r="G92" s="13"/>
      <c r="H92" s="68" t="s">
        <v>1809</v>
      </c>
      <c r="I92" s="13"/>
      <c r="J92" s="61"/>
      <c r="K92" s="61"/>
      <c r="L92" s="62"/>
      <c r="M92" s="68" t="s">
        <v>420</v>
      </c>
      <c r="N92" s="66">
        <v>5</v>
      </c>
      <c r="S92" s="13"/>
      <c r="T92" s="68" t="s">
        <v>1809</v>
      </c>
      <c r="U92" s="66">
        <v>1</v>
      </c>
      <c r="W92"/>
      <c r="X92"/>
      <c r="AC92" s="13"/>
      <c r="AD92" s="68" t="s">
        <v>1506</v>
      </c>
      <c r="AE92" s="66"/>
    </row>
    <row r="93" spans="1:31">
      <c r="A93" s="13"/>
      <c r="B93" s="68" t="s">
        <v>1465</v>
      </c>
      <c r="C93" s="69">
        <v>50000</v>
      </c>
      <c r="F93" s="181"/>
      <c r="G93" s="13"/>
      <c r="H93" s="68" t="s">
        <v>1465</v>
      </c>
      <c r="I93" s="13"/>
      <c r="J93" s="61"/>
      <c r="K93" s="61"/>
      <c r="L93" s="62"/>
      <c r="M93" s="68" t="s">
        <v>1559</v>
      </c>
      <c r="N93" s="66">
        <v>3</v>
      </c>
      <c r="S93" s="13"/>
      <c r="T93" s="68" t="s">
        <v>1465</v>
      </c>
      <c r="U93" s="66">
        <v>1</v>
      </c>
      <c r="W93"/>
      <c r="X93"/>
      <c r="AC93" s="13"/>
      <c r="AD93" s="68" t="s">
        <v>1499</v>
      </c>
      <c r="AE93" s="66"/>
    </row>
    <row r="94" spans="1:31">
      <c r="A94" s="13"/>
      <c r="B94" s="68" t="s">
        <v>1503</v>
      </c>
      <c r="C94" s="69">
        <v>10000</v>
      </c>
      <c r="F94" s="181"/>
      <c r="G94" s="13"/>
      <c r="H94" s="68" t="s">
        <v>1503</v>
      </c>
      <c r="I94" s="13"/>
      <c r="J94" s="61"/>
      <c r="K94" s="61"/>
      <c r="L94" s="62"/>
      <c r="M94" s="68" t="s">
        <v>401</v>
      </c>
      <c r="N94" s="66">
        <v>3</v>
      </c>
      <c r="S94" s="13"/>
      <c r="T94" s="68" t="s">
        <v>1503</v>
      </c>
      <c r="U94" s="66">
        <v>1</v>
      </c>
      <c r="W94"/>
      <c r="X94"/>
      <c r="AC94" s="13"/>
      <c r="AD94" s="68" t="s">
        <v>1809</v>
      </c>
      <c r="AE94" s="66"/>
    </row>
    <row r="95" spans="1:31">
      <c r="A95" s="13"/>
      <c r="B95" s="68" t="s">
        <v>1513</v>
      </c>
      <c r="C95" s="69">
        <v>7242.1372799999999</v>
      </c>
      <c r="F95" s="181"/>
      <c r="G95" s="13"/>
      <c r="H95" s="68" t="s">
        <v>1513</v>
      </c>
      <c r="I95" s="13"/>
      <c r="J95" s="61"/>
      <c r="K95" s="61"/>
      <c r="L95" s="62"/>
      <c r="M95" s="68" t="s">
        <v>422</v>
      </c>
      <c r="N95" s="66">
        <v>1</v>
      </c>
      <c r="S95" s="13"/>
      <c r="T95" s="68" t="s">
        <v>1513</v>
      </c>
      <c r="U95" s="66">
        <v>1</v>
      </c>
      <c r="W95"/>
      <c r="X95"/>
      <c r="AC95" s="13"/>
      <c r="AD95" s="68" t="s">
        <v>1465</v>
      </c>
      <c r="AE95" s="66"/>
    </row>
    <row r="96" spans="1:31">
      <c r="A96" s="13"/>
      <c r="B96" s="68" t="s">
        <v>1507</v>
      </c>
      <c r="C96" s="69">
        <v>130000</v>
      </c>
      <c r="F96" s="181"/>
      <c r="G96" s="13"/>
      <c r="H96" s="68" t="s">
        <v>1507</v>
      </c>
      <c r="I96" s="13"/>
      <c r="J96" s="61"/>
      <c r="K96" s="61"/>
      <c r="L96" s="62"/>
      <c r="M96" s="68" t="s">
        <v>1637</v>
      </c>
      <c r="N96" s="66">
        <v>5</v>
      </c>
      <c r="S96" s="13"/>
      <c r="T96" s="68" t="s">
        <v>1507</v>
      </c>
      <c r="U96" s="66">
        <v>1</v>
      </c>
      <c r="W96"/>
      <c r="X96"/>
      <c r="AC96" s="13"/>
      <c r="AD96" s="68" t="s">
        <v>1503</v>
      </c>
      <c r="AE96" s="66"/>
    </row>
    <row r="97" spans="1:31">
      <c r="A97" s="13"/>
      <c r="B97" s="68" t="s">
        <v>1514</v>
      </c>
      <c r="C97" s="69">
        <v>10000</v>
      </c>
      <c r="F97" s="181"/>
      <c r="G97" s="13"/>
      <c r="H97" s="68" t="s">
        <v>1514</v>
      </c>
      <c r="I97" s="13"/>
      <c r="J97" s="61"/>
      <c r="K97" s="61"/>
      <c r="L97" s="62"/>
      <c r="M97" s="68" t="s">
        <v>1552</v>
      </c>
      <c r="N97" s="66">
        <v>1</v>
      </c>
      <c r="S97" s="13"/>
      <c r="T97" s="68" t="s">
        <v>1514</v>
      </c>
      <c r="U97" s="66">
        <v>1</v>
      </c>
      <c r="W97"/>
      <c r="X97"/>
      <c r="AC97" s="13"/>
      <c r="AD97" s="68" t="s">
        <v>1513</v>
      </c>
      <c r="AE97" s="66"/>
    </row>
    <row r="98" spans="1:31">
      <c r="A98" s="13"/>
      <c r="B98" s="68" t="s">
        <v>1520</v>
      </c>
      <c r="C98" s="69">
        <v>21400</v>
      </c>
      <c r="F98" s="181"/>
      <c r="G98" s="13"/>
      <c r="H98" s="68" t="s">
        <v>1520</v>
      </c>
      <c r="I98" s="13"/>
      <c r="J98" s="61"/>
      <c r="K98" s="61"/>
      <c r="L98" s="62"/>
      <c r="M98" s="68" t="s">
        <v>1557</v>
      </c>
      <c r="N98" s="66">
        <v>1</v>
      </c>
      <c r="S98" s="13"/>
      <c r="T98" s="68" t="s">
        <v>1520</v>
      </c>
      <c r="U98" s="66">
        <v>1</v>
      </c>
      <c r="W98"/>
      <c r="X98"/>
      <c r="AC98" s="13"/>
      <c r="AD98" s="68" t="s">
        <v>1507</v>
      </c>
      <c r="AE98" s="66"/>
    </row>
    <row r="99" spans="1:31">
      <c r="A99" s="13"/>
      <c r="B99" s="68" t="s">
        <v>1515</v>
      </c>
      <c r="C99" s="69">
        <v>15000</v>
      </c>
      <c r="F99" s="181"/>
      <c r="G99" s="13"/>
      <c r="H99" s="68" t="s">
        <v>1515</v>
      </c>
      <c r="I99" s="13"/>
      <c r="J99" s="61"/>
      <c r="K99" s="61"/>
      <c r="L99" s="62"/>
      <c r="M99" s="68" t="s">
        <v>1992</v>
      </c>
      <c r="N99" s="66">
        <v>6</v>
      </c>
      <c r="S99" s="13"/>
      <c r="T99" s="68" t="s">
        <v>1515</v>
      </c>
      <c r="U99" s="66">
        <v>1</v>
      </c>
      <c r="W99"/>
      <c r="X99"/>
      <c r="AC99" s="13"/>
      <c r="AD99" s="68" t="s">
        <v>1514</v>
      </c>
      <c r="AE99" s="66"/>
    </row>
    <row r="100" spans="1:31">
      <c r="A100" s="13"/>
      <c r="B100" s="68" t="s">
        <v>1516</v>
      </c>
      <c r="C100" s="69">
        <v>17812</v>
      </c>
      <c r="F100" s="181"/>
      <c r="G100" s="13"/>
      <c r="H100" s="68" t="s">
        <v>1516</v>
      </c>
      <c r="I100" s="13"/>
      <c r="J100" s="61"/>
      <c r="K100" s="61"/>
      <c r="L100" s="62"/>
      <c r="M100" s="68" t="s">
        <v>196</v>
      </c>
      <c r="N100" s="66">
        <v>1</v>
      </c>
      <c r="S100" s="13"/>
      <c r="T100" s="68" t="s">
        <v>1516</v>
      </c>
      <c r="U100" s="66">
        <v>1</v>
      </c>
      <c r="W100"/>
      <c r="X100"/>
      <c r="AC100" s="13"/>
      <c r="AD100" s="68" t="s">
        <v>1520</v>
      </c>
      <c r="AE100" s="66"/>
    </row>
    <row r="101" spans="1:31">
      <c r="A101" s="13"/>
      <c r="B101" s="68" t="s">
        <v>1402</v>
      </c>
      <c r="C101" s="69">
        <v>331380</v>
      </c>
      <c r="F101" s="181"/>
      <c r="G101" s="13"/>
      <c r="H101" s="68" t="s">
        <v>1402</v>
      </c>
      <c r="I101" s="13"/>
      <c r="J101" s="61"/>
      <c r="K101" s="61"/>
      <c r="L101" s="62"/>
      <c r="M101" s="68" t="s">
        <v>1608</v>
      </c>
      <c r="N101" s="66">
        <v>3</v>
      </c>
      <c r="S101" s="13"/>
      <c r="T101" s="68" t="s">
        <v>1402</v>
      </c>
      <c r="U101" s="66">
        <v>1</v>
      </c>
      <c r="W101"/>
      <c r="X101"/>
      <c r="AC101" s="13"/>
      <c r="AD101" s="68" t="s">
        <v>1515</v>
      </c>
      <c r="AE101" s="66"/>
    </row>
    <row r="102" spans="1:31">
      <c r="A102" s="13"/>
      <c r="B102" s="68" t="s">
        <v>1444</v>
      </c>
      <c r="C102" s="69">
        <v>50000</v>
      </c>
      <c r="F102" s="181"/>
      <c r="G102" s="13"/>
      <c r="H102" s="68" t="s">
        <v>1444</v>
      </c>
      <c r="I102" s="13"/>
      <c r="J102" s="61"/>
      <c r="K102" s="61"/>
      <c r="L102" s="62"/>
      <c r="M102" s="68" t="s">
        <v>1934</v>
      </c>
      <c r="N102" s="66">
        <v>3</v>
      </c>
      <c r="S102" s="13"/>
      <c r="T102" s="68" t="s">
        <v>1444</v>
      </c>
      <c r="U102" s="66">
        <v>1</v>
      </c>
      <c r="W102" s="70" t="s">
        <v>1758</v>
      </c>
      <c r="X102" s="70"/>
      <c r="AC102" s="13"/>
      <c r="AD102" s="68" t="s">
        <v>1516</v>
      </c>
      <c r="AE102" s="66"/>
    </row>
    <row r="103" spans="1:31">
      <c r="A103" s="13"/>
      <c r="B103" s="68" t="s">
        <v>1510</v>
      </c>
      <c r="C103" s="69">
        <v>100000</v>
      </c>
      <c r="F103" s="181"/>
      <c r="G103" s="13"/>
      <c r="H103" s="68" t="s">
        <v>1510</v>
      </c>
      <c r="I103" s="13"/>
      <c r="J103" s="61"/>
      <c r="K103" s="61"/>
      <c r="L103" s="62"/>
      <c r="M103" s="68" t="s">
        <v>355</v>
      </c>
      <c r="N103" s="66">
        <v>1</v>
      </c>
      <c r="S103" s="13"/>
      <c r="T103" s="68" t="s">
        <v>1510</v>
      </c>
      <c r="U103" s="66">
        <v>1</v>
      </c>
      <c r="W103" s="70">
        <f>COUNT(U67:U103)</f>
        <v>37</v>
      </c>
      <c r="X103" s="70"/>
      <c r="AC103" s="13"/>
      <c r="AD103" s="68" t="s">
        <v>1402</v>
      </c>
      <c r="AE103" s="66"/>
    </row>
    <row r="104" spans="1:31">
      <c r="A104" s="5">
        <v>2004</v>
      </c>
      <c r="B104" s="5" t="s">
        <v>1523</v>
      </c>
      <c r="C104" s="67">
        <v>65870</v>
      </c>
      <c r="F104" s="181"/>
      <c r="G104" s="5">
        <v>2004</v>
      </c>
      <c r="H104" s="5" t="s">
        <v>1523</v>
      </c>
      <c r="I104" s="13"/>
      <c r="J104" s="61"/>
      <c r="K104" s="61"/>
      <c r="L104" s="62"/>
      <c r="M104" s="68" t="s">
        <v>1379</v>
      </c>
      <c r="N104" s="66">
        <v>2</v>
      </c>
      <c r="S104" s="5">
        <v>2004</v>
      </c>
      <c r="T104" s="5" t="s">
        <v>1523</v>
      </c>
      <c r="U104" s="15">
        <v>1</v>
      </c>
      <c r="W104"/>
      <c r="X104"/>
      <c r="AC104" s="13"/>
      <c r="AD104" s="68" t="s">
        <v>1444</v>
      </c>
      <c r="AE104" s="66"/>
    </row>
    <row r="105" spans="1:31">
      <c r="A105" s="13"/>
      <c r="B105" s="68" t="s">
        <v>1521</v>
      </c>
      <c r="C105" s="69">
        <v>10000</v>
      </c>
      <c r="F105" s="181"/>
      <c r="G105" s="13"/>
      <c r="H105" s="68" t="s">
        <v>1521</v>
      </c>
      <c r="I105" s="13"/>
      <c r="J105" s="61"/>
      <c r="K105" s="61"/>
      <c r="L105" s="62"/>
      <c r="M105" s="68" t="s">
        <v>727</v>
      </c>
      <c r="N105" s="66">
        <v>2</v>
      </c>
      <c r="S105" s="13"/>
      <c r="T105" s="68" t="s">
        <v>1521</v>
      </c>
      <c r="U105" s="66">
        <v>1</v>
      </c>
      <c r="W105"/>
      <c r="X105"/>
      <c r="AC105" s="13"/>
      <c r="AD105" s="68" t="s">
        <v>1510</v>
      </c>
      <c r="AE105" s="66"/>
    </row>
    <row r="106" spans="1:31">
      <c r="A106" s="13"/>
      <c r="B106" s="68" t="s">
        <v>1522</v>
      </c>
      <c r="C106" s="69">
        <v>25000</v>
      </c>
      <c r="F106" s="181"/>
      <c r="G106" s="13"/>
      <c r="H106" s="68" t="s">
        <v>1522</v>
      </c>
      <c r="I106" s="13"/>
      <c r="J106" s="61"/>
      <c r="K106" s="61"/>
      <c r="L106" s="62"/>
      <c r="M106" s="68" t="s">
        <v>887</v>
      </c>
      <c r="N106" s="66">
        <v>1</v>
      </c>
      <c r="S106" s="13"/>
      <c r="T106" s="68" t="s">
        <v>1522</v>
      </c>
      <c r="U106" s="66">
        <v>1</v>
      </c>
      <c r="W106"/>
      <c r="X106"/>
      <c r="AC106" s="5" t="s">
        <v>536</v>
      </c>
      <c r="AD106" s="12"/>
      <c r="AE106" s="15"/>
    </row>
    <row r="107" spans="1:31">
      <c r="A107" s="13"/>
      <c r="B107" s="68" t="s">
        <v>1525</v>
      </c>
      <c r="C107" s="69">
        <v>380401.07244999998</v>
      </c>
      <c r="F107" s="181"/>
      <c r="G107" s="13"/>
      <c r="H107" s="68" t="s">
        <v>1525</v>
      </c>
      <c r="I107" s="13"/>
      <c r="J107" s="61"/>
      <c r="K107" s="61"/>
      <c r="L107" s="62"/>
      <c r="M107" s="68" t="s">
        <v>1883</v>
      </c>
      <c r="N107" s="66">
        <v>5</v>
      </c>
      <c r="S107" s="13"/>
      <c r="T107" s="68" t="s">
        <v>1525</v>
      </c>
      <c r="U107" s="66">
        <v>4</v>
      </c>
      <c r="W107"/>
      <c r="X107"/>
      <c r="AC107" s="5">
        <v>2004</v>
      </c>
      <c r="AD107" s="5" t="s">
        <v>1523</v>
      </c>
      <c r="AE107" s="15"/>
    </row>
    <row r="108" spans="1:31">
      <c r="A108" s="13"/>
      <c r="B108" s="68" t="s">
        <v>1810</v>
      </c>
      <c r="C108" s="69">
        <v>142000.33600000001</v>
      </c>
      <c r="F108" s="181"/>
      <c r="G108" s="13"/>
      <c r="H108" s="68" t="s">
        <v>1810</v>
      </c>
      <c r="I108" s="13"/>
      <c r="J108" s="61"/>
      <c r="K108" s="61"/>
      <c r="L108" s="62"/>
      <c r="M108" s="68" t="s">
        <v>1671</v>
      </c>
      <c r="N108" s="66">
        <v>1</v>
      </c>
      <c r="S108" s="13"/>
      <c r="T108" s="68" t="s">
        <v>1810</v>
      </c>
      <c r="U108" s="66">
        <v>2</v>
      </c>
      <c r="W108"/>
      <c r="X108"/>
      <c r="AC108" s="13"/>
      <c r="AD108" s="68" t="s">
        <v>1521</v>
      </c>
      <c r="AE108" s="66"/>
    </row>
    <row r="109" spans="1:31">
      <c r="A109" s="13"/>
      <c r="B109" s="68" t="s">
        <v>1526</v>
      </c>
      <c r="C109" s="69">
        <v>1255776.98</v>
      </c>
      <c r="F109" s="181"/>
      <c r="G109" s="13"/>
      <c r="H109" s="68" t="s">
        <v>1526</v>
      </c>
      <c r="I109" s="13"/>
      <c r="J109" s="61"/>
      <c r="K109" s="61"/>
      <c r="L109" s="62"/>
      <c r="M109" s="68" t="s">
        <v>1116</v>
      </c>
      <c r="N109" s="66">
        <v>2</v>
      </c>
      <c r="S109" s="13"/>
      <c r="T109" s="68" t="s">
        <v>1526</v>
      </c>
      <c r="U109" s="66">
        <v>3</v>
      </c>
      <c r="W109"/>
      <c r="X109"/>
      <c r="AC109" s="13"/>
      <c r="AD109" s="68" t="s">
        <v>1522</v>
      </c>
      <c r="AE109" s="66"/>
    </row>
    <row r="110" spans="1:31">
      <c r="A110" s="13"/>
      <c r="B110" s="68" t="s">
        <v>1530</v>
      </c>
      <c r="C110" s="69">
        <v>3000</v>
      </c>
      <c r="F110" s="181"/>
      <c r="G110" s="13"/>
      <c r="H110" s="68" t="s">
        <v>1530</v>
      </c>
      <c r="I110" s="13"/>
      <c r="J110" s="61"/>
      <c r="K110" s="61"/>
      <c r="L110" s="62"/>
      <c r="M110" s="68" t="s">
        <v>198</v>
      </c>
      <c r="N110" s="66">
        <v>1</v>
      </c>
      <c r="S110" s="13"/>
      <c r="T110" s="68" t="s">
        <v>1530</v>
      </c>
      <c r="U110" s="66">
        <v>1</v>
      </c>
      <c r="W110"/>
      <c r="X110"/>
      <c r="AC110" s="13"/>
      <c r="AD110" s="68" t="s">
        <v>1525</v>
      </c>
      <c r="AE110" s="66"/>
    </row>
    <row r="111" spans="1:31">
      <c r="A111" s="13"/>
      <c r="B111" s="68" t="s">
        <v>1524</v>
      </c>
      <c r="C111" s="69">
        <v>35027</v>
      </c>
      <c r="F111" s="181"/>
      <c r="G111" s="13"/>
      <c r="H111" s="68" t="s">
        <v>1524</v>
      </c>
      <c r="I111" s="13"/>
      <c r="J111" s="61"/>
      <c r="K111" s="61"/>
      <c r="L111" s="62"/>
      <c r="M111" s="68" t="s">
        <v>28</v>
      </c>
      <c r="N111" s="66">
        <v>1</v>
      </c>
      <c r="S111" s="13"/>
      <c r="T111" s="68" t="s">
        <v>1524</v>
      </c>
      <c r="U111" s="66">
        <v>1</v>
      </c>
      <c r="W111"/>
      <c r="X111"/>
      <c r="AC111" s="13"/>
      <c r="AD111" s="68" t="s">
        <v>1810</v>
      </c>
      <c r="AE111" s="66"/>
    </row>
    <row r="112" spans="1:31">
      <c r="A112" s="13"/>
      <c r="B112" s="68" t="s">
        <v>1529</v>
      </c>
      <c r="C112" s="69">
        <v>61220</v>
      </c>
      <c r="F112" s="181"/>
      <c r="G112" s="13"/>
      <c r="H112" s="68" t="s">
        <v>1529</v>
      </c>
      <c r="I112" s="13"/>
      <c r="J112" s="61"/>
      <c r="K112" s="61"/>
      <c r="L112" s="62"/>
      <c r="M112" s="68" t="s">
        <v>1672</v>
      </c>
      <c r="N112" s="66">
        <v>3</v>
      </c>
      <c r="S112" s="13"/>
      <c r="T112" s="68" t="s">
        <v>1529</v>
      </c>
      <c r="U112" s="66">
        <v>1</v>
      </c>
      <c r="W112"/>
      <c r="X112"/>
      <c r="AC112" s="13"/>
      <c r="AD112" s="68" t="s">
        <v>1526</v>
      </c>
      <c r="AE112" s="66"/>
    </row>
    <row r="113" spans="1:31">
      <c r="A113" s="13"/>
      <c r="B113" s="68" t="s">
        <v>97</v>
      </c>
      <c r="C113" s="69">
        <v>10500</v>
      </c>
      <c r="F113" s="181"/>
      <c r="G113" s="13"/>
      <c r="H113" s="68" t="s">
        <v>97</v>
      </c>
      <c r="I113" s="13"/>
      <c r="J113" s="61"/>
      <c r="K113" s="61"/>
      <c r="L113" s="62"/>
      <c r="M113" s="68" t="s">
        <v>1669</v>
      </c>
      <c r="N113" s="66">
        <v>2</v>
      </c>
      <c r="S113" s="13"/>
      <c r="T113" s="68" t="s">
        <v>97</v>
      </c>
      <c r="U113" s="66">
        <v>1</v>
      </c>
      <c r="W113"/>
      <c r="X113"/>
      <c r="AC113" s="13"/>
      <c r="AD113" s="68" t="s">
        <v>1530</v>
      </c>
      <c r="AE113" s="66"/>
    </row>
    <row r="114" spans="1:31">
      <c r="A114" s="13"/>
      <c r="B114" s="68" t="s">
        <v>1528</v>
      </c>
      <c r="C114" s="69">
        <v>110000</v>
      </c>
      <c r="F114" s="181"/>
      <c r="G114" s="13"/>
      <c r="H114" s="68" t="s">
        <v>1528</v>
      </c>
      <c r="I114" s="13"/>
      <c r="J114" s="61"/>
      <c r="K114" s="61"/>
      <c r="L114" s="62"/>
      <c r="M114" s="68" t="s">
        <v>1558</v>
      </c>
      <c r="N114" s="66">
        <v>2</v>
      </c>
      <c r="S114" s="13"/>
      <c r="T114" s="68" t="s">
        <v>1528</v>
      </c>
      <c r="U114" s="66">
        <v>1</v>
      </c>
      <c r="W114"/>
      <c r="X114"/>
      <c r="AC114" s="13"/>
      <c r="AD114" s="68" t="s">
        <v>1524</v>
      </c>
      <c r="AE114" s="66"/>
    </row>
    <row r="115" spans="1:31">
      <c r="A115" s="13"/>
      <c r="B115" s="68" t="s">
        <v>1527</v>
      </c>
      <c r="C115" s="69">
        <v>6178</v>
      </c>
      <c r="F115" s="181"/>
      <c r="G115" s="13"/>
      <c r="H115" s="68" t="s">
        <v>1527</v>
      </c>
      <c r="I115" s="13"/>
      <c r="J115" s="61"/>
      <c r="K115" s="61"/>
      <c r="L115" s="62"/>
      <c r="M115" s="68" t="s">
        <v>1947</v>
      </c>
      <c r="N115" s="66">
        <v>9</v>
      </c>
      <c r="S115" s="13"/>
      <c r="T115" s="68" t="s">
        <v>1527</v>
      </c>
      <c r="U115" s="66">
        <v>1</v>
      </c>
      <c r="W115"/>
      <c r="X115"/>
      <c r="AC115" s="13"/>
      <c r="AD115" s="68" t="s">
        <v>1529</v>
      </c>
      <c r="AE115" s="66"/>
    </row>
    <row r="116" spans="1:31">
      <c r="A116" s="13"/>
      <c r="B116" s="68" t="s">
        <v>1808</v>
      </c>
      <c r="C116" s="69">
        <v>16700</v>
      </c>
      <c r="F116" s="181"/>
      <c r="G116" s="13"/>
      <c r="H116" s="68" t="s">
        <v>1808</v>
      </c>
      <c r="I116" s="13"/>
      <c r="J116" s="61"/>
      <c r="K116" s="61"/>
      <c r="L116" s="62"/>
      <c r="M116" s="68" t="s">
        <v>195</v>
      </c>
      <c r="N116" s="66">
        <v>1</v>
      </c>
      <c r="S116" s="13"/>
      <c r="T116" s="68" t="s">
        <v>1808</v>
      </c>
      <c r="U116" s="66">
        <v>1</v>
      </c>
      <c r="W116" s="70" t="s">
        <v>1758</v>
      </c>
      <c r="X116" s="70"/>
      <c r="AC116" s="13"/>
      <c r="AD116" s="68" t="s">
        <v>97</v>
      </c>
      <c r="AE116" s="66"/>
    </row>
    <row r="117" spans="1:31">
      <c r="A117" s="13"/>
      <c r="B117" s="68" t="s">
        <v>1507</v>
      </c>
      <c r="C117" s="69">
        <v>10000</v>
      </c>
      <c r="F117" s="181"/>
      <c r="G117" s="13"/>
      <c r="H117" s="68" t="s">
        <v>1507</v>
      </c>
      <c r="I117" s="13"/>
      <c r="J117" s="61"/>
      <c r="K117" s="61"/>
      <c r="L117" s="62"/>
      <c r="M117" s="68" t="s">
        <v>722</v>
      </c>
      <c r="N117" s="66">
        <v>1</v>
      </c>
      <c r="S117" s="13"/>
      <c r="T117" s="68" t="s">
        <v>1507</v>
      </c>
      <c r="U117" s="66">
        <v>1</v>
      </c>
      <c r="W117" s="70">
        <f>COUNT(U104:U117)</f>
        <v>14</v>
      </c>
      <c r="X117" s="70"/>
      <c r="AC117" s="13"/>
      <c r="AD117" s="68" t="s">
        <v>1528</v>
      </c>
      <c r="AE117" s="66"/>
    </row>
    <row r="118" spans="1:31">
      <c r="A118" s="5">
        <v>2005</v>
      </c>
      <c r="B118" s="5" t="s">
        <v>1319</v>
      </c>
      <c r="C118" s="67">
        <v>100000</v>
      </c>
      <c r="F118" s="181"/>
      <c r="G118" s="5">
        <v>2005</v>
      </c>
      <c r="H118" s="5" t="s">
        <v>1319</v>
      </c>
      <c r="I118" s="13"/>
      <c r="J118" s="61"/>
      <c r="K118" s="61"/>
      <c r="L118" s="62"/>
      <c r="M118" s="68" t="s">
        <v>1562</v>
      </c>
      <c r="N118" s="66">
        <v>3</v>
      </c>
      <c r="S118" s="5">
        <v>2005</v>
      </c>
      <c r="T118" s="5" t="s">
        <v>1319</v>
      </c>
      <c r="U118" s="15">
        <v>1</v>
      </c>
      <c r="W118"/>
      <c r="X118"/>
      <c r="AC118" s="13"/>
      <c r="AD118" s="68" t="s">
        <v>1527</v>
      </c>
      <c r="AE118" s="66"/>
    </row>
    <row r="119" spans="1:31">
      <c r="A119" s="13"/>
      <c r="B119" s="68" t="s">
        <v>88</v>
      </c>
      <c r="C119" s="69">
        <v>35975</v>
      </c>
      <c r="F119" s="181"/>
      <c r="G119" s="13"/>
      <c r="H119" s="68" t="s">
        <v>88</v>
      </c>
      <c r="I119" s="13"/>
      <c r="J119" s="61"/>
      <c r="K119" s="61"/>
      <c r="L119" s="62"/>
      <c r="M119" s="68" t="s">
        <v>288</v>
      </c>
      <c r="N119" s="66"/>
      <c r="S119" s="13"/>
      <c r="T119" s="68" t="s">
        <v>88</v>
      </c>
      <c r="U119" s="66">
        <v>1</v>
      </c>
      <c r="W119"/>
      <c r="X119"/>
      <c r="AC119" s="13"/>
      <c r="AD119" s="68" t="s">
        <v>1808</v>
      </c>
      <c r="AE119" s="66"/>
    </row>
    <row r="120" spans="1:31">
      <c r="A120" s="13"/>
      <c r="B120" s="68" t="s">
        <v>1811</v>
      </c>
      <c r="C120" s="69">
        <v>5000</v>
      </c>
      <c r="F120" s="181"/>
      <c r="G120" s="13"/>
      <c r="H120" s="68" t="s">
        <v>1811</v>
      </c>
      <c r="I120" s="13"/>
      <c r="J120" s="61"/>
      <c r="K120" s="61"/>
      <c r="L120" s="62"/>
      <c r="M120" s="68" t="s">
        <v>691</v>
      </c>
      <c r="N120" s="66">
        <v>1</v>
      </c>
      <c r="S120" s="13"/>
      <c r="T120" s="68" t="s">
        <v>1811</v>
      </c>
      <c r="U120" s="66">
        <v>1</v>
      </c>
      <c r="W120"/>
      <c r="X120"/>
      <c r="AC120" s="13"/>
      <c r="AD120" s="68" t="s">
        <v>1507</v>
      </c>
      <c r="AE120" s="66"/>
    </row>
    <row r="121" spans="1:31">
      <c r="A121" s="13"/>
      <c r="B121" s="68" t="s">
        <v>1812</v>
      </c>
      <c r="C121" s="69">
        <v>112853.79000000001</v>
      </c>
      <c r="F121" s="181"/>
      <c r="G121" s="13"/>
      <c r="H121" s="68" t="s">
        <v>1812</v>
      </c>
      <c r="I121" s="13"/>
      <c r="J121" s="61"/>
      <c r="K121" s="61"/>
      <c r="L121" s="62"/>
      <c r="M121" s="68" t="s">
        <v>1435</v>
      </c>
      <c r="N121" s="66">
        <v>1</v>
      </c>
      <c r="S121" s="13"/>
      <c r="T121" s="68" t="s">
        <v>1812</v>
      </c>
      <c r="U121" s="66">
        <v>1</v>
      </c>
      <c r="W121"/>
      <c r="X121"/>
      <c r="AC121" s="5" t="s">
        <v>216</v>
      </c>
      <c r="AD121" s="12"/>
      <c r="AE121" s="15"/>
    </row>
    <row r="122" spans="1:31">
      <c r="A122" s="13"/>
      <c r="B122" s="68" t="s">
        <v>1813</v>
      </c>
      <c r="C122" s="69">
        <v>100000</v>
      </c>
      <c r="F122" s="181"/>
      <c r="G122" s="13"/>
      <c r="H122" s="68" t="s">
        <v>1813</v>
      </c>
      <c r="I122" s="13"/>
      <c r="J122" s="61"/>
      <c r="K122" s="61"/>
      <c r="L122" s="62"/>
      <c r="M122" s="9" t="s">
        <v>1207</v>
      </c>
      <c r="N122" s="14">
        <v>327</v>
      </c>
      <c r="S122" s="13"/>
      <c r="T122" s="68" t="s">
        <v>1813</v>
      </c>
      <c r="U122" s="66">
        <v>1</v>
      </c>
      <c r="W122"/>
      <c r="X122"/>
      <c r="AC122" s="5">
        <v>2005</v>
      </c>
      <c r="AD122" s="5" t="s">
        <v>1319</v>
      </c>
      <c r="AE122" s="15"/>
    </row>
    <row r="123" spans="1:31">
      <c r="A123" s="13"/>
      <c r="B123" s="68" t="s">
        <v>532</v>
      </c>
      <c r="C123" s="69">
        <v>2655</v>
      </c>
      <c r="F123" s="181"/>
      <c r="G123" s="13"/>
      <c r="H123" s="68" t="s">
        <v>532</v>
      </c>
      <c r="I123" s="13"/>
      <c r="J123" s="61"/>
      <c r="K123" s="61"/>
      <c r="L123" s="62"/>
      <c r="S123" s="13"/>
      <c r="T123" s="68" t="s">
        <v>532</v>
      </c>
      <c r="U123" s="66">
        <v>1</v>
      </c>
      <c r="W123"/>
      <c r="X123"/>
      <c r="AC123" s="13"/>
      <c r="AD123" s="68" t="s">
        <v>88</v>
      </c>
      <c r="AE123" s="66"/>
    </row>
    <row r="124" spans="1:31">
      <c r="A124" s="13"/>
      <c r="B124" s="68" t="s">
        <v>1802</v>
      </c>
      <c r="C124" s="69">
        <v>302452.19</v>
      </c>
      <c r="F124" s="181"/>
      <c r="G124" s="13"/>
      <c r="H124" s="68" t="s">
        <v>1802</v>
      </c>
      <c r="I124" s="13"/>
      <c r="J124" s="61"/>
      <c r="K124" s="61"/>
      <c r="L124" s="62"/>
      <c r="S124" s="13"/>
      <c r="T124" s="68" t="s">
        <v>1802</v>
      </c>
      <c r="U124" s="66">
        <v>1</v>
      </c>
      <c r="W124"/>
      <c r="X124"/>
      <c r="AC124" s="13"/>
      <c r="AD124" s="68" t="s">
        <v>1811</v>
      </c>
      <c r="AE124" s="66"/>
    </row>
    <row r="125" spans="1:31">
      <c r="A125" s="13"/>
      <c r="B125" s="68" t="s">
        <v>1814</v>
      </c>
      <c r="C125" s="69">
        <v>13100</v>
      </c>
      <c r="F125" s="181"/>
      <c r="G125" s="13"/>
      <c r="H125" s="68" t="s">
        <v>1814</v>
      </c>
      <c r="I125" s="13"/>
      <c r="J125" s="61"/>
      <c r="K125" s="61"/>
      <c r="L125" s="62"/>
      <c r="S125" s="13"/>
      <c r="T125" s="68" t="s">
        <v>1814</v>
      </c>
      <c r="U125" s="66">
        <v>1</v>
      </c>
      <c r="W125"/>
      <c r="X125"/>
      <c r="AC125" s="13"/>
      <c r="AD125" s="68" t="s">
        <v>1812</v>
      </c>
      <c r="AE125" s="66"/>
    </row>
    <row r="126" spans="1:31">
      <c r="A126" s="13"/>
      <c r="B126" s="68" t="s">
        <v>1810</v>
      </c>
      <c r="C126" s="69">
        <v>401375</v>
      </c>
      <c r="F126" s="181"/>
      <c r="G126" s="13"/>
      <c r="H126" s="68" t="s">
        <v>1810</v>
      </c>
      <c r="I126" s="13"/>
      <c r="J126" s="61"/>
      <c r="K126" s="61"/>
      <c r="L126" s="62"/>
      <c r="S126" s="13"/>
      <c r="T126" s="68" t="s">
        <v>1810</v>
      </c>
      <c r="U126" s="66">
        <v>1</v>
      </c>
      <c r="W126"/>
      <c r="X126"/>
      <c r="AC126" s="13"/>
      <c r="AD126" s="68" t="s">
        <v>1813</v>
      </c>
      <c r="AE126" s="66"/>
    </row>
    <row r="127" spans="1:31">
      <c r="A127" s="13"/>
      <c r="B127" s="68" t="s">
        <v>1815</v>
      </c>
      <c r="C127" s="69">
        <v>477328823.80666667</v>
      </c>
      <c r="F127" s="181"/>
      <c r="G127" s="13"/>
      <c r="H127" s="68" t="s">
        <v>1815</v>
      </c>
      <c r="I127" s="13"/>
      <c r="J127" s="61"/>
      <c r="K127" s="61"/>
      <c r="L127" s="62"/>
      <c r="S127" s="13"/>
      <c r="T127" s="68" t="s">
        <v>1815</v>
      </c>
      <c r="U127" s="66">
        <v>1</v>
      </c>
      <c r="W127"/>
      <c r="X127"/>
      <c r="AC127" s="13"/>
      <c r="AD127" s="68" t="s">
        <v>532</v>
      </c>
      <c r="AE127" s="66"/>
    </row>
    <row r="128" spans="1:31">
      <c r="A128" s="13"/>
      <c r="B128" s="68" t="s">
        <v>1805</v>
      </c>
      <c r="C128" s="69">
        <v>131046.88</v>
      </c>
      <c r="F128" s="181"/>
      <c r="G128" s="13"/>
      <c r="H128" s="68" t="s">
        <v>1805</v>
      </c>
      <c r="I128" s="13"/>
      <c r="J128" s="61"/>
      <c r="K128" s="61"/>
      <c r="L128" s="62"/>
      <c r="S128" s="13"/>
      <c r="T128" s="68" t="s">
        <v>1805</v>
      </c>
      <c r="U128" s="66">
        <v>1</v>
      </c>
      <c r="W128"/>
      <c r="X128"/>
      <c r="AC128" s="13"/>
      <c r="AD128" s="68" t="s">
        <v>1802</v>
      </c>
      <c r="AE128" s="66"/>
    </row>
    <row r="129" spans="1:31">
      <c r="A129" s="13"/>
      <c r="B129" s="68" t="s">
        <v>1816</v>
      </c>
      <c r="C129" s="69">
        <v>1822266.6666666667</v>
      </c>
      <c r="F129" s="181"/>
      <c r="G129" s="13"/>
      <c r="H129" s="68" t="s">
        <v>1816</v>
      </c>
      <c r="I129" s="13"/>
      <c r="J129" s="61"/>
      <c r="K129" s="61"/>
      <c r="L129" s="62"/>
      <c r="S129" s="13"/>
      <c r="T129" s="68" t="s">
        <v>1816</v>
      </c>
      <c r="U129" s="66">
        <v>1</v>
      </c>
      <c r="W129"/>
      <c r="X129"/>
      <c r="AC129" s="13"/>
      <c r="AD129" s="68" t="s">
        <v>1814</v>
      </c>
      <c r="AE129" s="66"/>
    </row>
    <row r="130" spans="1:31">
      <c r="A130" s="13"/>
      <c r="B130" s="68" t="s">
        <v>1808</v>
      </c>
      <c r="C130" s="69">
        <v>0</v>
      </c>
      <c r="F130" s="181"/>
      <c r="G130" s="13"/>
      <c r="H130" s="68" t="s">
        <v>1808</v>
      </c>
      <c r="I130" s="13"/>
      <c r="J130" s="61"/>
      <c r="K130" s="61"/>
      <c r="L130" s="62"/>
      <c r="S130" s="13"/>
      <c r="T130" s="68" t="s">
        <v>1808</v>
      </c>
      <c r="U130" s="66">
        <v>1</v>
      </c>
      <c r="W130"/>
      <c r="X130"/>
      <c r="AC130" s="13"/>
      <c r="AD130" s="68" t="s">
        <v>1810</v>
      </c>
      <c r="AE130" s="66"/>
    </row>
    <row r="131" spans="1:31">
      <c r="A131" s="13"/>
      <c r="B131" s="68" t="s">
        <v>257</v>
      </c>
      <c r="C131" s="69">
        <v>18675</v>
      </c>
      <c r="F131" s="181"/>
      <c r="G131" s="13"/>
      <c r="H131" s="68" t="s">
        <v>257</v>
      </c>
      <c r="I131" s="13"/>
      <c r="J131" s="61"/>
      <c r="K131" s="61"/>
      <c r="L131" s="62"/>
      <c r="S131" s="13"/>
      <c r="T131" s="68" t="s">
        <v>257</v>
      </c>
      <c r="U131" s="66">
        <v>1</v>
      </c>
      <c r="W131"/>
      <c r="X131"/>
      <c r="AC131" s="13"/>
      <c r="AD131" s="68" t="s">
        <v>1815</v>
      </c>
      <c r="AE131" s="66"/>
    </row>
    <row r="132" spans="1:31">
      <c r="A132" s="13"/>
      <c r="B132" s="68" t="s">
        <v>258</v>
      </c>
      <c r="C132" s="69">
        <v>103848909.52666667</v>
      </c>
      <c r="F132" s="181"/>
      <c r="G132" s="13"/>
      <c r="H132" s="68" t="s">
        <v>258</v>
      </c>
      <c r="I132" s="13"/>
      <c r="J132" s="61"/>
      <c r="K132" s="61"/>
      <c r="L132" s="62"/>
      <c r="S132" s="13"/>
      <c r="T132" s="68" t="s">
        <v>258</v>
      </c>
      <c r="U132" s="66">
        <v>1</v>
      </c>
      <c r="W132"/>
      <c r="X132"/>
      <c r="AC132" s="13"/>
      <c r="AD132" s="68" t="s">
        <v>1805</v>
      </c>
      <c r="AE132" s="66"/>
    </row>
    <row r="133" spans="1:31">
      <c r="A133" s="13"/>
      <c r="B133" s="68" t="s">
        <v>101</v>
      </c>
      <c r="C133" s="69">
        <v>247400</v>
      </c>
      <c r="F133" s="181"/>
      <c r="G133" s="13"/>
      <c r="H133" s="68" t="s">
        <v>101</v>
      </c>
      <c r="I133" s="13"/>
      <c r="J133" s="61"/>
      <c r="K133" s="61"/>
      <c r="L133" s="62"/>
      <c r="S133" s="13"/>
      <c r="T133" s="68" t="s">
        <v>101</v>
      </c>
      <c r="U133" s="66">
        <v>1</v>
      </c>
      <c r="W133" t="s">
        <v>1758</v>
      </c>
      <c r="X133"/>
      <c r="AC133" s="13"/>
      <c r="AD133" s="68" t="s">
        <v>1816</v>
      </c>
      <c r="AE133" s="66"/>
    </row>
    <row r="134" spans="1:31">
      <c r="A134" s="13"/>
      <c r="B134" s="68" t="s">
        <v>259</v>
      </c>
      <c r="C134" s="69">
        <v>59896.536212325685</v>
      </c>
      <c r="F134" s="181"/>
      <c r="G134" s="13"/>
      <c r="H134" s="68" t="s">
        <v>259</v>
      </c>
      <c r="I134" s="13"/>
      <c r="J134" s="61"/>
      <c r="K134" s="61"/>
      <c r="L134" s="62"/>
      <c r="S134" s="13"/>
      <c r="T134" s="68" t="s">
        <v>259</v>
      </c>
      <c r="U134" s="66">
        <v>1</v>
      </c>
      <c r="W134" s="70">
        <f>COUNT(U118:U134)</f>
        <v>17</v>
      </c>
      <c r="X134" s="70"/>
      <c r="AC134" s="13"/>
      <c r="AD134" s="68" t="s">
        <v>1808</v>
      </c>
      <c r="AE134" s="66"/>
    </row>
    <row r="135" spans="1:31">
      <c r="A135" s="5">
        <v>2006</v>
      </c>
      <c r="B135" s="5" t="s">
        <v>1789</v>
      </c>
      <c r="C135" s="67">
        <v>5000</v>
      </c>
      <c r="F135" s="181"/>
      <c r="G135" s="5">
        <v>2006</v>
      </c>
      <c r="H135" s="5" t="s">
        <v>1789</v>
      </c>
      <c r="I135" s="13"/>
      <c r="J135" s="61"/>
      <c r="K135" s="61"/>
      <c r="L135" s="62"/>
      <c r="S135" s="5">
        <v>2006</v>
      </c>
      <c r="T135" s="5" t="s">
        <v>1789</v>
      </c>
      <c r="U135" s="15">
        <v>1</v>
      </c>
      <c r="W135"/>
      <c r="X135"/>
      <c r="AC135" s="13"/>
      <c r="AD135" s="68" t="s">
        <v>257</v>
      </c>
      <c r="AE135" s="66"/>
    </row>
    <row r="136" spans="1:31">
      <c r="A136" s="13"/>
      <c r="B136" s="68" t="s">
        <v>441</v>
      </c>
      <c r="C136" s="69">
        <v>50000</v>
      </c>
      <c r="F136" s="181"/>
      <c r="G136" s="13"/>
      <c r="H136" s="68" t="s">
        <v>441</v>
      </c>
      <c r="I136" s="13"/>
      <c r="J136" s="61"/>
      <c r="K136" s="61"/>
      <c r="L136" s="62"/>
      <c r="S136" s="13"/>
      <c r="T136" s="68" t="s">
        <v>441</v>
      </c>
      <c r="U136" s="66">
        <v>1</v>
      </c>
      <c r="W136"/>
      <c r="X136"/>
      <c r="AC136" s="13"/>
      <c r="AD136" s="68" t="s">
        <v>258</v>
      </c>
      <c r="AE136" s="66"/>
    </row>
    <row r="137" spans="1:31">
      <c r="A137" s="13"/>
      <c r="B137" s="68" t="s">
        <v>262</v>
      </c>
      <c r="C137" s="69">
        <v>17402</v>
      </c>
      <c r="F137" s="181"/>
      <c r="G137" s="13"/>
      <c r="H137" s="68" t="s">
        <v>262</v>
      </c>
      <c r="I137" s="13"/>
      <c r="J137" s="61"/>
      <c r="K137" s="61"/>
      <c r="L137" s="62"/>
      <c r="S137" s="13"/>
      <c r="T137" s="68" t="s">
        <v>262</v>
      </c>
      <c r="U137" s="66">
        <v>1</v>
      </c>
      <c r="W137"/>
      <c r="X137"/>
      <c r="AC137" s="13"/>
      <c r="AD137" s="68" t="s">
        <v>101</v>
      </c>
      <c r="AE137" s="66"/>
    </row>
    <row r="138" spans="1:31">
      <c r="A138" s="13"/>
      <c r="B138" s="68" t="s">
        <v>1796</v>
      </c>
      <c r="C138" s="69">
        <v>150000</v>
      </c>
      <c r="F138" s="181"/>
      <c r="G138" s="13"/>
      <c r="H138" s="68" t="s">
        <v>1796</v>
      </c>
      <c r="I138" s="13"/>
      <c r="J138" s="61"/>
      <c r="K138" s="61"/>
      <c r="L138" s="62"/>
      <c r="S138" s="13"/>
      <c r="T138" s="68" t="s">
        <v>1796</v>
      </c>
      <c r="U138" s="66">
        <v>1</v>
      </c>
      <c r="W138"/>
      <c r="X138"/>
      <c r="AC138" s="13"/>
      <c r="AD138" s="68" t="s">
        <v>259</v>
      </c>
      <c r="AE138" s="66"/>
    </row>
    <row r="139" spans="1:31">
      <c r="A139" s="13"/>
      <c r="B139" s="68" t="s">
        <v>492</v>
      </c>
      <c r="C139" s="69">
        <v>7034</v>
      </c>
      <c r="F139" s="181"/>
      <c r="G139" s="13"/>
      <c r="H139" s="68" t="s">
        <v>492</v>
      </c>
      <c r="I139" s="13"/>
      <c r="J139" s="61"/>
      <c r="K139" s="61"/>
      <c r="L139" s="62"/>
      <c r="S139" s="13"/>
      <c r="T139" s="68" t="s">
        <v>492</v>
      </c>
      <c r="U139" s="66">
        <v>1</v>
      </c>
      <c r="W139"/>
      <c r="X139"/>
      <c r="AC139" s="5" t="s">
        <v>260</v>
      </c>
      <c r="AD139" s="12"/>
      <c r="AE139" s="15"/>
    </row>
    <row r="140" spans="1:31">
      <c r="A140" s="13"/>
      <c r="B140" s="68" t="s">
        <v>1800</v>
      </c>
      <c r="C140" s="69">
        <v>94461</v>
      </c>
      <c r="F140" s="181"/>
      <c r="G140" s="13"/>
      <c r="H140" s="68" t="s">
        <v>1800</v>
      </c>
      <c r="I140" s="13"/>
      <c r="J140" s="61"/>
      <c r="K140" s="61"/>
      <c r="L140" s="62"/>
      <c r="S140" s="13"/>
      <c r="T140" s="68" t="s">
        <v>1800</v>
      </c>
      <c r="U140" s="66">
        <v>1</v>
      </c>
      <c r="W140"/>
      <c r="X140"/>
      <c r="AC140" s="5">
        <v>2006</v>
      </c>
      <c r="AD140" s="5" t="s">
        <v>1789</v>
      </c>
      <c r="AE140" s="15"/>
    </row>
    <row r="141" spans="1:31">
      <c r="A141" s="13"/>
      <c r="B141" s="68" t="s">
        <v>190</v>
      </c>
      <c r="C141" s="69">
        <v>0</v>
      </c>
      <c r="F141" s="181"/>
      <c r="G141" s="13"/>
      <c r="H141" s="68" t="s">
        <v>190</v>
      </c>
      <c r="I141" s="13"/>
      <c r="J141" s="61"/>
      <c r="K141" s="61"/>
      <c r="L141" s="62"/>
      <c r="S141" s="13"/>
      <c r="T141" s="68" t="s">
        <v>190</v>
      </c>
      <c r="U141" s="66">
        <v>1</v>
      </c>
      <c r="W141"/>
      <c r="X141"/>
      <c r="AC141" s="13"/>
      <c r="AD141" s="68" t="s">
        <v>441</v>
      </c>
      <c r="AE141" s="66"/>
    </row>
    <row r="142" spans="1:31">
      <c r="A142" s="13"/>
      <c r="B142" s="68" t="s">
        <v>192</v>
      </c>
      <c r="C142" s="69">
        <v>47581</v>
      </c>
      <c r="F142" s="181"/>
      <c r="G142" s="13"/>
      <c r="H142" s="68" t="s">
        <v>192</v>
      </c>
      <c r="I142" s="13"/>
      <c r="J142" s="61"/>
      <c r="K142" s="61"/>
      <c r="L142" s="62"/>
      <c r="S142" s="13"/>
      <c r="T142" s="68" t="s">
        <v>192</v>
      </c>
      <c r="U142" s="66">
        <v>1</v>
      </c>
      <c r="W142"/>
      <c r="X142"/>
      <c r="AC142" s="13"/>
      <c r="AD142" s="68" t="s">
        <v>262</v>
      </c>
      <c r="AE142" s="66"/>
    </row>
    <row r="143" spans="1:31">
      <c r="A143" s="13"/>
      <c r="B143" s="68" t="s">
        <v>191</v>
      </c>
      <c r="C143" s="69">
        <v>342378</v>
      </c>
      <c r="F143" s="181"/>
      <c r="G143" s="13"/>
      <c r="H143" s="68" t="s">
        <v>191</v>
      </c>
      <c r="I143" s="13"/>
      <c r="J143" s="61"/>
      <c r="K143" s="61"/>
      <c r="L143" s="62"/>
      <c r="S143" s="13"/>
      <c r="T143" s="68" t="s">
        <v>191</v>
      </c>
      <c r="U143" s="66">
        <v>1</v>
      </c>
      <c r="W143"/>
      <c r="X143"/>
      <c r="AC143" s="13"/>
      <c r="AD143" s="68" t="s">
        <v>1796</v>
      </c>
      <c r="AE143" s="66">
        <v>329000</v>
      </c>
    </row>
    <row r="144" spans="1:31">
      <c r="A144" s="13"/>
      <c r="B144" s="68" t="s">
        <v>487</v>
      </c>
      <c r="C144" s="69">
        <v>20597</v>
      </c>
      <c r="F144" s="181"/>
      <c r="G144" s="13"/>
      <c r="H144" s="68" t="s">
        <v>487</v>
      </c>
      <c r="I144" s="13"/>
      <c r="J144" s="61"/>
      <c r="K144" s="61"/>
      <c r="L144" s="62"/>
      <c r="S144" s="13"/>
      <c r="T144" s="68" t="s">
        <v>487</v>
      </c>
      <c r="U144" s="66">
        <v>1</v>
      </c>
      <c r="W144"/>
      <c r="X144"/>
      <c r="AC144" s="13"/>
      <c r="AD144" s="68" t="s">
        <v>492</v>
      </c>
      <c r="AE144" s="66">
        <v>21000</v>
      </c>
    </row>
    <row r="145" spans="1:31">
      <c r="A145" s="13"/>
      <c r="B145" s="68" t="s">
        <v>486</v>
      </c>
      <c r="C145" s="69">
        <v>497744</v>
      </c>
      <c r="F145" s="181"/>
      <c r="G145" s="13"/>
      <c r="H145" s="68" t="s">
        <v>486</v>
      </c>
      <c r="I145" s="13"/>
      <c r="J145" s="61"/>
      <c r="K145" s="61"/>
      <c r="L145" s="62"/>
      <c r="S145" s="13"/>
      <c r="T145" s="68" t="s">
        <v>486</v>
      </c>
      <c r="U145" s="66">
        <v>1</v>
      </c>
      <c r="W145"/>
      <c r="X145"/>
      <c r="AC145" s="13"/>
      <c r="AD145" s="68" t="s">
        <v>1800</v>
      </c>
      <c r="AE145" s="66">
        <v>36341</v>
      </c>
    </row>
    <row r="146" spans="1:31">
      <c r="A146" s="13"/>
      <c r="B146" s="68" t="s">
        <v>1786</v>
      </c>
      <c r="C146" s="69">
        <v>1485750</v>
      </c>
      <c r="F146" s="181"/>
      <c r="G146" s="13"/>
      <c r="H146" s="68" t="s">
        <v>1786</v>
      </c>
      <c r="I146" s="13"/>
      <c r="J146" s="61"/>
      <c r="K146" s="61"/>
      <c r="L146" s="62"/>
      <c r="S146" s="13"/>
      <c r="T146" s="68" t="s">
        <v>1786</v>
      </c>
      <c r="U146" s="66">
        <v>1</v>
      </c>
      <c r="W146"/>
      <c r="X146"/>
      <c r="AC146" s="13"/>
      <c r="AD146" s="68" t="s">
        <v>251</v>
      </c>
      <c r="AE146" s="66"/>
    </row>
    <row r="147" spans="1:31">
      <c r="A147" s="13"/>
      <c r="B147" s="68" t="s">
        <v>267</v>
      </c>
      <c r="C147" s="69">
        <v>12558310</v>
      </c>
      <c r="F147" s="181"/>
      <c r="G147" s="13"/>
      <c r="H147" s="68" t="s">
        <v>267</v>
      </c>
      <c r="I147" s="13"/>
      <c r="J147" s="61"/>
      <c r="K147" s="61"/>
      <c r="L147" s="62"/>
      <c r="S147" s="13"/>
      <c r="T147" s="68" t="s">
        <v>267</v>
      </c>
      <c r="U147" s="66">
        <v>1</v>
      </c>
      <c r="W147"/>
      <c r="X147"/>
      <c r="AC147" s="13"/>
      <c r="AD147" s="68" t="s">
        <v>252</v>
      </c>
      <c r="AE147" s="66"/>
    </row>
    <row r="148" spans="1:31">
      <c r="A148" s="13"/>
      <c r="B148" s="68" t="s">
        <v>1791</v>
      </c>
      <c r="C148" s="69">
        <v>55000</v>
      </c>
      <c r="F148" s="181"/>
      <c r="G148" s="13"/>
      <c r="H148" s="68" t="s">
        <v>1791</v>
      </c>
      <c r="I148" s="13"/>
      <c r="J148" s="61"/>
      <c r="K148" s="61"/>
      <c r="L148" s="62"/>
      <c r="S148" s="13"/>
      <c r="T148" s="68" t="s">
        <v>1791</v>
      </c>
      <c r="U148" s="66">
        <v>1</v>
      </c>
      <c r="W148"/>
      <c r="X148"/>
      <c r="AC148" s="13"/>
      <c r="AD148" s="68" t="s">
        <v>250</v>
      </c>
      <c r="AE148" s="66">
        <v>35000</v>
      </c>
    </row>
    <row r="149" spans="1:31">
      <c r="A149" s="13"/>
      <c r="B149" s="68" t="s">
        <v>1391</v>
      </c>
      <c r="C149" s="69">
        <v>36200</v>
      </c>
      <c r="F149" s="181"/>
      <c r="G149" s="13"/>
      <c r="H149" s="68" t="s">
        <v>1391</v>
      </c>
      <c r="I149" s="13"/>
      <c r="J149" s="61"/>
      <c r="K149" s="61"/>
      <c r="L149" s="62"/>
      <c r="S149" s="13"/>
      <c r="T149" s="68" t="s">
        <v>1391</v>
      </c>
      <c r="U149" s="66">
        <v>1</v>
      </c>
      <c r="W149"/>
      <c r="X149"/>
      <c r="AC149" s="13"/>
      <c r="AD149" s="68" t="s">
        <v>190</v>
      </c>
      <c r="AE149" s="66"/>
    </row>
    <row r="150" spans="1:31">
      <c r="A150" s="13"/>
      <c r="B150" s="68" t="s">
        <v>268</v>
      </c>
      <c r="C150" s="69">
        <v>250000</v>
      </c>
      <c r="F150" s="181"/>
      <c r="G150" s="13"/>
      <c r="H150" s="68" t="s">
        <v>268</v>
      </c>
      <c r="I150" s="13"/>
      <c r="J150" s="61"/>
      <c r="K150" s="61"/>
      <c r="L150" s="62"/>
      <c r="S150" s="13"/>
      <c r="T150" s="68" t="s">
        <v>268</v>
      </c>
      <c r="U150" s="66">
        <v>1</v>
      </c>
      <c r="W150"/>
      <c r="X150"/>
      <c r="AC150" s="13"/>
      <c r="AD150" s="68" t="s">
        <v>192</v>
      </c>
      <c r="AE150" s="66"/>
    </row>
    <row r="151" spans="1:31">
      <c r="A151" s="13"/>
      <c r="B151" s="68" t="s">
        <v>269</v>
      </c>
      <c r="C151" s="69">
        <v>20000</v>
      </c>
      <c r="F151" s="181"/>
      <c r="G151" s="13"/>
      <c r="H151" s="68" t="s">
        <v>269</v>
      </c>
      <c r="I151" s="13"/>
      <c r="J151" s="61"/>
      <c r="K151" s="61"/>
      <c r="L151" s="62"/>
      <c r="S151" s="13"/>
      <c r="T151" s="68" t="s">
        <v>269</v>
      </c>
      <c r="U151" s="66">
        <v>1</v>
      </c>
      <c r="W151"/>
      <c r="X151"/>
      <c r="AC151" s="13"/>
      <c r="AD151" s="68" t="s">
        <v>191</v>
      </c>
      <c r="AE151" s="66"/>
    </row>
    <row r="152" spans="1:31">
      <c r="A152" s="13"/>
      <c r="B152" s="68" t="s">
        <v>270</v>
      </c>
      <c r="C152" s="69">
        <v>50000</v>
      </c>
      <c r="F152" s="181"/>
      <c r="G152" s="13"/>
      <c r="H152" s="68" t="s">
        <v>270</v>
      </c>
      <c r="I152" s="13"/>
      <c r="J152" s="61"/>
      <c r="K152" s="61"/>
      <c r="L152" s="62"/>
      <c r="S152" s="13"/>
      <c r="T152" s="68" t="s">
        <v>270</v>
      </c>
      <c r="U152" s="66">
        <v>1</v>
      </c>
      <c r="W152"/>
      <c r="X152"/>
      <c r="AC152" s="13"/>
      <c r="AD152" s="68" t="s">
        <v>487</v>
      </c>
      <c r="AE152" s="66"/>
    </row>
    <row r="153" spans="1:31">
      <c r="A153" s="13"/>
      <c r="B153" s="68" t="s">
        <v>1798</v>
      </c>
      <c r="C153" s="69">
        <v>21068</v>
      </c>
      <c r="F153" s="181"/>
      <c r="G153" s="13"/>
      <c r="H153" s="68" t="s">
        <v>1798</v>
      </c>
      <c r="I153" s="13"/>
      <c r="J153" s="61"/>
      <c r="K153" s="61"/>
      <c r="L153" s="62"/>
      <c r="S153" s="13"/>
      <c r="T153" s="68" t="s">
        <v>1798</v>
      </c>
      <c r="U153" s="66">
        <v>1</v>
      </c>
      <c r="W153"/>
      <c r="X153"/>
      <c r="AC153" s="13"/>
      <c r="AD153" s="68" t="s">
        <v>486</v>
      </c>
      <c r="AE153" s="66"/>
    </row>
    <row r="154" spans="1:31">
      <c r="A154" s="13"/>
      <c r="B154" s="68" t="s">
        <v>250</v>
      </c>
      <c r="C154" s="69">
        <v>32475</v>
      </c>
      <c r="F154" s="181"/>
      <c r="G154" s="13"/>
      <c r="H154" s="68" t="s">
        <v>250</v>
      </c>
      <c r="I154" s="13"/>
      <c r="J154" s="61"/>
      <c r="K154" s="61"/>
      <c r="L154" s="62"/>
      <c r="S154" s="13"/>
      <c r="T154" s="68" t="s">
        <v>250</v>
      </c>
      <c r="U154" s="66">
        <v>1</v>
      </c>
      <c r="W154"/>
      <c r="X154"/>
      <c r="AC154" s="13"/>
      <c r="AD154" s="68" t="s">
        <v>1786</v>
      </c>
      <c r="AE154" s="66">
        <v>325000</v>
      </c>
    </row>
    <row r="155" spans="1:31">
      <c r="A155" s="13"/>
      <c r="B155" s="68" t="s">
        <v>251</v>
      </c>
      <c r="C155" s="69">
        <v>75000</v>
      </c>
      <c r="F155" s="181"/>
      <c r="G155" s="13"/>
      <c r="H155" s="68" t="s">
        <v>251</v>
      </c>
      <c r="I155" s="13"/>
      <c r="J155" s="61"/>
      <c r="K155" s="61"/>
      <c r="L155" s="62"/>
      <c r="S155" s="13"/>
      <c r="T155" s="68" t="s">
        <v>251</v>
      </c>
      <c r="U155" s="66">
        <v>1</v>
      </c>
      <c r="W155"/>
      <c r="X155"/>
      <c r="AC155" s="13"/>
      <c r="AD155" s="68" t="s">
        <v>1240</v>
      </c>
      <c r="AE155" s="66">
        <v>455000</v>
      </c>
    </row>
    <row r="156" spans="1:31">
      <c r="A156" s="13"/>
      <c r="B156" s="68" t="s">
        <v>252</v>
      </c>
      <c r="C156" s="69">
        <v>108693</v>
      </c>
      <c r="F156" s="181"/>
      <c r="G156" s="13"/>
      <c r="H156" s="68" t="s">
        <v>252</v>
      </c>
      <c r="I156" s="13"/>
      <c r="J156" s="61"/>
      <c r="K156" s="61"/>
      <c r="L156" s="62"/>
      <c r="S156" s="13"/>
      <c r="T156" s="68" t="s">
        <v>252</v>
      </c>
      <c r="U156" s="66">
        <v>1</v>
      </c>
      <c r="W156"/>
      <c r="X156"/>
      <c r="AC156" s="13"/>
      <c r="AD156" s="68" t="s">
        <v>267</v>
      </c>
      <c r="AE156" s="66">
        <v>575000</v>
      </c>
    </row>
    <row r="157" spans="1:31">
      <c r="A157" s="13"/>
      <c r="B157" s="68" t="s">
        <v>1243</v>
      </c>
      <c r="C157" s="69">
        <v>100000</v>
      </c>
      <c r="F157" s="181"/>
      <c r="G157" s="13"/>
      <c r="H157" s="68" t="s">
        <v>1243</v>
      </c>
      <c r="I157" s="13"/>
      <c r="J157" s="61"/>
      <c r="K157" s="61"/>
      <c r="L157" s="62"/>
      <c r="S157" s="13"/>
      <c r="T157" s="68" t="s">
        <v>1243</v>
      </c>
      <c r="U157" s="66">
        <v>1</v>
      </c>
      <c r="W157"/>
      <c r="X157"/>
      <c r="AC157" s="13"/>
      <c r="AD157" s="68" t="s">
        <v>1791</v>
      </c>
      <c r="AE157" s="66">
        <v>8000</v>
      </c>
    </row>
    <row r="158" spans="1:31">
      <c r="A158" s="13"/>
      <c r="B158" s="68" t="s">
        <v>1244</v>
      </c>
      <c r="C158" s="69">
        <v>150000</v>
      </c>
      <c r="F158" s="181"/>
      <c r="G158" s="13"/>
      <c r="H158" s="68" t="s">
        <v>1244</v>
      </c>
      <c r="I158" s="13"/>
      <c r="J158" s="61"/>
      <c r="K158" s="61"/>
      <c r="L158" s="62"/>
      <c r="S158" s="13"/>
      <c r="T158" s="68" t="s">
        <v>1244</v>
      </c>
      <c r="U158" s="66">
        <v>1</v>
      </c>
      <c r="W158"/>
      <c r="X158"/>
      <c r="AC158" s="13"/>
      <c r="AD158" s="68" t="s">
        <v>1391</v>
      </c>
      <c r="AE158" s="66">
        <v>222000</v>
      </c>
    </row>
    <row r="159" spans="1:31">
      <c r="A159" s="13"/>
      <c r="B159" s="68" t="s">
        <v>245</v>
      </c>
      <c r="C159" s="69">
        <v>250000</v>
      </c>
      <c r="F159" s="181"/>
      <c r="G159" s="13"/>
      <c r="H159" s="68" t="s">
        <v>245</v>
      </c>
      <c r="I159" s="13"/>
      <c r="J159" s="61"/>
      <c r="K159" s="61"/>
      <c r="L159" s="62"/>
      <c r="S159" s="13"/>
      <c r="T159" s="68" t="s">
        <v>245</v>
      </c>
      <c r="U159" s="66">
        <v>1</v>
      </c>
      <c r="W159"/>
      <c r="X159"/>
      <c r="AC159" s="13"/>
      <c r="AD159" s="68" t="s">
        <v>268</v>
      </c>
      <c r="AE159" s="66"/>
    </row>
    <row r="160" spans="1:31">
      <c r="A160" s="13"/>
      <c r="B160" s="68" t="s">
        <v>246</v>
      </c>
      <c r="C160" s="69">
        <v>400000</v>
      </c>
      <c r="F160" s="181"/>
      <c r="G160" s="13"/>
      <c r="H160" s="68" t="s">
        <v>246</v>
      </c>
      <c r="I160" s="13"/>
      <c r="J160" s="61"/>
      <c r="K160" s="61"/>
      <c r="L160" s="62"/>
      <c r="S160" s="13"/>
      <c r="T160" s="68" t="s">
        <v>246</v>
      </c>
      <c r="U160" s="66">
        <v>1</v>
      </c>
      <c r="W160" t="s">
        <v>1758</v>
      </c>
      <c r="X160"/>
      <c r="AC160" s="13"/>
      <c r="AD160" s="68" t="s">
        <v>1243</v>
      </c>
      <c r="AE160" s="66">
        <v>1500000</v>
      </c>
    </row>
    <row r="161" spans="1:31">
      <c r="A161" s="13"/>
      <c r="B161" s="68" t="s">
        <v>1240</v>
      </c>
      <c r="C161" s="69">
        <v>188443</v>
      </c>
      <c r="F161" s="181"/>
      <c r="G161" s="13"/>
      <c r="H161" s="68" t="s">
        <v>1240</v>
      </c>
      <c r="I161" s="13"/>
      <c r="J161" s="61"/>
      <c r="K161" s="61"/>
      <c r="L161" s="62"/>
      <c r="S161" s="13"/>
      <c r="T161" s="68" t="s">
        <v>1240</v>
      </c>
      <c r="U161" s="66">
        <v>1</v>
      </c>
      <c r="W161" s="70">
        <f>COUNT(U135:U161)</f>
        <v>27</v>
      </c>
      <c r="X161" s="70"/>
      <c r="AC161" s="13"/>
      <c r="AD161" s="68" t="s">
        <v>1244</v>
      </c>
      <c r="AE161" s="66"/>
    </row>
    <row r="162" spans="1:31">
      <c r="A162" s="5">
        <v>2007</v>
      </c>
      <c r="B162" s="5" t="s">
        <v>1803</v>
      </c>
      <c r="C162" s="67">
        <v>150000</v>
      </c>
      <c r="F162" s="181"/>
      <c r="G162" s="5">
        <v>2007</v>
      </c>
      <c r="H162" s="5" t="s">
        <v>1803</v>
      </c>
      <c r="I162" s="13"/>
      <c r="J162" s="61"/>
      <c r="K162" s="61"/>
      <c r="L162" s="62"/>
      <c r="S162" s="5">
        <v>2007</v>
      </c>
      <c r="T162" s="5" t="s">
        <v>1803</v>
      </c>
      <c r="U162" s="15">
        <v>1</v>
      </c>
      <c r="W162"/>
      <c r="X162"/>
      <c r="AC162" s="13"/>
      <c r="AD162" s="68" t="s">
        <v>246</v>
      </c>
      <c r="AE162" s="66"/>
    </row>
    <row r="163" spans="1:31">
      <c r="A163" s="13"/>
      <c r="B163" s="68" t="s">
        <v>1801</v>
      </c>
      <c r="C163" s="69">
        <v>50000</v>
      </c>
      <c r="F163" s="181"/>
      <c r="G163" s="13"/>
      <c r="H163" s="68" t="s">
        <v>1801</v>
      </c>
      <c r="I163" s="13"/>
      <c r="J163" s="61"/>
      <c r="K163" s="61"/>
      <c r="L163" s="62"/>
      <c r="S163" s="13"/>
      <c r="T163" s="68" t="s">
        <v>1801</v>
      </c>
      <c r="U163" s="66">
        <v>1</v>
      </c>
      <c r="W163"/>
      <c r="X163"/>
      <c r="AC163" s="13"/>
      <c r="AD163" s="68" t="s">
        <v>245</v>
      </c>
      <c r="AE163" s="66"/>
    </row>
    <row r="164" spans="1:31">
      <c r="A164" s="13"/>
      <c r="B164" s="68" t="s">
        <v>452</v>
      </c>
      <c r="C164" s="69">
        <v>5000</v>
      </c>
      <c r="F164" s="181"/>
      <c r="G164" s="13"/>
      <c r="H164" s="68" t="s">
        <v>452</v>
      </c>
      <c r="I164" s="13"/>
      <c r="J164" s="61"/>
      <c r="K164" s="61"/>
      <c r="L164" s="62"/>
      <c r="S164" s="13"/>
      <c r="T164" s="68" t="s">
        <v>452</v>
      </c>
      <c r="U164" s="66">
        <v>1</v>
      </c>
      <c r="W164"/>
      <c r="X164"/>
      <c r="AC164" s="13"/>
      <c r="AD164" s="68" t="s">
        <v>269</v>
      </c>
      <c r="AE164" s="66"/>
    </row>
    <row r="165" spans="1:31">
      <c r="A165" s="13"/>
      <c r="B165" s="68" t="s">
        <v>1782</v>
      </c>
      <c r="C165" s="69">
        <v>50000</v>
      </c>
      <c r="F165" s="181"/>
      <c r="G165" s="13"/>
      <c r="H165" s="68" t="s">
        <v>1782</v>
      </c>
      <c r="I165" s="13"/>
      <c r="J165" s="61"/>
      <c r="K165" s="61"/>
      <c r="L165" s="62"/>
      <c r="S165" s="13"/>
      <c r="T165" s="68" t="s">
        <v>1782</v>
      </c>
      <c r="U165" s="66">
        <v>1</v>
      </c>
      <c r="W165"/>
      <c r="X165"/>
      <c r="AC165" s="13"/>
      <c r="AD165" s="68" t="s">
        <v>270</v>
      </c>
      <c r="AE165" s="66">
        <v>8400</v>
      </c>
    </row>
    <row r="166" spans="1:31">
      <c r="A166" s="13"/>
      <c r="B166" s="68" t="s">
        <v>275</v>
      </c>
      <c r="C166" s="69">
        <v>85000</v>
      </c>
      <c r="F166" s="181"/>
      <c r="G166" s="13"/>
      <c r="H166" s="68" t="s">
        <v>275</v>
      </c>
      <c r="I166" s="13"/>
      <c r="J166" s="61"/>
      <c r="K166" s="61"/>
      <c r="L166" s="62"/>
      <c r="S166" s="13"/>
      <c r="T166" s="68" t="s">
        <v>275</v>
      </c>
      <c r="U166" s="66">
        <v>1</v>
      </c>
      <c r="W166"/>
      <c r="X166"/>
      <c r="AC166" s="13"/>
      <c r="AD166" s="68" t="s">
        <v>1798</v>
      </c>
      <c r="AE166" s="66">
        <v>25000</v>
      </c>
    </row>
    <row r="167" spans="1:31">
      <c r="A167" s="13"/>
      <c r="B167" s="68" t="s">
        <v>1806</v>
      </c>
      <c r="C167" s="69">
        <v>200000</v>
      </c>
      <c r="F167" s="181"/>
      <c r="G167" s="13"/>
      <c r="H167" s="68" t="s">
        <v>1806</v>
      </c>
      <c r="I167" s="13"/>
      <c r="J167" s="61"/>
      <c r="K167" s="61"/>
      <c r="L167" s="62"/>
      <c r="S167" s="13"/>
      <c r="T167" s="68" t="s">
        <v>1806</v>
      </c>
      <c r="U167" s="66">
        <v>1</v>
      </c>
      <c r="W167"/>
      <c r="X167"/>
      <c r="AC167" s="5" t="s">
        <v>274</v>
      </c>
      <c r="AD167" s="12"/>
      <c r="AE167" s="15">
        <v>3539741</v>
      </c>
    </row>
    <row r="168" spans="1:31">
      <c r="A168" s="13"/>
      <c r="B168" s="68" t="s">
        <v>458</v>
      </c>
      <c r="C168" s="69">
        <v>102000</v>
      </c>
      <c r="F168" s="181"/>
      <c r="G168" s="13"/>
      <c r="H168" s="68" t="s">
        <v>458</v>
      </c>
      <c r="I168" s="13"/>
      <c r="J168" s="61"/>
      <c r="K168" s="61"/>
      <c r="L168" s="62"/>
      <c r="S168" s="13"/>
      <c r="T168" s="68" t="s">
        <v>458</v>
      </c>
      <c r="U168" s="66">
        <v>1</v>
      </c>
      <c r="W168"/>
      <c r="X168"/>
      <c r="AC168" s="5">
        <v>2007</v>
      </c>
      <c r="AD168" s="5" t="s">
        <v>1803</v>
      </c>
      <c r="AE168" s="15">
        <v>35940</v>
      </c>
    </row>
    <row r="169" spans="1:31">
      <c r="A169" s="13"/>
      <c r="B169" s="68" t="s">
        <v>453</v>
      </c>
      <c r="C169" s="69">
        <v>20000</v>
      </c>
      <c r="F169" s="181"/>
      <c r="G169" s="13"/>
      <c r="H169" s="68" t="s">
        <v>453</v>
      </c>
      <c r="I169" s="13"/>
      <c r="J169" s="61"/>
      <c r="K169" s="61"/>
      <c r="L169" s="62"/>
      <c r="S169" s="13"/>
      <c r="T169" s="68" t="s">
        <v>453</v>
      </c>
      <c r="U169" s="66">
        <v>1</v>
      </c>
      <c r="W169"/>
      <c r="X169"/>
      <c r="AC169" s="13"/>
      <c r="AD169" s="68" t="s">
        <v>1801</v>
      </c>
      <c r="AE169" s="66">
        <v>240000</v>
      </c>
    </row>
    <row r="170" spans="1:31">
      <c r="A170" s="13"/>
      <c r="B170" s="68" t="s">
        <v>1804</v>
      </c>
      <c r="C170" s="69">
        <v>245000</v>
      </c>
      <c r="F170" s="181"/>
      <c r="G170" s="13"/>
      <c r="H170" s="68" t="s">
        <v>1804</v>
      </c>
      <c r="I170" s="13"/>
      <c r="J170" s="61"/>
      <c r="K170" s="61"/>
      <c r="L170" s="62"/>
      <c r="S170" s="13"/>
      <c r="T170" s="68" t="s">
        <v>1804</v>
      </c>
      <c r="U170" s="66">
        <v>1</v>
      </c>
      <c r="W170"/>
      <c r="X170"/>
      <c r="AC170" s="13"/>
      <c r="AD170" s="68" t="s">
        <v>452</v>
      </c>
      <c r="AE170" s="66"/>
    </row>
    <row r="171" spans="1:31">
      <c r="A171" s="13"/>
      <c r="B171" s="68" t="s">
        <v>1774</v>
      </c>
      <c r="C171" s="69">
        <v>793500</v>
      </c>
      <c r="F171" s="181"/>
      <c r="G171" s="13"/>
      <c r="H171" s="68" t="s">
        <v>1774</v>
      </c>
      <c r="I171" s="13"/>
      <c r="J171" s="61"/>
      <c r="K171" s="61"/>
      <c r="L171" s="62"/>
      <c r="S171" s="13"/>
      <c r="T171" s="68" t="s">
        <v>1774</v>
      </c>
      <c r="U171" s="66">
        <v>1</v>
      </c>
      <c r="W171"/>
      <c r="X171"/>
      <c r="AC171" s="13"/>
      <c r="AD171" s="68" t="s">
        <v>1782</v>
      </c>
      <c r="AE171" s="66">
        <v>5475</v>
      </c>
    </row>
    <row r="172" spans="1:31">
      <c r="A172" s="13"/>
      <c r="B172" s="68" t="s">
        <v>1809</v>
      </c>
      <c r="C172" s="69">
        <v>5000</v>
      </c>
      <c r="F172" s="181"/>
      <c r="G172" s="13"/>
      <c r="H172" s="68" t="s">
        <v>1809</v>
      </c>
      <c r="I172" s="13"/>
      <c r="J172" s="61"/>
      <c r="K172" s="61"/>
      <c r="L172" s="62"/>
      <c r="S172" s="13"/>
      <c r="T172" s="68" t="s">
        <v>1809</v>
      </c>
      <c r="U172" s="66">
        <v>1</v>
      </c>
      <c r="W172"/>
      <c r="X172"/>
      <c r="AC172" s="13"/>
      <c r="AD172" s="68" t="s">
        <v>275</v>
      </c>
      <c r="AE172" s="66">
        <v>25000</v>
      </c>
    </row>
    <row r="173" spans="1:31">
      <c r="A173" s="13"/>
      <c r="B173" s="68" t="s">
        <v>456</v>
      </c>
      <c r="C173" s="69">
        <v>50000</v>
      </c>
      <c r="F173" s="181"/>
      <c r="G173" s="13"/>
      <c r="H173" s="68" t="s">
        <v>456</v>
      </c>
      <c r="I173" s="13"/>
      <c r="J173" s="61"/>
      <c r="K173" s="61"/>
      <c r="L173" s="62"/>
      <c r="S173" s="13"/>
      <c r="T173" s="68" t="s">
        <v>456</v>
      </c>
      <c r="U173" s="66">
        <v>1</v>
      </c>
      <c r="W173"/>
      <c r="X173"/>
      <c r="AC173" s="13"/>
      <c r="AD173" s="68" t="s">
        <v>1806</v>
      </c>
      <c r="AE173" s="66">
        <v>563000</v>
      </c>
    </row>
    <row r="174" spans="1:31">
      <c r="A174" s="13"/>
      <c r="B174" s="68" t="s">
        <v>277</v>
      </c>
      <c r="C174" s="69">
        <v>150000</v>
      </c>
      <c r="F174" s="181"/>
      <c r="G174" s="13"/>
      <c r="H174" s="68" t="s">
        <v>277</v>
      </c>
      <c r="I174" s="13"/>
      <c r="J174" s="61"/>
      <c r="K174" s="61"/>
      <c r="L174" s="62"/>
      <c r="S174" s="13"/>
      <c r="T174" s="68" t="s">
        <v>277</v>
      </c>
      <c r="U174" s="66">
        <v>2</v>
      </c>
      <c r="W174"/>
      <c r="X174"/>
      <c r="AC174" s="13"/>
      <c r="AD174" s="68" t="s">
        <v>458</v>
      </c>
      <c r="AE174" s="66">
        <v>60000</v>
      </c>
    </row>
    <row r="175" spans="1:31">
      <c r="A175" s="13"/>
      <c r="B175" s="68" t="s">
        <v>278</v>
      </c>
      <c r="C175" s="69">
        <v>100000</v>
      </c>
      <c r="F175" s="181"/>
      <c r="G175" s="13"/>
      <c r="H175" s="68" t="s">
        <v>278</v>
      </c>
      <c r="I175" s="13"/>
      <c r="J175" s="61"/>
      <c r="K175" s="61"/>
      <c r="L175" s="62"/>
      <c r="S175" s="13"/>
      <c r="T175" s="68" t="s">
        <v>278</v>
      </c>
      <c r="U175" s="66">
        <v>1</v>
      </c>
      <c r="W175"/>
      <c r="X175"/>
      <c r="AC175" s="13"/>
      <c r="AD175" s="68" t="s">
        <v>453</v>
      </c>
      <c r="AE175" s="66"/>
    </row>
    <row r="176" spans="1:31">
      <c r="A176" s="13"/>
      <c r="B176" s="68" t="s">
        <v>442</v>
      </c>
      <c r="C176" s="69">
        <v>2000000</v>
      </c>
      <c r="F176" s="181"/>
      <c r="G176" s="13"/>
      <c r="H176" s="68" t="s">
        <v>442</v>
      </c>
      <c r="I176" s="13"/>
      <c r="J176" s="61"/>
      <c r="K176" s="61"/>
      <c r="L176" s="62"/>
      <c r="S176" s="13"/>
      <c r="T176" s="68" t="s">
        <v>442</v>
      </c>
      <c r="U176" s="66">
        <v>1</v>
      </c>
      <c r="W176"/>
      <c r="X176"/>
      <c r="AC176" s="13"/>
      <c r="AD176" s="68" t="s">
        <v>1238</v>
      </c>
      <c r="AE176" s="66">
        <v>2000000</v>
      </c>
    </row>
    <row r="177" spans="1:31">
      <c r="A177" s="13"/>
      <c r="B177" s="68" t="s">
        <v>101</v>
      </c>
      <c r="C177" s="69">
        <v>200000</v>
      </c>
      <c r="F177" s="181"/>
      <c r="G177" s="13"/>
      <c r="H177" s="68" t="s">
        <v>101</v>
      </c>
      <c r="I177" s="13"/>
      <c r="J177" s="61"/>
      <c r="K177" s="61"/>
      <c r="L177" s="62"/>
      <c r="S177" s="13"/>
      <c r="T177" s="68" t="s">
        <v>101</v>
      </c>
      <c r="U177" s="66">
        <v>1</v>
      </c>
      <c r="W177"/>
      <c r="X177"/>
      <c r="AC177" s="13"/>
      <c r="AD177" s="68" t="s">
        <v>1804</v>
      </c>
      <c r="AE177" s="66">
        <v>100000</v>
      </c>
    </row>
    <row r="178" spans="1:31">
      <c r="A178" s="13"/>
      <c r="B178" s="68" t="s">
        <v>102</v>
      </c>
      <c r="C178" s="69">
        <v>46900</v>
      </c>
      <c r="F178" s="181"/>
      <c r="G178" s="13"/>
      <c r="H178" s="68" t="s">
        <v>102</v>
      </c>
      <c r="I178" s="13"/>
      <c r="J178" s="61"/>
      <c r="K178" s="61"/>
      <c r="L178" s="62"/>
      <c r="S178" s="13"/>
      <c r="T178" s="68" t="s">
        <v>102</v>
      </c>
      <c r="U178" s="66">
        <v>1</v>
      </c>
      <c r="W178"/>
      <c r="X178"/>
      <c r="AC178" s="13"/>
      <c r="AD178" s="68" t="s">
        <v>1774</v>
      </c>
      <c r="AE178" s="66">
        <v>1030000</v>
      </c>
    </row>
    <row r="179" spans="1:31">
      <c r="A179" s="13"/>
      <c r="B179" s="68" t="s">
        <v>1771</v>
      </c>
      <c r="C179" s="69">
        <v>63000</v>
      </c>
      <c r="F179" s="181"/>
      <c r="G179" s="13"/>
      <c r="H179" s="68" t="s">
        <v>1771</v>
      </c>
      <c r="I179" s="13"/>
      <c r="J179" s="61"/>
      <c r="K179" s="61"/>
      <c r="L179" s="62"/>
      <c r="S179" s="13"/>
      <c r="T179" s="68" t="s">
        <v>1771</v>
      </c>
      <c r="U179" s="66">
        <v>1</v>
      </c>
      <c r="W179" t="s">
        <v>1758</v>
      </c>
      <c r="X179"/>
      <c r="AC179" s="13"/>
      <c r="AD179" s="68" t="s">
        <v>1809</v>
      </c>
      <c r="AE179" s="66">
        <v>13000</v>
      </c>
    </row>
    <row r="180" spans="1:31">
      <c r="A180" s="13"/>
      <c r="B180" s="68" t="s">
        <v>1238</v>
      </c>
      <c r="C180" s="69">
        <v>1889600</v>
      </c>
      <c r="F180" s="181"/>
      <c r="G180" s="13"/>
      <c r="H180" s="68" t="s">
        <v>1238</v>
      </c>
      <c r="I180" s="13"/>
      <c r="J180" s="61"/>
      <c r="K180" s="61"/>
      <c r="L180" s="62"/>
      <c r="S180" s="13"/>
      <c r="T180" s="68" t="s">
        <v>1238</v>
      </c>
      <c r="U180" s="66">
        <v>1</v>
      </c>
      <c r="W180" s="70">
        <f>COUNT(U162:U180)</f>
        <v>19</v>
      </c>
      <c r="X180" s="70"/>
      <c r="AC180" s="13"/>
      <c r="AD180" s="68" t="s">
        <v>456</v>
      </c>
      <c r="AE180" s="66">
        <v>9000</v>
      </c>
    </row>
    <row r="181" spans="1:31">
      <c r="A181" s="5">
        <v>2008</v>
      </c>
      <c r="B181" s="5" t="s">
        <v>431</v>
      </c>
      <c r="C181" s="67">
        <v>1356654</v>
      </c>
      <c r="F181" s="181"/>
      <c r="G181" s="5">
        <v>2008</v>
      </c>
      <c r="H181" s="5" t="s">
        <v>431</v>
      </c>
      <c r="I181" s="13"/>
      <c r="J181" s="61"/>
      <c r="K181" s="61"/>
      <c r="L181" s="62"/>
      <c r="S181" s="5">
        <v>2008</v>
      </c>
      <c r="T181" s="5" t="s">
        <v>431</v>
      </c>
      <c r="U181" s="15">
        <v>1</v>
      </c>
      <c r="W181"/>
      <c r="X181"/>
      <c r="AC181" s="13"/>
      <c r="AD181" s="68" t="s">
        <v>277</v>
      </c>
      <c r="AE181" s="66">
        <v>612000</v>
      </c>
    </row>
    <row r="182" spans="1:31">
      <c r="A182" s="13"/>
      <c r="B182" s="68" t="s">
        <v>88</v>
      </c>
      <c r="C182" s="69">
        <v>124500</v>
      </c>
      <c r="F182" s="181"/>
      <c r="G182" s="13"/>
      <c r="H182" s="68" t="s">
        <v>88</v>
      </c>
      <c r="I182" s="13"/>
      <c r="J182" s="61"/>
      <c r="K182" s="61"/>
      <c r="L182" s="62"/>
      <c r="S182" s="13"/>
      <c r="T182" s="68" t="s">
        <v>88</v>
      </c>
      <c r="U182" s="66">
        <v>1</v>
      </c>
      <c r="W182"/>
      <c r="X182"/>
      <c r="AC182" s="13"/>
      <c r="AD182" s="68" t="s">
        <v>278</v>
      </c>
      <c r="AE182" s="66">
        <v>324000</v>
      </c>
    </row>
    <row r="183" spans="1:31">
      <c r="A183" s="13"/>
      <c r="B183" s="68" t="s">
        <v>91</v>
      </c>
      <c r="C183" s="69">
        <v>2000</v>
      </c>
      <c r="F183" s="181"/>
      <c r="G183" s="13"/>
      <c r="H183" s="68" t="s">
        <v>91</v>
      </c>
      <c r="I183" s="13"/>
      <c r="J183" s="61"/>
      <c r="K183" s="61"/>
      <c r="L183" s="62"/>
      <c r="S183" s="13"/>
      <c r="T183" s="68" t="s">
        <v>91</v>
      </c>
      <c r="U183" s="66">
        <v>1</v>
      </c>
      <c r="W183"/>
      <c r="X183"/>
      <c r="AC183" s="13"/>
      <c r="AD183" s="68" t="s">
        <v>442</v>
      </c>
      <c r="AE183" s="66">
        <v>150000</v>
      </c>
    </row>
    <row r="184" spans="1:31">
      <c r="A184" s="13"/>
      <c r="B184" s="68" t="s">
        <v>347</v>
      </c>
      <c r="C184" s="69">
        <v>55000000</v>
      </c>
      <c r="F184" s="181"/>
      <c r="G184" s="13"/>
      <c r="H184" s="68" t="s">
        <v>347</v>
      </c>
      <c r="I184" s="13"/>
      <c r="J184" s="61"/>
      <c r="K184" s="61"/>
      <c r="L184" s="62"/>
      <c r="S184" s="13"/>
      <c r="T184" s="68" t="s">
        <v>347</v>
      </c>
      <c r="U184" s="66">
        <v>1</v>
      </c>
      <c r="W184"/>
      <c r="X184"/>
      <c r="AC184" s="13"/>
      <c r="AD184" s="68" t="s">
        <v>101</v>
      </c>
      <c r="AE184" s="66">
        <v>125000</v>
      </c>
    </row>
    <row r="185" spans="1:31">
      <c r="A185" s="13"/>
      <c r="B185" s="68" t="s">
        <v>349</v>
      </c>
      <c r="C185" s="69">
        <v>867000</v>
      </c>
      <c r="F185" s="181"/>
      <c r="G185" s="13"/>
      <c r="H185" s="68" t="s">
        <v>349</v>
      </c>
      <c r="I185" s="13"/>
      <c r="J185" s="61"/>
      <c r="K185" s="61"/>
      <c r="L185" s="62"/>
      <c r="S185" s="13"/>
      <c r="T185" s="68" t="s">
        <v>349</v>
      </c>
      <c r="U185" s="66">
        <v>1</v>
      </c>
      <c r="W185"/>
      <c r="X185"/>
      <c r="AC185" s="13"/>
      <c r="AD185" s="68" t="s">
        <v>102</v>
      </c>
      <c r="AE185" s="66">
        <v>15000</v>
      </c>
    </row>
    <row r="186" spans="1:31">
      <c r="A186" s="13"/>
      <c r="B186" s="68" t="s">
        <v>92</v>
      </c>
      <c r="C186" s="69">
        <v>245000</v>
      </c>
      <c r="F186" s="181"/>
      <c r="G186" s="13"/>
      <c r="H186" s="68" t="s">
        <v>92</v>
      </c>
      <c r="I186" s="13"/>
      <c r="J186" s="61"/>
      <c r="K186" s="61"/>
      <c r="L186" s="62"/>
      <c r="S186" s="13"/>
      <c r="T186" s="68" t="s">
        <v>92</v>
      </c>
      <c r="U186" s="66">
        <v>1</v>
      </c>
      <c r="W186"/>
      <c r="X186"/>
      <c r="AC186" s="13"/>
      <c r="AD186" s="68" t="s">
        <v>1771</v>
      </c>
      <c r="AE186" s="66">
        <v>60400</v>
      </c>
    </row>
    <row r="187" spans="1:31">
      <c r="A187" s="13"/>
      <c r="B187" s="68" t="s">
        <v>93</v>
      </c>
      <c r="C187" s="69">
        <v>100000</v>
      </c>
      <c r="F187" s="181"/>
      <c r="G187" s="13"/>
      <c r="H187" s="68" t="s">
        <v>93</v>
      </c>
      <c r="I187" s="13"/>
      <c r="J187" s="61"/>
      <c r="K187" s="61"/>
      <c r="L187" s="62"/>
      <c r="S187" s="13"/>
      <c r="T187" s="68" t="s">
        <v>93</v>
      </c>
      <c r="U187" s="66">
        <v>1</v>
      </c>
      <c r="W187"/>
      <c r="X187"/>
      <c r="AC187" s="5" t="s">
        <v>279</v>
      </c>
      <c r="AD187" s="12"/>
      <c r="AE187" s="15">
        <v>5367815</v>
      </c>
    </row>
    <row r="188" spans="1:31">
      <c r="A188" s="13"/>
      <c r="B188" s="68" t="s">
        <v>94</v>
      </c>
      <c r="C188" s="69">
        <v>40000</v>
      </c>
      <c r="F188" s="181"/>
      <c r="G188" s="13"/>
      <c r="H188" s="68" t="s">
        <v>94</v>
      </c>
      <c r="I188" s="13"/>
      <c r="J188" s="61"/>
      <c r="K188" s="61"/>
      <c r="L188" s="62"/>
      <c r="S188" s="13"/>
      <c r="T188" s="68" t="s">
        <v>94</v>
      </c>
      <c r="U188" s="66">
        <v>1</v>
      </c>
      <c r="W188"/>
      <c r="X188"/>
      <c r="AC188" s="5">
        <v>2008</v>
      </c>
      <c r="AD188" s="5" t="s">
        <v>431</v>
      </c>
      <c r="AE188" s="15">
        <v>1215000</v>
      </c>
    </row>
    <row r="189" spans="1:31">
      <c r="A189" s="13"/>
      <c r="B189" s="68" t="s">
        <v>95</v>
      </c>
      <c r="C189" s="69">
        <v>12400</v>
      </c>
      <c r="F189" s="181"/>
      <c r="G189" s="13"/>
      <c r="H189" s="68" t="s">
        <v>95</v>
      </c>
      <c r="I189" s="13"/>
      <c r="J189" s="61"/>
      <c r="K189" s="61"/>
      <c r="L189" s="62"/>
      <c r="S189" s="13"/>
      <c r="T189" s="68" t="s">
        <v>95</v>
      </c>
      <c r="U189" s="66">
        <v>1</v>
      </c>
      <c r="W189"/>
      <c r="X189"/>
      <c r="AC189" s="13"/>
      <c r="AD189" s="68" t="s">
        <v>88</v>
      </c>
      <c r="AE189" s="66">
        <v>1200000</v>
      </c>
    </row>
    <row r="190" spans="1:31">
      <c r="A190" s="13"/>
      <c r="B190" s="68" t="s">
        <v>445</v>
      </c>
      <c r="C190" s="69">
        <v>335745</v>
      </c>
      <c r="F190" s="181"/>
      <c r="G190" s="13"/>
      <c r="H190" s="68" t="s">
        <v>445</v>
      </c>
      <c r="I190" s="13"/>
      <c r="J190" s="61"/>
      <c r="K190" s="61"/>
      <c r="L190" s="62"/>
      <c r="S190" s="13"/>
      <c r="T190" s="68" t="s">
        <v>445</v>
      </c>
      <c r="U190" s="66">
        <v>3</v>
      </c>
      <c r="W190"/>
      <c r="X190"/>
      <c r="AC190" s="13"/>
      <c r="AD190" s="68" t="s">
        <v>91</v>
      </c>
      <c r="AE190" s="66">
        <v>4000</v>
      </c>
    </row>
    <row r="191" spans="1:31">
      <c r="A191" s="13"/>
      <c r="B191" s="68" t="s">
        <v>440</v>
      </c>
      <c r="C191" s="69">
        <v>120000</v>
      </c>
      <c r="F191" s="181"/>
      <c r="G191" s="13"/>
      <c r="H191" s="68" t="s">
        <v>440</v>
      </c>
      <c r="I191" s="13"/>
      <c r="J191" s="61"/>
      <c r="K191" s="61"/>
      <c r="L191" s="62"/>
      <c r="S191" s="13"/>
      <c r="T191" s="68" t="s">
        <v>440</v>
      </c>
      <c r="U191" s="66">
        <v>3</v>
      </c>
      <c r="W191"/>
      <c r="X191"/>
      <c r="AC191" s="13"/>
      <c r="AD191" s="68" t="s">
        <v>347</v>
      </c>
      <c r="AE191" s="66">
        <v>500000</v>
      </c>
    </row>
    <row r="192" spans="1:31">
      <c r="A192" s="13"/>
      <c r="B192" s="68" t="s">
        <v>437</v>
      </c>
      <c r="C192" s="69">
        <v>3000</v>
      </c>
      <c r="F192" s="181"/>
      <c r="G192" s="13"/>
      <c r="H192" s="68" t="s">
        <v>437</v>
      </c>
      <c r="I192" s="13"/>
      <c r="J192" s="61"/>
      <c r="K192" s="61"/>
      <c r="L192" s="62"/>
      <c r="S192" s="13"/>
      <c r="T192" s="68" t="s">
        <v>437</v>
      </c>
      <c r="U192" s="66">
        <v>1</v>
      </c>
      <c r="W192"/>
      <c r="X192"/>
      <c r="AC192" s="13"/>
      <c r="AD192" s="68" t="s">
        <v>349</v>
      </c>
      <c r="AE192" s="66">
        <v>0</v>
      </c>
    </row>
    <row r="193" spans="1:31">
      <c r="A193" s="13"/>
      <c r="B193" s="68" t="s">
        <v>96</v>
      </c>
      <c r="C193" s="69">
        <v>519000</v>
      </c>
      <c r="F193" s="181"/>
      <c r="G193" s="13"/>
      <c r="H193" s="68" t="s">
        <v>96</v>
      </c>
      <c r="I193" s="13"/>
      <c r="J193" s="61"/>
      <c r="K193" s="61"/>
      <c r="L193" s="62"/>
      <c r="S193" s="13"/>
      <c r="T193" s="68" t="s">
        <v>96</v>
      </c>
      <c r="U193" s="66">
        <v>2</v>
      </c>
      <c r="W193"/>
      <c r="X193"/>
      <c r="AC193" s="13"/>
      <c r="AD193" s="68" t="s">
        <v>92</v>
      </c>
      <c r="AE193" s="66">
        <v>15220</v>
      </c>
    </row>
    <row r="194" spans="1:31">
      <c r="A194" s="13"/>
      <c r="B194" s="68" t="s">
        <v>350</v>
      </c>
      <c r="C194" s="69">
        <v>300000</v>
      </c>
      <c r="F194" s="181"/>
      <c r="G194" s="13"/>
      <c r="H194" s="68" t="s">
        <v>350</v>
      </c>
      <c r="I194" s="13"/>
      <c r="J194" s="61"/>
      <c r="K194" s="61"/>
      <c r="L194" s="62"/>
      <c r="S194" s="13"/>
      <c r="T194" s="68" t="s">
        <v>350</v>
      </c>
      <c r="U194" s="66">
        <v>1</v>
      </c>
      <c r="W194"/>
      <c r="X194"/>
      <c r="AC194" s="13"/>
      <c r="AD194" s="68" t="s">
        <v>93</v>
      </c>
      <c r="AE194" s="66">
        <v>76075</v>
      </c>
    </row>
    <row r="195" spans="1:31">
      <c r="A195" s="13"/>
      <c r="B195" s="68" t="s">
        <v>348</v>
      </c>
      <c r="C195" s="69">
        <v>50000</v>
      </c>
      <c r="F195" s="181"/>
      <c r="G195" s="13"/>
      <c r="H195" s="68" t="s">
        <v>348</v>
      </c>
      <c r="I195" s="13"/>
      <c r="J195" s="61"/>
      <c r="K195" s="61"/>
      <c r="L195" s="62"/>
      <c r="S195" s="13"/>
      <c r="T195" s="68" t="s">
        <v>348</v>
      </c>
      <c r="U195" s="66">
        <v>1</v>
      </c>
      <c r="W195"/>
      <c r="X195"/>
      <c r="AC195" s="13"/>
      <c r="AD195" s="68" t="s">
        <v>94</v>
      </c>
      <c r="AE195" s="66"/>
    </row>
    <row r="196" spans="1:31">
      <c r="A196" s="13"/>
      <c r="B196" s="68" t="s">
        <v>97</v>
      </c>
      <c r="C196" s="69">
        <v>1900000</v>
      </c>
      <c r="F196" s="181"/>
      <c r="G196" s="13"/>
      <c r="H196" s="68" t="s">
        <v>97</v>
      </c>
      <c r="I196" s="13"/>
      <c r="J196" s="61"/>
      <c r="K196" s="61"/>
      <c r="L196" s="62"/>
      <c r="S196" s="13"/>
      <c r="T196" s="68" t="s">
        <v>97</v>
      </c>
      <c r="U196" s="66">
        <v>1</v>
      </c>
      <c r="W196"/>
      <c r="X196"/>
      <c r="AC196" s="13"/>
      <c r="AD196" s="68" t="s">
        <v>95</v>
      </c>
      <c r="AE196" s="66">
        <v>0</v>
      </c>
    </row>
    <row r="197" spans="1:31">
      <c r="A197" s="13"/>
      <c r="B197" s="68" t="s">
        <v>62</v>
      </c>
      <c r="C197" s="69">
        <v>3400000</v>
      </c>
      <c r="F197" s="181"/>
      <c r="G197" s="13"/>
      <c r="H197" s="68" t="s">
        <v>62</v>
      </c>
      <c r="I197" s="13"/>
      <c r="J197" s="61"/>
      <c r="K197" s="61"/>
      <c r="L197" s="62"/>
      <c r="S197" s="13"/>
      <c r="T197" s="68" t="s">
        <v>62</v>
      </c>
      <c r="U197" s="66">
        <v>1</v>
      </c>
      <c r="W197"/>
      <c r="X197"/>
      <c r="AC197" s="13"/>
      <c r="AD197" s="68" t="s">
        <v>445</v>
      </c>
      <c r="AE197" s="66">
        <v>108550</v>
      </c>
    </row>
    <row r="198" spans="1:31">
      <c r="A198" s="13"/>
      <c r="B198" s="68" t="s">
        <v>1145</v>
      </c>
      <c r="C198" s="69">
        <v>50000</v>
      </c>
      <c r="F198" s="181"/>
      <c r="G198" s="13"/>
      <c r="H198" s="68" t="s">
        <v>1145</v>
      </c>
      <c r="I198" s="13"/>
      <c r="J198" s="61"/>
      <c r="K198" s="61"/>
      <c r="L198" s="62"/>
      <c r="S198" s="13"/>
      <c r="T198" s="68" t="s">
        <v>1145</v>
      </c>
      <c r="U198" s="66">
        <v>1</v>
      </c>
      <c r="W198"/>
      <c r="X198"/>
      <c r="AC198" s="13"/>
      <c r="AD198" s="68" t="s">
        <v>440</v>
      </c>
      <c r="AE198" s="66">
        <v>31658</v>
      </c>
    </row>
    <row r="199" spans="1:31">
      <c r="A199" s="13"/>
      <c r="B199" s="68" t="s">
        <v>451</v>
      </c>
      <c r="C199" s="69">
        <v>295000</v>
      </c>
      <c r="F199" s="181"/>
      <c r="G199" s="13"/>
      <c r="H199" s="68" t="s">
        <v>451</v>
      </c>
      <c r="I199" s="13"/>
      <c r="J199" s="61"/>
      <c r="K199" s="61"/>
      <c r="L199" s="62"/>
      <c r="S199" s="13"/>
      <c r="T199" s="68" t="s">
        <v>451</v>
      </c>
      <c r="U199" s="66">
        <v>1</v>
      </c>
      <c r="W199"/>
      <c r="X199"/>
      <c r="AC199" s="13"/>
      <c r="AD199" s="68" t="s">
        <v>437</v>
      </c>
      <c r="AE199" s="66"/>
    </row>
    <row r="200" spans="1:31">
      <c r="A200" s="13"/>
      <c r="B200" s="68" t="s">
        <v>98</v>
      </c>
      <c r="C200" s="69">
        <v>23750</v>
      </c>
      <c r="F200" s="181"/>
      <c r="G200" s="13"/>
      <c r="H200" s="68" t="s">
        <v>98</v>
      </c>
      <c r="I200" s="13"/>
      <c r="J200" s="61"/>
      <c r="K200" s="61"/>
      <c r="L200" s="62"/>
      <c r="S200" s="13"/>
      <c r="T200" s="68" t="s">
        <v>98</v>
      </c>
      <c r="U200" s="66">
        <v>1</v>
      </c>
      <c r="W200"/>
      <c r="X200"/>
      <c r="AC200" s="13"/>
      <c r="AD200" s="68" t="s">
        <v>96</v>
      </c>
      <c r="AE200" s="66">
        <v>1150000</v>
      </c>
    </row>
    <row r="201" spans="1:31">
      <c r="A201" s="13"/>
      <c r="B201" s="68" t="s">
        <v>99</v>
      </c>
      <c r="C201" s="69">
        <v>3400000</v>
      </c>
      <c r="F201" s="181"/>
      <c r="G201" s="13"/>
      <c r="H201" s="68" t="s">
        <v>99</v>
      </c>
      <c r="I201" s="13"/>
      <c r="J201" s="61"/>
      <c r="K201" s="61"/>
      <c r="L201" s="62"/>
      <c r="S201" s="13"/>
      <c r="T201" s="68" t="s">
        <v>99</v>
      </c>
      <c r="U201" s="66">
        <v>1</v>
      </c>
      <c r="W201"/>
      <c r="X201"/>
      <c r="AC201" s="13"/>
      <c r="AD201" s="68" t="s">
        <v>350</v>
      </c>
      <c r="AE201" s="66">
        <v>500000</v>
      </c>
    </row>
    <row r="202" spans="1:31">
      <c r="A202" s="13"/>
      <c r="B202" s="68" t="s">
        <v>346</v>
      </c>
      <c r="C202" s="69">
        <v>185000</v>
      </c>
      <c r="F202" s="181"/>
      <c r="G202" s="13"/>
      <c r="H202" s="68" t="s">
        <v>346</v>
      </c>
      <c r="I202" s="13"/>
      <c r="J202" s="61"/>
      <c r="K202" s="61"/>
      <c r="L202" s="62"/>
      <c r="S202" s="13"/>
      <c r="T202" s="68" t="s">
        <v>346</v>
      </c>
      <c r="U202" s="66">
        <v>1</v>
      </c>
      <c r="W202"/>
      <c r="X202"/>
      <c r="AC202" s="13"/>
      <c r="AD202" s="68" t="s">
        <v>348</v>
      </c>
      <c r="AE202" s="66">
        <v>50000</v>
      </c>
    </row>
    <row r="203" spans="1:31">
      <c r="A203" s="13"/>
      <c r="B203" s="68" t="s">
        <v>100</v>
      </c>
      <c r="C203" s="69">
        <v>10000</v>
      </c>
      <c r="F203" s="181"/>
      <c r="G203" s="13"/>
      <c r="H203" s="68" t="s">
        <v>100</v>
      </c>
      <c r="I203" s="13"/>
      <c r="J203" s="61"/>
      <c r="K203" s="61"/>
      <c r="L203" s="62"/>
      <c r="S203" s="13"/>
      <c r="T203" s="68" t="s">
        <v>100</v>
      </c>
      <c r="U203" s="66">
        <v>1</v>
      </c>
      <c r="W203"/>
      <c r="X203"/>
      <c r="AC203" s="13"/>
      <c r="AD203" s="68" t="s">
        <v>97</v>
      </c>
      <c r="AE203" s="66">
        <v>44380</v>
      </c>
    </row>
    <row r="204" spans="1:31">
      <c r="A204" s="13"/>
      <c r="B204" s="68" t="s">
        <v>890</v>
      </c>
      <c r="C204" s="69">
        <v>348500</v>
      </c>
      <c r="F204" s="181"/>
      <c r="G204" s="13"/>
      <c r="H204" s="68" t="s">
        <v>890</v>
      </c>
      <c r="I204" s="13"/>
      <c r="J204" s="61"/>
      <c r="K204" s="61"/>
      <c r="L204" s="62"/>
      <c r="S204" s="13"/>
      <c r="T204" s="68" t="s">
        <v>890</v>
      </c>
      <c r="U204" s="66">
        <v>2</v>
      </c>
      <c r="W204"/>
      <c r="X204"/>
      <c r="AC204" s="13"/>
      <c r="AD204" s="68" t="s">
        <v>62</v>
      </c>
      <c r="AE204" s="66">
        <v>500000</v>
      </c>
    </row>
    <row r="205" spans="1:31">
      <c r="A205" s="13"/>
      <c r="B205" s="68" t="s">
        <v>101</v>
      </c>
      <c r="C205" s="69">
        <v>714000</v>
      </c>
      <c r="F205" s="181"/>
      <c r="G205" s="13"/>
      <c r="H205" s="68" t="s">
        <v>101</v>
      </c>
      <c r="I205" s="13"/>
      <c r="J205" s="61"/>
      <c r="K205" s="61"/>
      <c r="L205" s="62"/>
      <c r="S205" s="13"/>
      <c r="T205" s="68" t="s">
        <v>101</v>
      </c>
      <c r="U205" s="66">
        <v>1</v>
      </c>
      <c r="W205"/>
      <c r="X205"/>
      <c r="AC205" s="13"/>
      <c r="AD205" s="68" t="s">
        <v>1145</v>
      </c>
      <c r="AE205" s="66">
        <v>150000</v>
      </c>
    </row>
    <row r="206" spans="1:31">
      <c r="A206" s="13"/>
      <c r="B206" s="68" t="s">
        <v>102</v>
      </c>
      <c r="C206" s="69">
        <v>153400</v>
      </c>
      <c r="F206" s="181"/>
      <c r="G206" s="13"/>
      <c r="H206" s="68" t="s">
        <v>102</v>
      </c>
      <c r="I206" s="13"/>
      <c r="J206" s="61"/>
      <c r="K206" s="61"/>
      <c r="L206" s="62"/>
      <c r="S206" s="13"/>
      <c r="T206" s="68" t="s">
        <v>102</v>
      </c>
      <c r="U206" s="66">
        <v>1</v>
      </c>
      <c r="W206"/>
      <c r="X206"/>
      <c r="AC206" s="13"/>
      <c r="AD206" s="68" t="s">
        <v>451</v>
      </c>
      <c r="AE206" s="66">
        <v>257500</v>
      </c>
    </row>
    <row r="207" spans="1:31">
      <c r="A207" s="13"/>
      <c r="B207" s="68" t="s">
        <v>103</v>
      </c>
      <c r="C207" s="69">
        <v>19970</v>
      </c>
      <c r="F207" s="181"/>
      <c r="G207" s="13"/>
      <c r="H207" s="68" t="s">
        <v>103</v>
      </c>
      <c r="I207" s="13"/>
      <c r="J207" s="61"/>
      <c r="K207" s="61"/>
      <c r="L207" s="62"/>
      <c r="S207" s="13"/>
      <c r="T207" s="68" t="s">
        <v>103</v>
      </c>
      <c r="U207" s="66">
        <v>1</v>
      </c>
      <c r="W207"/>
      <c r="X207"/>
      <c r="AC207" s="13"/>
      <c r="AD207" s="68" t="s">
        <v>98</v>
      </c>
      <c r="AE207" s="66">
        <v>13000</v>
      </c>
    </row>
    <row r="208" spans="1:31">
      <c r="A208" s="13"/>
      <c r="B208" s="68" t="s">
        <v>434</v>
      </c>
      <c r="C208" s="69">
        <v>199568</v>
      </c>
      <c r="F208" s="181"/>
      <c r="G208" s="13"/>
      <c r="H208" s="68" t="s">
        <v>434</v>
      </c>
      <c r="I208" s="13"/>
      <c r="J208" s="61"/>
      <c r="K208" s="61"/>
      <c r="L208" s="62"/>
      <c r="S208" s="13"/>
      <c r="T208" s="68" t="s">
        <v>434</v>
      </c>
      <c r="U208" s="66">
        <v>3</v>
      </c>
      <c r="W208"/>
      <c r="X208"/>
      <c r="AC208" s="13"/>
      <c r="AD208" s="68" t="s">
        <v>99</v>
      </c>
      <c r="AE208" s="66">
        <v>37500</v>
      </c>
    </row>
    <row r="209" spans="1:31">
      <c r="A209" s="13"/>
      <c r="B209" s="68" t="s">
        <v>104</v>
      </c>
      <c r="C209" s="69">
        <v>17400</v>
      </c>
      <c r="F209" s="181"/>
      <c r="G209" s="13"/>
      <c r="H209" s="68" t="s">
        <v>104</v>
      </c>
      <c r="I209" s="13"/>
      <c r="J209" s="61"/>
      <c r="K209" s="61"/>
      <c r="L209" s="62"/>
      <c r="S209" s="13"/>
      <c r="T209" s="68" t="s">
        <v>104</v>
      </c>
      <c r="U209" s="66">
        <v>1</v>
      </c>
      <c r="W209"/>
      <c r="X209"/>
      <c r="AC209" s="13"/>
      <c r="AD209" s="68" t="s">
        <v>346</v>
      </c>
      <c r="AE209" s="66">
        <v>30000</v>
      </c>
    </row>
    <row r="210" spans="1:31">
      <c r="A210" s="13"/>
      <c r="B210" s="68" t="s">
        <v>105</v>
      </c>
      <c r="C210" s="69">
        <v>20188</v>
      </c>
      <c r="F210" s="181"/>
      <c r="G210" s="13"/>
      <c r="H210" s="68" t="s">
        <v>105</v>
      </c>
      <c r="I210" s="13"/>
      <c r="J210" s="61"/>
      <c r="K210" s="61"/>
      <c r="L210" s="62"/>
      <c r="S210" s="13"/>
      <c r="T210" s="68" t="s">
        <v>105</v>
      </c>
      <c r="U210" s="66">
        <v>1</v>
      </c>
      <c r="W210" t="s">
        <v>1758</v>
      </c>
      <c r="X210"/>
      <c r="AC210" s="13"/>
      <c r="AD210" s="68" t="s">
        <v>100</v>
      </c>
      <c r="AE210" s="66">
        <v>30000</v>
      </c>
    </row>
    <row r="211" spans="1:31">
      <c r="A211" s="13"/>
      <c r="B211" s="68" t="s">
        <v>199</v>
      </c>
      <c r="C211" s="69">
        <v>115000</v>
      </c>
      <c r="F211" s="181"/>
      <c r="G211" s="13"/>
      <c r="H211" s="68" t="s">
        <v>199</v>
      </c>
      <c r="I211" s="13"/>
      <c r="J211" s="61"/>
      <c r="K211" s="61"/>
      <c r="L211" s="62"/>
      <c r="S211" s="13"/>
      <c r="T211" s="68" t="s">
        <v>199</v>
      </c>
      <c r="U211" s="66">
        <v>1</v>
      </c>
      <c r="W211" s="70">
        <f>COUNT(U181:U211)</f>
        <v>31</v>
      </c>
      <c r="X211" s="70"/>
      <c r="AC211" s="13"/>
      <c r="AD211" s="68" t="s">
        <v>890</v>
      </c>
      <c r="AE211" s="66">
        <v>100250</v>
      </c>
    </row>
    <row r="212" spans="1:31">
      <c r="A212" s="5">
        <v>2009</v>
      </c>
      <c r="B212" s="5" t="s">
        <v>83</v>
      </c>
      <c r="C212" s="67">
        <v>200000</v>
      </c>
      <c r="F212" s="181"/>
      <c r="G212" s="5">
        <v>2009</v>
      </c>
      <c r="H212" s="5" t="s">
        <v>83</v>
      </c>
      <c r="I212" s="13"/>
      <c r="J212" s="61"/>
      <c r="K212" s="61"/>
      <c r="L212" s="62"/>
      <c r="S212" s="5">
        <v>2009</v>
      </c>
      <c r="T212" s="5" t="s">
        <v>83</v>
      </c>
      <c r="U212" s="15">
        <v>1</v>
      </c>
      <c r="W212"/>
      <c r="X212"/>
      <c r="AC212" s="13"/>
      <c r="AD212" s="68" t="s">
        <v>101</v>
      </c>
      <c r="AE212" s="66">
        <v>600000</v>
      </c>
    </row>
    <row r="213" spans="1:31">
      <c r="A213" s="13"/>
      <c r="B213" s="68" t="s">
        <v>873</v>
      </c>
      <c r="C213" s="69">
        <v>1520000</v>
      </c>
      <c r="F213" s="181"/>
      <c r="G213" s="13"/>
      <c r="H213" s="68" t="s">
        <v>873</v>
      </c>
      <c r="I213" s="13"/>
      <c r="J213" s="61"/>
      <c r="K213" s="61"/>
      <c r="L213" s="62"/>
      <c r="S213" s="13"/>
      <c r="T213" s="68" t="s">
        <v>873</v>
      </c>
      <c r="U213" s="66">
        <v>1</v>
      </c>
      <c r="W213"/>
      <c r="X213"/>
      <c r="AC213" s="13"/>
      <c r="AD213" s="68" t="s">
        <v>102</v>
      </c>
      <c r="AE213" s="66">
        <v>200000</v>
      </c>
    </row>
    <row r="214" spans="1:31">
      <c r="A214" s="13"/>
      <c r="B214" s="68" t="s">
        <v>29</v>
      </c>
      <c r="C214" s="69">
        <v>0</v>
      </c>
      <c r="F214" s="181"/>
      <c r="G214" s="13"/>
      <c r="H214" s="68" t="s">
        <v>29</v>
      </c>
      <c r="I214" s="13"/>
      <c r="J214" s="61"/>
      <c r="K214" s="61"/>
      <c r="L214" s="62"/>
      <c r="S214" s="13"/>
      <c r="T214" s="68" t="s">
        <v>29</v>
      </c>
      <c r="U214" s="66">
        <v>1</v>
      </c>
      <c r="W214"/>
      <c r="X214"/>
      <c r="AC214" s="13"/>
      <c r="AD214" s="68" t="s">
        <v>103</v>
      </c>
      <c r="AE214" s="66">
        <v>94825</v>
      </c>
    </row>
    <row r="215" spans="1:31">
      <c r="A215" s="13"/>
      <c r="B215" s="68" t="s">
        <v>1843</v>
      </c>
      <c r="C215" s="69">
        <v>0</v>
      </c>
      <c r="F215" s="181"/>
      <c r="G215" s="13"/>
      <c r="H215" s="68" t="s">
        <v>1843</v>
      </c>
      <c r="I215" s="13"/>
      <c r="J215" s="61"/>
      <c r="K215" s="61"/>
      <c r="L215" s="62"/>
      <c r="S215" s="13"/>
      <c r="T215" s="68" t="s">
        <v>1843</v>
      </c>
      <c r="U215" s="66">
        <v>1</v>
      </c>
      <c r="W215"/>
      <c r="X215"/>
      <c r="AC215" s="13"/>
      <c r="AD215" s="68" t="s">
        <v>434</v>
      </c>
      <c r="AE215" s="66">
        <v>52995</v>
      </c>
    </row>
    <row r="216" spans="1:31">
      <c r="A216" s="13"/>
      <c r="B216" s="68" t="s">
        <v>1844</v>
      </c>
      <c r="C216" s="69">
        <v>121044</v>
      </c>
      <c r="F216" s="181"/>
      <c r="G216" s="13"/>
      <c r="H216" s="68" t="s">
        <v>1844</v>
      </c>
      <c r="I216" s="13"/>
      <c r="J216" s="61"/>
      <c r="K216" s="61"/>
      <c r="L216" s="62"/>
      <c r="S216" s="13"/>
      <c r="T216" s="68" t="s">
        <v>1844</v>
      </c>
      <c r="U216" s="66">
        <v>1</v>
      </c>
      <c r="W216"/>
      <c r="X216"/>
      <c r="AC216" s="13"/>
      <c r="AD216" s="68" t="s">
        <v>104</v>
      </c>
      <c r="AE216" s="66">
        <v>125000</v>
      </c>
    </row>
    <row r="217" spans="1:31">
      <c r="A217" s="13"/>
      <c r="B217" s="68" t="s">
        <v>343</v>
      </c>
      <c r="C217" s="69">
        <v>246683</v>
      </c>
      <c r="F217" s="181"/>
      <c r="G217" s="13"/>
      <c r="H217" s="68" t="s">
        <v>343</v>
      </c>
      <c r="I217" s="13"/>
      <c r="J217" s="61"/>
      <c r="K217" s="61"/>
      <c r="L217" s="62"/>
      <c r="S217" s="13"/>
      <c r="T217" s="68" t="s">
        <v>343</v>
      </c>
      <c r="U217" s="66">
        <v>4</v>
      </c>
      <c r="W217"/>
      <c r="X217"/>
      <c r="AC217" s="13"/>
      <c r="AD217" s="68" t="s">
        <v>105</v>
      </c>
      <c r="AE217" s="66"/>
    </row>
    <row r="218" spans="1:31">
      <c r="A218" s="13"/>
      <c r="B218" s="68" t="s">
        <v>441</v>
      </c>
      <c r="C218" s="69">
        <v>30000</v>
      </c>
      <c r="F218" s="181"/>
      <c r="G218" s="13"/>
      <c r="H218" s="68" t="s">
        <v>441</v>
      </c>
      <c r="I218" s="13"/>
      <c r="J218" s="61"/>
      <c r="K218" s="61"/>
      <c r="L218" s="62"/>
      <c r="S218" s="13"/>
      <c r="T218" s="68" t="s">
        <v>441</v>
      </c>
      <c r="U218" s="66">
        <v>1</v>
      </c>
      <c r="W218"/>
      <c r="X218"/>
      <c r="AC218" s="13"/>
      <c r="AD218" s="68" t="s">
        <v>199</v>
      </c>
      <c r="AE218" s="66">
        <v>180000</v>
      </c>
    </row>
    <row r="219" spans="1:31">
      <c r="A219" s="13"/>
      <c r="B219" s="68" t="s">
        <v>557</v>
      </c>
      <c r="C219" s="69">
        <v>74200</v>
      </c>
      <c r="F219" s="181"/>
      <c r="G219" s="13"/>
      <c r="H219" s="68" t="s">
        <v>557</v>
      </c>
      <c r="I219" s="13"/>
      <c r="J219" s="61"/>
      <c r="K219" s="61"/>
      <c r="L219" s="62"/>
      <c r="S219" s="13"/>
      <c r="T219" s="68" t="s">
        <v>557</v>
      </c>
      <c r="U219" s="66">
        <v>1</v>
      </c>
      <c r="W219"/>
      <c r="X219"/>
      <c r="AC219" s="5" t="s">
        <v>280</v>
      </c>
      <c r="AD219" s="12"/>
      <c r="AE219" s="15">
        <v>7265953</v>
      </c>
    </row>
    <row r="220" spans="1:31">
      <c r="A220" s="13"/>
      <c r="B220" s="68" t="s">
        <v>344</v>
      </c>
      <c r="C220" s="69">
        <v>1129943</v>
      </c>
      <c r="F220" s="181"/>
      <c r="G220" s="13"/>
      <c r="H220" s="68" t="s">
        <v>344</v>
      </c>
      <c r="I220" s="13"/>
      <c r="J220" s="61"/>
      <c r="K220" s="61"/>
      <c r="L220" s="62"/>
      <c r="S220" s="13"/>
      <c r="T220" s="68" t="s">
        <v>344</v>
      </c>
      <c r="U220" s="66">
        <v>1</v>
      </c>
      <c r="W220"/>
      <c r="X220"/>
      <c r="AC220" s="5">
        <v>2009</v>
      </c>
      <c r="AD220" s="5" t="s">
        <v>83</v>
      </c>
      <c r="AE220" s="15">
        <v>25000000</v>
      </c>
    </row>
    <row r="221" spans="1:31">
      <c r="A221" s="13"/>
      <c r="B221" s="68" t="s">
        <v>1845</v>
      </c>
      <c r="C221" s="69">
        <v>0</v>
      </c>
      <c r="F221" s="181"/>
      <c r="G221" s="13"/>
      <c r="H221" s="68" t="s">
        <v>1845</v>
      </c>
      <c r="I221" s="13"/>
      <c r="J221" s="61"/>
      <c r="K221" s="61"/>
      <c r="L221" s="62"/>
      <c r="S221" s="13"/>
      <c r="T221" s="68" t="s">
        <v>1845</v>
      </c>
      <c r="U221" s="66">
        <v>1</v>
      </c>
      <c r="W221"/>
      <c r="X221"/>
      <c r="AC221" s="13"/>
      <c r="AD221" s="68" t="s">
        <v>873</v>
      </c>
      <c r="AE221" s="66"/>
    </row>
    <row r="222" spans="1:31">
      <c r="A222" s="13"/>
      <c r="B222" s="68" t="s">
        <v>1846</v>
      </c>
      <c r="C222" s="69">
        <v>921250</v>
      </c>
      <c r="F222" s="181"/>
      <c r="G222" s="13"/>
      <c r="H222" s="68" t="s">
        <v>1846</v>
      </c>
      <c r="I222" s="13"/>
      <c r="J222" s="61"/>
      <c r="K222" s="61"/>
      <c r="L222" s="62"/>
      <c r="S222" s="13"/>
      <c r="T222" s="68" t="s">
        <v>1846</v>
      </c>
      <c r="U222" s="66">
        <v>1</v>
      </c>
      <c r="W222"/>
      <c r="X222"/>
      <c r="AC222" s="13"/>
      <c r="AD222" s="68" t="s">
        <v>29</v>
      </c>
      <c r="AE222" s="66">
        <v>184000</v>
      </c>
    </row>
    <row r="223" spans="1:31">
      <c r="A223" s="13"/>
      <c r="B223" s="68" t="s">
        <v>558</v>
      </c>
      <c r="C223" s="69">
        <v>100000</v>
      </c>
      <c r="F223" s="181"/>
      <c r="G223" s="13"/>
      <c r="H223" s="68" t="s">
        <v>558</v>
      </c>
      <c r="I223" s="13"/>
      <c r="J223" s="61"/>
      <c r="K223" s="61"/>
      <c r="L223" s="62"/>
      <c r="S223" s="13"/>
      <c r="T223" s="68" t="s">
        <v>558</v>
      </c>
      <c r="U223" s="66">
        <v>1</v>
      </c>
      <c r="W223"/>
      <c r="X223"/>
      <c r="AC223" s="13"/>
      <c r="AD223" s="68" t="s">
        <v>1843</v>
      </c>
      <c r="AE223" s="66">
        <v>0</v>
      </c>
    </row>
    <row r="224" spans="1:31">
      <c r="A224" s="13"/>
      <c r="B224" s="68" t="s">
        <v>345</v>
      </c>
      <c r="C224" s="69">
        <v>1532876</v>
      </c>
      <c r="F224" s="181"/>
      <c r="G224" s="13"/>
      <c r="H224" s="68" t="s">
        <v>345</v>
      </c>
      <c r="I224" s="13"/>
      <c r="J224" s="61"/>
      <c r="K224" s="61"/>
      <c r="L224" s="62"/>
      <c r="S224" s="13"/>
      <c r="T224" s="68" t="s">
        <v>345</v>
      </c>
      <c r="U224" s="66">
        <v>1</v>
      </c>
      <c r="W224"/>
      <c r="X224"/>
      <c r="AC224" s="13"/>
      <c r="AD224" s="68" t="s">
        <v>1844</v>
      </c>
      <c r="AE224" s="66">
        <v>20000</v>
      </c>
    </row>
    <row r="225" spans="1:31">
      <c r="A225" s="13"/>
      <c r="B225" s="68" t="s">
        <v>338</v>
      </c>
      <c r="C225" s="69">
        <v>0</v>
      </c>
      <c r="F225" s="181"/>
      <c r="G225" s="13"/>
      <c r="H225" s="68" t="s">
        <v>338</v>
      </c>
      <c r="I225" s="13"/>
      <c r="J225" s="61"/>
      <c r="K225" s="61"/>
      <c r="L225" s="62"/>
      <c r="S225" s="13"/>
      <c r="T225" s="68" t="s">
        <v>338</v>
      </c>
      <c r="U225" s="66">
        <v>4</v>
      </c>
      <c r="W225"/>
      <c r="X225"/>
      <c r="AC225" s="13"/>
      <c r="AD225" s="68" t="s">
        <v>343</v>
      </c>
      <c r="AE225" s="66">
        <v>32000</v>
      </c>
    </row>
    <row r="226" spans="1:31">
      <c r="A226" s="13"/>
      <c r="B226" s="68" t="s">
        <v>403</v>
      </c>
      <c r="C226" s="69">
        <v>981315</v>
      </c>
      <c r="F226" s="181"/>
      <c r="G226" s="13"/>
      <c r="H226" s="68" t="s">
        <v>403</v>
      </c>
      <c r="I226" s="13"/>
      <c r="J226" s="61"/>
      <c r="K226" s="61"/>
      <c r="L226" s="62"/>
      <c r="S226" s="13"/>
      <c r="T226" s="68" t="s">
        <v>403</v>
      </c>
      <c r="U226" s="66">
        <v>1</v>
      </c>
      <c r="W226"/>
      <c r="X226"/>
      <c r="AC226" s="13"/>
      <c r="AD226" s="68" t="s">
        <v>441</v>
      </c>
      <c r="AE226" s="66">
        <v>25000</v>
      </c>
    </row>
    <row r="227" spans="1:31">
      <c r="A227" s="13"/>
      <c r="B227" s="68" t="s">
        <v>56</v>
      </c>
      <c r="C227" s="69">
        <v>44250</v>
      </c>
      <c r="F227" s="181"/>
      <c r="G227" s="13"/>
      <c r="H227" s="68" t="s">
        <v>56</v>
      </c>
      <c r="I227" s="13"/>
      <c r="J227" s="61"/>
      <c r="K227" s="61"/>
      <c r="L227" s="62"/>
      <c r="S227" s="13"/>
      <c r="T227" s="68" t="s">
        <v>56</v>
      </c>
      <c r="U227" s="66">
        <v>1</v>
      </c>
      <c r="W227"/>
      <c r="X227"/>
      <c r="AC227" s="13"/>
      <c r="AD227" s="68" t="s">
        <v>557</v>
      </c>
      <c r="AE227" s="66">
        <v>0</v>
      </c>
    </row>
    <row r="228" spans="1:31">
      <c r="A228" s="13"/>
      <c r="B228" s="68" t="s">
        <v>82</v>
      </c>
      <c r="C228" s="69">
        <v>50000</v>
      </c>
      <c r="F228" s="181"/>
      <c r="G228" s="13"/>
      <c r="H228" s="68" t="s">
        <v>82</v>
      </c>
      <c r="I228" s="13"/>
      <c r="J228" s="61"/>
      <c r="K228" s="61"/>
      <c r="L228" s="62"/>
      <c r="S228" s="13"/>
      <c r="T228" s="68" t="s">
        <v>82</v>
      </c>
      <c r="U228" s="66">
        <v>1</v>
      </c>
      <c r="W228"/>
      <c r="X228"/>
      <c r="AC228" s="13"/>
      <c r="AD228" s="68" t="s">
        <v>344</v>
      </c>
      <c r="AE228" s="66">
        <v>60000</v>
      </c>
    </row>
    <row r="229" spans="1:31">
      <c r="A229" s="13"/>
      <c r="B229" s="68" t="s">
        <v>1145</v>
      </c>
      <c r="C229" s="69">
        <v>50000</v>
      </c>
      <c r="F229" s="181"/>
      <c r="G229" s="13"/>
      <c r="H229" s="68" t="s">
        <v>1145</v>
      </c>
      <c r="I229" s="13"/>
      <c r="J229" s="61"/>
      <c r="K229" s="61"/>
      <c r="L229" s="62"/>
      <c r="S229" s="13"/>
      <c r="T229" s="68" t="s">
        <v>1145</v>
      </c>
      <c r="U229" s="66">
        <v>1</v>
      </c>
      <c r="W229"/>
      <c r="X229"/>
      <c r="AC229" s="13"/>
      <c r="AD229" s="68" t="s">
        <v>1845</v>
      </c>
      <c r="AE229" s="66">
        <v>0</v>
      </c>
    </row>
    <row r="230" spans="1:31">
      <c r="A230" s="13"/>
      <c r="B230" s="68" t="s">
        <v>635</v>
      </c>
      <c r="C230" s="69">
        <v>100000</v>
      </c>
      <c r="F230" s="181"/>
      <c r="G230" s="13"/>
      <c r="H230" s="68" t="s">
        <v>635</v>
      </c>
      <c r="I230" s="13"/>
      <c r="J230" s="61"/>
      <c r="K230" s="61"/>
      <c r="L230" s="62"/>
      <c r="S230" s="13"/>
      <c r="T230" s="68" t="s">
        <v>635</v>
      </c>
      <c r="U230" s="66">
        <v>1</v>
      </c>
      <c r="W230"/>
      <c r="X230"/>
      <c r="AC230" s="13"/>
      <c r="AD230" s="68" t="s">
        <v>1846</v>
      </c>
      <c r="AE230" s="66">
        <v>50000</v>
      </c>
    </row>
    <row r="231" spans="1:31">
      <c r="A231" s="13"/>
      <c r="B231" s="68" t="s">
        <v>2004</v>
      </c>
      <c r="C231" s="69">
        <v>330000</v>
      </c>
      <c r="F231" s="181"/>
      <c r="G231" s="13"/>
      <c r="H231" s="68" t="s">
        <v>2004</v>
      </c>
      <c r="I231" s="13"/>
      <c r="J231" s="61"/>
      <c r="K231" s="61"/>
      <c r="L231" s="62"/>
      <c r="S231" s="13"/>
      <c r="T231" s="68" t="s">
        <v>2004</v>
      </c>
      <c r="U231" s="66">
        <v>1</v>
      </c>
      <c r="W231"/>
      <c r="X231"/>
      <c r="AC231" s="13"/>
      <c r="AD231" s="68" t="s">
        <v>558</v>
      </c>
      <c r="AE231" s="66">
        <v>50000</v>
      </c>
    </row>
    <row r="232" spans="1:31">
      <c r="A232" s="13"/>
      <c r="B232" s="68" t="s">
        <v>342</v>
      </c>
      <c r="C232" s="69">
        <v>100000</v>
      </c>
      <c r="F232" s="181"/>
      <c r="G232" s="13"/>
      <c r="H232" s="68" t="s">
        <v>342</v>
      </c>
      <c r="I232" s="13"/>
      <c r="J232" s="61"/>
      <c r="K232" s="61"/>
      <c r="L232" s="62"/>
      <c r="S232" s="13"/>
      <c r="T232" s="68" t="s">
        <v>342</v>
      </c>
      <c r="U232" s="66">
        <v>2</v>
      </c>
      <c r="W232"/>
      <c r="X232"/>
      <c r="AC232" s="13"/>
      <c r="AD232" s="68" t="s">
        <v>345</v>
      </c>
      <c r="AE232" s="66">
        <v>50000</v>
      </c>
    </row>
    <row r="233" spans="1:31">
      <c r="A233" s="13"/>
      <c r="B233" s="68" t="s">
        <v>442</v>
      </c>
      <c r="C233" s="69">
        <v>500000</v>
      </c>
      <c r="F233" s="181"/>
      <c r="G233" s="13"/>
      <c r="H233" s="68" t="s">
        <v>442</v>
      </c>
      <c r="I233" s="13"/>
      <c r="J233" s="61"/>
      <c r="K233" s="61"/>
      <c r="L233" s="62"/>
      <c r="S233" s="13"/>
      <c r="T233" s="68" t="s">
        <v>442</v>
      </c>
      <c r="U233" s="66">
        <v>1</v>
      </c>
      <c r="W233"/>
      <c r="X233"/>
      <c r="AC233" s="13"/>
      <c r="AD233" s="68" t="s">
        <v>338</v>
      </c>
      <c r="AE233" s="66">
        <v>2488500</v>
      </c>
    </row>
    <row r="234" spans="1:31">
      <c r="A234" s="13"/>
      <c r="B234" s="68" t="s">
        <v>559</v>
      </c>
      <c r="C234" s="69">
        <v>0</v>
      </c>
      <c r="F234" s="181"/>
      <c r="G234" s="13"/>
      <c r="H234" s="68" t="s">
        <v>559</v>
      </c>
      <c r="I234" s="13"/>
      <c r="J234" s="61"/>
      <c r="K234" s="61"/>
      <c r="L234" s="62"/>
      <c r="S234" s="13"/>
      <c r="T234" s="68" t="s">
        <v>559</v>
      </c>
      <c r="U234" s="66">
        <v>1</v>
      </c>
      <c r="W234"/>
      <c r="X234"/>
      <c r="AC234" s="13"/>
      <c r="AD234" s="68" t="s">
        <v>403</v>
      </c>
      <c r="AE234" s="66"/>
    </row>
    <row r="235" spans="1:31">
      <c r="A235" s="13"/>
      <c r="B235" s="68" t="s">
        <v>337</v>
      </c>
      <c r="C235" s="69">
        <v>50000</v>
      </c>
      <c r="F235" s="181"/>
      <c r="G235" s="13"/>
      <c r="H235" s="68" t="s">
        <v>337</v>
      </c>
      <c r="I235" s="13"/>
      <c r="J235" s="61"/>
      <c r="K235" s="61"/>
      <c r="L235" s="62"/>
      <c r="S235" s="13"/>
      <c r="T235" s="68" t="s">
        <v>337</v>
      </c>
      <c r="U235" s="66">
        <v>1</v>
      </c>
      <c r="W235"/>
      <c r="X235"/>
      <c r="AC235" s="13"/>
      <c r="AD235" s="68" t="s">
        <v>56</v>
      </c>
      <c r="AE235" s="66">
        <v>60000</v>
      </c>
    </row>
    <row r="236" spans="1:31">
      <c r="A236" s="13"/>
      <c r="B236" s="68" t="s">
        <v>560</v>
      </c>
      <c r="C236" s="69">
        <v>50000</v>
      </c>
      <c r="F236" s="181"/>
      <c r="G236" s="13"/>
      <c r="H236" s="68" t="s">
        <v>560</v>
      </c>
      <c r="I236" s="13"/>
      <c r="J236" s="61"/>
      <c r="K236" s="61"/>
      <c r="L236" s="62"/>
      <c r="S236" s="13"/>
      <c r="T236" s="68" t="s">
        <v>560</v>
      </c>
      <c r="U236" s="66">
        <v>1</v>
      </c>
      <c r="W236"/>
      <c r="X236"/>
      <c r="AC236" s="13"/>
      <c r="AD236" s="68" t="s">
        <v>82</v>
      </c>
      <c r="AE236" s="66">
        <v>20000</v>
      </c>
    </row>
    <row r="237" spans="1:31">
      <c r="A237" s="13"/>
      <c r="B237" s="68" t="s">
        <v>561</v>
      </c>
      <c r="C237" s="69">
        <v>50000</v>
      </c>
      <c r="F237" s="181"/>
      <c r="G237" s="13"/>
      <c r="H237" s="68" t="s">
        <v>561</v>
      </c>
      <c r="I237" s="13"/>
      <c r="J237" s="61"/>
      <c r="K237" s="61"/>
      <c r="L237" s="62"/>
      <c r="S237" s="13"/>
      <c r="T237" s="68" t="s">
        <v>561</v>
      </c>
      <c r="U237" s="66">
        <v>1</v>
      </c>
      <c r="W237" t="s">
        <v>1758</v>
      </c>
      <c r="X237"/>
      <c r="AC237" s="13"/>
      <c r="AD237" s="68" t="s">
        <v>1145</v>
      </c>
      <c r="AE237" s="66">
        <v>150000</v>
      </c>
    </row>
    <row r="238" spans="1:31">
      <c r="A238" s="13"/>
      <c r="B238" s="68" t="s">
        <v>336</v>
      </c>
      <c r="C238" s="69">
        <v>100000</v>
      </c>
      <c r="F238" s="181"/>
      <c r="G238" s="13"/>
      <c r="H238" s="68" t="s">
        <v>336</v>
      </c>
      <c r="I238" s="13"/>
      <c r="J238" s="61"/>
      <c r="K238" s="61"/>
      <c r="L238" s="62"/>
      <c r="S238" s="13"/>
      <c r="T238" s="68" t="s">
        <v>336</v>
      </c>
      <c r="U238" s="66">
        <v>1</v>
      </c>
      <c r="W238" s="70">
        <f>COUNT(U212:U238)</f>
        <v>27</v>
      </c>
      <c r="X238" s="70"/>
      <c r="AC238" s="13"/>
      <c r="AD238" s="68" t="s">
        <v>635</v>
      </c>
      <c r="AE238" s="66">
        <v>37930</v>
      </c>
    </row>
    <row r="239" spans="1:31">
      <c r="A239" s="5">
        <v>2010</v>
      </c>
      <c r="B239" s="5" t="s">
        <v>53</v>
      </c>
      <c r="C239" s="67">
        <v>6400000</v>
      </c>
      <c r="F239" s="181"/>
      <c r="G239" s="5">
        <v>2010</v>
      </c>
      <c r="H239" s="5" t="s">
        <v>53</v>
      </c>
      <c r="I239" s="13"/>
      <c r="J239" s="61"/>
      <c r="K239" s="61"/>
      <c r="L239" s="62"/>
      <c r="S239" s="5">
        <v>2010</v>
      </c>
      <c r="T239" s="5" t="s">
        <v>53</v>
      </c>
      <c r="U239" s="15">
        <v>1</v>
      </c>
      <c r="W239"/>
      <c r="X239"/>
      <c r="AC239" s="13"/>
      <c r="AD239" s="68" t="s">
        <v>2004</v>
      </c>
      <c r="AE239" s="66">
        <v>91000</v>
      </c>
    </row>
    <row r="240" spans="1:31">
      <c r="A240" s="13"/>
      <c r="B240" s="68" t="s">
        <v>1070</v>
      </c>
      <c r="C240" s="69">
        <v>1000000</v>
      </c>
      <c r="F240" s="181"/>
      <c r="G240" s="13"/>
      <c r="H240" s="68" t="s">
        <v>1070</v>
      </c>
      <c r="I240" s="13"/>
      <c r="J240" s="61"/>
      <c r="K240" s="61"/>
      <c r="L240" s="62"/>
      <c r="S240" s="13"/>
      <c r="T240" s="68" t="s">
        <v>1070</v>
      </c>
      <c r="U240" s="66">
        <v>1</v>
      </c>
      <c r="W240"/>
      <c r="X240"/>
      <c r="AC240" s="13"/>
      <c r="AD240" s="68" t="s">
        <v>342</v>
      </c>
      <c r="AE240" s="66">
        <v>15000</v>
      </c>
    </row>
    <row r="241" spans="1:31">
      <c r="A241" s="13"/>
      <c r="B241" s="68" t="s">
        <v>508</v>
      </c>
      <c r="C241" s="69">
        <v>274845</v>
      </c>
      <c r="F241" s="181"/>
      <c r="G241" s="13"/>
      <c r="H241" s="68" t="s">
        <v>508</v>
      </c>
      <c r="I241" s="13"/>
      <c r="J241" s="61"/>
      <c r="K241" s="61"/>
      <c r="L241" s="62"/>
      <c r="S241" s="13"/>
      <c r="T241" s="68" t="s">
        <v>508</v>
      </c>
      <c r="U241" s="66">
        <v>1</v>
      </c>
      <c r="W241"/>
      <c r="X241"/>
      <c r="AC241" s="13"/>
      <c r="AD241" s="68" t="s">
        <v>442</v>
      </c>
      <c r="AE241" s="66"/>
    </row>
    <row r="242" spans="1:31">
      <c r="A242" s="13"/>
      <c r="B242" s="68" t="s">
        <v>656</v>
      </c>
      <c r="C242" s="69">
        <v>139611532</v>
      </c>
      <c r="G242" s="13"/>
      <c r="H242" s="68" t="s">
        <v>656</v>
      </c>
      <c r="I242" s="13"/>
      <c r="J242" s="61"/>
      <c r="K242" s="61"/>
      <c r="L242" s="62"/>
      <c r="S242" s="13"/>
      <c r="T242" s="68" t="s">
        <v>656</v>
      </c>
      <c r="U242" s="66">
        <v>1</v>
      </c>
      <c r="W242"/>
      <c r="X242"/>
      <c r="AC242" s="13"/>
      <c r="AD242" s="68" t="s">
        <v>559</v>
      </c>
      <c r="AE242" s="66">
        <v>3000</v>
      </c>
    </row>
    <row r="243" spans="1:31">
      <c r="A243" s="13"/>
      <c r="B243" s="68" t="s">
        <v>1810</v>
      </c>
      <c r="C243" s="69">
        <v>0</v>
      </c>
      <c r="G243" s="13"/>
      <c r="H243" s="68" t="s">
        <v>1810</v>
      </c>
      <c r="I243" s="13"/>
      <c r="J243" s="61"/>
      <c r="K243" s="61"/>
      <c r="L243" s="62"/>
      <c r="S243" s="13"/>
      <c r="T243" s="68" t="s">
        <v>1810</v>
      </c>
      <c r="U243" s="66">
        <v>1</v>
      </c>
      <c r="W243"/>
      <c r="X243"/>
      <c r="AC243" s="13"/>
      <c r="AD243" s="68" t="s">
        <v>337</v>
      </c>
      <c r="AE243" s="66">
        <v>60000</v>
      </c>
    </row>
    <row r="244" spans="1:31">
      <c r="A244" s="13"/>
      <c r="B244" s="68" t="s">
        <v>1830</v>
      </c>
      <c r="C244" s="69">
        <v>190000</v>
      </c>
      <c r="G244" s="13"/>
      <c r="H244" s="68" t="s">
        <v>1830</v>
      </c>
      <c r="I244" s="13"/>
      <c r="J244" s="61"/>
      <c r="K244" s="61"/>
      <c r="L244" s="62"/>
      <c r="S244" s="13"/>
      <c r="T244" s="68" t="s">
        <v>1830</v>
      </c>
      <c r="U244" s="66">
        <v>1</v>
      </c>
      <c r="W244"/>
      <c r="X244"/>
      <c r="AC244" s="13"/>
      <c r="AD244" s="68" t="s">
        <v>560</v>
      </c>
      <c r="AE244" s="66">
        <v>300000</v>
      </c>
    </row>
    <row r="245" spans="1:31">
      <c r="A245" s="13"/>
      <c r="B245" s="68" t="s">
        <v>334</v>
      </c>
      <c r="C245" s="69">
        <v>0</v>
      </c>
      <c r="G245" s="13"/>
      <c r="H245" s="68" t="s">
        <v>334</v>
      </c>
      <c r="I245" s="13"/>
      <c r="J245" s="61"/>
      <c r="K245" s="61"/>
      <c r="L245" s="62"/>
      <c r="S245" s="13"/>
      <c r="T245" s="68" t="s">
        <v>334</v>
      </c>
      <c r="U245" s="66">
        <v>1</v>
      </c>
      <c r="W245"/>
      <c r="X245"/>
      <c r="AC245" s="13"/>
      <c r="AD245" s="68" t="s">
        <v>561</v>
      </c>
      <c r="AE245" s="66">
        <v>80500</v>
      </c>
    </row>
    <row r="246" spans="1:31">
      <c r="A246" s="13"/>
      <c r="B246" s="68" t="s">
        <v>38</v>
      </c>
      <c r="C246" s="69">
        <v>100000</v>
      </c>
      <c r="G246" s="13"/>
      <c r="H246" s="68" t="s">
        <v>38</v>
      </c>
      <c r="I246" s="13"/>
      <c r="J246" s="61"/>
      <c r="K246" s="61"/>
      <c r="L246" s="62"/>
      <c r="S246" s="13"/>
      <c r="T246" s="68" t="s">
        <v>38</v>
      </c>
      <c r="U246" s="66">
        <v>1</v>
      </c>
      <c r="W246"/>
      <c r="X246"/>
      <c r="AC246" s="13"/>
      <c r="AD246" s="68" t="s">
        <v>336</v>
      </c>
      <c r="AE246" s="66">
        <v>1500000</v>
      </c>
    </row>
    <row r="247" spans="1:31">
      <c r="A247" s="13"/>
      <c r="B247" s="68" t="s">
        <v>1601</v>
      </c>
      <c r="C247" s="69">
        <v>200000</v>
      </c>
      <c r="G247" s="13"/>
      <c r="H247" s="68" t="s">
        <v>1601</v>
      </c>
      <c r="I247" s="13"/>
      <c r="J247" s="61"/>
      <c r="K247" s="61"/>
      <c r="L247" s="62"/>
      <c r="S247" s="13"/>
      <c r="T247" s="68" t="s">
        <v>1601</v>
      </c>
      <c r="U247" s="66">
        <v>2</v>
      </c>
      <c r="W247"/>
      <c r="X247"/>
      <c r="AC247" s="5" t="s">
        <v>281</v>
      </c>
      <c r="AD247" s="12"/>
      <c r="AE247" s="15">
        <v>30276930</v>
      </c>
    </row>
    <row r="248" spans="1:31">
      <c r="A248" s="13"/>
      <c r="B248" s="68" t="s">
        <v>329</v>
      </c>
      <c r="C248" s="69">
        <v>259500</v>
      </c>
      <c r="G248" s="13"/>
      <c r="H248" s="68" t="s">
        <v>329</v>
      </c>
      <c r="I248" s="13"/>
      <c r="J248" s="61"/>
      <c r="K248" s="61"/>
      <c r="L248" s="62"/>
      <c r="S248" s="13"/>
      <c r="T248" s="68" t="s">
        <v>329</v>
      </c>
      <c r="U248" s="66">
        <v>1</v>
      </c>
      <c r="W248"/>
      <c r="X248"/>
      <c r="AC248" s="5">
        <v>2010</v>
      </c>
      <c r="AD248" s="5" t="s">
        <v>53</v>
      </c>
      <c r="AE248" s="15">
        <v>100000</v>
      </c>
    </row>
    <row r="249" spans="1:31">
      <c r="A249" s="13"/>
      <c r="B249" s="68" t="s">
        <v>1359</v>
      </c>
      <c r="C249" s="69">
        <v>145000</v>
      </c>
      <c r="G249" s="13"/>
      <c r="H249" s="68" t="s">
        <v>1359</v>
      </c>
      <c r="I249" s="13"/>
      <c r="J249" s="61"/>
      <c r="K249" s="61"/>
      <c r="L249" s="62"/>
      <c r="S249" s="13"/>
      <c r="T249" s="68" t="s">
        <v>1359</v>
      </c>
      <c r="U249" s="66">
        <v>1</v>
      </c>
      <c r="W249"/>
      <c r="X249"/>
      <c r="AC249" s="13"/>
      <c r="AD249" s="68" t="s">
        <v>1070</v>
      </c>
      <c r="AE249" s="66">
        <v>0</v>
      </c>
    </row>
    <row r="250" spans="1:31">
      <c r="A250" s="13"/>
      <c r="B250" s="68" t="s">
        <v>1624</v>
      </c>
      <c r="C250" s="69">
        <v>50000</v>
      </c>
      <c r="G250" s="13"/>
      <c r="H250" s="68" t="s">
        <v>1624</v>
      </c>
      <c r="I250" s="13"/>
      <c r="J250" s="61"/>
      <c r="K250" s="61"/>
      <c r="L250" s="62"/>
      <c r="S250" s="13"/>
      <c r="T250" s="68" t="s">
        <v>1624</v>
      </c>
      <c r="U250" s="66">
        <v>1</v>
      </c>
      <c r="W250"/>
      <c r="X250"/>
      <c r="AC250" s="13"/>
      <c r="AD250" s="68" t="s">
        <v>508</v>
      </c>
      <c r="AE250" s="66">
        <v>10000</v>
      </c>
    </row>
    <row r="251" spans="1:31">
      <c r="A251" s="13"/>
      <c r="B251" s="68" t="s">
        <v>46</v>
      </c>
      <c r="C251" s="69">
        <v>100000</v>
      </c>
      <c r="G251" s="13"/>
      <c r="H251" s="68" t="s">
        <v>46</v>
      </c>
      <c r="I251" s="13"/>
      <c r="J251" s="61"/>
      <c r="K251" s="61"/>
      <c r="L251" s="62"/>
      <c r="S251" s="13"/>
      <c r="T251" s="68" t="s">
        <v>46</v>
      </c>
      <c r="U251" s="66">
        <v>1</v>
      </c>
      <c r="W251"/>
      <c r="X251"/>
      <c r="AC251" s="13"/>
      <c r="AD251" s="68" t="s">
        <v>656</v>
      </c>
      <c r="AE251" s="66">
        <v>400000</v>
      </c>
    </row>
    <row r="252" spans="1:31">
      <c r="A252" s="13"/>
      <c r="B252" s="68" t="s">
        <v>545</v>
      </c>
      <c r="C252" s="69">
        <v>1168000</v>
      </c>
      <c r="G252" s="13"/>
      <c r="H252" s="68" t="s">
        <v>545</v>
      </c>
      <c r="I252" s="13"/>
      <c r="J252" s="61"/>
      <c r="K252" s="61"/>
      <c r="L252" s="62"/>
      <c r="S252" s="13"/>
      <c r="T252" s="68" t="s">
        <v>545</v>
      </c>
      <c r="U252" s="66">
        <v>1</v>
      </c>
      <c r="W252"/>
      <c r="X252"/>
      <c r="AC252" s="13"/>
      <c r="AD252" s="68" t="s">
        <v>1810</v>
      </c>
      <c r="AE252" s="66">
        <v>2500</v>
      </c>
    </row>
    <row r="253" spans="1:31">
      <c r="A253" s="13"/>
      <c r="B253" s="68" t="s">
        <v>544</v>
      </c>
      <c r="C253" s="69">
        <v>2150000</v>
      </c>
      <c r="G253" s="13"/>
      <c r="H253" s="68" t="s">
        <v>544</v>
      </c>
      <c r="I253" s="13"/>
      <c r="J253" s="61"/>
      <c r="K253" s="61"/>
      <c r="L253" s="62"/>
      <c r="S253" s="13"/>
      <c r="T253" s="68" t="s">
        <v>544</v>
      </c>
      <c r="U253" s="66">
        <v>1</v>
      </c>
      <c r="W253"/>
      <c r="X253"/>
      <c r="AC253" s="13"/>
      <c r="AD253" s="68" t="s">
        <v>1830</v>
      </c>
      <c r="AE253" s="66">
        <v>125000</v>
      </c>
    </row>
    <row r="254" spans="1:31">
      <c r="A254" s="13"/>
      <c r="B254" s="68" t="s">
        <v>340</v>
      </c>
      <c r="C254" s="69">
        <v>50000</v>
      </c>
      <c r="G254" s="13"/>
      <c r="H254" s="68" t="s">
        <v>340</v>
      </c>
      <c r="I254" s="13"/>
      <c r="J254" s="61"/>
      <c r="K254" s="61"/>
      <c r="L254" s="62"/>
      <c r="S254" s="13"/>
      <c r="T254" s="68" t="s">
        <v>340</v>
      </c>
      <c r="U254" s="66">
        <v>1</v>
      </c>
      <c r="W254"/>
      <c r="X254"/>
      <c r="AC254" s="13"/>
      <c r="AD254" s="68" t="s">
        <v>334</v>
      </c>
      <c r="AE254" s="66"/>
    </row>
    <row r="255" spans="1:31">
      <c r="A255" s="13"/>
      <c r="B255" s="68" t="s">
        <v>357</v>
      </c>
      <c r="C255" s="69">
        <v>11500</v>
      </c>
      <c r="G255" s="13"/>
      <c r="H255" s="68" t="s">
        <v>357</v>
      </c>
      <c r="I255" s="13"/>
      <c r="J255" s="61"/>
      <c r="K255" s="61"/>
      <c r="L255" s="62"/>
      <c r="S255" s="13"/>
      <c r="T255" s="68" t="s">
        <v>357</v>
      </c>
      <c r="U255" s="66">
        <v>1</v>
      </c>
      <c r="W255"/>
      <c r="X255"/>
      <c r="AC255" s="13"/>
      <c r="AD255" s="68" t="s">
        <v>38</v>
      </c>
      <c r="AE255" s="66">
        <v>1692428</v>
      </c>
    </row>
    <row r="256" spans="1:31">
      <c r="A256" s="13"/>
      <c r="B256" s="68" t="s">
        <v>51</v>
      </c>
      <c r="C256" s="69">
        <v>200000</v>
      </c>
      <c r="G256" s="13"/>
      <c r="H256" s="68" t="s">
        <v>51</v>
      </c>
      <c r="I256" s="13"/>
      <c r="J256" s="61"/>
      <c r="K256" s="61"/>
      <c r="L256" s="62"/>
      <c r="S256" s="13"/>
      <c r="T256" s="68" t="s">
        <v>51</v>
      </c>
      <c r="U256" s="66">
        <v>1</v>
      </c>
      <c r="W256"/>
      <c r="X256"/>
      <c r="AC256" s="13"/>
      <c r="AD256" s="68" t="s">
        <v>1601</v>
      </c>
      <c r="AE256" s="66">
        <v>129265</v>
      </c>
    </row>
    <row r="257" spans="1:31">
      <c r="A257" s="13"/>
      <c r="B257" s="68" t="s">
        <v>1648</v>
      </c>
      <c r="C257" s="69">
        <v>180000</v>
      </c>
      <c r="G257" s="13"/>
      <c r="H257" s="68" t="s">
        <v>1648</v>
      </c>
      <c r="I257" s="13"/>
      <c r="J257" s="61"/>
      <c r="K257" s="61"/>
      <c r="L257" s="62"/>
      <c r="S257" s="13"/>
      <c r="T257" s="68" t="s">
        <v>1648</v>
      </c>
      <c r="U257" s="66">
        <v>1</v>
      </c>
      <c r="W257"/>
      <c r="X257"/>
      <c r="AC257" s="13"/>
      <c r="AD257" s="68" t="s">
        <v>329</v>
      </c>
      <c r="AE257" s="66"/>
    </row>
    <row r="258" spans="1:31">
      <c r="A258" s="13"/>
      <c r="B258" s="68" t="s">
        <v>547</v>
      </c>
      <c r="C258" s="69">
        <v>0</v>
      </c>
      <c r="G258" s="13"/>
      <c r="H258" s="68" t="s">
        <v>547</v>
      </c>
      <c r="I258" s="13"/>
      <c r="J258" s="61"/>
      <c r="K258" s="61"/>
      <c r="L258" s="62"/>
      <c r="S258" s="13"/>
      <c r="T258" s="68" t="s">
        <v>547</v>
      </c>
      <c r="U258" s="66">
        <v>1</v>
      </c>
      <c r="W258"/>
      <c r="X258"/>
      <c r="AC258" s="13"/>
      <c r="AD258" s="68" t="s">
        <v>1359</v>
      </c>
      <c r="AE258" s="66">
        <v>13600</v>
      </c>
    </row>
    <row r="259" spans="1:31">
      <c r="A259" s="13"/>
      <c r="B259" s="68" t="s">
        <v>546</v>
      </c>
      <c r="C259" s="69">
        <v>0</v>
      </c>
      <c r="G259" s="13"/>
      <c r="H259" s="68" t="s">
        <v>546</v>
      </c>
      <c r="I259" s="13"/>
      <c r="J259" s="61"/>
      <c r="K259" s="61"/>
      <c r="L259" s="62"/>
      <c r="S259" s="13"/>
      <c r="T259" s="68" t="s">
        <v>546</v>
      </c>
      <c r="U259" s="66">
        <v>1</v>
      </c>
      <c r="W259" t="s">
        <v>1758</v>
      </c>
      <c r="X259"/>
      <c r="AC259" s="13"/>
      <c r="AD259" s="68" t="s">
        <v>1624</v>
      </c>
      <c r="AE259" s="66">
        <v>189000</v>
      </c>
    </row>
    <row r="260" spans="1:31">
      <c r="A260" s="13"/>
      <c r="B260" s="68" t="s">
        <v>1358</v>
      </c>
      <c r="C260" s="69">
        <v>1664192.8599999999</v>
      </c>
      <c r="G260" s="13"/>
      <c r="H260" s="68" t="s">
        <v>1358</v>
      </c>
      <c r="I260" s="13"/>
      <c r="J260" s="61"/>
      <c r="K260" s="61"/>
      <c r="L260" s="62"/>
      <c r="S260" s="13"/>
      <c r="T260" s="68" t="s">
        <v>1358</v>
      </c>
      <c r="U260" s="66">
        <v>1</v>
      </c>
      <c r="W260" s="70">
        <f>COUNT(U239:U260)</f>
        <v>22</v>
      </c>
      <c r="X260" s="70"/>
      <c r="AC260" s="13"/>
      <c r="AD260" s="68" t="s">
        <v>46</v>
      </c>
      <c r="AE260" s="66">
        <v>5000</v>
      </c>
    </row>
    <row r="261" spans="1:31">
      <c r="A261" s="9" t="s">
        <v>1207</v>
      </c>
      <c r="B261" s="16"/>
      <c r="C261" s="219">
        <v>879514344.91194236</v>
      </c>
      <c r="G261" s="9" t="s">
        <v>1207</v>
      </c>
      <c r="H261" s="16"/>
      <c r="I261" s="63"/>
      <c r="J261" s="64"/>
      <c r="K261" s="64"/>
      <c r="L261" s="65"/>
      <c r="S261" s="9" t="s">
        <v>1207</v>
      </c>
      <c r="T261" s="16"/>
      <c r="U261" s="14">
        <v>285</v>
      </c>
      <c r="W261"/>
      <c r="X261"/>
      <c r="AC261" s="13"/>
      <c r="AD261" s="68" t="s">
        <v>545</v>
      </c>
      <c r="AE261" s="66">
        <v>200000</v>
      </c>
    </row>
    <row r="262" spans="1:31">
      <c r="B262"/>
      <c r="H262"/>
      <c r="T262" s="161" t="s">
        <v>1759</v>
      </c>
      <c r="W262">
        <f>AVERAGE(W5:W260)</f>
        <v>25.6</v>
      </c>
      <c r="X262"/>
      <c r="AC262" s="13"/>
      <c r="AD262" s="68" t="s">
        <v>544</v>
      </c>
      <c r="AE262" s="66">
        <v>270000</v>
      </c>
    </row>
    <row r="263" spans="1:31">
      <c r="B263"/>
      <c r="H263"/>
      <c r="W263"/>
      <c r="X263"/>
      <c r="AC263" s="13"/>
      <c r="AD263" s="68" t="s">
        <v>340</v>
      </c>
      <c r="AE263" s="66">
        <v>260000</v>
      </c>
    </row>
    <row r="264" spans="1:31">
      <c r="B264"/>
      <c r="H264"/>
      <c r="W264"/>
      <c r="X264"/>
      <c r="AC264" s="13"/>
      <c r="AD264" s="68" t="s">
        <v>357</v>
      </c>
      <c r="AE264" s="66">
        <v>4320</v>
      </c>
    </row>
    <row r="265" spans="1:31">
      <c r="B265"/>
      <c r="H265"/>
      <c r="W265"/>
      <c r="X265"/>
      <c r="AC265" s="13"/>
      <c r="AD265" s="68" t="s">
        <v>51</v>
      </c>
      <c r="AE265" s="66">
        <v>23000</v>
      </c>
    </row>
    <row r="266" spans="1:31">
      <c r="B266"/>
      <c r="H266"/>
      <c r="W266"/>
      <c r="X266"/>
      <c r="AC266" s="13"/>
      <c r="AD266" s="68" t="s">
        <v>1648</v>
      </c>
      <c r="AE266" s="66">
        <v>7500</v>
      </c>
    </row>
    <row r="267" spans="1:31">
      <c r="B267"/>
      <c r="H267"/>
      <c r="W267"/>
      <c r="X267"/>
      <c r="AC267" s="13"/>
      <c r="AD267" s="68" t="s">
        <v>547</v>
      </c>
      <c r="AE267" s="66">
        <v>40000</v>
      </c>
    </row>
    <row r="268" spans="1:31">
      <c r="B268"/>
      <c r="H268"/>
      <c r="W268"/>
      <c r="X268"/>
      <c r="AC268" s="13"/>
      <c r="AD268" s="68" t="s">
        <v>546</v>
      </c>
      <c r="AE268" s="66">
        <v>25000</v>
      </c>
    </row>
    <row r="269" spans="1:31">
      <c r="B269"/>
      <c r="H269"/>
      <c r="W269"/>
      <c r="X269"/>
      <c r="AC269" s="13"/>
      <c r="AD269" s="68" t="s">
        <v>1358</v>
      </c>
      <c r="AE269" s="66">
        <v>100000</v>
      </c>
    </row>
    <row r="270" spans="1:31">
      <c r="B270"/>
      <c r="H270"/>
      <c r="W270"/>
      <c r="X270"/>
      <c r="AC270" s="5" t="s">
        <v>282</v>
      </c>
      <c r="AD270" s="12"/>
      <c r="AE270" s="15">
        <v>3596613</v>
      </c>
    </row>
    <row r="271" spans="1:31">
      <c r="B271"/>
      <c r="H271"/>
      <c r="W271"/>
      <c r="X271"/>
      <c r="AC271" s="5">
        <v>2011</v>
      </c>
      <c r="AD271" s="5" t="s">
        <v>1279</v>
      </c>
      <c r="AE271" s="15"/>
    </row>
    <row r="272" spans="1:31">
      <c r="B272"/>
      <c r="H272"/>
      <c r="W272"/>
      <c r="X272"/>
      <c r="AC272" s="13"/>
      <c r="AD272" s="68" t="s">
        <v>1803</v>
      </c>
      <c r="AE272" s="66">
        <v>2500</v>
      </c>
    </row>
    <row r="273" spans="2:31">
      <c r="B273"/>
      <c r="H273"/>
      <c r="W273"/>
      <c r="X273"/>
      <c r="AC273" s="13"/>
      <c r="AD273" s="68" t="s">
        <v>1278</v>
      </c>
      <c r="AE273" s="66">
        <v>7500</v>
      </c>
    </row>
    <row r="274" spans="2:31">
      <c r="B274"/>
      <c r="H274"/>
      <c r="W274"/>
      <c r="X274"/>
      <c r="AC274" s="13"/>
      <c r="AD274" s="68" t="s">
        <v>1160</v>
      </c>
      <c r="AE274" s="66">
        <v>71500</v>
      </c>
    </row>
    <row r="275" spans="2:31">
      <c r="B275"/>
      <c r="H275"/>
      <c r="W275"/>
      <c r="X275"/>
      <c r="AC275" s="13"/>
      <c r="AD275" s="68" t="s">
        <v>532</v>
      </c>
      <c r="AE275" s="66">
        <v>1000</v>
      </c>
    </row>
    <row r="276" spans="2:31">
      <c r="B276"/>
      <c r="H276"/>
      <c r="W276"/>
      <c r="X276"/>
      <c r="AC276" s="13"/>
      <c r="AD276" s="68" t="s">
        <v>1277</v>
      </c>
      <c r="AE276" s="66">
        <v>25000</v>
      </c>
    </row>
    <row r="277" spans="2:31">
      <c r="B277"/>
      <c r="H277"/>
      <c r="W277"/>
      <c r="X277"/>
      <c r="AC277" s="13"/>
      <c r="AD277" s="68" t="s">
        <v>578</v>
      </c>
      <c r="AE277" s="66">
        <v>225000</v>
      </c>
    </row>
    <row r="278" spans="2:31">
      <c r="B278"/>
      <c r="H278"/>
      <c r="W278"/>
      <c r="X278"/>
      <c r="AC278" s="13"/>
      <c r="AD278" s="68" t="s">
        <v>97</v>
      </c>
      <c r="AE278" s="66"/>
    </row>
    <row r="279" spans="2:31">
      <c r="B279"/>
      <c r="H279"/>
      <c r="W279"/>
      <c r="X279"/>
      <c r="AC279" s="13"/>
      <c r="AD279" s="68" t="s">
        <v>82</v>
      </c>
      <c r="AE279" s="66">
        <v>37457</v>
      </c>
    </row>
    <row r="280" spans="2:31">
      <c r="B280"/>
      <c r="H280"/>
      <c r="W280"/>
      <c r="X280"/>
      <c r="AC280" s="13"/>
      <c r="AD280" s="68" t="s">
        <v>577</v>
      </c>
      <c r="AE280" s="66">
        <v>47800</v>
      </c>
    </row>
    <row r="281" spans="2:31">
      <c r="B281"/>
      <c r="H281"/>
      <c r="W281"/>
      <c r="X281"/>
      <c r="AC281" s="13"/>
      <c r="AD281" s="68" t="s">
        <v>12</v>
      </c>
      <c r="AE281" s="66">
        <v>306000</v>
      </c>
    </row>
    <row r="282" spans="2:31">
      <c r="B282"/>
      <c r="H282"/>
      <c r="W282"/>
      <c r="X282"/>
      <c r="AC282" s="13"/>
      <c r="AD282" s="68" t="s">
        <v>1600</v>
      </c>
      <c r="AE282" s="66">
        <v>2600000</v>
      </c>
    </row>
    <row r="283" spans="2:31">
      <c r="B283"/>
      <c r="H283"/>
      <c r="W283"/>
      <c r="X283"/>
      <c r="AC283" s="13"/>
      <c r="AD283" s="68" t="s">
        <v>1808</v>
      </c>
      <c r="AE283" s="66">
        <v>10225</v>
      </c>
    </row>
    <row r="284" spans="2:31">
      <c r="B284"/>
      <c r="H284"/>
      <c r="W284"/>
      <c r="X284"/>
      <c r="AC284" s="13"/>
      <c r="AD284" s="68" t="s">
        <v>21</v>
      </c>
      <c r="AE284" s="66"/>
    </row>
    <row r="285" spans="2:31">
      <c r="B285"/>
      <c r="H285"/>
      <c r="W285"/>
      <c r="X285"/>
      <c r="AC285" s="13"/>
      <c r="AD285" s="68" t="s">
        <v>1918</v>
      </c>
      <c r="AE285" s="66">
        <v>60000</v>
      </c>
    </row>
    <row r="286" spans="2:31">
      <c r="B286"/>
      <c r="H286"/>
      <c r="W286"/>
      <c r="X286"/>
      <c r="AC286" s="13"/>
      <c r="AD286" s="68" t="s">
        <v>560</v>
      </c>
      <c r="AE286" s="66">
        <v>120000</v>
      </c>
    </row>
    <row r="287" spans="2:31">
      <c r="B287"/>
      <c r="H287"/>
      <c r="W287"/>
      <c r="X287"/>
      <c r="AC287" s="13"/>
      <c r="AD287" s="68" t="s">
        <v>580</v>
      </c>
      <c r="AE287" s="66">
        <v>67500</v>
      </c>
    </row>
    <row r="288" spans="2:31">
      <c r="B288"/>
      <c r="H288"/>
      <c r="W288"/>
      <c r="X288"/>
      <c r="AC288" s="13"/>
      <c r="AD288" s="68" t="s">
        <v>2032</v>
      </c>
      <c r="AE288" s="66">
        <v>1500000</v>
      </c>
    </row>
    <row r="289" spans="2:31">
      <c r="B289"/>
      <c r="H289"/>
      <c r="W289"/>
      <c r="X289"/>
      <c r="AC289" s="5" t="s">
        <v>370</v>
      </c>
      <c r="AD289" s="12"/>
      <c r="AE289" s="135">
        <v>5081482</v>
      </c>
    </row>
    <row r="290" spans="2:31">
      <c r="B290"/>
      <c r="H290"/>
      <c r="W290"/>
      <c r="X290"/>
      <c r="AC290" s="5">
        <v>2012</v>
      </c>
      <c r="AD290" s="5" t="s">
        <v>1932</v>
      </c>
      <c r="AE290" s="15">
        <v>2840000</v>
      </c>
    </row>
    <row r="291" spans="2:31">
      <c r="B291"/>
      <c r="H291"/>
      <c r="W291"/>
      <c r="X291"/>
      <c r="AC291" s="13"/>
      <c r="AD291" s="68" t="s">
        <v>689</v>
      </c>
      <c r="AE291" s="66">
        <v>30000</v>
      </c>
    </row>
    <row r="292" spans="2:31">
      <c r="B292"/>
      <c r="H292"/>
      <c r="W292"/>
      <c r="X292"/>
      <c r="AC292" s="5" t="s">
        <v>1434</v>
      </c>
      <c r="AD292" s="12"/>
      <c r="AE292" s="15">
        <v>2870000</v>
      </c>
    </row>
    <row r="293" spans="2:31">
      <c r="B293"/>
      <c r="H293"/>
      <c r="W293"/>
      <c r="X293"/>
      <c r="AC293" s="9" t="s">
        <v>1207</v>
      </c>
      <c r="AD293" s="16"/>
      <c r="AE293" s="739">
        <v>57998534</v>
      </c>
    </row>
    <row r="294" spans="2:31">
      <c r="B294"/>
      <c r="H294"/>
      <c r="W294"/>
      <c r="X294"/>
    </row>
    <row r="295" spans="2:31">
      <c r="B295"/>
      <c r="H295"/>
      <c r="W295"/>
      <c r="X295"/>
    </row>
    <row r="296" spans="2:31">
      <c r="B296"/>
      <c r="H296"/>
      <c r="W296"/>
      <c r="X296"/>
    </row>
    <row r="297" spans="2:31">
      <c r="B297"/>
      <c r="H297"/>
      <c r="W297"/>
      <c r="X297"/>
    </row>
    <row r="298" spans="2:31">
      <c r="B298"/>
      <c r="H298"/>
      <c r="W298"/>
      <c r="X298"/>
    </row>
    <row r="299" spans="2:31">
      <c r="B299"/>
      <c r="H299"/>
      <c r="W299"/>
      <c r="X299"/>
    </row>
    <row r="300" spans="2:31">
      <c r="B300"/>
      <c r="H300"/>
      <c r="W300"/>
      <c r="X300"/>
    </row>
    <row r="301" spans="2:31">
      <c r="B301"/>
      <c r="H301"/>
      <c r="W301"/>
      <c r="X301"/>
    </row>
    <row r="302" spans="2:31">
      <c r="B302"/>
      <c r="H302"/>
      <c r="W302"/>
      <c r="X302"/>
    </row>
    <row r="303" spans="2:31">
      <c r="B303"/>
      <c r="H303"/>
      <c r="W303"/>
      <c r="X303"/>
    </row>
    <row r="304" spans="2:31">
      <c r="B304"/>
      <c r="H304"/>
      <c r="W304"/>
      <c r="X304"/>
    </row>
    <row r="305" spans="2:24">
      <c r="B305"/>
      <c r="H305"/>
      <c r="W305"/>
      <c r="X305"/>
    </row>
    <row r="306" spans="2:24">
      <c r="B306"/>
      <c r="H306"/>
      <c r="W306"/>
      <c r="X306"/>
    </row>
    <row r="307" spans="2:24">
      <c r="B307"/>
      <c r="H307"/>
      <c r="W307"/>
      <c r="X307"/>
    </row>
    <row r="308" spans="2:24">
      <c r="B308"/>
      <c r="H308"/>
      <c r="W308"/>
      <c r="X308"/>
    </row>
    <row r="309" spans="2:24">
      <c r="B309"/>
      <c r="H309"/>
      <c r="W309"/>
      <c r="X309"/>
    </row>
    <row r="310" spans="2:24">
      <c r="B310"/>
      <c r="H310"/>
      <c r="W310"/>
      <c r="X310"/>
    </row>
    <row r="311" spans="2:24">
      <c r="B311"/>
      <c r="H311"/>
      <c r="W311"/>
      <c r="X311"/>
    </row>
    <row r="312" spans="2:24">
      <c r="B312"/>
      <c r="H312"/>
      <c r="W312"/>
      <c r="X312"/>
    </row>
    <row r="313" spans="2:24">
      <c r="B313"/>
      <c r="H313"/>
      <c r="W313"/>
      <c r="X313"/>
    </row>
    <row r="314" spans="2:24">
      <c r="B314"/>
      <c r="H314"/>
      <c r="W314"/>
      <c r="X314"/>
    </row>
    <row r="315" spans="2:24">
      <c r="B315"/>
      <c r="H315"/>
      <c r="W315"/>
      <c r="X315"/>
    </row>
    <row r="316" spans="2:24">
      <c r="B316"/>
      <c r="H316"/>
      <c r="W316"/>
      <c r="X316"/>
    </row>
    <row r="317" spans="2:24">
      <c r="B317"/>
      <c r="H317"/>
      <c r="W317"/>
      <c r="X317"/>
    </row>
    <row r="318" spans="2:24">
      <c r="B318"/>
      <c r="H318"/>
      <c r="W318"/>
      <c r="X318"/>
    </row>
    <row r="319" spans="2:24">
      <c r="B319"/>
      <c r="H319"/>
      <c r="W319"/>
      <c r="X319"/>
    </row>
    <row r="320" spans="2:24">
      <c r="B320"/>
      <c r="H320"/>
      <c r="W320"/>
      <c r="X320"/>
    </row>
    <row r="321" spans="2:24">
      <c r="B321"/>
      <c r="H321"/>
      <c r="W321"/>
      <c r="X321"/>
    </row>
    <row r="322" spans="2:24">
      <c r="B322"/>
      <c r="H322"/>
      <c r="W322"/>
      <c r="X322"/>
    </row>
    <row r="323" spans="2:24">
      <c r="B323"/>
      <c r="H323"/>
      <c r="W323"/>
      <c r="X323"/>
    </row>
    <row r="324" spans="2:24">
      <c r="B324"/>
      <c r="H324"/>
      <c r="W324"/>
      <c r="X324"/>
    </row>
    <row r="325" spans="2:24">
      <c r="B325"/>
      <c r="H325"/>
      <c r="W325"/>
      <c r="X325"/>
    </row>
    <row r="326" spans="2:24">
      <c r="B326"/>
      <c r="H326"/>
      <c r="W326"/>
      <c r="X326"/>
    </row>
    <row r="327" spans="2:24">
      <c r="B327"/>
      <c r="H327"/>
      <c r="W327"/>
      <c r="X327"/>
    </row>
    <row r="328" spans="2:24">
      <c r="B328"/>
      <c r="H328"/>
      <c r="W328"/>
      <c r="X328"/>
    </row>
    <row r="329" spans="2:24">
      <c r="B329"/>
      <c r="H329"/>
      <c r="W329"/>
      <c r="X329"/>
    </row>
    <row r="330" spans="2:24">
      <c r="B330"/>
      <c r="H330"/>
      <c r="W330"/>
      <c r="X330"/>
    </row>
    <row r="331" spans="2:24">
      <c r="B331"/>
      <c r="H331"/>
      <c r="W331"/>
      <c r="X331"/>
    </row>
    <row r="332" spans="2:24">
      <c r="B332"/>
      <c r="H332"/>
      <c r="W332"/>
      <c r="X332"/>
    </row>
    <row r="333" spans="2:24">
      <c r="B333"/>
      <c r="H333"/>
      <c r="W333"/>
      <c r="X333"/>
    </row>
    <row r="334" spans="2:24">
      <c r="B334"/>
      <c r="H334"/>
      <c r="W334"/>
      <c r="X334"/>
    </row>
    <row r="335" spans="2:24">
      <c r="B335"/>
      <c r="H335"/>
      <c r="W335"/>
      <c r="X335"/>
    </row>
    <row r="336" spans="2:24">
      <c r="B336"/>
      <c r="H336"/>
      <c r="W336"/>
      <c r="X336"/>
    </row>
    <row r="337" spans="2:24">
      <c r="B337"/>
      <c r="H337"/>
      <c r="W337"/>
      <c r="X337"/>
    </row>
    <row r="338" spans="2:24">
      <c r="B338"/>
      <c r="H338"/>
      <c r="W338"/>
      <c r="X338"/>
    </row>
    <row r="339" spans="2:24">
      <c r="B339"/>
      <c r="H339"/>
      <c r="W339"/>
      <c r="X339"/>
    </row>
    <row r="340" spans="2:24">
      <c r="B340"/>
      <c r="H340"/>
      <c r="W340"/>
      <c r="X340"/>
    </row>
    <row r="341" spans="2:24">
      <c r="B341"/>
      <c r="H341"/>
      <c r="W341"/>
      <c r="X341"/>
    </row>
    <row r="342" spans="2:24">
      <c r="B342"/>
      <c r="H342"/>
      <c r="W342"/>
      <c r="X342"/>
    </row>
    <row r="343" spans="2:24">
      <c r="B343"/>
      <c r="H343"/>
      <c r="W343"/>
      <c r="X343"/>
    </row>
    <row r="344" spans="2:24">
      <c r="B344"/>
      <c r="H344"/>
      <c r="W344"/>
      <c r="X344"/>
    </row>
    <row r="345" spans="2:24">
      <c r="B345"/>
      <c r="H345"/>
      <c r="W345"/>
      <c r="X345"/>
    </row>
    <row r="346" spans="2:24">
      <c r="B346"/>
      <c r="H346"/>
      <c r="W346"/>
      <c r="X346"/>
    </row>
    <row r="347" spans="2:24">
      <c r="B347"/>
      <c r="H347"/>
      <c r="W347"/>
      <c r="X347"/>
    </row>
    <row r="348" spans="2:24">
      <c r="B348"/>
      <c r="H348"/>
      <c r="W348"/>
      <c r="X348"/>
    </row>
    <row r="349" spans="2:24">
      <c r="B349"/>
      <c r="H349"/>
      <c r="W349"/>
      <c r="X349"/>
    </row>
    <row r="350" spans="2:24">
      <c r="B350"/>
      <c r="H350"/>
      <c r="W350"/>
      <c r="X350"/>
    </row>
    <row r="351" spans="2:24">
      <c r="B351"/>
      <c r="H351"/>
      <c r="W351"/>
      <c r="X351"/>
    </row>
    <row r="352" spans="2:24">
      <c r="B352"/>
      <c r="H352"/>
      <c r="W352"/>
      <c r="X352"/>
    </row>
    <row r="353" spans="2:24">
      <c r="B353"/>
      <c r="H353"/>
      <c r="W353"/>
      <c r="X353"/>
    </row>
    <row r="354" spans="2:24">
      <c r="B354"/>
      <c r="H354"/>
      <c r="W354"/>
      <c r="X354"/>
    </row>
    <row r="355" spans="2:24">
      <c r="B355"/>
      <c r="H355"/>
      <c r="W355"/>
      <c r="X355"/>
    </row>
    <row r="356" spans="2:24">
      <c r="B356"/>
      <c r="H356"/>
      <c r="W356"/>
      <c r="X356"/>
    </row>
    <row r="357" spans="2:24">
      <c r="B357"/>
      <c r="H357"/>
      <c r="W357"/>
      <c r="X357"/>
    </row>
    <row r="358" spans="2:24">
      <c r="B358"/>
      <c r="H358"/>
      <c r="W358"/>
      <c r="X358"/>
    </row>
    <row r="359" spans="2:24">
      <c r="B359"/>
      <c r="H359"/>
      <c r="W359"/>
      <c r="X359"/>
    </row>
    <row r="360" spans="2:24">
      <c r="B360"/>
      <c r="H360"/>
      <c r="W360"/>
      <c r="X360"/>
    </row>
    <row r="361" spans="2:24">
      <c r="B361"/>
      <c r="H361"/>
      <c r="W361"/>
      <c r="X361"/>
    </row>
    <row r="362" spans="2:24">
      <c r="B362"/>
      <c r="H362"/>
      <c r="W362"/>
      <c r="X362"/>
    </row>
    <row r="363" spans="2:24">
      <c r="B363"/>
      <c r="H363"/>
      <c r="W363"/>
      <c r="X363"/>
    </row>
    <row r="364" spans="2:24">
      <c r="B364"/>
      <c r="H364"/>
      <c r="W364"/>
      <c r="X364"/>
    </row>
    <row r="365" spans="2:24">
      <c r="B365"/>
      <c r="H365"/>
      <c r="W365"/>
      <c r="X365"/>
    </row>
    <row r="366" spans="2:24">
      <c r="B366"/>
      <c r="H366"/>
      <c r="W366"/>
      <c r="X366"/>
    </row>
    <row r="367" spans="2:24">
      <c r="B367"/>
      <c r="H367"/>
      <c r="W367"/>
      <c r="X367"/>
    </row>
    <row r="368" spans="2:24">
      <c r="B368"/>
      <c r="H368"/>
      <c r="W368"/>
      <c r="X368"/>
    </row>
    <row r="369" spans="2:24">
      <c r="B369"/>
      <c r="H369"/>
      <c r="W369"/>
      <c r="X369"/>
    </row>
    <row r="370" spans="2:24">
      <c r="B370"/>
      <c r="H370"/>
      <c r="W370"/>
      <c r="X370"/>
    </row>
    <row r="371" spans="2:24">
      <c r="B371"/>
      <c r="H371"/>
      <c r="W371"/>
      <c r="X371"/>
    </row>
    <row r="372" spans="2:24">
      <c r="B372"/>
      <c r="H372"/>
      <c r="W372"/>
      <c r="X372"/>
    </row>
    <row r="373" spans="2:24">
      <c r="B373"/>
      <c r="H373"/>
      <c r="W373"/>
      <c r="X373"/>
    </row>
    <row r="374" spans="2:24">
      <c r="B374"/>
      <c r="H374"/>
      <c r="W374"/>
      <c r="X374"/>
    </row>
    <row r="375" spans="2:24">
      <c r="B375"/>
      <c r="H375"/>
      <c r="W375"/>
      <c r="X375"/>
    </row>
    <row r="376" spans="2:24">
      <c r="B376"/>
      <c r="H376"/>
      <c r="W376"/>
      <c r="X376"/>
    </row>
    <row r="377" spans="2:24">
      <c r="B377"/>
      <c r="H377"/>
      <c r="W377"/>
      <c r="X377"/>
    </row>
    <row r="378" spans="2:24">
      <c r="B378"/>
      <c r="H378"/>
      <c r="W378"/>
      <c r="X378"/>
    </row>
    <row r="379" spans="2:24">
      <c r="B379"/>
      <c r="H379"/>
      <c r="W379"/>
      <c r="X379"/>
    </row>
    <row r="380" spans="2:24">
      <c r="B380"/>
      <c r="H380"/>
      <c r="W380"/>
      <c r="X380"/>
    </row>
    <row r="381" spans="2:24">
      <c r="B381"/>
      <c r="H381"/>
      <c r="W381"/>
      <c r="X381"/>
    </row>
    <row r="382" spans="2:24">
      <c r="B382"/>
      <c r="H382"/>
      <c r="W382"/>
      <c r="X382"/>
    </row>
    <row r="383" spans="2:24">
      <c r="B383"/>
      <c r="H383"/>
      <c r="W383"/>
      <c r="X383"/>
    </row>
    <row r="384" spans="2:24">
      <c r="B384"/>
      <c r="H384"/>
      <c r="W384"/>
      <c r="X384"/>
    </row>
    <row r="385" spans="2:24">
      <c r="B385"/>
      <c r="H385"/>
      <c r="W385"/>
      <c r="X385"/>
    </row>
    <row r="386" spans="2:24">
      <c r="B386"/>
      <c r="H386"/>
      <c r="W386"/>
      <c r="X386"/>
    </row>
    <row r="387" spans="2:24">
      <c r="B387"/>
      <c r="H387"/>
      <c r="W387"/>
      <c r="X387"/>
    </row>
    <row r="388" spans="2:24">
      <c r="B388"/>
      <c r="H388"/>
      <c r="W388"/>
      <c r="X388"/>
    </row>
    <row r="389" spans="2:24">
      <c r="B389"/>
      <c r="H389"/>
      <c r="W389"/>
      <c r="X389"/>
    </row>
    <row r="390" spans="2:24">
      <c r="B390"/>
      <c r="H390"/>
      <c r="W390"/>
      <c r="X390"/>
    </row>
    <row r="391" spans="2:24">
      <c r="B391"/>
      <c r="H391"/>
      <c r="W391"/>
      <c r="X391"/>
    </row>
    <row r="392" spans="2:24">
      <c r="B392"/>
      <c r="H392"/>
      <c r="W392"/>
      <c r="X392"/>
    </row>
    <row r="393" spans="2:24">
      <c r="B393"/>
      <c r="H393"/>
      <c r="W393"/>
      <c r="X393"/>
    </row>
    <row r="394" spans="2:24">
      <c r="B394"/>
      <c r="H394"/>
      <c r="W394"/>
      <c r="X394"/>
    </row>
    <row r="395" spans="2:24">
      <c r="B395"/>
      <c r="H395"/>
      <c r="W395"/>
      <c r="X395"/>
    </row>
    <row r="396" spans="2:24">
      <c r="B396"/>
      <c r="H396"/>
      <c r="W396"/>
      <c r="X396"/>
    </row>
    <row r="397" spans="2:24">
      <c r="B397"/>
      <c r="H397"/>
      <c r="W397"/>
      <c r="X397"/>
    </row>
    <row r="398" spans="2:24">
      <c r="B398"/>
      <c r="H398"/>
      <c r="W398"/>
      <c r="X398"/>
    </row>
    <row r="399" spans="2:24">
      <c r="B399"/>
      <c r="H399"/>
      <c r="W399"/>
      <c r="X399"/>
    </row>
    <row r="400" spans="2:24">
      <c r="B400"/>
      <c r="H400"/>
      <c r="W400"/>
      <c r="X400"/>
    </row>
    <row r="401" spans="2:24">
      <c r="B401"/>
      <c r="H401"/>
      <c r="W401"/>
      <c r="X401"/>
    </row>
    <row r="402" spans="2:24">
      <c r="B402"/>
      <c r="H402"/>
      <c r="W402"/>
      <c r="X402"/>
    </row>
    <row r="403" spans="2:24">
      <c r="B403"/>
      <c r="H403"/>
      <c r="W403"/>
      <c r="X403"/>
    </row>
    <row r="404" spans="2:24">
      <c r="B404"/>
      <c r="H404"/>
      <c r="W404"/>
      <c r="X404"/>
    </row>
    <row r="405" spans="2:24">
      <c r="B405"/>
      <c r="H405"/>
      <c r="W405"/>
      <c r="X405"/>
    </row>
    <row r="406" spans="2:24">
      <c r="B406"/>
      <c r="H406"/>
      <c r="W406"/>
      <c r="X406"/>
    </row>
    <row r="407" spans="2:24">
      <c r="B407"/>
      <c r="H407"/>
      <c r="W407"/>
      <c r="X407"/>
    </row>
    <row r="408" spans="2:24">
      <c r="B408"/>
      <c r="H408"/>
      <c r="W408"/>
      <c r="X408"/>
    </row>
    <row r="409" spans="2:24">
      <c r="B409"/>
      <c r="H409"/>
      <c r="W409"/>
      <c r="X409"/>
    </row>
    <row r="410" spans="2:24">
      <c r="B410"/>
      <c r="H410"/>
      <c r="W410"/>
      <c r="X410"/>
    </row>
    <row r="411" spans="2:24">
      <c r="B411"/>
      <c r="H411"/>
      <c r="W411"/>
      <c r="X411"/>
    </row>
    <row r="412" spans="2:24">
      <c r="B412"/>
      <c r="H412"/>
      <c r="W412"/>
      <c r="X412"/>
    </row>
    <row r="413" spans="2:24">
      <c r="B413"/>
      <c r="H413"/>
      <c r="W413"/>
      <c r="X413"/>
    </row>
    <row r="414" spans="2:24">
      <c r="B414"/>
      <c r="H414"/>
      <c r="W414"/>
      <c r="X414"/>
    </row>
    <row r="415" spans="2:24">
      <c r="B415"/>
      <c r="H415"/>
      <c r="W415"/>
      <c r="X415"/>
    </row>
    <row r="416" spans="2:24">
      <c r="B416"/>
      <c r="H416"/>
      <c r="W416"/>
      <c r="X416"/>
    </row>
    <row r="417" spans="2:24">
      <c r="B417"/>
      <c r="H417"/>
      <c r="W417"/>
      <c r="X417"/>
    </row>
    <row r="418" spans="2:24">
      <c r="B418"/>
      <c r="H418"/>
      <c r="W418"/>
      <c r="X418"/>
    </row>
    <row r="419" spans="2:24">
      <c r="B419"/>
      <c r="H419"/>
      <c r="W419"/>
      <c r="X419"/>
    </row>
    <row r="420" spans="2:24">
      <c r="B420"/>
      <c r="H420"/>
      <c r="W420"/>
      <c r="X420"/>
    </row>
    <row r="421" spans="2:24">
      <c r="B421"/>
      <c r="H421"/>
      <c r="W421"/>
      <c r="X421"/>
    </row>
    <row r="422" spans="2:24">
      <c r="B422"/>
      <c r="H422"/>
      <c r="W422"/>
      <c r="X422"/>
    </row>
    <row r="423" spans="2:24">
      <c r="B423"/>
      <c r="H423"/>
      <c r="W423"/>
      <c r="X423"/>
    </row>
    <row r="424" spans="2:24">
      <c r="B424"/>
      <c r="H424"/>
      <c r="W424"/>
      <c r="X424"/>
    </row>
    <row r="425" spans="2:24">
      <c r="B425"/>
      <c r="H425"/>
      <c r="W425"/>
      <c r="X425"/>
    </row>
    <row r="426" spans="2:24">
      <c r="B426"/>
      <c r="H426"/>
      <c r="W426"/>
      <c r="X426"/>
    </row>
    <row r="427" spans="2:24">
      <c r="B427"/>
      <c r="H427"/>
      <c r="W427"/>
      <c r="X427"/>
    </row>
    <row r="428" spans="2:24">
      <c r="B428"/>
      <c r="H428"/>
      <c r="W428"/>
      <c r="X428"/>
    </row>
    <row r="429" spans="2:24">
      <c r="B429"/>
      <c r="H429"/>
      <c r="W429"/>
      <c r="X429"/>
    </row>
    <row r="430" spans="2:24">
      <c r="B430"/>
      <c r="H430"/>
      <c r="W430"/>
      <c r="X430"/>
    </row>
    <row r="431" spans="2:24">
      <c r="B431"/>
      <c r="H431"/>
      <c r="W431"/>
      <c r="X431"/>
    </row>
    <row r="432" spans="2:24">
      <c r="B432"/>
      <c r="H432"/>
      <c r="W432"/>
      <c r="X432"/>
    </row>
    <row r="433" spans="2:24">
      <c r="B433"/>
      <c r="H433"/>
      <c r="W433"/>
      <c r="X433"/>
    </row>
    <row r="434" spans="2:24">
      <c r="B434"/>
      <c r="H434"/>
      <c r="W434"/>
      <c r="X434"/>
    </row>
    <row r="435" spans="2:24">
      <c r="B435"/>
      <c r="H435"/>
      <c r="W435"/>
      <c r="X435"/>
    </row>
    <row r="436" spans="2:24">
      <c r="B436"/>
      <c r="H436"/>
      <c r="W436"/>
      <c r="X436"/>
    </row>
    <row r="437" spans="2:24">
      <c r="B437"/>
      <c r="H437"/>
      <c r="W437"/>
      <c r="X437"/>
    </row>
    <row r="438" spans="2:24">
      <c r="B438"/>
      <c r="H438"/>
      <c r="W438"/>
      <c r="X438"/>
    </row>
    <row r="439" spans="2:24">
      <c r="B439"/>
      <c r="H439"/>
      <c r="W439"/>
      <c r="X439"/>
    </row>
    <row r="440" spans="2:24">
      <c r="B440"/>
      <c r="H440"/>
      <c r="W440"/>
      <c r="X440"/>
    </row>
    <row r="441" spans="2:24">
      <c r="B441"/>
      <c r="H441"/>
      <c r="W441"/>
      <c r="X441"/>
    </row>
    <row r="442" spans="2:24">
      <c r="B442"/>
      <c r="H442"/>
      <c r="W442"/>
      <c r="X442"/>
    </row>
    <row r="443" spans="2:24">
      <c r="B443"/>
      <c r="H443"/>
      <c r="W443"/>
      <c r="X443"/>
    </row>
    <row r="444" spans="2:24">
      <c r="B444"/>
      <c r="H444"/>
      <c r="W444"/>
      <c r="X444"/>
    </row>
    <row r="445" spans="2:24">
      <c r="B445"/>
      <c r="H445"/>
      <c r="W445"/>
      <c r="X445"/>
    </row>
    <row r="446" spans="2:24">
      <c r="B446"/>
      <c r="H446"/>
      <c r="W446"/>
      <c r="X446"/>
    </row>
    <row r="447" spans="2:24">
      <c r="B447"/>
      <c r="H447"/>
      <c r="W447"/>
      <c r="X447"/>
    </row>
    <row r="448" spans="2:24">
      <c r="B448"/>
      <c r="H448"/>
      <c r="W448"/>
      <c r="X448"/>
    </row>
    <row r="449" spans="2:24">
      <c r="B449"/>
      <c r="H449"/>
      <c r="W449"/>
      <c r="X449"/>
    </row>
    <row r="450" spans="2:24">
      <c r="B450"/>
      <c r="H450"/>
      <c r="W450"/>
      <c r="X450"/>
    </row>
    <row r="451" spans="2:24">
      <c r="B451"/>
      <c r="H451"/>
      <c r="W451"/>
      <c r="X451"/>
    </row>
    <row r="452" spans="2:24">
      <c r="B452"/>
      <c r="H452"/>
      <c r="W452"/>
      <c r="X452"/>
    </row>
    <row r="453" spans="2:24">
      <c r="B453"/>
      <c r="H453"/>
      <c r="W453"/>
      <c r="X453"/>
    </row>
    <row r="454" spans="2:24">
      <c r="B454"/>
      <c r="H454"/>
      <c r="W454"/>
      <c r="X454"/>
    </row>
    <row r="455" spans="2:24">
      <c r="B455"/>
      <c r="H455"/>
      <c r="W455"/>
      <c r="X455"/>
    </row>
    <row r="456" spans="2:24">
      <c r="B456"/>
      <c r="H456"/>
      <c r="W456"/>
      <c r="X456"/>
    </row>
    <row r="457" spans="2:24">
      <c r="B457"/>
      <c r="H457"/>
      <c r="W457"/>
      <c r="X457"/>
    </row>
    <row r="458" spans="2:24">
      <c r="B458"/>
      <c r="H458"/>
      <c r="W458"/>
      <c r="X458"/>
    </row>
    <row r="459" spans="2:24">
      <c r="B459"/>
      <c r="H459"/>
      <c r="W459"/>
      <c r="X459"/>
    </row>
    <row r="460" spans="2:24">
      <c r="B460"/>
      <c r="H460"/>
      <c r="W460"/>
      <c r="X460"/>
    </row>
    <row r="461" spans="2:24">
      <c r="B461"/>
      <c r="H461"/>
      <c r="W461"/>
      <c r="X461"/>
    </row>
    <row r="462" spans="2:24">
      <c r="B462"/>
      <c r="H462"/>
      <c r="W462"/>
      <c r="X462"/>
    </row>
    <row r="463" spans="2:24">
      <c r="B463"/>
      <c r="H463"/>
      <c r="W463"/>
      <c r="X463"/>
    </row>
    <row r="464" spans="2:24">
      <c r="B464"/>
      <c r="H464"/>
      <c r="W464"/>
      <c r="X464"/>
    </row>
    <row r="465" spans="2:24">
      <c r="B465"/>
      <c r="H465"/>
      <c r="W465"/>
      <c r="X465"/>
    </row>
    <row r="466" spans="2:24">
      <c r="B466"/>
      <c r="H466"/>
      <c r="W466"/>
      <c r="X466"/>
    </row>
    <row r="467" spans="2:24">
      <c r="B467"/>
      <c r="H467"/>
      <c r="W467"/>
      <c r="X467"/>
    </row>
    <row r="468" spans="2:24">
      <c r="B468"/>
      <c r="H468"/>
      <c r="W468"/>
      <c r="X468"/>
    </row>
    <row r="469" spans="2:24">
      <c r="B469"/>
      <c r="H469"/>
      <c r="W469"/>
      <c r="X469"/>
    </row>
    <row r="470" spans="2:24">
      <c r="B470"/>
      <c r="H470"/>
      <c r="W470"/>
      <c r="X470"/>
    </row>
    <row r="471" spans="2:24">
      <c r="B471"/>
      <c r="H471"/>
      <c r="W471"/>
      <c r="X471"/>
    </row>
    <row r="472" spans="2:24">
      <c r="B472"/>
      <c r="H472"/>
      <c r="W472"/>
      <c r="X472"/>
    </row>
    <row r="473" spans="2:24">
      <c r="B473"/>
      <c r="H473"/>
      <c r="W473"/>
      <c r="X473"/>
    </row>
    <row r="474" spans="2:24">
      <c r="B474"/>
      <c r="H474"/>
      <c r="W474"/>
      <c r="X474"/>
    </row>
    <row r="475" spans="2:24">
      <c r="B475"/>
      <c r="H475"/>
      <c r="W475"/>
      <c r="X475"/>
    </row>
    <row r="476" spans="2:24">
      <c r="B476"/>
      <c r="H476"/>
      <c r="W476"/>
      <c r="X476"/>
    </row>
    <row r="477" spans="2:24">
      <c r="B477"/>
      <c r="H477"/>
      <c r="W477"/>
      <c r="X477"/>
    </row>
    <row r="478" spans="2:24">
      <c r="B478"/>
      <c r="H478"/>
      <c r="W478"/>
      <c r="X478"/>
    </row>
    <row r="479" spans="2:24">
      <c r="B479"/>
      <c r="H479"/>
    </row>
    <row r="480" spans="2:24">
      <c r="B480"/>
      <c r="H480"/>
    </row>
    <row r="481" spans="2:8">
      <c r="B481"/>
      <c r="H481"/>
    </row>
    <row r="482" spans="2:8">
      <c r="B482"/>
      <c r="H482"/>
    </row>
    <row r="483" spans="2:8">
      <c r="B483"/>
      <c r="H483"/>
    </row>
    <row r="484" spans="2:8">
      <c r="B484"/>
      <c r="H484"/>
    </row>
    <row r="485" spans="2:8">
      <c r="B485"/>
      <c r="H485"/>
    </row>
    <row r="486" spans="2:8">
      <c r="B486"/>
      <c r="H486"/>
    </row>
    <row r="487" spans="2:8">
      <c r="B487"/>
      <c r="H487"/>
    </row>
    <row r="488" spans="2:8">
      <c r="B488"/>
      <c r="H488"/>
    </row>
    <row r="489" spans="2:8">
      <c r="B489"/>
      <c r="H489"/>
    </row>
    <row r="490" spans="2:8">
      <c r="B490"/>
      <c r="H490"/>
    </row>
    <row r="491" spans="2:8">
      <c r="B491"/>
      <c r="H491"/>
    </row>
    <row r="492" spans="2:8">
      <c r="B492"/>
      <c r="H492"/>
    </row>
    <row r="493" spans="2:8">
      <c r="B493"/>
      <c r="H493"/>
    </row>
    <row r="494" spans="2:8">
      <c r="B494"/>
      <c r="H494"/>
    </row>
    <row r="495" spans="2:8">
      <c r="B495"/>
      <c r="H495"/>
    </row>
    <row r="496" spans="2:8">
      <c r="B496"/>
      <c r="H496"/>
    </row>
    <row r="497" spans="2:8">
      <c r="B497"/>
      <c r="H497"/>
    </row>
    <row r="498" spans="2:8">
      <c r="B498"/>
      <c r="H498"/>
    </row>
    <row r="499" spans="2:8">
      <c r="B499"/>
      <c r="H499"/>
    </row>
    <row r="500" spans="2:8">
      <c r="B500"/>
      <c r="H500"/>
    </row>
    <row r="501" spans="2:8">
      <c r="B501"/>
      <c r="H501"/>
    </row>
    <row r="502" spans="2:8">
      <c r="B502"/>
      <c r="H502"/>
    </row>
    <row r="503" spans="2:8">
      <c r="H503"/>
    </row>
    <row r="504" spans="2:8">
      <c r="H504"/>
    </row>
    <row r="505" spans="2:8">
      <c r="H505"/>
    </row>
    <row r="506" spans="2:8">
      <c r="H506"/>
    </row>
    <row r="507" spans="2:8">
      <c r="H507"/>
    </row>
    <row r="508" spans="2:8">
      <c r="H508"/>
    </row>
    <row r="509" spans="2:8">
      <c r="H509"/>
    </row>
    <row r="510" spans="2:8">
      <c r="H510"/>
    </row>
    <row r="511" spans="2:8">
      <c r="H511"/>
    </row>
    <row r="512" spans="2:8">
      <c r="H512"/>
    </row>
    <row r="513" spans="8:10">
      <c r="H513"/>
    </row>
    <row r="514" spans="8:10">
      <c r="H514"/>
    </row>
    <row r="515" spans="8:10">
      <c r="H515"/>
    </row>
    <row r="516" spans="8:10">
      <c r="H516"/>
    </row>
    <row r="517" spans="8:10">
      <c r="H517"/>
    </row>
    <row r="518" spans="8:10">
      <c r="H518"/>
    </row>
    <row r="519" spans="8:10">
      <c r="H519"/>
    </row>
    <row r="520" spans="8:10">
      <c r="H520"/>
      <c r="I520" s="4" t="s">
        <v>1717</v>
      </c>
      <c r="J520" s="237">
        <f>SUM(J516:J517)</f>
        <v>0</v>
      </c>
    </row>
    <row r="521" spans="8:10">
      <c r="H521"/>
    </row>
    <row r="522" spans="8:10">
      <c r="H522"/>
    </row>
    <row r="523" spans="8:10">
      <c r="H523"/>
    </row>
    <row r="524" spans="8:10">
      <c r="H524"/>
    </row>
    <row r="525" spans="8:10">
      <c r="H525"/>
    </row>
    <row r="526" spans="8:10">
      <c r="H526"/>
    </row>
    <row r="527" spans="8:10">
      <c r="H527"/>
    </row>
    <row r="528" spans="8:10">
      <c r="H528"/>
    </row>
    <row r="529" spans="8:8">
      <c r="H529"/>
    </row>
    <row r="530" spans="8:8">
      <c r="H530"/>
    </row>
    <row r="531" spans="8:8">
      <c r="H531"/>
    </row>
    <row r="532" spans="8:8">
      <c r="H532"/>
    </row>
    <row r="533" spans="8:8">
      <c r="H533"/>
    </row>
    <row r="534" spans="8:8">
      <c r="H534"/>
    </row>
    <row r="535" spans="8:8">
      <c r="H535"/>
    </row>
    <row r="536" spans="8:8">
      <c r="H536"/>
    </row>
    <row r="537" spans="8:8">
      <c r="H537"/>
    </row>
    <row r="538" spans="8:8">
      <c r="H538"/>
    </row>
    <row r="539" spans="8:8">
      <c r="H539"/>
    </row>
    <row r="540" spans="8:8">
      <c r="H540"/>
    </row>
    <row r="541" spans="8:8">
      <c r="H541"/>
    </row>
    <row r="542" spans="8:8">
      <c r="H542"/>
    </row>
    <row r="543" spans="8:8">
      <c r="H543"/>
    </row>
    <row r="544" spans="8:8">
      <c r="H544"/>
    </row>
    <row r="545" spans="8:8">
      <c r="H545"/>
    </row>
    <row r="546" spans="8:8">
      <c r="H546"/>
    </row>
    <row r="547" spans="8:8">
      <c r="H547"/>
    </row>
    <row r="548" spans="8:8">
      <c r="H548"/>
    </row>
    <row r="549" spans="8:8">
      <c r="H549"/>
    </row>
    <row r="550" spans="8:8">
      <c r="H550"/>
    </row>
    <row r="551" spans="8:8">
      <c r="H551"/>
    </row>
    <row r="552" spans="8:8">
      <c r="H552"/>
    </row>
    <row r="553" spans="8:8">
      <c r="H553"/>
    </row>
    <row r="554" spans="8:8">
      <c r="H554"/>
    </row>
    <row r="555" spans="8:8">
      <c r="H555"/>
    </row>
    <row r="556" spans="8:8">
      <c r="H556"/>
    </row>
    <row r="557" spans="8:8">
      <c r="H557"/>
    </row>
    <row r="558" spans="8:8">
      <c r="H558"/>
    </row>
    <row r="559" spans="8:8">
      <c r="H559"/>
    </row>
    <row r="560" spans="8:8">
      <c r="H560"/>
    </row>
    <row r="561" spans="8:8">
      <c r="H561"/>
    </row>
    <row r="562" spans="8:8">
      <c r="H562"/>
    </row>
    <row r="563" spans="8:8">
      <c r="H563"/>
    </row>
    <row r="564" spans="8:8">
      <c r="H564"/>
    </row>
    <row r="565" spans="8:8">
      <c r="H565"/>
    </row>
    <row r="566" spans="8:8">
      <c r="H566"/>
    </row>
    <row r="567" spans="8:8">
      <c r="H567"/>
    </row>
    <row r="568" spans="8:8">
      <c r="H568"/>
    </row>
    <row r="569" spans="8:8">
      <c r="H569"/>
    </row>
    <row r="570" spans="8:8">
      <c r="H570"/>
    </row>
    <row r="571" spans="8:8">
      <c r="H571"/>
    </row>
    <row r="572" spans="8:8">
      <c r="H572"/>
    </row>
    <row r="573" spans="8:8">
      <c r="H573"/>
    </row>
    <row r="574" spans="8:8">
      <c r="H574"/>
    </row>
    <row r="575" spans="8:8">
      <c r="H575"/>
    </row>
    <row r="576" spans="8:8">
      <c r="H576"/>
    </row>
    <row r="577" spans="8:8">
      <c r="H577"/>
    </row>
    <row r="578" spans="8:8">
      <c r="H578"/>
    </row>
    <row r="579" spans="8:8">
      <c r="H579"/>
    </row>
    <row r="580" spans="8:8">
      <c r="H580"/>
    </row>
    <row r="581" spans="8:8">
      <c r="H581"/>
    </row>
    <row r="582" spans="8:8">
      <c r="H582"/>
    </row>
    <row r="583" spans="8:8">
      <c r="H583"/>
    </row>
    <row r="584" spans="8:8">
      <c r="H584"/>
    </row>
    <row r="585" spans="8:8">
      <c r="H585"/>
    </row>
    <row r="586" spans="8:8">
      <c r="H586"/>
    </row>
    <row r="587" spans="8:8">
      <c r="H587"/>
    </row>
    <row r="588" spans="8:8">
      <c r="H588"/>
    </row>
    <row r="589" spans="8:8">
      <c r="H589"/>
    </row>
    <row r="590" spans="8:8">
      <c r="H590"/>
    </row>
    <row r="591" spans="8:8">
      <c r="H591"/>
    </row>
    <row r="592" spans="8:8">
      <c r="H592"/>
    </row>
    <row r="593" spans="8:8">
      <c r="H593"/>
    </row>
    <row r="594" spans="8:8">
      <c r="H594"/>
    </row>
    <row r="595" spans="8:8">
      <c r="H595"/>
    </row>
    <row r="596" spans="8:8">
      <c r="H596"/>
    </row>
    <row r="597" spans="8:8">
      <c r="H597"/>
    </row>
    <row r="598" spans="8:8">
      <c r="H598"/>
    </row>
    <row r="599" spans="8:8">
      <c r="H599"/>
    </row>
    <row r="600" spans="8:8">
      <c r="H600"/>
    </row>
    <row r="601" spans="8:8">
      <c r="H601"/>
    </row>
    <row r="602" spans="8:8">
      <c r="H602"/>
    </row>
    <row r="603" spans="8:8">
      <c r="H603"/>
    </row>
    <row r="604" spans="8:8">
      <c r="H604"/>
    </row>
    <row r="605" spans="8:8">
      <c r="H605"/>
    </row>
    <row r="606" spans="8:8">
      <c r="H606"/>
    </row>
    <row r="607" spans="8:8">
      <c r="H607"/>
    </row>
    <row r="608" spans="8:8">
      <c r="H608"/>
    </row>
    <row r="609" spans="8:8">
      <c r="H609"/>
    </row>
    <row r="610" spans="8:8">
      <c r="H610"/>
    </row>
    <row r="611" spans="8:8">
      <c r="H611"/>
    </row>
    <row r="612" spans="8:8">
      <c r="H612"/>
    </row>
    <row r="613" spans="8:8">
      <c r="H613"/>
    </row>
    <row r="614" spans="8:8">
      <c r="H614"/>
    </row>
    <row r="615" spans="8:8">
      <c r="H615"/>
    </row>
    <row r="616" spans="8:8">
      <c r="H616"/>
    </row>
    <row r="617" spans="8:8">
      <c r="H617"/>
    </row>
    <row r="618" spans="8:8">
      <c r="H618"/>
    </row>
    <row r="619" spans="8:8">
      <c r="H619"/>
    </row>
    <row r="620" spans="8:8">
      <c r="H620"/>
    </row>
    <row r="621" spans="8:8">
      <c r="H621"/>
    </row>
    <row r="622" spans="8:8">
      <c r="H622"/>
    </row>
    <row r="623" spans="8:8">
      <c r="H623"/>
    </row>
    <row r="624" spans="8:8">
      <c r="H624"/>
    </row>
    <row r="625" spans="8:8">
      <c r="H625"/>
    </row>
    <row r="626" spans="8:8">
      <c r="H626"/>
    </row>
    <row r="627" spans="8:8">
      <c r="H627"/>
    </row>
    <row r="628" spans="8:8">
      <c r="H628"/>
    </row>
    <row r="629" spans="8:8">
      <c r="H629"/>
    </row>
    <row r="630" spans="8:8">
      <c r="H630"/>
    </row>
    <row r="631" spans="8:8">
      <c r="H631"/>
    </row>
    <row r="632" spans="8:8">
      <c r="H632"/>
    </row>
    <row r="633" spans="8:8">
      <c r="H633"/>
    </row>
    <row r="634" spans="8:8">
      <c r="H634"/>
    </row>
    <row r="635" spans="8:8">
      <c r="H635"/>
    </row>
    <row r="636" spans="8:8">
      <c r="H636"/>
    </row>
    <row r="637" spans="8:8">
      <c r="H637"/>
    </row>
    <row r="638" spans="8:8">
      <c r="H638"/>
    </row>
    <row r="639" spans="8:8">
      <c r="H639"/>
    </row>
    <row r="640" spans="8:8">
      <c r="H640"/>
    </row>
    <row r="641" spans="8:8">
      <c r="H641"/>
    </row>
    <row r="642" spans="8:8">
      <c r="H642"/>
    </row>
    <row r="643" spans="8:8">
      <c r="H643"/>
    </row>
    <row r="644" spans="8:8">
      <c r="H644"/>
    </row>
    <row r="645" spans="8:8">
      <c r="H645"/>
    </row>
    <row r="646" spans="8:8">
      <c r="H646"/>
    </row>
    <row r="647" spans="8:8">
      <c r="H647"/>
    </row>
    <row r="648" spans="8:8">
      <c r="H648"/>
    </row>
    <row r="649" spans="8:8">
      <c r="H649"/>
    </row>
    <row r="650" spans="8:8">
      <c r="H650"/>
    </row>
    <row r="651" spans="8:8">
      <c r="H651"/>
    </row>
    <row r="652" spans="8:8">
      <c r="H652"/>
    </row>
    <row r="653" spans="8:8">
      <c r="H653"/>
    </row>
    <row r="654" spans="8:8">
      <c r="H654"/>
    </row>
    <row r="655" spans="8:8">
      <c r="H655"/>
    </row>
    <row r="656" spans="8:8">
      <c r="H656"/>
    </row>
    <row r="657" spans="8:8">
      <c r="H657"/>
    </row>
    <row r="658" spans="8:8">
      <c r="H658"/>
    </row>
    <row r="659" spans="8:8">
      <c r="H659"/>
    </row>
    <row r="660" spans="8:8">
      <c r="H660"/>
    </row>
    <row r="661" spans="8:8">
      <c r="H661"/>
    </row>
    <row r="662" spans="8:8">
      <c r="H662"/>
    </row>
    <row r="663" spans="8:8">
      <c r="H663"/>
    </row>
    <row r="664" spans="8:8">
      <c r="H664"/>
    </row>
    <row r="665" spans="8:8">
      <c r="H665"/>
    </row>
    <row r="666" spans="8:8">
      <c r="H666"/>
    </row>
    <row r="667" spans="8:8">
      <c r="H667"/>
    </row>
    <row r="668" spans="8:8">
      <c r="H668"/>
    </row>
    <row r="669" spans="8:8">
      <c r="H669"/>
    </row>
    <row r="670" spans="8:8">
      <c r="H670"/>
    </row>
    <row r="671" spans="8:8">
      <c r="H671"/>
    </row>
    <row r="672" spans="8:8">
      <c r="H672"/>
    </row>
    <row r="673" spans="8:8">
      <c r="H673"/>
    </row>
    <row r="674" spans="8:8">
      <c r="H674"/>
    </row>
    <row r="675" spans="8:8">
      <c r="H675"/>
    </row>
    <row r="676" spans="8:8">
      <c r="H676"/>
    </row>
    <row r="677" spans="8:8">
      <c r="H677"/>
    </row>
    <row r="678" spans="8:8">
      <c r="H678"/>
    </row>
    <row r="679" spans="8:8">
      <c r="H679"/>
    </row>
    <row r="680" spans="8:8">
      <c r="H680"/>
    </row>
    <row r="681" spans="8:8">
      <c r="H681"/>
    </row>
    <row r="682" spans="8:8">
      <c r="H682"/>
    </row>
    <row r="683" spans="8:8">
      <c r="H683"/>
    </row>
    <row r="684" spans="8:8">
      <c r="H684"/>
    </row>
    <row r="685" spans="8:8">
      <c r="H685"/>
    </row>
    <row r="686" spans="8:8">
      <c r="H686"/>
    </row>
    <row r="687" spans="8:8">
      <c r="H687"/>
    </row>
    <row r="688" spans="8:8">
      <c r="H688"/>
    </row>
    <row r="689" spans="8:8">
      <c r="H689"/>
    </row>
    <row r="690" spans="8:8">
      <c r="H690"/>
    </row>
    <row r="691" spans="8:8">
      <c r="H691"/>
    </row>
    <row r="692" spans="8:8">
      <c r="H692"/>
    </row>
    <row r="693" spans="8:8">
      <c r="H693"/>
    </row>
    <row r="694" spans="8:8">
      <c r="H694"/>
    </row>
    <row r="695" spans="8:8">
      <c r="H695"/>
    </row>
    <row r="696" spans="8:8">
      <c r="H696"/>
    </row>
    <row r="697" spans="8:8">
      <c r="H697"/>
    </row>
    <row r="698" spans="8:8">
      <c r="H698"/>
    </row>
    <row r="699" spans="8:8">
      <c r="H699"/>
    </row>
    <row r="700" spans="8:8">
      <c r="H700"/>
    </row>
    <row r="701" spans="8:8">
      <c r="H701"/>
    </row>
    <row r="702" spans="8:8">
      <c r="H702"/>
    </row>
    <row r="703" spans="8:8">
      <c r="H703"/>
    </row>
    <row r="704" spans="8:8">
      <c r="H704"/>
    </row>
    <row r="705" spans="8:8">
      <c r="H705"/>
    </row>
    <row r="706" spans="8:8">
      <c r="H706"/>
    </row>
    <row r="707" spans="8:8">
      <c r="H707"/>
    </row>
    <row r="708" spans="8:8">
      <c r="H708"/>
    </row>
    <row r="709" spans="8:8">
      <c r="H709"/>
    </row>
    <row r="710" spans="8:8">
      <c r="H710"/>
    </row>
    <row r="711" spans="8:8">
      <c r="H711"/>
    </row>
    <row r="712" spans="8:8">
      <c r="H712"/>
    </row>
    <row r="713" spans="8:8">
      <c r="H713"/>
    </row>
    <row r="714" spans="8:8">
      <c r="H714"/>
    </row>
    <row r="715" spans="8:8">
      <c r="H715"/>
    </row>
    <row r="716" spans="8:8">
      <c r="H716"/>
    </row>
    <row r="717" spans="8:8">
      <c r="H717"/>
    </row>
    <row r="718" spans="8:8">
      <c r="H718"/>
    </row>
    <row r="719" spans="8:8">
      <c r="H719"/>
    </row>
    <row r="720" spans="8:8">
      <c r="H720"/>
    </row>
    <row r="721" spans="8:8">
      <c r="H721"/>
    </row>
    <row r="722" spans="8:8">
      <c r="H722"/>
    </row>
    <row r="723" spans="8:8">
      <c r="H723"/>
    </row>
    <row r="724" spans="8:8">
      <c r="H724"/>
    </row>
    <row r="725" spans="8:8">
      <c r="H725"/>
    </row>
    <row r="726" spans="8:8">
      <c r="H726"/>
    </row>
    <row r="727" spans="8:8">
      <c r="H727"/>
    </row>
    <row r="728" spans="8:8">
      <c r="H728"/>
    </row>
    <row r="729" spans="8:8">
      <c r="H729"/>
    </row>
    <row r="730" spans="8:8">
      <c r="H730"/>
    </row>
    <row r="731" spans="8:8">
      <c r="H731"/>
    </row>
    <row r="732" spans="8:8">
      <c r="H732"/>
    </row>
    <row r="733" spans="8:8">
      <c r="H733"/>
    </row>
    <row r="734" spans="8:8">
      <c r="H734"/>
    </row>
    <row r="735" spans="8:8">
      <c r="H735"/>
    </row>
    <row r="736" spans="8:8">
      <c r="H736"/>
    </row>
    <row r="737" spans="8:8">
      <c r="H737"/>
    </row>
    <row r="738" spans="8:8">
      <c r="H738"/>
    </row>
    <row r="739" spans="8:8">
      <c r="H739"/>
    </row>
    <row r="740" spans="8:8">
      <c r="H740"/>
    </row>
    <row r="741" spans="8:8">
      <c r="H741"/>
    </row>
    <row r="742" spans="8:8">
      <c r="H742"/>
    </row>
    <row r="743" spans="8:8">
      <c r="H743"/>
    </row>
    <row r="744" spans="8:8">
      <c r="H744"/>
    </row>
    <row r="745" spans="8:8">
      <c r="H745"/>
    </row>
    <row r="746" spans="8:8">
      <c r="H746"/>
    </row>
    <row r="747" spans="8:8">
      <c r="H747"/>
    </row>
    <row r="748" spans="8:8">
      <c r="H748"/>
    </row>
    <row r="749" spans="8:8">
      <c r="H749"/>
    </row>
    <row r="750" spans="8:8">
      <c r="H750"/>
    </row>
    <row r="751" spans="8:8">
      <c r="H751"/>
    </row>
    <row r="752" spans="8:8">
      <c r="H752"/>
    </row>
    <row r="753" spans="8:8">
      <c r="H753"/>
    </row>
    <row r="754" spans="8:8">
      <c r="H754"/>
    </row>
    <row r="755" spans="8:8">
      <c r="H755"/>
    </row>
    <row r="756" spans="8:8">
      <c r="H756"/>
    </row>
    <row r="757" spans="8:8">
      <c r="H757"/>
    </row>
    <row r="758" spans="8:8">
      <c r="H758"/>
    </row>
    <row r="759" spans="8:8">
      <c r="H759"/>
    </row>
    <row r="760" spans="8:8">
      <c r="H760"/>
    </row>
    <row r="761" spans="8:8">
      <c r="H761"/>
    </row>
    <row r="762" spans="8:8">
      <c r="H762"/>
    </row>
    <row r="763" spans="8:8">
      <c r="H763"/>
    </row>
    <row r="764" spans="8:8">
      <c r="H764"/>
    </row>
    <row r="765" spans="8:8">
      <c r="H765"/>
    </row>
    <row r="766" spans="8:8">
      <c r="H766"/>
    </row>
    <row r="767" spans="8:8">
      <c r="H767"/>
    </row>
    <row r="768" spans="8:8">
      <c r="H768"/>
    </row>
    <row r="769" spans="8:8">
      <c r="H769"/>
    </row>
    <row r="770" spans="8:8">
      <c r="H770"/>
    </row>
    <row r="771" spans="8:8">
      <c r="H771"/>
    </row>
    <row r="772" spans="8:8">
      <c r="H772"/>
    </row>
    <row r="773" spans="8:8">
      <c r="H773"/>
    </row>
    <row r="774" spans="8:8">
      <c r="H774"/>
    </row>
    <row r="775" spans="8:8">
      <c r="H775"/>
    </row>
    <row r="776" spans="8:8">
      <c r="H776"/>
    </row>
    <row r="777" spans="8:8">
      <c r="H777"/>
    </row>
    <row r="778" spans="8:8">
      <c r="H778"/>
    </row>
    <row r="779" spans="8:8">
      <c r="H779"/>
    </row>
    <row r="780" spans="8:8">
      <c r="H780"/>
    </row>
    <row r="781" spans="8:8">
      <c r="H781"/>
    </row>
    <row r="782" spans="8:8">
      <c r="H782"/>
    </row>
    <row r="783" spans="8:8">
      <c r="H783"/>
    </row>
    <row r="784" spans="8:8">
      <c r="H784"/>
    </row>
    <row r="785" spans="8:8">
      <c r="H785"/>
    </row>
    <row r="786" spans="8:8">
      <c r="H786"/>
    </row>
    <row r="787" spans="8:8">
      <c r="H787"/>
    </row>
    <row r="788" spans="8:8">
      <c r="H788"/>
    </row>
    <row r="789" spans="8:8">
      <c r="H789"/>
    </row>
    <row r="790" spans="8:8">
      <c r="H790"/>
    </row>
    <row r="791" spans="8:8">
      <c r="H791"/>
    </row>
    <row r="792" spans="8:8">
      <c r="H792"/>
    </row>
    <row r="793" spans="8:8">
      <c r="H793"/>
    </row>
    <row r="794" spans="8:8">
      <c r="H794"/>
    </row>
    <row r="795" spans="8:8">
      <c r="H795"/>
    </row>
    <row r="796" spans="8:8">
      <c r="H796"/>
    </row>
    <row r="797" spans="8:8">
      <c r="H797"/>
    </row>
    <row r="798" spans="8:8">
      <c r="H798"/>
    </row>
    <row r="799" spans="8:8">
      <c r="H799"/>
    </row>
    <row r="800" spans="8:8">
      <c r="H800"/>
    </row>
    <row r="801" spans="8:8">
      <c r="H801"/>
    </row>
    <row r="802" spans="8:8">
      <c r="H802"/>
    </row>
    <row r="803" spans="8:8">
      <c r="H803"/>
    </row>
    <row r="804" spans="8:8">
      <c r="H804"/>
    </row>
    <row r="805" spans="8:8">
      <c r="H805"/>
    </row>
    <row r="806" spans="8:8">
      <c r="H806"/>
    </row>
    <row r="807" spans="8:8">
      <c r="H807"/>
    </row>
    <row r="808" spans="8:8">
      <c r="H808"/>
    </row>
    <row r="809" spans="8:8">
      <c r="H809"/>
    </row>
    <row r="810" spans="8:8">
      <c r="H810"/>
    </row>
    <row r="811" spans="8:8">
      <c r="H811"/>
    </row>
    <row r="812" spans="8:8">
      <c r="H812"/>
    </row>
    <row r="813" spans="8:8">
      <c r="H813"/>
    </row>
    <row r="814" spans="8:8">
      <c r="H814"/>
    </row>
    <row r="815" spans="8:8">
      <c r="H815"/>
    </row>
    <row r="816" spans="8:8">
      <c r="H816"/>
    </row>
    <row r="817" spans="8:8">
      <c r="H817"/>
    </row>
    <row r="818" spans="8:8">
      <c r="H818"/>
    </row>
    <row r="819" spans="8:8">
      <c r="H819"/>
    </row>
    <row r="820" spans="8:8">
      <c r="H820"/>
    </row>
    <row r="821" spans="8:8">
      <c r="H821"/>
    </row>
    <row r="822" spans="8:8">
      <c r="H822"/>
    </row>
    <row r="823" spans="8:8">
      <c r="H823"/>
    </row>
    <row r="824" spans="8:8">
      <c r="H824"/>
    </row>
    <row r="825" spans="8:8">
      <c r="H825"/>
    </row>
    <row r="826" spans="8:8">
      <c r="H826"/>
    </row>
    <row r="827" spans="8:8">
      <c r="H827"/>
    </row>
    <row r="828" spans="8:8">
      <c r="H828"/>
    </row>
    <row r="829" spans="8:8">
      <c r="H829"/>
    </row>
    <row r="830" spans="8:8">
      <c r="H830"/>
    </row>
    <row r="831" spans="8:8">
      <c r="H831"/>
    </row>
    <row r="832" spans="8:8">
      <c r="H832"/>
    </row>
    <row r="833" spans="8:8">
      <c r="H833"/>
    </row>
    <row r="834" spans="8:8">
      <c r="H834"/>
    </row>
    <row r="835" spans="8:8">
      <c r="H835"/>
    </row>
    <row r="836" spans="8:8">
      <c r="H836"/>
    </row>
    <row r="837" spans="8:8">
      <c r="H837"/>
    </row>
    <row r="838" spans="8:8">
      <c r="H838"/>
    </row>
    <row r="839" spans="8:8">
      <c r="H839"/>
    </row>
    <row r="840" spans="8:8">
      <c r="H840"/>
    </row>
    <row r="841" spans="8:8">
      <c r="H841"/>
    </row>
    <row r="842" spans="8:8">
      <c r="H842"/>
    </row>
    <row r="843" spans="8:8">
      <c r="H843"/>
    </row>
    <row r="844" spans="8:8">
      <c r="H844"/>
    </row>
    <row r="845" spans="8:8">
      <c r="H845"/>
    </row>
    <row r="846" spans="8:8">
      <c r="H846"/>
    </row>
    <row r="847" spans="8:8">
      <c r="H847"/>
    </row>
    <row r="848" spans="8:8">
      <c r="H848"/>
    </row>
    <row r="849" spans="8:8">
      <c r="H849"/>
    </row>
    <row r="850" spans="8:8">
      <c r="H850"/>
    </row>
    <row r="851" spans="8:8">
      <c r="H851"/>
    </row>
    <row r="852" spans="8:8">
      <c r="H852"/>
    </row>
    <row r="853" spans="8:8">
      <c r="H853"/>
    </row>
    <row r="854" spans="8:8">
      <c r="H854"/>
    </row>
    <row r="855" spans="8:8">
      <c r="H855"/>
    </row>
    <row r="856" spans="8:8">
      <c r="H856"/>
    </row>
    <row r="857" spans="8:8">
      <c r="H857"/>
    </row>
    <row r="858" spans="8:8">
      <c r="H858"/>
    </row>
    <row r="859" spans="8:8">
      <c r="H859"/>
    </row>
  </sheetData>
  <phoneticPr fontId="12" type="noConversion"/>
  <pageMargins left="0.75" right="0.75" top="1" bottom="1" header="0.5" footer="0.5"/>
  <pageSetup orientation="portrait" r:id="rId7"/>
  <headerFooter alignWithMargins="0"/>
</worksheet>
</file>

<file path=xl/worksheets/sheet22.xml><?xml version="1.0" encoding="utf-8"?>
<worksheet xmlns="http://schemas.openxmlformats.org/spreadsheetml/2006/main" xmlns:r="http://schemas.openxmlformats.org/officeDocument/2006/relationships">
  <sheetPr codeName="Sheet20">
    <pageSetUpPr fitToPage="1"/>
  </sheetPr>
  <dimension ref="A1:CI433"/>
  <sheetViews>
    <sheetView topLeftCell="A40" zoomScale="115" zoomScaleNormal="115" workbookViewId="0">
      <selection activeCell="C8" sqref="C8"/>
    </sheetView>
  </sheetViews>
  <sheetFormatPr defaultRowHeight="14.25"/>
  <cols>
    <col min="1" max="1" width="15.28515625" style="598" customWidth="1"/>
    <col min="2" max="2" width="10.5703125" customWidth="1"/>
    <col min="3" max="3" width="34.5703125" style="4" customWidth="1"/>
    <col min="4" max="4" width="41.7109375" customWidth="1"/>
    <col min="5" max="5" width="20" style="3" customWidth="1"/>
    <col min="6" max="6" width="19.85546875" style="3" customWidth="1"/>
    <col min="7" max="11" width="19" customWidth="1"/>
    <col min="12" max="12" width="10" hidden="1" customWidth="1"/>
    <col min="13" max="13" width="19" style="233" customWidth="1"/>
    <col min="14" max="15" width="13.140625" hidden="1" customWidth="1"/>
    <col min="16" max="25" width="14.7109375" customWidth="1"/>
    <col min="26" max="26" width="14.7109375" style="675" customWidth="1"/>
    <col min="27" max="32" width="14.7109375" customWidth="1"/>
    <col min="33" max="33" width="11" customWidth="1"/>
    <col min="34" max="34" width="11.5703125" customWidth="1"/>
    <col min="35" max="35" width="9.140625" style="44" customWidth="1"/>
    <col min="36" max="36" width="11.5703125" style="44" customWidth="1"/>
    <col min="37" max="37" width="9.140625" customWidth="1"/>
    <col min="38" max="38" width="11.5703125" customWidth="1"/>
    <col min="39" max="39" width="9.140625" customWidth="1"/>
    <col min="40" max="40" width="11.5703125" customWidth="1"/>
    <col min="41" max="41" width="9.140625" customWidth="1"/>
    <col min="42" max="42" width="11.5703125" customWidth="1"/>
    <col min="43" max="43" width="9.140625" customWidth="1"/>
    <col min="44" max="44" width="11.5703125" customWidth="1"/>
    <col min="45" max="45" width="9.140625" customWidth="1"/>
    <col min="46" max="46" width="11.5703125" customWidth="1"/>
    <col min="47" max="47" width="9.140625" customWidth="1"/>
    <col min="48" max="48" width="11.5703125" customWidth="1"/>
    <col min="49" max="49" width="9.140625" customWidth="1"/>
    <col min="50" max="50" width="11.5703125" customWidth="1"/>
    <col min="51" max="51" width="10.140625" customWidth="1"/>
    <col min="52" max="52" width="12.5703125" customWidth="1"/>
    <col min="53" max="53" width="10.140625" customWidth="1"/>
    <col min="54" max="54" width="12.5703125" customWidth="1"/>
    <col min="55" max="55" width="10.140625" customWidth="1"/>
    <col min="56" max="56" width="12.5703125" customWidth="1"/>
    <col min="57" max="57" width="10.140625" customWidth="1"/>
    <col min="58" max="58" width="12.5703125" customWidth="1"/>
    <col min="59" max="59" width="11.140625" style="675" customWidth="1"/>
    <col min="60" max="60" width="13.7109375" style="675" customWidth="1"/>
    <col min="61" max="61" width="8.5703125" customWidth="1"/>
    <col min="62" max="63" width="8.5703125" style="704" customWidth="1"/>
    <col min="64" max="64" width="8.5703125" customWidth="1"/>
    <col min="65" max="65" width="8.5703125" style="59" customWidth="1"/>
    <col min="66" max="66" width="8.5703125" customWidth="1"/>
    <col min="67" max="67" width="11.140625" style="59" customWidth="1"/>
    <col min="68" max="68" width="10.5703125" style="221" customWidth="1"/>
    <col min="69" max="69" width="10.5703125" style="59" customWidth="1"/>
    <col min="70" max="71" width="10.5703125" customWidth="1"/>
    <col min="72" max="73" width="10.42578125" customWidth="1"/>
    <col min="74" max="74" width="29.28515625" style="230" customWidth="1"/>
    <col min="75" max="75" width="13" customWidth="1"/>
    <col min="76" max="76" width="3.28515625" customWidth="1"/>
    <col min="77" max="77" width="16.85546875" customWidth="1"/>
    <col min="78" max="78" width="129" customWidth="1"/>
    <col min="79" max="87" width="9.140625" style="667"/>
    <col min="88" max="16384" width="9.140625" style="226"/>
  </cols>
  <sheetData>
    <row r="1" spans="1:87" s="281" customFormat="1" ht="15.75">
      <c r="A1" s="278"/>
      <c r="B1" s="280"/>
      <c r="C1"/>
      <c r="D1"/>
      <c r="E1" s="748"/>
      <c r="F1" s="748"/>
      <c r="G1" s="280"/>
      <c r="H1" s="280"/>
      <c r="I1" s="280"/>
      <c r="J1" s="280"/>
      <c r="K1" s="280"/>
      <c r="L1" s="280"/>
      <c r="M1" s="282"/>
      <c r="N1" s="280"/>
      <c r="O1" s="280"/>
      <c r="P1" s="280"/>
      <c r="Q1" s="280"/>
      <c r="R1" s="280"/>
      <c r="S1" s="280"/>
      <c r="T1" s="280"/>
      <c r="U1" s="280"/>
      <c r="V1" s="280"/>
      <c r="W1" s="280"/>
      <c r="X1" s="280"/>
      <c r="Y1" s="280"/>
      <c r="Z1" s="674"/>
      <c r="AA1" s="280"/>
      <c r="AB1" s="280"/>
      <c r="AC1" s="280"/>
      <c r="AD1" s="280"/>
      <c r="AE1" s="280"/>
      <c r="AF1" s="280"/>
      <c r="AG1" s="280"/>
      <c r="AH1" s="280"/>
      <c r="AI1" s="283"/>
      <c r="AJ1" s="283"/>
      <c r="AK1" s="280"/>
      <c r="AL1" s="280"/>
      <c r="AM1" s="280"/>
      <c r="AN1" s="280"/>
      <c r="AO1" s="280"/>
      <c r="AP1" s="280"/>
      <c r="AQ1" s="280"/>
      <c r="AR1" s="280"/>
      <c r="AS1" s="280"/>
      <c r="AT1" s="280"/>
      <c r="AU1" s="280"/>
      <c r="AV1" s="280"/>
      <c r="AW1" s="280"/>
      <c r="AX1" s="280"/>
      <c r="AY1" s="280"/>
      <c r="AZ1" s="280"/>
      <c r="BA1" s="280"/>
      <c r="BB1" s="280"/>
      <c r="BC1" s="280"/>
      <c r="BD1" s="280"/>
      <c r="BE1" s="280"/>
      <c r="BF1" s="280"/>
      <c r="BG1" s="674"/>
      <c r="BH1" s="674"/>
      <c r="BI1" s="280"/>
      <c r="BJ1" s="703"/>
      <c r="BK1" s="703"/>
      <c r="BL1" s="280"/>
      <c r="BM1" s="714"/>
      <c r="BN1" s="280"/>
      <c r="BO1" s="714"/>
      <c r="BP1" s="723"/>
      <c r="BQ1" s="714"/>
      <c r="BR1" s="280"/>
      <c r="BS1" s="280"/>
      <c r="BT1" s="280"/>
      <c r="BU1" s="280"/>
      <c r="BV1" s="284"/>
      <c r="BW1" s="280"/>
      <c r="BX1" s="280"/>
      <c r="BY1" s="280"/>
      <c r="BZ1" s="280"/>
      <c r="CA1" s="666"/>
      <c r="CB1" s="666"/>
      <c r="CC1" s="666"/>
      <c r="CD1" s="666"/>
      <c r="CE1" s="666"/>
      <c r="CF1" s="666"/>
      <c r="CG1" s="666"/>
      <c r="CH1" s="666"/>
      <c r="CI1" s="666"/>
    </row>
    <row r="2" spans="1:87" s="281" customFormat="1" ht="15.75">
      <c r="A2" s="278"/>
      <c r="B2" s="280"/>
      <c r="C2" s="738" t="s">
        <v>2096</v>
      </c>
      <c r="D2" s="280"/>
      <c r="E2" s="748"/>
      <c r="F2" s="748"/>
      <c r="G2" s="280"/>
      <c r="H2" s="280"/>
      <c r="I2" s="280"/>
      <c r="J2" s="280"/>
      <c r="K2" s="280"/>
      <c r="L2" s="280"/>
      <c r="M2" s="282"/>
      <c r="N2" s="280"/>
      <c r="O2" s="280"/>
      <c r="P2" s="280"/>
      <c r="Q2" s="280"/>
      <c r="R2" s="280"/>
      <c r="S2" s="280"/>
      <c r="T2" s="280"/>
      <c r="U2" s="280"/>
      <c r="V2" s="280"/>
      <c r="W2" s="280"/>
      <c r="X2" s="280"/>
      <c r="Y2" s="280"/>
      <c r="Z2" s="674"/>
      <c r="AA2" s="280"/>
      <c r="AB2" s="280"/>
      <c r="AC2" s="280"/>
      <c r="AD2" s="280"/>
      <c r="AE2" s="280"/>
      <c r="AF2" s="280"/>
      <c r="AG2" s="280"/>
      <c r="AH2" s="280"/>
      <c r="AI2" s="283"/>
      <c r="AJ2" s="283"/>
      <c r="AK2" s="280"/>
      <c r="AL2" s="280"/>
      <c r="AM2" s="280"/>
      <c r="AN2" s="280"/>
      <c r="AO2" s="280"/>
      <c r="AP2" s="280"/>
      <c r="AQ2" s="280"/>
      <c r="AR2" s="280"/>
      <c r="AS2" s="280"/>
      <c r="AT2" s="280"/>
      <c r="AU2" s="280"/>
      <c r="AV2" s="280"/>
      <c r="AW2" s="280"/>
      <c r="AX2" s="280"/>
      <c r="AY2" s="280"/>
      <c r="AZ2" s="280"/>
      <c r="BA2" s="280"/>
      <c r="BB2" s="280"/>
      <c r="BC2" s="280"/>
      <c r="BD2" s="280"/>
      <c r="BE2" s="280"/>
      <c r="BF2" s="280"/>
      <c r="BG2" s="674"/>
      <c r="BH2" s="674"/>
      <c r="BI2" s="280"/>
      <c r="BJ2" s="703"/>
      <c r="BK2" s="703"/>
      <c r="BL2" s="280"/>
      <c r="BM2" s="714"/>
      <c r="BN2" s="280"/>
      <c r="BO2" s="714"/>
      <c r="BP2" s="723"/>
      <c r="BQ2" s="714"/>
      <c r="BR2" s="280"/>
      <c r="BS2" s="280"/>
      <c r="BT2" s="280"/>
      <c r="BU2" s="280"/>
      <c r="BV2" s="284"/>
      <c r="BW2" s="280"/>
      <c r="BX2" s="280"/>
      <c r="BY2" s="280"/>
      <c r="BZ2" s="280"/>
      <c r="CA2" s="666"/>
      <c r="CB2" s="666"/>
      <c r="CC2" s="666"/>
      <c r="CD2" s="666"/>
      <c r="CE2" s="666"/>
      <c r="CF2" s="666"/>
      <c r="CG2" s="666"/>
      <c r="CH2" s="666"/>
      <c r="CI2" s="666"/>
    </row>
    <row r="3" spans="1:87" s="281" customFormat="1" ht="15.75">
      <c r="A3" s="278"/>
      <c r="B3" s="280"/>
      <c r="C3" s="5"/>
      <c r="D3" s="12"/>
      <c r="E3" s="746" t="s">
        <v>292</v>
      </c>
      <c r="F3" s="3"/>
      <c r="G3"/>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s="280"/>
      <c r="BU3" s="280"/>
      <c r="BV3" s="284"/>
      <c r="BW3" s="280"/>
      <c r="BX3" s="280"/>
      <c r="BY3" s="280"/>
      <c r="BZ3" s="280"/>
      <c r="CA3" s="666"/>
      <c r="CB3" s="666"/>
      <c r="CC3" s="666"/>
      <c r="CD3" s="666"/>
      <c r="CE3" s="666"/>
      <c r="CF3" s="666"/>
      <c r="CG3" s="666"/>
      <c r="CH3" s="666"/>
      <c r="CI3" s="666"/>
    </row>
    <row r="4" spans="1:87" s="745" customFormat="1" ht="15.75">
      <c r="A4" s="740"/>
      <c r="B4" s="738"/>
      <c r="C4" s="741" t="s">
        <v>572</v>
      </c>
      <c r="D4" s="741" t="s">
        <v>358</v>
      </c>
      <c r="E4" s="747" t="s">
        <v>1346</v>
      </c>
      <c r="F4" s="747" t="s">
        <v>1345</v>
      </c>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c r="BL4" s="4"/>
      <c r="BM4" s="4"/>
      <c r="BN4" s="4"/>
      <c r="BO4" s="4"/>
      <c r="BP4" s="4"/>
      <c r="BQ4" s="4"/>
      <c r="BR4" s="4"/>
      <c r="BS4" s="4"/>
      <c r="BT4" s="738"/>
      <c r="BU4" s="738"/>
      <c r="BV4" s="743"/>
      <c r="BW4" s="738"/>
      <c r="BX4" s="738"/>
      <c r="BY4" s="738"/>
      <c r="BZ4" s="738"/>
      <c r="CA4" s="744"/>
      <c r="CB4" s="744"/>
      <c r="CC4" s="744"/>
      <c r="CD4" s="744"/>
      <c r="CE4" s="744"/>
      <c r="CF4" s="744"/>
      <c r="CG4" s="744"/>
      <c r="CH4" s="744"/>
      <c r="CI4" s="744"/>
    </row>
    <row r="5" spans="1:87" s="281" customFormat="1" ht="15.75">
      <c r="A5" s="278"/>
      <c r="B5" s="280"/>
      <c r="C5" s="5">
        <v>2009</v>
      </c>
      <c r="D5" s="5" t="s">
        <v>83</v>
      </c>
      <c r="E5" s="11"/>
      <c r="F5" s="11">
        <v>200000</v>
      </c>
      <c r="G5"/>
      <c r="H5"/>
      <c r="I5"/>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s="280"/>
      <c r="BU5" s="280"/>
      <c r="BV5" s="284"/>
      <c r="BW5" s="280"/>
      <c r="BX5" s="280"/>
      <c r="BY5" s="280"/>
      <c r="BZ5" s="280"/>
      <c r="CA5" s="666"/>
      <c r="CB5" s="666"/>
      <c r="CC5" s="666"/>
      <c r="CD5" s="666"/>
      <c r="CE5" s="666"/>
      <c r="CF5" s="666"/>
      <c r="CG5" s="666"/>
      <c r="CH5" s="666"/>
      <c r="CI5" s="666"/>
    </row>
    <row r="6" spans="1:87" s="281" customFormat="1" ht="15.75">
      <c r="A6" s="278"/>
      <c r="B6" s="280"/>
      <c r="C6" s="13"/>
      <c r="D6" s="68" t="s">
        <v>873</v>
      </c>
      <c r="E6" s="11"/>
      <c r="F6" s="11"/>
      <c r="G6"/>
      <c r="H6"/>
      <c r="I6"/>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s="280"/>
      <c r="BU6" s="280"/>
      <c r="BV6" s="284"/>
      <c r="BW6" s="280"/>
      <c r="BX6" s="280"/>
      <c r="BY6" s="280"/>
      <c r="BZ6" s="280"/>
      <c r="CA6" s="666"/>
      <c r="CB6" s="666"/>
      <c r="CC6" s="666"/>
      <c r="CD6" s="666"/>
      <c r="CE6" s="666"/>
      <c r="CF6" s="666"/>
      <c r="CG6" s="666"/>
      <c r="CH6" s="666"/>
      <c r="CI6" s="666"/>
    </row>
    <row r="7" spans="1:87" s="281" customFormat="1" ht="15.75">
      <c r="A7" s="278"/>
      <c r="B7" s="280"/>
      <c r="C7" s="13"/>
      <c r="D7" s="68" t="s">
        <v>29</v>
      </c>
      <c r="E7" s="11"/>
      <c r="F7" s="11"/>
      <c r="G7"/>
      <c r="H7"/>
      <c r="I7"/>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s="280"/>
      <c r="BU7" s="280"/>
      <c r="BV7" s="284"/>
      <c r="BW7" s="280"/>
      <c r="BX7" s="280"/>
      <c r="BY7" s="280"/>
      <c r="BZ7" s="280"/>
      <c r="CA7" s="666"/>
      <c r="CB7" s="666"/>
      <c r="CC7" s="666"/>
      <c r="CD7" s="666"/>
      <c r="CE7" s="666"/>
      <c r="CF7" s="666"/>
      <c r="CG7" s="666"/>
      <c r="CH7" s="666"/>
      <c r="CI7" s="666"/>
    </row>
    <row r="8" spans="1:87" s="281" customFormat="1" ht="15.75">
      <c r="A8" s="278"/>
      <c r="B8" s="280"/>
      <c r="C8" s="13"/>
      <c r="D8" s="68" t="s">
        <v>1843</v>
      </c>
      <c r="E8" s="11"/>
      <c r="F8" s="11"/>
      <c r="G8"/>
      <c r="H8"/>
      <c r="I8"/>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s="280"/>
      <c r="BU8" s="280"/>
      <c r="BV8" s="284"/>
      <c r="BW8" s="280"/>
      <c r="BX8" s="280"/>
      <c r="BY8" s="280"/>
      <c r="BZ8" s="280"/>
      <c r="CA8" s="666"/>
      <c r="CB8" s="666"/>
      <c r="CC8" s="666"/>
      <c r="CD8" s="666"/>
      <c r="CE8" s="666"/>
      <c r="CF8" s="666"/>
      <c r="CG8" s="666"/>
      <c r="CH8" s="666"/>
      <c r="CI8" s="666"/>
    </row>
    <row r="9" spans="1:87" s="281" customFormat="1" ht="15.75">
      <c r="A9" s="278"/>
      <c r="B9" s="280"/>
      <c r="C9" s="13"/>
      <c r="D9" s="68" t="s">
        <v>1844</v>
      </c>
      <c r="E9" s="11"/>
      <c r="F9" s="11">
        <v>121044</v>
      </c>
      <c r="G9"/>
      <c r="H9"/>
      <c r="I9"/>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s="280"/>
      <c r="BU9" s="280"/>
      <c r="BV9" s="284"/>
      <c r="BW9" s="280"/>
      <c r="BX9" s="280"/>
      <c r="BY9" s="280"/>
      <c r="BZ9" s="280"/>
      <c r="CA9" s="666"/>
      <c r="CB9" s="666"/>
      <c r="CC9" s="666"/>
      <c r="CD9" s="666"/>
      <c r="CE9" s="666"/>
      <c r="CF9" s="666"/>
      <c r="CG9" s="666"/>
      <c r="CH9" s="666"/>
      <c r="CI9" s="666"/>
    </row>
    <row r="10" spans="1:87" s="281" customFormat="1" ht="15.75">
      <c r="A10" s="278"/>
      <c r="B10" s="280"/>
      <c r="C10" s="13"/>
      <c r="D10" s="68" t="s">
        <v>343</v>
      </c>
      <c r="E10" s="11"/>
      <c r="F10" s="11">
        <v>271683</v>
      </c>
      <c r="G10"/>
      <c r="H10"/>
      <c r="I10"/>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s="280"/>
      <c r="BU10" s="280"/>
      <c r="BV10" s="284"/>
      <c r="BW10" s="280"/>
      <c r="BX10" s="280"/>
      <c r="BY10" s="280"/>
      <c r="BZ10" s="280"/>
      <c r="CA10" s="666"/>
      <c r="CB10" s="666"/>
      <c r="CC10" s="666"/>
      <c r="CD10" s="666"/>
      <c r="CE10" s="666"/>
      <c r="CF10" s="666"/>
      <c r="CG10" s="666"/>
      <c r="CH10" s="666"/>
      <c r="CI10" s="666"/>
    </row>
    <row r="11" spans="1:87" s="281" customFormat="1" ht="15.75">
      <c r="A11" s="278"/>
      <c r="B11" s="280"/>
      <c r="C11" s="13"/>
      <c r="D11" s="68" t="s">
        <v>441</v>
      </c>
      <c r="E11" s="11"/>
      <c r="F11" s="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s="280"/>
      <c r="BU11" s="280"/>
      <c r="BV11" s="284"/>
      <c r="BW11" s="280"/>
      <c r="BX11" s="280"/>
      <c r="BY11" s="280"/>
      <c r="BZ11" s="280"/>
      <c r="CA11" s="666"/>
      <c r="CB11" s="666"/>
      <c r="CC11" s="666"/>
      <c r="CD11" s="666"/>
      <c r="CE11" s="666"/>
      <c r="CF11" s="666"/>
      <c r="CG11" s="666"/>
      <c r="CH11" s="666"/>
      <c r="CI11" s="666"/>
    </row>
    <row r="12" spans="1:87" s="281" customFormat="1" ht="15.75">
      <c r="A12" s="278"/>
      <c r="B12" s="280"/>
      <c r="C12" s="13"/>
      <c r="D12" s="68" t="s">
        <v>557</v>
      </c>
      <c r="E12" s="11"/>
      <c r="F12" s="11"/>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s="280"/>
      <c r="BU12" s="280"/>
      <c r="BV12" s="284"/>
      <c r="BW12" s="280"/>
      <c r="BX12" s="280"/>
      <c r="BY12" s="280"/>
      <c r="BZ12" s="280"/>
      <c r="CA12" s="666"/>
      <c r="CB12" s="666"/>
      <c r="CC12" s="666"/>
      <c r="CD12" s="666"/>
      <c r="CE12" s="666"/>
      <c r="CF12" s="666"/>
      <c r="CG12" s="666"/>
      <c r="CH12" s="666"/>
      <c r="CI12" s="666"/>
    </row>
    <row r="13" spans="1:87" s="281" customFormat="1" ht="15.75">
      <c r="A13" s="278"/>
      <c r="B13" s="280"/>
      <c r="C13" s="13"/>
      <c r="D13" s="68" t="s">
        <v>344</v>
      </c>
      <c r="E13" s="11"/>
      <c r="F13" s="11">
        <v>1129943</v>
      </c>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s="280"/>
      <c r="BU13" s="280"/>
      <c r="BV13" s="284"/>
      <c r="BW13" s="280"/>
      <c r="BX13" s="280"/>
      <c r="BY13" s="280"/>
      <c r="BZ13" s="280"/>
      <c r="CA13" s="666"/>
      <c r="CB13" s="666"/>
      <c r="CC13" s="666"/>
      <c r="CD13" s="666"/>
      <c r="CE13" s="666"/>
      <c r="CF13" s="666"/>
      <c r="CG13" s="666"/>
      <c r="CH13" s="666"/>
      <c r="CI13" s="666"/>
    </row>
    <row r="14" spans="1:87" s="281" customFormat="1" ht="15.75">
      <c r="A14" s="278"/>
      <c r="B14" s="280"/>
      <c r="C14" s="13"/>
      <c r="D14" s="68" t="s">
        <v>1845</v>
      </c>
      <c r="E14" s="11">
        <v>0</v>
      </c>
      <c r="F14" s="11"/>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s="280"/>
      <c r="BU14" s="280"/>
      <c r="BV14" s="284"/>
      <c r="BW14" s="280"/>
      <c r="BX14" s="280"/>
      <c r="BY14" s="280"/>
      <c r="BZ14" s="280"/>
      <c r="CA14" s="666"/>
      <c r="CB14" s="666"/>
      <c r="CC14" s="666"/>
      <c r="CD14" s="666"/>
      <c r="CE14" s="666"/>
      <c r="CF14" s="666"/>
      <c r="CG14" s="666"/>
      <c r="CH14" s="666"/>
      <c r="CI14" s="666"/>
    </row>
    <row r="15" spans="1:87" s="281" customFormat="1" ht="15.75">
      <c r="A15" s="278"/>
      <c r="B15" s="280"/>
      <c r="C15" s="13"/>
      <c r="D15" s="68" t="s">
        <v>1846</v>
      </c>
      <c r="E15" s="11">
        <v>360625</v>
      </c>
      <c r="F15" s="11"/>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s="280"/>
      <c r="BU15" s="280"/>
      <c r="BV15" s="284"/>
      <c r="BW15" s="280"/>
      <c r="BX15" s="280"/>
      <c r="BY15" s="280"/>
      <c r="BZ15" s="280"/>
      <c r="CA15" s="666"/>
      <c r="CB15" s="666"/>
      <c r="CC15" s="666"/>
      <c r="CD15" s="666"/>
      <c r="CE15" s="666"/>
      <c r="CF15" s="666"/>
      <c r="CG15" s="666"/>
      <c r="CH15" s="666"/>
      <c r="CI15" s="666"/>
    </row>
    <row r="16" spans="1:87" s="281" customFormat="1" ht="15.75">
      <c r="A16" s="278"/>
      <c r="B16" s="280"/>
      <c r="C16" s="13"/>
      <c r="D16" s="68" t="s">
        <v>558</v>
      </c>
      <c r="E16" s="11">
        <v>100000</v>
      </c>
      <c r="F16" s="11"/>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s="280"/>
      <c r="BU16" s="280"/>
      <c r="BV16" s="284"/>
      <c r="BW16" s="280"/>
      <c r="BX16" s="280"/>
      <c r="BY16" s="280"/>
      <c r="BZ16" s="280"/>
      <c r="CA16" s="666"/>
      <c r="CB16" s="666"/>
      <c r="CC16" s="666"/>
      <c r="CD16" s="666"/>
      <c r="CE16" s="666"/>
      <c r="CF16" s="666"/>
      <c r="CG16" s="666"/>
      <c r="CH16" s="666"/>
      <c r="CI16" s="666"/>
    </row>
    <row r="17" spans="1:87" s="281" customFormat="1" ht="15.75">
      <c r="A17" s="278"/>
      <c r="B17" s="280"/>
      <c r="C17" s="13"/>
      <c r="D17" s="68" t="s">
        <v>345</v>
      </c>
      <c r="E17" s="11"/>
      <c r="F17" s="11">
        <v>283682</v>
      </c>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s="280"/>
      <c r="BU17" s="280"/>
      <c r="BV17" s="284"/>
      <c r="BW17" s="280"/>
      <c r="BX17" s="280"/>
      <c r="BY17" s="280"/>
      <c r="BZ17" s="280"/>
      <c r="CA17" s="666"/>
      <c r="CB17" s="666"/>
      <c r="CC17" s="666"/>
      <c r="CD17" s="666"/>
      <c r="CE17" s="666"/>
      <c r="CF17" s="666"/>
      <c r="CG17" s="666"/>
      <c r="CH17" s="666"/>
      <c r="CI17" s="666"/>
    </row>
    <row r="18" spans="1:87" s="281" customFormat="1" ht="15.75">
      <c r="A18" s="278"/>
      <c r="B18" s="280"/>
      <c r="C18" s="13"/>
      <c r="D18" s="68" t="s">
        <v>338</v>
      </c>
      <c r="E18" s="11"/>
      <c r="F18" s="11"/>
      <c r="G18"/>
      <c r="H1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s="280"/>
      <c r="BU18" s="280"/>
      <c r="BV18" s="284"/>
      <c r="BW18" s="280"/>
      <c r="BX18" s="280"/>
      <c r="BY18" s="280"/>
      <c r="BZ18" s="280"/>
      <c r="CA18" s="666"/>
      <c r="CB18" s="666"/>
      <c r="CC18" s="666"/>
      <c r="CD18" s="666"/>
      <c r="CE18" s="666"/>
      <c r="CF18" s="666"/>
      <c r="CG18" s="666"/>
      <c r="CH18" s="666"/>
      <c r="CI18" s="666"/>
    </row>
    <row r="19" spans="1:87" s="281" customFormat="1" ht="15.75">
      <c r="A19" s="278"/>
      <c r="B19" s="280"/>
      <c r="C19" s="13"/>
      <c r="D19" s="68" t="s">
        <v>403</v>
      </c>
      <c r="E19" s="11"/>
      <c r="F19" s="11"/>
      <c r="G19"/>
      <c r="H19"/>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s="280"/>
      <c r="BU19" s="280"/>
      <c r="BV19" s="284"/>
      <c r="BW19" s="280"/>
      <c r="BX19" s="280"/>
      <c r="BY19" s="280"/>
      <c r="BZ19" s="280"/>
      <c r="CA19" s="666"/>
      <c r="CB19" s="666"/>
      <c r="CC19" s="666"/>
      <c r="CD19" s="666"/>
      <c r="CE19" s="666"/>
      <c r="CF19" s="666"/>
      <c r="CG19" s="666"/>
      <c r="CH19" s="666"/>
      <c r="CI19" s="666"/>
    </row>
    <row r="20" spans="1:87" s="281" customFormat="1" ht="15.75">
      <c r="A20" s="278"/>
      <c r="B20" s="280"/>
      <c r="C20" s="13"/>
      <c r="D20" s="68" t="s">
        <v>56</v>
      </c>
      <c r="E20" s="11"/>
      <c r="F20" s="11">
        <v>44250</v>
      </c>
      <c r="G20"/>
      <c r="H20"/>
      <c r="I20"/>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s="280"/>
      <c r="BU20" s="280"/>
      <c r="BV20" s="284"/>
      <c r="BW20" s="280"/>
      <c r="BX20" s="280"/>
      <c r="BY20" s="280"/>
      <c r="BZ20" s="280"/>
      <c r="CA20" s="666"/>
      <c r="CB20" s="666"/>
      <c r="CC20" s="666"/>
      <c r="CD20" s="666"/>
      <c r="CE20" s="666"/>
      <c r="CF20" s="666"/>
      <c r="CG20" s="666"/>
      <c r="CH20" s="666"/>
      <c r="CI20" s="666"/>
    </row>
    <row r="21" spans="1:87" s="281" customFormat="1" ht="15.75">
      <c r="A21" s="278"/>
      <c r="B21" s="280"/>
      <c r="C21" s="13"/>
      <c r="D21" s="68" t="s">
        <v>82</v>
      </c>
      <c r="E21" s="11"/>
      <c r="F21" s="11">
        <v>50000</v>
      </c>
      <c r="G21"/>
      <c r="H21"/>
      <c r="I2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s="280"/>
      <c r="BU21" s="280"/>
      <c r="BV21" s="284"/>
      <c r="BW21" s="280"/>
      <c r="BX21" s="280"/>
      <c r="BY21" s="280"/>
      <c r="BZ21" s="280"/>
      <c r="CA21" s="666"/>
      <c r="CB21" s="666"/>
      <c r="CC21" s="666"/>
      <c r="CD21" s="666"/>
      <c r="CE21" s="666"/>
      <c r="CF21" s="666"/>
      <c r="CG21" s="666"/>
      <c r="CH21" s="666"/>
      <c r="CI21" s="666"/>
    </row>
    <row r="22" spans="1:87" s="281" customFormat="1" ht="15.75">
      <c r="A22" s="278"/>
      <c r="B22" s="280"/>
      <c r="C22" s="13"/>
      <c r="D22" s="68" t="s">
        <v>1145</v>
      </c>
      <c r="E22" s="11"/>
      <c r="F22" s="11">
        <v>50000</v>
      </c>
      <c r="G22"/>
      <c r="H22"/>
      <c r="I22"/>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s="280"/>
      <c r="BU22" s="280"/>
      <c r="BV22" s="284"/>
      <c r="BW22" s="280"/>
      <c r="BX22" s="280"/>
      <c r="BY22" s="280"/>
      <c r="BZ22" s="280"/>
      <c r="CA22" s="666"/>
      <c r="CB22" s="666"/>
      <c r="CC22" s="666"/>
      <c r="CD22" s="666"/>
      <c r="CE22" s="666"/>
      <c r="CF22" s="666"/>
      <c r="CG22" s="666"/>
      <c r="CH22" s="666"/>
      <c r="CI22" s="666"/>
    </row>
    <row r="23" spans="1:87" s="281" customFormat="1" ht="15.75">
      <c r="A23" s="278"/>
      <c r="B23" s="280"/>
      <c r="C23" s="13"/>
      <c r="D23" s="68" t="s">
        <v>635</v>
      </c>
      <c r="E23" s="11"/>
      <c r="F23" s="11"/>
      <c r="G23"/>
      <c r="H23"/>
      <c r="I23"/>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s="280"/>
      <c r="BU23" s="280"/>
      <c r="BV23" s="284"/>
      <c r="BW23" s="280"/>
      <c r="BX23" s="280"/>
      <c r="BY23" s="280"/>
      <c r="BZ23" s="280"/>
      <c r="CA23" s="666"/>
      <c r="CB23" s="666"/>
      <c r="CC23" s="666"/>
      <c r="CD23" s="666"/>
      <c r="CE23" s="666"/>
      <c r="CF23" s="666"/>
      <c r="CG23" s="666"/>
      <c r="CH23" s="666"/>
      <c r="CI23" s="666"/>
    </row>
    <row r="24" spans="1:87" s="281" customFormat="1" ht="15.75">
      <c r="A24" s="278"/>
      <c r="B24" s="280"/>
      <c r="C24" s="13"/>
      <c r="D24" s="68" t="s">
        <v>2004</v>
      </c>
      <c r="E24" s="11"/>
      <c r="F24" s="11">
        <v>250000</v>
      </c>
      <c r="G24"/>
      <c r="H24"/>
      <c r="I24"/>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s="280"/>
      <c r="BU24" s="280"/>
      <c r="BV24" s="284"/>
      <c r="BW24" s="280"/>
      <c r="BX24" s="280"/>
      <c r="BY24" s="280"/>
      <c r="BZ24" s="280"/>
      <c r="CA24" s="666"/>
      <c r="CB24" s="666"/>
      <c r="CC24" s="666"/>
      <c r="CD24" s="666"/>
      <c r="CE24" s="666"/>
      <c r="CF24" s="666"/>
      <c r="CG24" s="666"/>
      <c r="CH24" s="666"/>
      <c r="CI24" s="666"/>
    </row>
    <row r="25" spans="1:87" s="281" customFormat="1" ht="15.75">
      <c r="A25" s="278"/>
      <c r="B25" s="280"/>
      <c r="C25" s="13"/>
      <c r="D25" s="68" t="s">
        <v>342</v>
      </c>
      <c r="E25" s="11"/>
      <c r="F25" s="11">
        <v>100000</v>
      </c>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s="280"/>
      <c r="BU25" s="280"/>
      <c r="BV25" s="284"/>
      <c r="BW25" s="280"/>
      <c r="BX25" s="280"/>
      <c r="BY25" s="280"/>
      <c r="BZ25" s="280"/>
      <c r="CA25" s="666"/>
      <c r="CB25" s="666"/>
      <c r="CC25" s="666"/>
      <c r="CD25" s="666"/>
      <c r="CE25" s="666"/>
      <c r="CF25" s="666"/>
      <c r="CG25" s="666"/>
      <c r="CH25" s="666"/>
      <c r="CI25" s="666"/>
    </row>
    <row r="26" spans="1:87" s="281" customFormat="1" ht="15.75">
      <c r="A26" s="278"/>
      <c r="B26" s="280"/>
      <c r="C26" s="13"/>
      <c r="D26" s="68" t="s">
        <v>442</v>
      </c>
      <c r="E26" s="11">
        <v>500000</v>
      </c>
      <c r="F26" s="11"/>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s="280"/>
      <c r="BU26" s="280"/>
      <c r="BV26" s="284"/>
      <c r="BW26" s="280"/>
      <c r="BX26" s="280"/>
      <c r="BY26" s="280"/>
      <c r="BZ26" s="280"/>
      <c r="CA26" s="666"/>
      <c r="CB26" s="666"/>
      <c r="CC26" s="666"/>
      <c r="CD26" s="666"/>
      <c r="CE26" s="666"/>
      <c r="CF26" s="666"/>
      <c r="CG26" s="666"/>
      <c r="CH26" s="666"/>
      <c r="CI26" s="666"/>
    </row>
    <row r="27" spans="1:87" s="281" customFormat="1" ht="15.75">
      <c r="A27" s="278"/>
      <c r="B27" s="280"/>
      <c r="C27" s="13"/>
      <c r="D27" s="68" t="s">
        <v>559</v>
      </c>
      <c r="E27" s="11"/>
      <c r="F27" s="11"/>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s="280"/>
      <c r="BU27" s="280"/>
      <c r="BV27" s="284"/>
      <c r="BW27" s="280"/>
      <c r="BX27" s="280"/>
      <c r="BY27" s="280"/>
      <c r="BZ27" s="280"/>
      <c r="CA27" s="666"/>
      <c r="CB27" s="666"/>
      <c r="CC27" s="666"/>
      <c r="CD27" s="666"/>
      <c r="CE27" s="666"/>
      <c r="CF27" s="666"/>
      <c r="CG27" s="666"/>
      <c r="CH27" s="666"/>
      <c r="CI27" s="666"/>
    </row>
    <row r="28" spans="1:87" s="281" customFormat="1" ht="15.75">
      <c r="A28" s="278"/>
      <c r="B28" s="280"/>
      <c r="C28" s="13"/>
      <c r="D28" s="68" t="s">
        <v>337</v>
      </c>
      <c r="E28" s="11"/>
      <c r="F28" s="11">
        <v>50000</v>
      </c>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s="280"/>
      <c r="BU28" s="280"/>
      <c r="BV28" s="284"/>
      <c r="BW28" s="280"/>
      <c r="BX28" s="280"/>
      <c r="BY28" s="280"/>
      <c r="BZ28" s="280"/>
      <c r="CA28" s="666"/>
      <c r="CB28" s="666"/>
      <c r="CC28" s="666"/>
      <c r="CD28" s="666"/>
      <c r="CE28" s="666"/>
      <c r="CF28" s="666"/>
      <c r="CG28" s="666"/>
      <c r="CH28" s="666"/>
      <c r="CI28" s="666"/>
    </row>
    <row r="29" spans="1:87" s="281" customFormat="1" ht="15.75">
      <c r="A29" s="278"/>
      <c r="B29" s="280"/>
      <c r="C29" s="13"/>
      <c r="D29" s="68" t="s">
        <v>560</v>
      </c>
      <c r="E29" s="11"/>
      <c r="F29" s="11">
        <v>50000</v>
      </c>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s="280"/>
      <c r="BU29" s="280"/>
      <c r="BV29" s="284"/>
      <c r="BW29" s="280"/>
      <c r="BX29" s="280"/>
      <c r="BY29" s="280"/>
      <c r="BZ29" s="280"/>
      <c r="CA29" s="666"/>
      <c r="CB29" s="666"/>
      <c r="CC29" s="666"/>
      <c r="CD29" s="666"/>
      <c r="CE29" s="666"/>
      <c r="CF29" s="666"/>
      <c r="CG29" s="666"/>
      <c r="CH29" s="666"/>
      <c r="CI29" s="666"/>
    </row>
    <row r="30" spans="1:87" s="281" customFormat="1" ht="15.75">
      <c r="A30" s="278"/>
      <c r="B30" s="280"/>
      <c r="C30" s="13"/>
      <c r="D30" s="68" t="s">
        <v>561</v>
      </c>
      <c r="E30" s="11">
        <v>50000</v>
      </c>
      <c r="F30" s="11"/>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s="280"/>
      <c r="BU30" s="280"/>
      <c r="BV30" s="284"/>
      <c r="BW30" s="280"/>
      <c r="BX30" s="280"/>
      <c r="BY30" s="280"/>
      <c r="BZ30" s="280"/>
      <c r="CA30" s="666"/>
      <c r="CB30" s="666"/>
      <c r="CC30" s="666"/>
      <c r="CD30" s="666"/>
      <c r="CE30" s="666"/>
      <c r="CF30" s="666"/>
      <c r="CG30" s="666"/>
      <c r="CH30" s="666"/>
      <c r="CI30" s="666"/>
    </row>
    <row r="31" spans="1:87" s="281" customFormat="1" ht="15.75">
      <c r="A31" s="278"/>
      <c r="B31" s="280"/>
      <c r="C31" s="13"/>
      <c r="D31" s="68" t="s">
        <v>336</v>
      </c>
      <c r="E31" s="11"/>
      <c r="F31" s="11">
        <v>100000</v>
      </c>
      <c r="G31"/>
      <c r="H31"/>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s="280"/>
      <c r="BU31" s="280"/>
      <c r="BV31" s="284"/>
      <c r="BW31" s="280"/>
      <c r="BX31" s="280"/>
      <c r="BY31" s="280"/>
      <c r="BZ31" s="280"/>
      <c r="CA31" s="666"/>
      <c r="CB31" s="666"/>
      <c r="CC31" s="666"/>
      <c r="CD31" s="666"/>
      <c r="CE31" s="666"/>
      <c r="CF31" s="666"/>
      <c r="CG31" s="666"/>
      <c r="CH31" s="666"/>
      <c r="CI31" s="666"/>
    </row>
    <row r="32" spans="1:87" s="745" customFormat="1" ht="15.75">
      <c r="A32" s="740"/>
      <c r="B32" s="738"/>
      <c r="C32" s="742" t="s">
        <v>281</v>
      </c>
      <c r="D32" s="749"/>
      <c r="E32" s="750">
        <v>1010625</v>
      </c>
      <c r="F32" s="750">
        <v>2700602</v>
      </c>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738"/>
      <c r="BU32" s="738"/>
      <c r="BV32" s="743"/>
      <c r="BW32" s="738"/>
      <c r="BX32" s="738"/>
      <c r="BY32" s="738"/>
      <c r="BZ32" s="738"/>
      <c r="CA32" s="744"/>
      <c r="CB32" s="744"/>
      <c r="CC32" s="744"/>
      <c r="CD32" s="744"/>
      <c r="CE32" s="744"/>
      <c r="CF32" s="744"/>
      <c r="CG32" s="744"/>
      <c r="CH32" s="744"/>
      <c r="CI32" s="744"/>
    </row>
    <row r="33" spans="1:87" s="281" customFormat="1" ht="15.75">
      <c r="A33" s="278"/>
      <c r="B33" s="280"/>
      <c r="C33" s="5">
        <v>2010</v>
      </c>
      <c r="D33" s="5" t="s">
        <v>53</v>
      </c>
      <c r="E33" s="11"/>
      <c r="F33" s="11">
        <v>500000</v>
      </c>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s="280"/>
      <c r="BU33" s="280"/>
      <c r="BV33" s="284"/>
      <c r="BW33" s="280"/>
      <c r="BX33" s="280"/>
      <c r="BY33" s="280"/>
      <c r="BZ33" s="280"/>
      <c r="CA33" s="666"/>
      <c r="CB33" s="666"/>
      <c r="CC33" s="666"/>
      <c r="CD33" s="666"/>
      <c r="CE33" s="666"/>
      <c r="CF33" s="666"/>
      <c r="CG33" s="666"/>
      <c r="CH33" s="666"/>
      <c r="CI33" s="666"/>
    </row>
    <row r="34" spans="1:87" s="281" customFormat="1" ht="15.75">
      <c r="A34" s="278"/>
      <c r="B34" s="280"/>
      <c r="C34" s="13"/>
      <c r="D34" s="68" t="s">
        <v>1070</v>
      </c>
      <c r="E34" s="11"/>
      <c r="F34" s="11">
        <v>0</v>
      </c>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s="280"/>
      <c r="BU34" s="280"/>
      <c r="BV34" s="284"/>
      <c r="BW34" s="280"/>
      <c r="BX34" s="280"/>
      <c r="BY34" s="280"/>
      <c r="BZ34" s="280"/>
      <c r="CA34" s="666"/>
      <c r="CB34" s="666"/>
      <c r="CC34" s="666"/>
      <c r="CD34" s="666"/>
      <c r="CE34" s="666"/>
      <c r="CF34" s="666"/>
      <c r="CG34" s="666"/>
      <c r="CH34" s="666"/>
      <c r="CI34" s="666"/>
    </row>
    <row r="35" spans="1:87" s="281" customFormat="1" ht="15.75">
      <c r="A35" s="278"/>
      <c r="B35" s="280"/>
      <c r="C35" s="13"/>
      <c r="D35" s="68" t="s">
        <v>508</v>
      </c>
      <c r="E35" s="11"/>
      <c r="F35" s="11">
        <v>243605</v>
      </c>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s="280"/>
      <c r="BU35" s="280"/>
      <c r="BV35" s="284"/>
      <c r="BW35" s="280"/>
      <c r="BX35" s="280"/>
      <c r="BY35" s="280"/>
      <c r="BZ35" s="280"/>
      <c r="CA35" s="666"/>
      <c r="CB35" s="666"/>
      <c r="CC35" s="666"/>
      <c r="CD35" s="666"/>
      <c r="CE35" s="666"/>
      <c r="CF35" s="666"/>
      <c r="CG35" s="666"/>
      <c r="CH35" s="666"/>
      <c r="CI35" s="666"/>
    </row>
    <row r="36" spans="1:87" s="281" customFormat="1" ht="15.75">
      <c r="A36" s="278"/>
      <c r="B36" s="280"/>
      <c r="C36" s="13"/>
      <c r="D36" s="68" t="s">
        <v>656</v>
      </c>
      <c r="E36" s="11">
        <v>4377346.43</v>
      </c>
      <c r="F36" s="11">
        <v>30000000</v>
      </c>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s="280"/>
      <c r="BU36" s="280"/>
      <c r="BV36" s="284"/>
      <c r="BW36" s="280"/>
      <c r="BX36" s="280"/>
      <c r="BY36" s="280"/>
      <c r="BZ36" s="280"/>
      <c r="CA36" s="666"/>
      <c r="CB36" s="666"/>
      <c r="CC36" s="666"/>
      <c r="CD36" s="666"/>
      <c r="CE36" s="666"/>
      <c r="CF36" s="666"/>
      <c r="CG36" s="666"/>
      <c r="CH36" s="666"/>
      <c r="CI36" s="666"/>
    </row>
    <row r="37" spans="1:87" s="281" customFormat="1" ht="15.75">
      <c r="A37" s="278"/>
      <c r="B37" s="280"/>
      <c r="C37" s="13"/>
      <c r="D37" s="68" t="s">
        <v>1810</v>
      </c>
      <c r="E37" s="11"/>
      <c r="F37" s="11"/>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s="280"/>
      <c r="BU37" s="280"/>
      <c r="BV37" s="284"/>
      <c r="BW37" s="280"/>
      <c r="BX37" s="280"/>
      <c r="BY37" s="280"/>
      <c r="BZ37" s="280"/>
      <c r="CA37" s="666"/>
      <c r="CB37" s="666"/>
      <c r="CC37" s="666"/>
      <c r="CD37" s="666"/>
      <c r="CE37" s="666"/>
      <c r="CF37" s="666"/>
      <c r="CG37" s="666"/>
      <c r="CH37" s="666"/>
      <c r="CI37" s="666"/>
    </row>
    <row r="38" spans="1:87" s="281" customFormat="1" ht="15.75">
      <c r="A38" s="278"/>
      <c r="B38" s="280"/>
      <c r="C38" s="13"/>
      <c r="D38" s="68" t="s">
        <v>1830</v>
      </c>
      <c r="E38" s="11"/>
      <c r="F38" s="11"/>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s="280"/>
      <c r="BU38" s="280"/>
      <c r="BV38" s="284"/>
      <c r="BW38" s="280"/>
      <c r="BX38" s="280"/>
      <c r="BY38" s="280"/>
      <c r="BZ38" s="280"/>
      <c r="CA38" s="666"/>
      <c r="CB38" s="666"/>
      <c r="CC38" s="666"/>
      <c r="CD38" s="666"/>
      <c r="CE38" s="666"/>
      <c r="CF38" s="666"/>
      <c r="CG38" s="666"/>
      <c r="CH38" s="666"/>
      <c r="CI38" s="666"/>
    </row>
    <row r="39" spans="1:87" s="281" customFormat="1" ht="15.75">
      <c r="A39" s="278"/>
      <c r="B39" s="280"/>
      <c r="C39" s="13"/>
      <c r="D39" s="68" t="s">
        <v>334</v>
      </c>
      <c r="E39" s="11"/>
      <c r="F39" s="11"/>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s="280"/>
      <c r="BU39" s="280"/>
      <c r="BV39" s="284"/>
      <c r="BW39" s="280"/>
      <c r="BX39" s="280"/>
      <c r="BY39" s="280"/>
      <c r="BZ39" s="280"/>
      <c r="CA39" s="666"/>
      <c r="CB39" s="666"/>
      <c r="CC39" s="666"/>
      <c r="CD39" s="666"/>
      <c r="CE39" s="666"/>
      <c r="CF39" s="666"/>
      <c r="CG39" s="666"/>
      <c r="CH39" s="666"/>
      <c r="CI39" s="666"/>
    </row>
    <row r="40" spans="1:87" s="281" customFormat="1" ht="15.75">
      <c r="A40" s="278"/>
      <c r="B40" s="280"/>
      <c r="C40" s="13"/>
      <c r="D40" s="68" t="s">
        <v>38</v>
      </c>
      <c r="E40" s="11"/>
      <c r="F40" s="11">
        <v>100000</v>
      </c>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s="280"/>
      <c r="BU40" s="280"/>
      <c r="BV40" s="284"/>
      <c r="BW40" s="280"/>
      <c r="BX40" s="280"/>
      <c r="BY40" s="280"/>
      <c r="BZ40" s="280"/>
      <c r="CA40" s="666"/>
      <c r="CB40" s="666"/>
      <c r="CC40" s="666"/>
      <c r="CD40" s="666"/>
      <c r="CE40" s="666"/>
      <c r="CF40" s="666"/>
      <c r="CG40" s="666"/>
      <c r="CH40" s="666"/>
      <c r="CI40" s="666"/>
    </row>
    <row r="41" spans="1:87" s="281" customFormat="1" ht="15.75">
      <c r="A41" s="278"/>
      <c r="B41" s="280"/>
      <c r="C41" s="13"/>
      <c r="D41" s="68" t="s">
        <v>1601</v>
      </c>
      <c r="E41" s="11">
        <v>50000</v>
      </c>
      <c r="F41" s="11">
        <v>150000</v>
      </c>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s="280"/>
      <c r="BU41" s="280"/>
      <c r="BV41" s="284"/>
      <c r="BW41" s="280"/>
      <c r="BX41" s="280"/>
      <c r="BY41" s="280"/>
      <c r="BZ41" s="280"/>
      <c r="CA41" s="666"/>
      <c r="CB41" s="666"/>
      <c r="CC41" s="666"/>
      <c r="CD41" s="666"/>
      <c r="CE41" s="666"/>
      <c r="CF41" s="666"/>
      <c r="CG41" s="666"/>
      <c r="CH41" s="666"/>
      <c r="CI41" s="666"/>
    </row>
    <row r="42" spans="1:87" s="281" customFormat="1" ht="15.75">
      <c r="A42" s="278"/>
      <c r="B42" s="280"/>
      <c r="C42" s="13"/>
      <c r="D42" s="68" t="s">
        <v>329</v>
      </c>
      <c r="E42" s="11"/>
      <c r="F42" s="11"/>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s="280"/>
      <c r="BU42" s="280"/>
      <c r="BV42" s="284"/>
      <c r="BW42" s="280"/>
      <c r="BX42" s="280"/>
      <c r="BY42" s="280"/>
      <c r="BZ42" s="280"/>
      <c r="CA42" s="666"/>
      <c r="CB42" s="666"/>
      <c r="CC42" s="666"/>
      <c r="CD42" s="666"/>
      <c r="CE42" s="666"/>
      <c r="CF42" s="666"/>
      <c r="CG42" s="666"/>
      <c r="CH42" s="666"/>
      <c r="CI42" s="666"/>
    </row>
    <row r="43" spans="1:87" s="281" customFormat="1" ht="15.75">
      <c r="A43" s="278"/>
      <c r="B43" s="280"/>
      <c r="C43" s="13"/>
      <c r="D43" s="68" t="s">
        <v>1359</v>
      </c>
      <c r="E43" s="11"/>
      <c r="F43" s="11">
        <v>145000</v>
      </c>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s="280"/>
      <c r="BU43" s="280"/>
      <c r="BV43" s="284"/>
      <c r="BW43" s="280"/>
      <c r="BX43" s="280"/>
      <c r="BY43" s="280"/>
      <c r="BZ43" s="280"/>
      <c r="CA43" s="666"/>
      <c r="CB43" s="666"/>
      <c r="CC43" s="666"/>
      <c r="CD43" s="666"/>
      <c r="CE43" s="666"/>
      <c r="CF43" s="666"/>
      <c r="CG43" s="666"/>
      <c r="CH43" s="666"/>
      <c r="CI43" s="666"/>
    </row>
    <row r="44" spans="1:87" s="281" customFormat="1" ht="15.75">
      <c r="A44" s="278"/>
      <c r="B44" s="280"/>
      <c r="C44" s="13"/>
      <c r="D44" s="68" t="s">
        <v>1624</v>
      </c>
      <c r="E44" s="11"/>
      <c r="F44" s="11">
        <v>50000</v>
      </c>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s="280"/>
      <c r="BU44" s="280"/>
      <c r="BV44" s="284"/>
      <c r="BW44" s="280"/>
      <c r="BX44" s="280"/>
      <c r="BY44" s="280"/>
      <c r="BZ44" s="280"/>
      <c r="CA44" s="666"/>
      <c r="CB44" s="666"/>
      <c r="CC44" s="666"/>
      <c r="CD44" s="666"/>
      <c r="CE44" s="666"/>
      <c r="CF44" s="666"/>
      <c r="CG44" s="666"/>
      <c r="CH44" s="666"/>
      <c r="CI44" s="666"/>
    </row>
    <row r="45" spans="1:87" s="281" customFormat="1" ht="15.75">
      <c r="A45" s="278"/>
      <c r="B45" s="280"/>
      <c r="C45" s="13"/>
      <c r="D45" s="68" t="s">
        <v>46</v>
      </c>
      <c r="E45" s="11"/>
      <c r="F45" s="11">
        <v>100000</v>
      </c>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s="280"/>
      <c r="BU45" s="280"/>
      <c r="BV45" s="284"/>
      <c r="BW45" s="280"/>
      <c r="BX45" s="280"/>
      <c r="BY45" s="280"/>
      <c r="BZ45" s="280"/>
      <c r="CA45" s="666"/>
      <c r="CB45" s="666"/>
      <c r="CC45" s="666"/>
      <c r="CD45" s="666"/>
      <c r="CE45" s="666"/>
      <c r="CF45" s="666"/>
      <c r="CG45" s="666"/>
      <c r="CH45" s="666"/>
      <c r="CI45" s="666"/>
    </row>
    <row r="46" spans="1:87" s="281" customFormat="1" ht="15.75">
      <c r="A46" s="278"/>
      <c r="B46" s="280"/>
      <c r="C46" s="13"/>
      <c r="D46" s="68" t="s">
        <v>545</v>
      </c>
      <c r="E46" s="11"/>
      <c r="F46" s="11">
        <v>550000</v>
      </c>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s="280"/>
      <c r="BU46" s="280"/>
      <c r="BV46" s="284"/>
      <c r="BW46" s="280"/>
      <c r="BX46" s="280"/>
      <c r="BY46" s="280"/>
      <c r="BZ46" s="280"/>
      <c r="CA46" s="666"/>
      <c r="CB46" s="666"/>
      <c r="CC46" s="666"/>
      <c r="CD46" s="666"/>
      <c r="CE46" s="666"/>
      <c r="CF46" s="666"/>
      <c r="CG46" s="666"/>
      <c r="CH46" s="666"/>
      <c r="CI46" s="666"/>
    </row>
    <row r="47" spans="1:87" s="281" customFormat="1" ht="15.75">
      <c r="A47" s="278"/>
      <c r="B47" s="280"/>
      <c r="C47" s="13"/>
      <c r="D47" s="68" t="s">
        <v>544</v>
      </c>
      <c r="E47" s="11"/>
      <c r="F47" s="11">
        <v>450000</v>
      </c>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s="280"/>
      <c r="BU47" s="280"/>
      <c r="BV47" s="284"/>
      <c r="BW47" s="280"/>
      <c r="BX47" s="280"/>
      <c r="BY47" s="280"/>
      <c r="BZ47" s="280"/>
      <c r="CA47" s="666"/>
      <c r="CB47" s="666"/>
      <c r="CC47" s="666"/>
      <c r="CD47" s="666"/>
      <c r="CE47" s="666"/>
      <c r="CF47" s="666"/>
      <c r="CG47" s="666"/>
      <c r="CH47" s="666"/>
      <c r="CI47" s="666"/>
    </row>
    <row r="48" spans="1:87" s="281" customFormat="1" ht="15.75">
      <c r="A48" s="278"/>
      <c r="B48" s="280"/>
      <c r="C48" s="13"/>
      <c r="D48" s="68" t="s">
        <v>340</v>
      </c>
      <c r="E48" s="11"/>
      <c r="F48" s="11">
        <v>50000</v>
      </c>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s="280"/>
      <c r="BU48" s="280"/>
      <c r="BV48" s="284"/>
      <c r="BW48" s="280"/>
      <c r="BX48" s="280"/>
      <c r="BY48" s="280"/>
      <c r="BZ48" s="280"/>
      <c r="CA48" s="666"/>
      <c r="CB48" s="666"/>
      <c r="CC48" s="666"/>
      <c r="CD48" s="666"/>
      <c r="CE48" s="666"/>
      <c r="CF48" s="666"/>
      <c r="CG48" s="666"/>
      <c r="CH48" s="666"/>
      <c r="CI48" s="666"/>
    </row>
    <row r="49" spans="1:87" s="281" customFormat="1" ht="15.75">
      <c r="A49" s="278"/>
      <c r="B49" s="280"/>
      <c r="C49" s="13"/>
      <c r="D49" s="68" t="s">
        <v>357</v>
      </c>
      <c r="E49" s="11"/>
      <c r="F49" s="11">
        <v>11500</v>
      </c>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s="280"/>
      <c r="BU49" s="280"/>
      <c r="BV49" s="284"/>
      <c r="BW49" s="280"/>
      <c r="BX49" s="280"/>
      <c r="BY49" s="280"/>
      <c r="BZ49" s="280"/>
      <c r="CA49" s="666"/>
      <c r="CB49" s="666"/>
      <c r="CC49" s="666"/>
      <c r="CD49" s="666"/>
      <c r="CE49" s="666"/>
      <c r="CF49" s="666"/>
      <c r="CG49" s="666"/>
      <c r="CH49" s="666"/>
      <c r="CI49" s="666"/>
    </row>
    <row r="50" spans="1:87" s="281" customFormat="1" ht="15.75">
      <c r="A50" s="278"/>
      <c r="B50" s="280"/>
      <c r="C50" s="13"/>
      <c r="D50" s="68" t="s">
        <v>51</v>
      </c>
      <c r="E50" s="11"/>
      <c r="F50" s="11">
        <v>200000</v>
      </c>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s="280"/>
      <c r="BU50" s="280"/>
      <c r="BV50" s="284"/>
      <c r="BW50" s="280"/>
      <c r="BX50" s="280"/>
      <c r="BY50" s="280"/>
      <c r="BZ50" s="280"/>
      <c r="CA50" s="666"/>
      <c r="CB50" s="666"/>
      <c r="CC50" s="666"/>
      <c r="CD50" s="666"/>
      <c r="CE50" s="666"/>
      <c r="CF50" s="666"/>
      <c r="CG50" s="666"/>
      <c r="CH50" s="666"/>
      <c r="CI50" s="666"/>
    </row>
    <row r="51" spans="1:87" s="281" customFormat="1" ht="15.75">
      <c r="A51" s="278"/>
      <c r="B51" s="280"/>
      <c r="C51" s="13"/>
      <c r="D51" s="68" t="s">
        <v>1648</v>
      </c>
      <c r="E51" s="11"/>
      <c r="F51" s="11">
        <v>100000</v>
      </c>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s="280"/>
      <c r="BU51" s="280"/>
      <c r="BV51" s="284"/>
      <c r="BW51" s="280"/>
      <c r="BX51" s="280"/>
      <c r="BY51" s="280"/>
      <c r="BZ51" s="280"/>
      <c r="CA51" s="666"/>
      <c r="CB51" s="666"/>
      <c r="CC51" s="666"/>
      <c r="CD51" s="666"/>
      <c r="CE51" s="666"/>
      <c r="CF51" s="666"/>
      <c r="CG51" s="666"/>
      <c r="CH51" s="666"/>
      <c r="CI51" s="666"/>
    </row>
    <row r="52" spans="1:87" s="281" customFormat="1" ht="15.75">
      <c r="A52" s="278"/>
      <c r="B52" s="280"/>
      <c r="C52" s="13"/>
      <c r="D52" s="68" t="s">
        <v>547</v>
      </c>
      <c r="E52" s="11"/>
      <c r="F52" s="11"/>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s="280"/>
      <c r="BU52" s="280"/>
      <c r="BV52" s="284"/>
      <c r="BW52" s="280"/>
      <c r="BX52" s="280"/>
      <c r="BY52" s="280"/>
      <c r="BZ52" s="280"/>
      <c r="CA52" s="666"/>
      <c r="CB52" s="666"/>
      <c r="CC52" s="666"/>
      <c r="CD52" s="666"/>
      <c r="CE52" s="666"/>
      <c r="CF52" s="666"/>
      <c r="CG52" s="666"/>
      <c r="CH52" s="666"/>
      <c r="CI52" s="666"/>
    </row>
    <row r="53" spans="1:87" s="281" customFormat="1" ht="15.75">
      <c r="A53" s="278"/>
      <c r="B53" s="280"/>
      <c r="C53" s="13"/>
      <c r="D53" s="68" t="s">
        <v>546</v>
      </c>
      <c r="E53" s="11"/>
      <c r="F53" s="11"/>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s="280"/>
      <c r="BU53" s="280"/>
      <c r="BV53" s="284"/>
      <c r="BW53" s="280"/>
      <c r="BX53" s="280"/>
      <c r="BY53" s="280"/>
      <c r="BZ53" s="280"/>
      <c r="CA53" s="666"/>
      <c r="CB53" s="666"/>
      <c r="CC53" s="666"/>
      <c r="CD53" s="666"/>
      <c r="CE53" s="666"/>
      <c r="CF53" s="666"/>
      <c r="CG53" s="666"/>
      <c r="CH53" s="666"/>
      <c r="CI53" s="666"/>
    </row>
    <row r="54" spans="1:87" s="281" customFormat="1" ht="15.75">
      <c r="A54" s="278"/>
      <c r="B54" s="280"/>
      <c r="C54" s="13"/>
      <c r="D54" s="68" t="s">
        <v>1358</v>
      </c>
      <c r="E54" s="11"/>
      <c r="F54" s="11"/>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s="280"/>
      <c r="BU54" s="280"/>
      <c r="BV54" s="284"/>
      <c r="BW54" s="280"/>
      <c r="BX54" s="280"/>
      <c r="BY54" s="280"/>
      <c r="BZ54" s="280"/>
      <c r="CA54" s="666"/>
      <c r="CB54" s="666"/>
      <c r="CC54" s="666"/>
      <c r="CD54" s="666"/>
      <c r="CE54" s="666"/>
      <c r="CF54" s="666"/>
      <c r="CG54" s="666"/>
      <c r="CH54" s="666"/>
      <c r="CI54" s="666"/>
    </row>
    <row r="55" spans="1:87" s="745" customFormat="1" ht="15.75">
      <c r="A55" s="740"/>
      <c r="B55" s="738"/>
      <c r="C55" s="742" t="s">
        <v>282</v>
      </c>
      <c r="D55" s="749"/>
      <c r="E55" s="750">
        <v>4427346.43</v>
      </c>
      <c r="F55" s="750">
        <v>32650105</v>
      </c>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c r="BE55" s="4"/>
      <c r="BF55" s="4"/>
      <c r="BG55" s="4"/>
      <c r="BH55" s="4"/>
      <c r="BI55" s="4"/>
      <c r="BJ55" s="4"/>
      <c r="BK55" s="4"/>
      <c r="BL55" s="4"/>
      <c r="BM55" s="4"/>
      <c r="BN55" s="4"/>
      <c r="BO55" s="4"/>
      <c r="BP55" s="4"/>
      <c r="BQ55" s="4"/>
      <c r="BR55" s="4"/>
      <c r="BS55" s="4"/>
      <c r="BT55" s="738"/>
      <c r="BU55" s="738"/>
      <c r="BV55" s="743"/>
      <c r="BW55" s="738"/>
      <c r="BX55" s="738"/>
      <c r="BY55" s="738"/>
      <c r="BZ55" s="738"/>
      <c r="CA55" s="744"/>
      <c r="CB55" s="744"/>
      <c r="CC55" s="744"/>
      <c r="CD55" s="744"/>
      <c r="CE55" s="744"/>
      <c r="CF55" s="744"/>
      <c r="CG55" s="744"/>
      <c r="CH55" s="744"/>
      <c r="CI55" s="744"/>
    </row>
    <row r="56" spans="1:87" s="281" customFormat="1" ht="15.75">
      <c r="A56" s="278"/>
      <c r="B56" s="280"/>
      <c r="C56" s="5">
        <v>2011</v>
      </c>
      <c r="D56" s="5" t="s">
        <v>1279</v>
      </c>
      <c r="E56" s="11"/>
      <c r="F56" s="11"/>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s="280"/>
      <c r="BU56" s="280"/>
      <c r="BV56" s="284"/>
      <c r="BW56" s="280"/>
      <c r="BX56" s="280"/>
      <c r="BY56" s="280"/>
      <c r="BZ56" s="280"/>
      <c r="CA56" s="666"/>
      <c r="CB56" s="666"/>
      <c r="CC56" s="666"/>
      <c r="CD56" s="666"/>
      <c r="CE56" s="666"/>
      <c r="CF56" s="666"/>
      <c r="CG56" s="666"/>
      <c r="CH56" s="666"/>
      <c r="CI56" s="666"/>
    </row>
    <row r="57" spans="1:87" s="281" customFormat="1" ht="15.75">
      <c r="A57" s="278"/>
      <c r="B57" s="280"/>
      <c r="C57" s="13"/>
      <c r="D57" s="68" t="s">
        <v>1803</v>
      </c>
      <c r="E57" s="11"/>
      <c r="F57" s="11">
        <v>182000</v>
      </c>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s="280"/>
      <c r="BU57" s="280"/>
      <c r="BV57" s="284"/>
      <c r="BW57" s="280"/>
      <c r="BX57" s="280"/>
      <c r="BY57" s="280"/>
      <c r="BZ57" s="280"/>
      <c r="CA57" s="666"/>
      <c r="CB57" s="666"/>
      <c r="CC57" s="666"/>
      <c r="CD57" s="666"/>
      <c r="CE57" s="666"/>
      <c r="CF57" s="666"/>
      <c r="CG57" s="666"/>
      <c r="CH57" s="666"/>
      <c r="CI57" s="666"/>
    </row>
    <row r="58" spans="1:87" s="281" customFormat="1" ht="15.75">
      <c r="A58" s="278"/>
      <c r="B58" s="280"/>
      <c r="C58" s="13"/>
      <c r="D58" s="68" t="s">
        <v>1278</v>
      </c>
      <c r="E58" s="11"/>
      <c r="F58" s="11">
        <v>145000</v>
      </c>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s="280"/>
      <c r="BU58" s="280"/>
      <c r="BV58" s="284"/>
      <c r="BW58" s="280"/>
      <c r="BX58" s="280"/>
      <c r="BY58" s="280"/>
      <c r="BZ58" s="280"/>
      <c r="CA58" s="666"/>
      <c r="CB58" s="666"/>
      <c r="CC58" s="666"/>
      <c r="CD58" s="666"/>
      <c r="CE58" s="666"/>
      <c r="CF58" s="666"/>
      <c r="CG58" s="666"/>
      <c r="CH58" s="666"/>
      <c r="CI58" s="666"/>
    </row>
    <row r="59" spans="1:87" s="281" customFormat="1" ht="15.75">
      <c r="A59" s="278"/>
      <c r="B59" s="280"/>
      <c r="C59" s="13"/>
      <c r="D59" s="68" t="s">
        <v>1160</v>
      </c>
      <c r="E59" s="11"/>
      <c r="F59" s="11">
        <v>80000</v>
      </c>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s="280"/>
      <c r="BU59" s="280"/>
      <c r="BV59" s="284"/>
      <c r="BW59" s="280"/>
      <c r="BX59" s="280"/>
      <c r="BY59" s="280"/>
      <c r="BZ59" s="280"/>
      <c r="CA59" s="666"/>
      <c r="CB59" s="666"/>
      <c r="CC59" s="666"/>
      <c r="CD59" s="666"/>
      <c r="CE59" s="666"/>
      <c r="CF59" s="666"/>
      <c r="CG59" s="666"/>
      <c r="CH59" s="666"/>
      <c r="CI59" s="666"/>
    </row>
    <row r="60" spans="1:87" s="281" customFormat="1" ht="15.75">
      <c r="A60" s="278"/>
      <c r="B60" s="280"/>
      <c r="C60" s="13"/>
      <c r="D60" s="68" t="s">
        <v>532</v>
      </c>
      <c r="E60" s="11"/>
      <c r="F60" s="11"/>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s="280"/>
      <c r="BU60" s="280"/>
      <c r="BV60" s="284"/>
      <c r="BW60" s="280"/>
      <c r="BX60" s="280"/>
      <c r="BY60" s="280"/>
      <c r="BZ60" s="280"/>
      <c r="CA60" s="666"/>
      <c r="CB60" s="666"/>
      <c r="CC60" s="666"/>
      <c r="CD60" s="666"/>
      <c r="CE60" s="666"/>
      <c r="CF60" s="666"/>
      <c r="CG60" s="666"/>
      <c r="CH60" s="666"/>
      <c r="CI60" s="666"/>
    </row>
    <row r="61" spans="1:87" s="281" customFormat="1" ht="15.75">
      <c r="A61" s="278"/>
      <c r="B61" s="280"/>
      <c r="C61" s="13"/>
      <c r="D61" s="68" t="s">
        <v>2032</v>
      </c>
      <c r="E61" s="11"/>
      <c r="F61" s="11">
        <v>2166133</v>
      </c>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s="280"/>
      <c r="BU61" s="280"/>
      <c r="BV61" s="284"/>
      <c r="BW61" s="280"/>
      <c r="BX61" s="280"/>
      <c r="BY61" s="280"/>
      <c r="BZ61" s="280"/>
      <c r="CA61" s="666"/>
      <c r="CB61" s="666"/>
      <c r="CC61" s="666"/>
      <c r="CD61" s="666"/>
      <c r="CE61" s="666"/>
      <c r="CF61" s="666"/>
      <c r="CG61" s="666"/>
      <c r="CH61" s="666"/>
      <c r="CI61" s="666"/>
    </row>
    <row r="62" spans="1:87" s="281" customFormat="1" ht="15.75">
      <c r="A62" s="278"/>
      <c r="B62" s="280"/>
      <c r="C62" s="13"/>
      <c r="D62" s="68" t="s">
        <v>1277</v>
      </c>
      <c r="E62" s="11"/>
      <c r="F62" s="11">
        <v>50000</v>
      </c>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s="280"/>
      <c r="BU62" s="280"/>
      <c r="BV62" s="284"/>
      <c r="BW62" s="280"/>
      <c r="BX62" s="280"/>
      <c r="BY62" s="280"/>
      <c r="BZ62" s="280"/>
      <c r="CA62" s="666"/>
      <c r="CB62" s="666"/>
      <c r="CC62" s="666"/>
      <c r="CD62" s="666"/>
      <c r="CE62" s="666"/>
      <c r="CF62" s="666"/>
      <c r="CG62" s="666"/>
      <c r="CH62" s="666"/>
      <c r="CI62" s="666"/>
    </row>
    <row r="63" spans="1:87" s="281" customFormat="1" ht="15.75">
      <c r="A63" s="278"/>
      <c r="B63" s="280"/>
      <c r="C63" s="13"/>
      <c r="D63" s="68" t="s">
        <v>578</v>
      </c>
      <c r="E63" s="11"/>
      <c r="F63" s="11"/>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s="280"/>
      <c r="BU63" s="280"/>
      <c r="BV63" s="284"/>
      <c r="BW63" s="280"/>
      <c r="BX63" s="280"/>
      <c r="BY63" s="280"/>
      <c r="BZ63" s="280"/>
      <c r="CA63" s="666"/>
      <c r="CB63" s="666"/>
      <c r="CC63" s="666"/>
      <c r="CD63" s="666"/>
      <c r="CE63" s="666"/>
      <c r="CF63" s="666"/>
      <c r="CG63" s="666"/>
      <c r="CH63" s="666"/>
      <c r="CI63" s="666"/>
    </row>
    <row r="64" spans="1:87" s="281" customFormat="1" ht="15.75">
      <c r="A64" s="278"/>
      <c r="B64" s="280"/>
      <c r="C64" s="13"/>
      <c r="D64" s="68" t="s">
        <v>97</v>
      </c>
      <c r="E64" s="11"/>
      <c r="F64" s="11"/>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s="280"/>
      <c r="BU64" s="280"/>
      <c r="BV64" s="284"/>
      <c r="BW64" s="280"/>
      <c r="BX64" s="280"/>
      <c r="BY64" s="280"/>
      <c r="BZ64" s="280"/>
      <c r="CA64" s="666"/>
      <c r="CB64" s="666"/>
      <c r="CC64" s="666"/>
      <c r="CD64" s="666"/>
      <c r="CE64" s="666"/>
      <c r="CF64" s="666"/>
      <c r="CG64" s="666"/>
      <c r="CH64" s="666"/>
      <c r="CI64" s="666"/>
    </row>
    <row r="65" spans="1:87" s="281" customFormat="1" ht="15.75">
      <c r="A65" s="278"/>
      <c r="B65" s="280"/>
      <c r="C65" s="13"/>
      <c r="D65" s="68" t="s">
        <v>82</v>
      </c>
      <c r="E65" s="11"/>
      <c r="F65" s="11">
        <v>50000</v>
      </c>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s="280"/>
      <c r="BU65" s="280"/>
      <c r="BV65" s="284"/>
      <c r="BW65" s="280"/>
      <c r="BX65" s="280"/>
      <c r="BY65" s="280"/>
      <c r="BZ65" s="280"/>
      <c r="CA65" s="666"/>
      <c r="CB65" s="666"/>
      <c r="CC65" s="666"/>
      <c r="CD65" s="666"/>
      <c r="CE65" s="666"/>
      <c r="CF65" s="666"/>
      <c r="CG65" s="666"/>
      <c r="CH65" s="666"/>
      <c r="CI65" s="666"/>
    </row>
    <row r="66" spans="1:87" s="281" customFormat="1" ht="15.75">
      <c r="A66" s="278"/>
      <c r="B66" s="280"/>
      <c r="C66" s="13"/>
      <c r="D66" s="68" t="s">
        <v>577</v>
      </c>
      <c r="E66" s="11"/>
      <c r="F66" s="11"/>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s="280"/>
      <c r="BU66" s="280"/>
      <c r="BV66" s="284"/>
      <c r="BW66" s="280"/>
      <c r="BX66" s="280"/>
      <c r="BY66" s="280"/>
      <c r="BZ66" s="280"/>
      <c r="CA66" s="666"/>
      <c r="CB66" s="666"/>
      <c r="CC66" s="666"/>
      <c r="CD66" s="666"/>
      <c r="CE66" s="666"/>
      <c r="CF66" s="666"/>
      <c r="CG66" s="666"/>
      <c r="CH66" s="666"/>
      <c r="CI66" s="666"/>
    </row>
    <row r="67" spans="1:87" s="281" customFormat="1" ht="15.75">
      <c r="A67" s="278"/>
      <c r="B67" s="280"/>
      <c r="C67" s="13"/>
      <c r="D67" s="68" t="s">
        <v>12</v>
      </c>
      <c r="E67" s="11">
        <v>100000</v>
      </c>
      <c r="F67" s="11">
        <v>297270</v>
      </c>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s="280"/>
      <c r="BU67" s="280"/>
      <c r="BV67" s="284"/>
      <c r="BW67" s="280"/>
      <c r="BX67" s="280"/>
      <c r="BY67" s="280"/>
      <c r="BZ67" s="280"/>
      <c r="CA67" s="666"/>
      <c r="CB67" s="666"/>
      <c r="CC67" s="666"/>
      <c r="CD67" s="666"/>
      <c r="CE67" s="666"/>
      <c r="CF67" s="666"/>
      <c r="CG67" s="666"/>
      <c r="CH67" s="666"/>
      <c r="CI67" s="666"/>
    </row>
    <row r="68" spans="1:87" s="281" customFormat="1" ht="15.75">
      <c r="A68" s="278"/>
      <c r="B68" s="280"/>
      <c r="C68" s="13"/>
      <c r="D68" s="68" t="s">
        <v>1600</v>
      </c>
      <c r="E68" s="11"/>
      <c r="F68" s="11">
        <v>4100000</v>
      </c>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s="280"/>
      <c r="BU68" s="280"/>
      <c r="BV68" s="284"/>
      <c r="BW68" s="280"/>
      <c r="BX68" s="280"/>
      <c r="BY68" s="280"/>
      <c r="BZ68" s="280"/>
      <c r="CA68" s="666"/>
      <c r="CB68" s="666"/>
      <c r="CC68" s="666"/>
      <c r="CD68" s="666"/>
      <c r="CE68" s="666"/>
      <c r="CF68" s="666"/>
      <c r="CG68" s="666"/>
      <c r="CH68" s="666"/>
      <c r="CI68" s="666"/>
    </row>
    <row r="69" spans="1:87" s="281" customFormat="1" ht="15.75">
      <c r="A69" s="278"/>
      <c r="B69" s="280"/>
      <c r="C69" s="13"/>
      <c r="D69" s="68" t="s">
        <v>1808</v>
      </c>
      <c r="E69" s="11"/>
      <c r="F69" s="11"/>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s="280"/>
      <c r="BU69" s="280"/>
      <c r="BV69" s="284"/>
      <c r="BW69" s="280"/>
      <c r="BX69" s="280"/>
      <c r="BY69" s="280"/>
      <c r="BZ69" s="280"/>
      <c r="CA69" s="666"/>
      <c r="CB69" s="666"/>
      <c r="CC69" s="666"/>
      <c r="CD69" s="666"/>
      <c r="CE69" s="666"/>
      <c r="CF69" s="666"/>
      <c r="CG69" s="666"/>
      <c r="CH69" s="666"/>
      <c r="CI69" s="666"/>
    </row>
    <row r="70" spans="1:87" s="281" customFormat="1" ht="15.75">
      <c r="A70" s="278"/>
      <c r="B70" s="280"/>
      <c r="C70" s="13"/>
      <c r="D70" s="68" t="s">
        <v>21</v>
      </c>
      <c r="E70" s="11"/>
      <c r="F70" s="11"/>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s="280"/>
      <c r="BU70" s="280"/>
      <c r="BV70" s="284"/>
      <c r="BW70" s="280"/>
      <c r="BX70" s="280"/>
      <c r="BY70" s="280"/>
      <c r="BZ70" s="280"/>
      <c r="CA70" s="666"/>
      <c r="CB70" s="666"/>
      <c r="CC70" s="666"/>
      <c r="CD70" s="666"/>
      <c r="CE70" s="666"/>
      <c r="CF70" s="666"/>
      <c r="CG70" s="666"/>
      <c r="CH70" s="666"/>
      <c r="CI70" s="666"/>
    </row>
    <row r="71" spans="1:87" s="281" customFormat="1" ht="15.75">
      <c r="A71" s="278"/>
      <c r="B71" s="280"/>
      <c r="C71" s="13"/>
      <c r="D71" s="68" t="s">
        <v>1918</v>
      </c>
      <c r="E71" s="11"/>
      <c r="F71" s="11">
        <v>30000</v>
      </c>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s="280"/>
      <c r="BU71" s="280"/>
      <c r="BV71" s="284"/>
      <c r="BW71" s="280"/>
      <c r="BX71" s="280"/>
      <c r="BY71" s="280"/>
      <c r="BZ71" s="280"/>
      <c r="CA71" s="666"/>
      <c r="CB71" s="666"/>
      <c r="CC71" s="666"/>
      <c r="CD71" s="666"/>
      <c r="CE71" s="666"/>
      <c r="CF71" s="666"/>
      <c r="CG71" s="666"/>
      <c r="CH71" s="666"/>
      <c r="CI71" s="666"/>
    </row>
    <row r="72" spans="1:87" s="281" customFormat="1" ht="15.75">
      <c r="A72" s="278"/>
      <c r="B72" s="280"/>
      <c r="C72" s="13"/>
      <c r="D72" s="68" t="s">
        <v>560</v>
      </c>
      <c r="E72" s="11"/>
      <c r="F72" s="11">
        <v>30000</v>
      </c>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s="280"/>
      <c r="BU72" s="280"/>
      <c r="BV72" s="284"/>
      <c r="BW72" s="280"/>
      <c r="BX72" s="280"/>
      <c r="BY72" s="280"/>
      <c r="BZ72" s="280"/>
      <c r="CA72" s="666"/>
      <c r="CB72" s="666"/>
      <c r="CC72" s="666"/>
      <c r="CD72" s="666"/>
      <c r="CE72" s="666"/>
      <c r="CF72" s="666"/>
      <c r="CG72" s="666"/>
      <c r="CH72" s="666"/>
      <c r="CI72" s="666"/>
    </row>
    <row r="73" spans="1:87" s="281" customFormat="1" ht="15.75">
      <c r="A73" s="278"/>
      <c r="B73" s="280"/>
      <c r="C73" s="13"/>
      <c r="D73" s="68" t="s">
        <v>580</v>
      </c>
      <c r="E73" s="11"/>
      <c r="F73" s="11">
        <v>150000</v>
      </c>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s="280"/>
      <c r="BU73" s="280"/>
      <c r="BV73" s="284"/>
      <c r="BW73" s="280"/>
      <c r="BX73" s="280"/>
      <c r="BY73" s="280"/>
      <c r="BZ73" s="280"/>
      <c r="CA73" s="666"/>
      <c r="CB73" s="666"/>
      <c r="CC73" s="666"/>
      <c r="CD73" s="666"/>
      <c r="CE73" s="666"/>
      <c r="CF73" s="666"/>
      <c r="CG73" s="666"/>
      <c r="CH73" s="666"/>
      <c r="CI73" s="666"/>
    </row>
    <row r="74" spans="1:87" s="745" customFormat="1" ht="15.75">
      <c r="A74" s="740"/>
      <c r="B74" s="738"/>
      <c r="C74" s="742" t="s">
        <v>370</v>
      </c>
      <c r="D74" s="749"/>
      <c r="E74" s="750">
        <v>100000</v>
      </c>
      <c r="F74" s="750">
        <v>7280403</v>
      </c>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738"/>
      <c r="BU74" s="738"/>
      <c r="BV74" s="743"/>
      <c r="BW74" s="738"/>
      <c r="BX74" s="738"/>
      <c r="BY74" s="738"/>
      <c r="BZ74" s="738"/>
      <c r="CA74" s="744"/>
      <c r="CB74" s="744"/>
      <c r="CC74" s="744"/>
      <c r="CD74" s="744"/>
      <c r="CE74" s="744"/>
      <c r="CF74" s="744"/>
      <c r="CG74" s="744"/>
      <c r="CH74" s="744"/>
      <c r="CI74" s="744"/>
    </row>
    <row r="75" spans="1:87" s="281" customFormat="1" ht="15.75">
      <c r="A75" s="278"/>
      <c r="B75" s="280"/>
      <c r="C75" s="5">
        <v>2012</v>
      </c>
      <c r="D75" s="5" t="s">
        <v>88</v>
      </c>
      <c r="E75" s="11"/>
      <c r="F75" s="11">
        <v>50000</v>
      </c>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s="280"/>
      <c r="BU75" s="280"/>
      <c r="BV75" s="284"/>
      <c r="BW75" s="280"/>
      <c r="BX75" s="280"/>
      <c r="BY75" s="280"/>
      <c r="BZ75" s="280"/>
      <c r="CA75" s="666"/>
      <c r="CB75" s="666"/>
      <c r="CC75" s="666"/>
      <c r="CD75" s="666"/>
      <c r="CE75" s="666"/>
      <c r="CF75" s="666"/>
      <c r="CG75" s="666"/>
      <c r="CH75" s="666"/>
      <c r="CI75" s="666"/>
    </row>
    <row r="76" spans="1:87" s="281" customFormat="1" ht="15.75">
      <c r="A76" s="278"/>
      <c r="B76" s="280"/>
      <c r="C76" s="13"/>
      <c r="D76" s="68" t="s">
        <v>343</v>
      </c>
      <c r="E76" s="11"/>
      <c r="F76" s="11"/>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s="280"/>
      <c r="BU76" s="280"/>
      <c r="BV76" s="284"/>
      <c r="BW76" s="280"/>
      <c r="BX76" s="280"/>
      <c r="BY76" s="280"/>
      <c r="BZ76" s="280"/>
      <c r="CA76" s="666"/>
      <c r="CB76" s="666"/>
      <c r="CC76" s="666"/>
      <c r="CD76" s="666"/>
      <c r="CE76" s="666"/>
      <c r="CF76" s="666"/>
      <c r="CG76" s="666"/>
      <c r="CH76" s="666"/>
      <c r="CI76" s="666"/>
    </row>
    <row r="77" spans="1:87" s="281" customFormat="1" ht="15.75">
      <c r="A77" s="278"/>
      <c r="B77" s="280"/>
      <c r="C77" s="13"/>
      <c r="D77" s="68" t="s">
        <v>441</v>
      </c>
      <c r="E77" s="11"/>
      <c r="F77" s="11"/>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s="280"/>
      <c r="BU77" s="280"/>
      <c r="BV77" s="284"/>
      <c r="BW77" s="280"/>
      <c r="BX77" s="280"/>
      <c r="BY77" s="280"/>
      <c r="BZ77" s="280"/>
      <c r="CA77" s="666"/>
      <c r="CB77" s="666"/>
      <c r="CC77" s="666"/>
      <c r="CD77" s="666"/>
      <c r="CE77" s="666"/>
      <c r="CF77" s="666"/>
      <c r="CG77" s="666"/>
      <c r="CH77" s="666"/>
      <c r="CI77" s="666"/>
    </row>
    <row r="78" spans="1:87" s="281" customFormat="1" ht="15.75">
      <c r="A78" s="278"/>
      <c r="B78" s="280"/>
      <c r="C78" s="13"/>
      <c r="D78" s="68" t="s">
        <v>689</v>
      </c>
      <c r="E78" s="11"/>
      <c r="F78" s="11">
        <v>50000</v>
      </c>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s="280"/>
      <c r="BU78" s="280"/>
      <c r="BV78" s="284"/>
      <c r="BW78" s="280"/>
      <c r="BX78" s="280"/>
      <c r="BY78" s="280"/>
      <c r="BZ78" s="280"/>
      <c r="CA78" s="666"/>
      <c r="CB78" s="666"/>
      <c r="CC78" s="666"/>
      <c r="CD78" s="666"/>
      <c r="CE78" s="666"/>
      <c r="CF78" s="666"/>
      <c r="CG78" s="666"/>
      <c r="CH78" s="666"/>
      <c r="CI78" s="666"/>
    </row>
    <row r="79" spans="1:87" s="281" customFormat="1" ht="15.75">
      <c r="A79" s="278"/>
      <c r="B79" s="280"/>
      <c r="C79" s="13"/>
      <c r="D79" s="68" t="s">
        <v>1932</v>
      </c>
      <c r="E79" s="11">
        <v>1113000</v>
      </c>
      <c r="F79" s="11">
        <v>1700000</v>
      </c>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s="280"/>
      <c r="BU79" s="280"/>
      <c r="BV79" s="284"/>
      <c r="BW79" s="280"/>
      <c r="BX79" s="280"/>
      <c r="BY79" s="280"/>
      <c r="BZ79" s="280"/>
      <c r="CA79" s="666"/>
      <c r="CB79" s="666"/>
      <c r="CC79" s="666"/>
      <c r="CD79" s="666"/>
      <c r="CE79" s="666"/>
      <c r="CF79" s="666"/>
      <c r="CG79" s="666"/>
      <c r="CH79" s="666"/>
      <c r="CI79" s="666"/>
    </row>
    <row r="80" spans="1:87" s="281" customFormat="1" ht="15.75">
      <c r="A80" s="278"/>
      <c r="B80" s="280"/>
      <c r="C80" s="13"/>
      <c r="D80" s="68" t="s">
        <v>97</v>
      </c>
      <c r="E80" s="11"/>
      <c r="F80" s="11"/>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s="280"/>
      <c r="BU80" s="280"/>
      <c r="BV80" s="284"/>
      <c r="BW80" s="280"/>
      <c r="BX80" s="280"/>
      <c r="BY80" s="280"/>
      <c r="BZ80" s="280"/>
      <c r="CA80" s="666"/>
      <c r="CB80" s="666"/>
      <c r="CC80" s="666"/>
      <c r="CD80" s="666"/>
      <c r="CE80" s="666"/>
      <c r="CF80" s="666"/>
      <c r="CG80" s="666"/>
      <c r="CH80" s="666"/>
      <c r="CI80" s="666"/>
    </row>
    <row r="81" spans="1:87" s="281" customFormat="1" ht="15.75">
      <c r="A81" s="278"/>
      <c r="B81" s="280"/>
      <c r="C81" s="13"/>
      <c r="D81" s="68" t="s">
        <v>1415</v>
      </c>
      <c r="E81" s="11"/>
      <c r="F81" s="11">
        <v>50000</v>
      </c>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s="280"/>
      <c r="BU81" s="280"/>
      <c r="BV81" s="284"/>
      <c r="BW81" s="280"/>
      <c r="BX81" s="280"/>
      <c r="BY81" s="280"/>
      <c r="BZ81" s="280"/>
      <c r="CA81" s="666"/>
      <c r="CB81" s="666"/>
      <c r="CC81" s="666"/>
      <c r="CD81" s="666"/>
      <c r="CE81" s="666"/>
      <c r="CF81" s="666"/>
      <c r="CG81" s="666"/>
      <c r="CH81" s="666"/>
      <c r="CI81" s="666"/>
    </row>
    <row r="82" spans="1:87" s="281" customFormat="1" ht="15.75">
      <c r="A82" s="278"/>
      <c r="B82" s="280"/>
      <c r="C82" s="13"/>
      <c r="D82" s="68" t="s">
        <v>1774</v>
      </c>
      <c r="E82" s="11"/>
      <c r="F82" s="11">
        <v>50000</v>
      </c>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s="280"/>
      <c r="BU82" s="280"/>
      <c r="BV82" s="284"/>
      <c r="BW82" s="280"/>
      <c r="BX82" s="280"/>
      <c r="BY82" s="280"/>
      <c r="BZ82" s="280"/>
      <c r="CA82" s="666"/>
      <c r="CB82" s="666"/>
      <c r="CC82" s="666"/>
      <c r="CD82" s="666"/>
      <c r="CE82" s="666"/>
      <c r="CF82" s="666"/>
      <c r="CG82" s="666"/>
      <c r="CH82" s="666"/>
      <c r="CI82" s="666"/>
    </row>
    <row r="83" spans="1:87" s="281" customFormat="1" ht="15.75">
      <c r="A83" s="278"/>
      <c r="B83" s="280"/>
      <c r="C83" s="13"/>
      <c r="D83" s="68" t="s">
        <v>2050</v>
      </c>
      <c r="E83" s="11"/>
      <c r="F83" s="11">
        <v>167000</v>
      </c>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s="280"/>
      <c r="BU83" s="280"/>
      <c r="BV83" s="284"/>
      <c r="BW83" s="280"/>
      <c r="BX83" s="280"/>
      <c r="BY83" s="280"/>
      <c r="BZ83" s="280"/>
      <c r="CA83" s="666"/>
      <c r="CB83" s="666"/>
      <c r="CC83" s="666"/>
      <c r="CD83" s="666"/>
      <c r="CE83" s="666"/>
      <c r="CF83" s="666"/>
      <c r="CG83" s="666"/>
      <c r="CH83" s="666"/>
      <c r="CI83" s="666"/>
    </row>
    <row r="84" spans="1:87" s="281" customFormat="1" ht="15.75">
      <c r="A84" s="278"/>
      <c r="B84" s="280"/>
      <c r="C84" s="13"/>
      <c r="D84" s="68" t="s">
        <v>740</v>
      </c>
      <c r="E84" s="11"/>
      <c r="F84" s="11">
        <v>809000</v>
      </c>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s="280"/>
      <c r="BU84" s="280"/>
      <c r="BV84" s="284"/>
      <c r="BW84" s="280"/>
      <c r="BX84" s="280"/>
      <c r="BY84" s="280"/>
      <c r="BZ84" s="280"/>
      <c r="CA84" s="666"/>
      <c r="CB84" s="666"/>
      <c r="CC84" s="666"/>
      <c r="CD84" s="666"/>
      <c r="CE84" s="666"/>
      <c r="CF84" s="666"/>
      <c r="CG84" s="666"/>
      <c r="CH84" s="666"/>
      <c r="CI84" s="666"/>
    </row>
    <row r="85" spans="1:87" s="281" customFormat="1" ht="15.75">
      <c r="A85" s="278"/>
      <c r="B85" s="280"/>
      <c r="C85" s="13"/>
      <c r="D85" s="68" t="s">
        <v>560</v>
      </c>
      <c r="E85" s="11"/>
      <c r="F85" s="11">
        <v>50000</v>
      </c>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s="280"/>
      <c r="BU85" s="280"/>
      <c r="BV85" s="284"/>
      <c r="BW85" s="280"/>
      <c r="BX85" s="280"/>
      <c r="BY85" s="280"/>
      <c r="BZ85" s="280"/>
      <c r="CA85" s="666"/>
      <c r="CB85" s="666"/>
      <c r="CC85" s="666"/>
      <c r="CD85" s="666"/>
      <c r="CE85" s="666"/>
      <c r="CF85" s="666"/>
      <c r="CG85" s="666"/>
      <c r="CH85" s="666"/>
      <c r="CI85" s="666"/>
    </row>
    <row r="86" spans="1:87" s="745" customFormat="1" ht="15.75">
      <c r="A86" s="740"/>
      <c r="B86" s="738"/>
      <c r="C86" s="742" t="s">
        <v>1434</v>
      </c>
      <c r="D86" s="749"/>
      <c r="E86" s="750">
        <v>1113000</v>
      </c>
      <c r="F86" s="750">
        <v>2926000</v>
      </c>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738"/>
      <c r="BU86" s="738"/>
      <c r="BV86" s="743"/>
      <c r="BW86" s="738"/>
      <c r="BX86" s="738"/>
      <c r="BY86" s="738"/>
      <c r="BZ86" s="738"/>
      <c r="CA86" s="744"/>
      <c r="CB86" s="744"/>
      <c r="CC86" s="744"/>
      <c r="CD86" s="744"/>
      <c r="CE86" s="744"/>
      <c r="CF86" s="744"/>
      <c r="CG86" s="744"/>
      <c r="CH86" s="744"/>
      <c r="CI86" s="744"/>
    </row>
    <row r="87" spans="1:87" s="281" customFormat="1" ht="15.75">
      <c r="A87" s="278"/>
      <c r="B87" s="280"/>
      <c r="C87" s="9" t="s">
        <v>1207</v>
      </c>
      <c r="D87" s="16"/>
      <c r="E87" s="11">
        <v>6650971.4299999997</v>
      </c>
      <c r="F87" s="11">
        <v>45557110</v>
      </c>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s="280"/>
      <c r="BU87" s="280"/>
      <c r="BV87" s="284"/>
      <c r="BW87" s="280"/>
      <c r="BX87" s="280"/>
      <c r="BY87" s="280"/>
      <c r="BZ87" s="280"/>
      <c r="CA87" s="666"/>
      <c r="CB87" s="666"/>
      <c r="CC87" s="666"/>
      <c r="CD87" s="666"/>
      <c r="CE87" s="666"/>
      <c r="CF87" s="666"/>
      <c r="CG87" s="666"/>
      <c r="CH87" s="666"/>
      <c r="CI87" s="666"/>
    </row>
    <row r="88" spans="1:87" s="281" customFormat="1" ht="15.75">
      <c r="A88" s="278"/>
      <c r="B88" s="280"/>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s="280"/>
      <c r="BU88" s="280"/>
      <c r="BV88" s="284"/>
      <c r="BW88" s="280"/>
      <c r="BX88" s="280"/>
      <c r="BY88" s="280"/>
      <c r="BZ88" s="280"/>
      <c r="CA88" s="666"/>
      <c r="CB88" s="666"/>
      <c r="CC88" s="666"/>
      <c r="CD88" s="666"/>
      <c r="CE88" s="666"/>
      <c r="CF88" s="666"/>
      <c r="CG88" s="666"/>
      <c r="CH88" s="666"/>
      <c r="CI88" s="666"/>
    </row>
    <row r="89" spans="1:87">
      <c r="C89"/>
      <c r="E89"/>
      <c r="F89"/>
      <c r="M89"/>
      <c r="Z89"/>
      <c r="AI89"/>
      <c r="AJ89"/>
      <c r="BG89"/>
      <c r="BH89"/>
      <c r="BJ89"/>
      <c r="BK89"/>
      <c r="BM89"/>
      <c r="BO89"/>
      <c r="BP89"/>
      <c r="BQ89"/>
    </row>
    <row r="90" spans="1:87">
      <c r="C90"/>
      <c r="E90"/>
      <c r="F90"/>
      <c r="M90"/>
      <c r="Z90"/>
      <c r="AI90"/>
      <c r="AJ90"/>
      <c r="BG90"/>
      <c r="BH90"/>
      <c r="BJ90"/>
      <c r="BK90"/>
      <c r="BM90"/>
      <c r="BO90"/>
      <c r="BP90"/>
      <c r="BQ90"/>
    </row>
    <row r="91" spans="1:87">
      <c r="C91"/>
      <c r="E91"/>
      <c r="F91"/>
      <c r="M91"/>
      <c r="Z91"/>
      <c r="AI91"/>
      <c r="AJ91"/>
      <c r="BG91"/>
      <c r="BH91"/>
      <c r="BJ91"/>
      <c r="BK91"/>
      <c r="BM91"/>
      <c r="BO91"/>
      <c r="BP91"/>
      <c r="BQ91"/>
    </row>
    <row r="92" spans="1:87">
      <c r="C92"/>
      <c r="E92"/>
      <c r="F92"/>
      <c r="M92"/>
      <c r="Z92"/>
      <c r="AI92"/>
      <c r="AJ92"/>
      <c r="BG92"/>
      <c r="BH92"/>
      <c r="BJ92"/>
      <c r="BK92"/>
      <c r="BM92"/>
      <c r="BO92"/>
      <c r="BP92"/>
      <c r="BQ92"/>
    </row>
    <row r="93" spans="1:87">
      <c r="C93"/>
      <c r="E93"/>
      <c r="F93"/>
      <c r="M93"/>
      <c r="Z93"/>
      <c r="AI93"/>
      <c r="AJ93"/>
      <c r="BG93"/>
      <c r="BH93"/>
      <c r="BJ93"/>
      <c r="BK93"/>
      <c r="BM93"/>
      <c r="BO93"/>
      <c r="BP93"/>
      <c r="BQ93"/>
    </row>
    <row r="94" spans="1:87">
      <c r="C94"/>
      <c r="E94"/>
      <c r="F94"/>
      <c r="M94"/>
      <c r="Z94"/>
      <c r="AI94"/>
      <c r="AJ94"/>
      <c r="BG94"/>
      <c r="BH94"/>
      <c r="BJ94"/>
      <c r="BK94"/>
      <c r="BM94"/>
      <c r="BO94"/>
      <c r="BP94"/>
      <c r="BQ94"/>
    </row>
    <row r="95" spans="1:87">
      <c r="C95"/>
      <c r="E95"/>
      <c r="F95"/>
      <c r="M95"/>
      <c r="Z95"/>
      <c r="AI95"/>
      <c r="AJ95"/>
      <c r="BG95"/>
      <c r="BH95"/>
      <c r="BJ95"/>
      <c r="BK95"/>
      <c r="BM95"/>
      <c r="BO95"/>
      <c r="BP95"/>
      <c r="BQ95"/>
    </row>
    <row r="96" spans="1:87">
      <c r="C96"/>
      <c r="E96"/>
      <c r="F96"/>
      <c r="M96"/>
      <c r="Z96"/>
      <c r="AI96"/>
      <c r="AJ96"/>
      <c r="BG96"/>
      <c r="BH96"/>
      <c r="BJ96"/>
      <c r="BK96"/>
      <c r="BM96"/>
      <c r="BO96"/>
      <c r="BP96"/>
      <c r="BQ96"/>
    </row>
    <row r="97" spans="3:69">
      <c r="C97"/>
      <c r="E97"/>
      <c r="F97"/>
      <c r="M97"/>
      <c r="Z97"/>
      <c r="AI97"/>
      <c r="AJ97"/>
      <c r="BG97"/>
      <c r="BH97"/>
      <c r="BJ97"/>
      <c r="BK97"/>
      <c r="BM97"/>
      <c r="BO97"/>
      <c r="BP97"/>
      <c r="BQ97"/>
    </row>
    <row r="98" spans="3:69">
      <c r="C98"/>
      <c r="E98"/>
      <c r="F98"/>
      <c r="M98"/>
      <c r="Z98"/>
      <c r="AI98"/>
      <c r="AJ98"/>
      <c r="BG98"/>
      <c r="BH98"/>
      <c r="BJ98"/>
      <c r="BK98"/>
      <c r="BM98"/>
      <c r="BO98"/>
      <c r="BP98"/>
      <c r="BQ98"/>
    </row>
    <row r="99" spans="3:69">
      <c r="C99"/>
      <c r="E99"/>
      <c r="F99"/>
      <c r="M99"/>
      <c r="Z99"/>
      <c r="AI99"/>
      <c r="AJ99"/>
      <c r="BG99"/>
      <c r="BH99"/>
      <c r="BJ99"/>
      <c r="BK99"/>
      <c r="BM99"/>
      <c r="BO99"/>
      <c r="BP99"/>
      <c r="BQ99"/>
    </row>
    <row r="100" spans="3:69">
      <c r="C100"/>
      <c r="E100"/>
      <c r="F100"/>
      <c r="M100"/>
      <c r="Z100"/>
      <c r="AI100"/>
      <c r="AJ100"/>
      <c r="BG100"/>
      <c r="BH100"/>
      <c r="BJ100"/>
      <c r="BK100"/>
      <c r="BM100"/>
      <c r="BO100"/>
      <c r="BP100"/>
      <c r="BQ100"/>
    </row>
    <row r="101" spans="3:69">
      <c r="C101"/>
      <c r="E101"/>
      <c r="F101"/>
      <c r="M101"/>
      <c r="Z101"/>
      <c r="AI101"/>
      <c r="AJ101"/>
      <c r="BG101"/>
      <c r="BH101"/>
      <c r="BJ101"/>
      <c r="BK101"/>
      <c r="BM101"/>
      <c r="BO101"/>
      <c r="BP101"/>
      <c r="BQ101"/>
    </row>
    <row r="102" spans="3:69">
      <c r="C102"/>
      <c r="E102"/>
      <c r="F102"/>
      <c r="M102"/>
      <c r="Z102"/>
      <c r="AI102"/>
      <c r="AJ102"/>
      <c r="BG102"/>
      <c r="BH102"/>
      <c r="BJ102"/>
      <c r="BK102"/>
      <c r="BM102"/>
      <c r="BO102"/>
      <c r="BP102"/>
      <c r="BQ102"/>
    </row>
    <row r="103" spans="3:69">
      <c r="C103"/>
      <c r="E103"/>
      <c r="F103"/>
      <c r="M103"/>
      <c r="Z103"/>
      <c r="AI103"/>
      <c r="AJ103"/>
      <c r="BG103"/>
      <c r="BH103"/>
      <c r="BJ103"/>
      <c r="BK103"/>
      <c r="BM103"/>
      <c r="BO103"/>
      <c r="BP103"/>
      <c r="BQ103"/>
    </row>
    <row r="104" spans="3:69">
      <c r="C104"/>
      <c r="E104"/>
      <c r="F104"/>
      <c r="M104"/>
      <c r="Z104"/>
      <c r="AI104"/>
      <c r="AJ104"/>
      <c r="BG104"/>
      <c r="BH104"/>
      <c r="BJ104"/>
      <c r="BK104"/>
      <c r="BM104"/>
      <c r="BO104"/>
      <c r="BP104"/>
      <c r="BQ104"/>
    </row>
    <row r="105" spans="3:69">
      <c r="C105"/>
      <c r="E105"/>
      <c r="F105"/>
      <c r="M105"/>
      <c r="Z105"/>
      <c r="AI105"/>
      <c r="AJ105"/>
      <c r="BG105"/>
      <c r="BH105"/>
      <c r="BJ105"/>
      <c r="BK105"/>
      <c r="BM105"/>
      <c r="BO105"/>
      <c r="BP105"/>
      <c r="BQ105"/>
    </row>
    <row r="106" spans="3:69">
      <c r="C106"/>
      <c r="E106"/>
      <c r="F106"/>
      <c r="M106"/>
      <c r="Z106"/>
      <c r="AI106"/>
      <c r="AJ106"/>
      <c r="BG106"/>
      <c r="BH106"/>
      <c r="BJ106"/>
      <c r="BK106"/>
      <c r="BM106"/>
      <c r="BO106"/>
      <c r="BP106"/>
      <c r="BQ106"/>
    </row>
    <row r="107" spans="3:69">
      <c r="C107"/>
      <c r="E107"/>
      <c r="F107"/>
      <c r="M107"/>
      <c r="Z107"/>
      <c r="AI107"/>
      <c r="AJ107"/>
      <c r="BG107"/>
      <c r="BH107"/>
      <c r="BJ107"/>
      <c r="BK107"/>
      <c r="BM107"/>
      <c r="BO107"/>
      <c r="BP107"/>
      <c r="BQ107"/>
    </row>
    <row r="108" spans="3:69">
      <c r="C108"/>
      <c r="E108"/>
      <c r="F108"/>
      <c r="M108"/>
      <c r="Z108"/>
      <c r="AI108"/>
      <c r="AJ108"/>
      <c r="BG108"/>
      <c r="BH108"/>
      <c r="BJ108"/>
      <c r="BK108"/>
      <c r="BM108"/>
      <c r="BO108"/>
      <c r="BP108"/>
      <c r="BQ108"/>
    </row>
    <row r="109" spans="3:69">
      <c r="C109"/>
      <c r="E109"/>
      <c r="F109"/>
      <c r="M109"/>
      <c r="Z109"/>
      <c r="AI109"/>
      <c r="AJ109"/>
      <c r="BG109"/>
      <c r="BH109"/>
      <c r="BJ109"/>
      <c r="BK109"/>
      <c r="BM109"/>
      <c r="BO109"/>
      <c r="BP109"/>
      <c r="BQ109"/>
    </row>
    <row r="110" spans="3:69">
      <c r="C110"/>
      <c r="E110"/>
      <c r="F110"/>
      <c r="M110"/>
      <c r="Z110"/>
      <c r="AI110"/>
      <c r="AJ110"/>
      <c r="BG110"/>
      <c r="BH110"/>
      <c r="BJ110"/>
      <c r="BK110"/>
      <c r="BM110"/>
      <c r="BO110"/>
      <c r="BP110"/>
      <c r="BQ110"/>
    </row>
    <row r="111" spans="3:69">
      <c r="C111"/>
      <c r="E111"/>
      <c r="F111"/>
      <c r="M111"/>
      <c r="Z111"/>
      <c r="AI111"/>
      <c r="AJ111"/>
      <c r="BG111"/>
      <c r="BH111"/>
      <c r="BJ111"/>
      <c r="BK111"/>
      <c r="BM111"/>
      <c r="BO111"/>
      <c r="BP111"/>
      <c r="BQ111"/>
    </row>
    <row r="112" spans="3:69">
      <c r="C112"/>
      <c r="E112"/>
      <c r="F112"/>
      <c r="M112"/>
      <c r="Z112"/>
      <c r="AI112"/>
      <c r="AJ112"/>
      <c r="BG112"/>
      <c r="BH112"/>
      <c r="BJ112"/>
      <c r="BK112"/>
      <c r="BM112"/>
      <c r="BO112"/>
      <c r="BP112"/>
      <c r="BQ112"/>
    </row>
    <row r="113" spans="3:69">
      <c r="C113"/>
      <c r="E113"/>
      <c r="F113"/>
      <c r="M113"/>
      <c r="Z113"/>
      <c r="AI113"/>
      <c r="AJ113"/>
      <c r="BG113"/>
      <c r="BH113"/>
      <c r="BJ113"/>
      <c r="BK113"/>
      <c r="BM113"/>
      <c r="BO113"/>
      <c r="BP113"/>
      <c r="BQ113"/>
    </row>
    <row r="114" spans="3:69">
      <c r="C114"/>
      <c r="E114"/>
      <c r="F114"/>
      <c r="M114"/>
      <c r="Z114"/>
      <c r="AI114"/>
      <c r="AJ114"/>
      <c r="BG114"/>
      <c r="BH114"/>
      <c r="BJ114"/>
      <c r="BK114"/>
      <c r="BM114"/>
      <c r="BO114"/>
      <c r="BP114"/>
      <c r="BQ114"/>
    </row>
    <row r="115" spans="3:69">
      <c r="C115"/>
      <c r="E115"/>
      <c r="F115"/>
      <c r="M115"/>
      <c r="Z115"/>
      <c r="AI115"/>
      <c r="AJ115"/>
      <c r="BG115"/>
      <c r="BH115"/>
      <c r="BJ115"/>
      <c r="BK115"/>
      <c r="BM115"/>
      <c r="BO115"/>
      <c r="BP115"/>
      <c r="BQ115"/>
    </row>
    <row r="116" spans="3:69">
      <c r="C116"/>
      <c r="E116"/>
      <c r="F116"/>
      <c r="M116"/>
      <c r="Z116"/>
      <c r="AI116"/>
      <c r="AJ116"/>
      <c r="BG116"/>
      <c r="BH116"/>
      <c r="BJ116"/>
      <c r="BK116"/>
      <c r="BM116"/>
      <c r="BO116"/>
      <c r="BP116"/>
      <c r="BQ116"/>
    </row>
    <row r="117" spans="3:69">
      <c r="C117"/>
      <c r="E117"/>
      <c r="F117"/>
      <c r="M117"/>
      <c r="Z117"/>
      <c r="AI117"/>
      <c r="AJ117"/>
      <c r="BG117"/>
      <c r="BH117"/>
      <c r="BJ117"/>
      <c r="BK117"/>
      <c r="BM117"/>
      <c r="BO117"/>
      <c r="BP117"/>
      <c r="BQ117"/>
    </row>
    <row r="118" spans="3:69">
      <c r="C118"/>
      <c r="E118"/>
      <c r="F118"/>
      <c r="M118"/>
      <c r="Z118"/>
      <c r="AI118"/>
      <c r="AJ118"/>
      <c r="BG118"/>
      <c r="BH118"/>
      <c r="BJ118"/>
      <c r="BK118"/>
      <c r="BM118"/>
      <c r="BO118"/>
      <c r="BP118"/>
      <c r="BQ118"/>
    </row>
    <row r="119" spans="3:69">
      <c r="C119"/>
      <c r="E119"/>
      <c r="F119"/>
      <c r="M119"/>
      <c r="Z119"/>
      <c r="AI119"/>
      <c r="AJ119"/>
      <c r="BG119"/>
      <c r="BH119"/>
      <c r="BJ119"/>
      <c r="BK119"/>
      <c r="BM119"/>
      <c r="BO119"/>
      <c r="BP119"/>
      <c r="BQ119"/>
    </row>
    <row r="120" spans="3:69">
      <c r="C120"/>
      <c r="E120"/>
      <c r="F120"/>
      <c r="M120"/>
      <c r="Z120"/>
      <c r="AI120"/>
      <c r="AJ120"/>
      <c r="BG120"/>
      <c r="BH120"/>
      <c r="BJ120"/>
      <c r="BK120"/>
      <c r="BM120"/>
      <c r="BO120"/>
      <c r="BP120"/>
      <c r="BQ120"/>
    </row>
    <row r="121" spans="3:69">
      <c r="C121"/>
      <c r="E121"/>
      <c r="F121"/>
      <c r="M121"/>
      <c r="Z121"/>
      <c r="AI121"/>
      <c r="AJ121"/>
      <c r="BG121"/>
      <c r="BH121"/>
      <c r="BJ121"/>
      <c r="BK121"/>
      <c r="BM121"/>
      <c r="BO121"/>
      <c r="BP121"/>
      <c r="BQ121"/>
    </row>
    <row r="122" spans="3:69">
      <c r="C122"/>
      <c r="E122"/>
      <c r="F122"/>
      <c r="M122"/>
      <c r="Z122"/>
      <c r="AI122"/>
      <c r="AJ122"/>
      <c r="BG122"/>
      <c r="BH122"/>
      <c r="BJ122"/>
      <c r="BK122"/>
      <c r="BM122"/>
      <c r="BO122"/>
      <c r="BP122"/>
      <c r="BQ122"/>
    </row>
    <row r="123" spans="3:69">
      <c r="C123"/>
      <c r="E123"/>
      <c r="F123"/>
      <c r="M123"/>
      <c r="Z123"/>
      <c r="AI123"/>
      <c r="AJ123"/>
      <c r="BG123"/>
      <c r="BH123"/>
      <c r="BJ123"/>
      <c r="BK123"/>
      <c r="BM123"/>
      <c r="BO123"/>
      <c r="BP123"/>
      <c r="BQ123"/>
    </row>
    <row r="124" spans="3:69">
      <c r="C124"/>
      <c r="E124"/>
      <c r="F124"/>
      <c r="M124"/>
      <c r="Z124"/>
      <c r="AI124"/>
      <c r="AJ124"/>
      <c r="BG124"/>
      <c r="BH124"/>
      <c r="BJ124"/>
      <c r="BK124"/>
      <c r="BM124"/>
      <c r="BO124"/>
      <c r="BP124"/>
      <c r="BQ124"/>
    </row>
    <row r="125" spans="3:69">
      <c r="C125"/>
      <c r="E125"/>
      <c r="F125"/>
      <c r="M125"/>
      <c r="Z125"/>
      <c r="AI125"/>
      <c r="AJ125"/>
      <c r="BG125"/>
      <c r="BH125"/>
      <c r="BJ125"/>
      <c r="BK125"/>
      <c r="BM125"/>
      <c r="BO125"/>
      <c r="BP125"/>
      <c r="BQ125"/>
    </row>
    <row r="126" spans="3:69">
      <c r="C126"/>
      <c r="E126"/>
      <c r="F126"/>
      <c r="M126"/>
      <c r="Z126"/>
      <c r="AI126"/>
      <c r="AJ126"/>
      <c r="BG126"/>
      <c r="BH126"/>
      <c r="BJ126"/>
      <c r="BK126"/>
      <c r="BM126"/>
      <c r="BO126"/>
      <c r="BP126"/>
      <c r="BQ126"/>
    </row>
    <row r="127" spans="3:69">
      <c r="C127"/>
      <c r="E127"/>
      <c r="F127"/>
      <c r="M127"/>
      <c r="Z127"/>
      <c r="AI127"/>
      <c r="AJ127"/>
      <c r="BG127"/>
      <c r="BH127"/>
      <c r="BJ127"/>
      <c r="BK127"/>
      <c r="BM127"/>
      <c r="BO127"/>
      <c r="BP127"/>
      <c r="BQ127"/>
    </row>
    <row r="128" spans="3:69">
      <c r="C128"/>
      <c r="E128"/>
      <c r="F128"/>
      <c r="M128"/>
      <c r="Z128"/>
      <c r="AI128"/>
      <c r="AJ128"/>
      <c r="BG128"/>
      <c r="BH128"/>
      <c r="BJ128"/>
      <c r="BK128"/>
      <c r="BM128"/>
      <c r="BO128"/>
      <c r="BP128"/>
      <c r="BQ128"/>
    </row>
    <row r="129" spans="3:69">
      <c r="C129"/>
      <c r="E129"/>
      <c r="F129"/>
      <c r="M129"/>
      <c r="Z129"/>
      <c r="AI129"/>
      <c r="AJ129"/>
      <c r="BG129"/>
      <c r="BH129"/>
      <c r="BJ129"/>
      <c r="BK129"/>
      <c r="BM129"/>
      <c r="BO129"/>
      <c r="BP129"/>
      <c r="BQ129"/>
    </row>
    <row r="130" spans="3:69">
      <c r="C130"/>
      <c r="E130"/>
      <c r="F130"/>
      <c r="M130"/>
      <c r="Z130"/>
      <c r="AI130"/>
      <c r="AJ130"/>
      <c r="BG130"/>
      <c r="BH130"/>
      <c r="BJ130"/>
      <c r="BK130"/>
      <c r="BM130"/>
      <c r="BO130"/>
      <c r="BP130"/>
      <c r="BQ130"/>
    </row>
    <row r="131" spans="3:69">
      <c r="C131"/>
      <c r="E131"/>
      <c r="F131"/>
      <c r="M131"/>
      <c r="Z131"/>
      <c r="AI131"/>
      <c r="AJ131"/>
      <c r="BG131"/>
      <c r="BH131"/>
      <c r="BJ131"/>
      <c r="BK131"/>
      <c r="BM131"/>
      <c r="BO131"/>
      <c r="BP131"/>
      <c r="BQ131"/>
    </row>
    <row r="132" spans="3:69">
      <c r="C132"/>
      <c r="E132"/>
      <c r="F132"/>
      <c r="M132"/>
      <c r="Z132"/>
      <c r="AI132"/>
      <c r="AJ132"/>
      <c r="BG132"/>
      <c r="BH132"/>
      <c r="BJ132"/>
      <c r="BK132"/>
      <c r="BM132"/>
      <c r="BO132"/>
      <c r="BP132"/>
      <c r="BQ132"/>
    </row>
    <row r="133" spans="3:69">
      <c r="C133"/>
      <c r="E133"/>
      <c r="F133"/>
      <c r="M133"/>
      <c r="Z133"/>
      <c r="AI133"/>
      <c r="AJ133"/>
      <c r="BG133"/>
      <c r="BH133"/>
      <c r="BJ133"/>
      <c r="BK133"/>
      <c r="BM133"/>
      <c r="BO133"/>
      <c r="BP133"/>
      <c r="BQ133"/>
    </row>
    <row r="134" spans="3:69">
      <c r="C134"/>
      <c r="E134"/>
      <c r="F134"/>
      <c r="M134"/>
      <c r="Z134"/>
      <c r="AI134"/>
      <c r="AJ134"/>
      <c r="BG134"/>
      <c r="BH134"/>
      <c r="BJ134"/>
      <c r="BK134"/>
      <c r="BM134"/>
      <c r="BO134"/>
      <c r="BP134"/>
      <c r="BQ134"/>
    </row>
    <row r="135" spans="3:69">
      <c r="C135"/>
      <c r="E135"/>
      <c r="F135"/>
      <c r="M135"/>
      <c r="Z135"/>
      <c r="AI135"/>
      <c r="AJ135"/>
      <c r="BG135"/>
      <c r="BH135"/>
      <c r="BJ135"/>
      <c r="BK135"/>
      <c r="BM135"/>
      <c r="BO135"/>
      <c r="BP135"/>
      <c r="BQ135"/>
    </row>
    <row r="136" spans="3:69">
      <c r="C136"/>
      <c r="E136"/>
      <c r="F136"/>
      <c r="M136"/>
      <c r="Z136"/>
      <c r="AI136"/>
      <c r="AJ136"/>
      <c r="BG136"/>
      <c r="BH136"/>
      <c r="BJ136"/>
      <c r="BK136"/>
      <c r="BM136"/>
      <c r="BO136"/>
      <c r="BP136"/>
      <c r="BQ136"/>
    </row>
    <row r="137" spans="3:69">
      <c r="C137"/>
      <c r="E137"/>
      <c r="F137"/>
      <c r="M137"/>
      <c r="Z137"/>
      <c r="AI137"/>
      <c r="AJ137"/>
      <c r="BG137"/>
      <c r="BH137"/>
      <c r="BJ137"/>
      <c r="BK137"/>
      <c r="BM137"/>
      <c r="BO137"/>
      <c r="BP137"/>
      <c r="BQ137"/>
    </row>
    <row r="138" spans="3:69">
      <c r="C138"/>
      <c r="E138"/>
      <c r="F138"/>
      <c r="M138"/>
      <c r="Z138"/>
      <c r="AI138"/>
      <c r="AJ138"/>
      <c r="BG138"/>
      <c r="BH138"/>
      <c r="BJ138"/>
      <c r="BK138"/>
      <c r="BM138"/>
      <c r="BO138"/>
      <c r="BP138"/>
      <c r="BQ138"/>
    </row>
    <row r="139" spans="3:69">
      <c r="C139"/>
      <c r="E139"/>
      <c r="F139"/>
      <c r="M139"/>
      <c r="Z139"/>
      <c r="AI139"/>
      <c r="AJ139"/>
      <c r="BG139"/>
      <c r="BH139"/>
      <c r="BJ139"/>
      <c r="BK139"/>
      <c r="BM139"/>
      <c r="BO139"/>
      <c r="BP139"/>
      <c r="BQ139"/>
    </row>
    <row r="140" spans="3:69">
      <c r="C140"/>
      <c r="E140"/>
      <c r="F140"/>
      <c r="M140"/>
      <c r="Z140"/>
      <c r="AI140"/>
      <c r="AJ140"/>
      <c r="BG140"/>
      <c r="BH140"/>
      <c r="BJ140"/>
      <c r="BK140"/>
      <c r="BM140"/>
      <c r="BO140"/>
      <c r="BP140"/>
      <c r="BQ140"/>
    </row>
    <row r="141" spans="3:69">
      <c r="C141"/>
      <c r="E141"/>
      <c r="F141"/>
      <c r="M141"/>
      <c r="Z141"/>
      <c r="AI141"/>
      <c r="AJ141"/>
      <c r="BG141"/>
      <c r="BH141"/>
      <c r="BJ141"/>
      <c r="BK141"/>
      <c r="BM141"/>
      <c r="BO141"/>
      <c r="BP141"/>
      <c r="BQ141"/>
    </row>
    <row r="142" spans="3:69">
      <c r="C142"/>
      <c r="E142"/>
      <c r="F142"/>
      <c r="M142"/>
      <c r="Z142"/>
      <c r="AI142"/>
      <c r="AJ142"/>
      <c r="BG142"/>
      <c r="BH142"/>
      <c r="BJ142"/>
      <c r="BK142"/>
      <c r="BM142"/>
      <c r="BO142"/>
      <c r="BP142"/>
      <c r="BQ142"/>
    </row>
    <row r="143" spans="3:69">
      <c r="C143"/>
      <c r="E143"/>
      <c r="F143"/>
      <c r="M143"/>
      <c r="Z143"/>
      <c r="AI143"/>
      <c r="AJ143"/>
      <c r="BG143"/>
      <c r="BH143"/>
      <c r="BJ143"/>
      <c r="BK143"/>
      <c r="BM143"/>
      <c r="BO143"/>
      <c r="BP143"/>
      <c r="BQ143"/>
    </row>
    <row r="144" spans="3:69">
      <c r="C144"/>
      <c r="E144"/>
      <c r="F144"/>
      <c r="M144"/>
      <c r="Z144"/>
      <c r="AI144"/>
      <c r="AJ144"/>
      <c r="BG144"/>
      <c r="BH144"/>
      <c r="BJ144"/>
      <c r="BK144"/>
      <c r="BM144"/>
      <c r="BO144"/>
      <c r="BP144"/>
      <c r="BQ144"/>
    </row>
    <row r="145" spans="3:69">
      <c r="C145"/>
      <c r="E145"/>
      <c r="F145"/>
      <c r="M145"/>
      <c r="Z145"/>
      <c r="AI145"/>
      <c r="AJ145"/>
      <c r="BG145"/>
      <c r="BH145"/>
      <c r="BJ145"/>
      <c r="BK145"/>
      <c r="BM145"/>
      <c r="BO145"/>
      <c r="BP145"/>
      <c r="BQ145"/>
    </row>
    <row r="146" spans="3:69">
      <c r="C146"/>
      <c r="E146"/>
      <c r="F146"/>
      <c r="M146"/>
      <c r="Z146"/>
      <c r="AI146"/>
      <c r="AJ146"/>
      <c r="BG146"/>
      <c r="BH146"/>
      <c r="BJ146"/>
      <c r="BK146"/>
      <c r="BM146"/>
      <c r="BO146"/>
      <c r="BP146"/>
      <c r="BQ146"/>
    </row>
    <row r="147" spans="3:69">
      <c r="C147"/>
      <c r="E147"/>
      <c r="F147"/>
      <c r="M147"/>
      <c r="Z147"/>
      <c r="AI147"/>
      <c r="AJ147"/>
      <c r="BG147"/>
      <c r="BH147"/>
      <c r="BJ147"/>
      <c r="BK147"/>
      <c r="BM147"/>
      <c r="BO147"/>
      <c r="BP147"/>
      <c r="BQ147"/>
    </row>
    <row r="148" spans="3:69">
      <c r="C148"/>
      <c r="E148"/>
      <c r="F148"/>
      <c r="M148"/>
      <c r="Z148"/>
      <c r="AI148"/>
      <c r="AJ148"/>
      <c r="BG148"/>
      <c r="BH148"/>
      <c r="BJ148"/>
      <c r="BK148"/>
      <c r="BM148"/>
      <c r="BO148"/>
      <c r="BP148"/>
      <c r="BQ148"/>
    </row>
    <row r="149" spans="3:69">
      <c r="C149"/>
      <c r="E149"/>
      <c r="F149"/>
      <c r="M149"/>
      <c r="Z149"/>
      <c r="AI149"/>
      <c r="AJ149"/>
      <c r="BG149"/>
      <c r="BH149"/>
      <c r="BJ149"/>
      <c r="BK149"/>
      <c r="BM149"/>
      <c r="BO149"/>
      <c r="BP149"/>
      <c r="BQ149"/>
    </row>
    <row r="150" spans="3:69">
      <c r="C150"/>
      <c r="E150"/>
      <c r="F150"/>
      <c r="M150"/>
      <c r="Z150"/>
      <c r="AI150"/>
      <c r="AJ150"/>
      <c r="BG150"/>
      <c r="BH150"/>
      <c r="BJ150"/>
      <c r="BK150"/>
      <c r="BM150"/>
      <c r="BO150"/>
      <c r="BP150"/>
      <c r="BQ150"/>
    </row>
    <row r="151" spans="3:69">
      <c r="C151"/>
      <c r="E151"/>
      <c r="F151"/>
      <c r="M151"/>
      <c r="Z151"/>
      <c r="AI151"/>
      <c r="AJ151"/>
      <c r="BG151"/>
      <c r="BH151"/>
      <c r="BJ151"/>
      <c r="BK151"/>
      <c r="BM151"/>
      <c r="BO151"/>
      <c r="BP151"/>
      <c r="BQ151"/>
    </row>
    <row r="152" spans="3:69">
      <c r="C152"/>
      <c r="E152"/>
      <c r="F152"/>
      <c r="M152"/>
      <c r="Z152"/>
      <c r="AI152"/>
      <c r="AJ152"/>
      <c r="BG152"/>
      <c r="BH152"/>
      <c r="BJ152"/>
      <c r="BK152"/>
      <c r="BM152"/>
      <c r="BO152"/>
      <c r="BP152"/>
      <c r="BQ152"/>
    </row>
    <row r="153" spans="3:69">
      <c r="C153"/>
      <c r="E153"/>
      <c r="F153"/>
      <c r="M153"/>
      <c r="Z153"/>
      <c r="AI153"/>
      <c r="AJ153"/>
      <c r="BG153"/>
      <c r="BH153"/>
      <c r="BJ153"/>
      <c r="BK153"/>
      <c r="BM153"/>
      <c r="BO153"/>
      <c r="BP153"/>
      <c r="BQ153"/>
    </row>
    <row r="154" spans="3:69">
      <c r="C154"/>
      <c r="E154"/>
      <c r="F154"/>
      <c r="M154"/>
      <c r="Z154"/>
      <c r="AI154"/>
      <c r="AJ154"/>
      <c r="BG154"/>
      <c r="BH154"/>
      <c r="BJ154"/>
      <c r="BK154"/>
      <c r="BM154"/>
      <c r="BO154"/>
      <c r="BP154"/>
      <c r="BQ154"/>
    </row>
    <row r="155" spans="3:69">
      <c r="C155"/>
      <c r="E155"/>
      <c r="F155"/>
      <c r="M155"/>
      <c r="Z155"/>
      <c r="AI155"/>
      <c r="AJ155"/>
      <c r="BG155"/>
      <c r="BH155"/>
      <c r="BJ155"/>
      <c r="BK155"/>
      <c r="BM155"/>
      <c r="BO155"/>
      <c r="BP155"/>
      <c r="BQ155"/>
    </row>
    <row r="156" spans="3:69">
      <c r="C156"/>
      <c r="E156"/>
      <c r="F156"/>
      <c r="M156"/>
      <c r="Z156"/>
      <c r="AI156"/>
      <c r="AJ156"/>
      <c r="BG156"/>
      <c r="BH156"/>
      <c r="BJ156"/>
      <c r="BK156"/>
      <c r="BM156"/>
      <c r="BO156"/>
      <c r="BP156"/>
      <c r="BQ156"/>
    </row>
    <row r="157" spans="3:69">
      <c r="C157"/>
      <c r="E157"/>
      <c r="F157"/>
      <c r="M157"/>
      <c r="Z157"/>
      <c r="AI157"/>
      <c r="AJ157"/>
      <c r="BG157"/>
      <c r="BH157"/>
      <c r="BJ157"/>
      <c r="BK157"/>
      <c r="BM157"/>
      <c r="BO157"/>
      <c r="BP157"/>
      <c r="BQ157"/>
    </row>
    <row r="158" spans="3:69">
      <c r="C158"/>
      <c r="E158"/>
      <c r="F158"/>
      <c r="M158"/>
      <c r="Z158"/>
      <c r="AI158"/>
      <c r="AJ158"/>
      <c r="BG158"/>
      <c r="BH158"/>
      <c r="BJ158"/>
      <c r="BK158"/>
      <c r="BM158"/>
      <c r="BO158"/>
      <c r="BP158"/>
      <c r="BQ158"/>
    </row>
    <row r="159" spans="3:69">
      <c r="C159"/>
      <c r="E159"/>
      <c r="F159"/>
      <c r="M159"/>
      <c r="Z159"/>
      <c r="AI159"/>
      <c r="AJ159"/>
      <c r="BG159"/>
      <c r="BH159"/>
      <c r="BJ159"/>
      <c r="BK159"/>
      <c r="BM159"/>
      <c r="BO159"/>
      <c r="BP159"/>
      <c r="BQ159"/>
    </row>
    <row r="160" spans="3:69">
      <c r="C160"/>
      <c r="E160"/>
      <c r="F160"/>
      <c r="M160"/>
      <c r="Z160"/>
      <c r="AI160"/>
      <c r="AJ160"/>
      <c r="BG160"/>
      <c r="BH160"/>
      <c r="BJ160"/>
      <c r="BK160"/>
      <c r="BM160"/>
      <c r="BO160"/>
      <c r="BP160"/>
      <c r="BQ160"/>
    </row>
    <row r="161" spans="3:69">
      <c r="C161"/>
      <c r="E161"/>
      <c r="F161"/>
      <c r="M161"/>
      <c r="Z161"/>
      <c r="AI161"/>
      <c r="AJ161"/>
      <c r="BG161"/>
      <c r="BH161"/>
      <c r="BJ161"/>
      <c r="BK161"/>
      <c r="BM161"/>
      <c r="BO161"/>
      <c r="BP161"/>
      <c r="BQ161"/>
    </row>
    <row r="162" spans="3:69">
      <c r="C162"/>
      <c r="E162"/>
      <c r="F162"/>
      <c r="M162"/>
      <c r="Z162"/>
      <c r="AI162"/>
      <c r="AJ162"/>
      <c r="BG162"/>
      <c r="BH162"/>
      <c r="BJ162"/>
      <c r="BK162"/>
      <c r="BM162"/>
      <c r="BO162"/>
      <c r="BP162"/>
      <c r="BQ162"/>
    </row>
    <row r="163" spans="3:69">
      <c r="C163"/>
      <c r="E163"/>
      <c r="F163"/>
      <c r="M163"/>
      <c r="Z163"/>
      <c r="AI163"/>
      <c r="AJ163"/>
      <c r="BG163"/>
      <c r="BH163"/>
      <c r="BJ163"/>
      <c r="BK163"/>
      <c r="BM163"/>
      <c r="BO163"/>
      <c r="BP163"/>
      <c r="BQ163"/>
    </row>
    <row r="164" spans="3:69">
      <c r="C164"/>
      <c r="E164"/>
      <c r="F164"/>
      <c r="M164"/>
      <c r="Z164"/>
      <c r="AI164"/>
      <c r="AJ164"/>
      <c r="BG164"/>
      <c r="BH164"/>
      <c r="BJ164"/>
      <c r="BK164"/>
      <c r="BM164"/>
      <c r="BO164"/>
      <c r="BP164"/>
      <c r="BQ164"/>
    </row>
    <row r="165" spans="3:69">
      <c r="C165"/>
      <c r="E165"/>
      <c r="F165"/>
      <c r="M165"/>
      <c r="Z165"/>
      <c r="AI165"/>
      <c r="AJ165"/>
      <c r="BG165"/>
      <c r="BH165"/>
      <c r="BJ165"/>
      <c r="BK165"/>
      <c r="BM165"/>
      <c r="BO165"/>
      <c r="BP165"/>
      <c r="BQ165"/>
    </row>
    <row r="166" spans="3:69">
      <c r="C166"/>
      <c r="E166"/>
      <c r="F166"/>
      <c r="M166"/>
      <c r="Z166"/>
      <c r="AI166"/>
      <c r="AJ166"/>
      <c r="BG166"/>
      <c r="BH166"/>
      <c r="BJ166"/>
      <c r="BK166"/>
      <c r="BM166"/>
      <c r="BO166"/>
      <c r="BP166"/>
      <c r="BQ166"/>
    </row>
    <row r="167" spans="3:69">
      <c r="C167"/>
      <c r="E167"/>
      <c r="F167"/>
      <c r="M167"/>
      <c r="Z167"/>
      <c r="AI167"/>
      <c r="AJ167"/>
      <c r="BG167"/>
      <c r="BH167"/>
      <c r="BJ167"/>
      <c r="BK167"/>
      <c r="BM167"/>
      <c r="BO167"/>
      <c r="BP167"/>
      <c r="BQ167"/>
    </row>
    <row r="168" spans="3:69">
      <c r="C168"/>
      <c r="E168"/>
      <c r="F168"/>
      <c r="M168"/>
      <c r="Z168"/>
      <c r="AI168"/>
      <c r="AJ168"/>
      <c r="BG168"/>
      <c r="BH168"/>
      <c r="BJ168"/>
      <c r="BK168"/>
      <c r="BM168"/>
      <c r="BO168"/>
      <c r="BP168"/>
      <c r="BQ168"/>
    </row>
    <row r="169" spans="3:69">
      <c r="C169"/>
      <c r="E169"/>
      <c r="F169"/>
      <c r="M169"/>
      <c r="Z169"/>
      <c r="AI169"/>
      <c r="AJ169"/>
      <c r="BG169"/>
      <c r="BH169"/>
      <c r="BJ169"/>
      <c r="BK169"/>
      <c r="BM169"/>
      <c r="BO169"/>
      <c r="BP169"/>
      <c r="BQ169"/>
    </row>
    <row r="170" spans="3:69">
      <c r="C170"/>
      <c r="E170"/>
      <c r="F170"/>
      <c r="M170"/>
      <c r="Z170"/>
      <c r="AI170"/>
      <c r="AJ170"/>
      <c r="BG170"/>
      <c r="BH170"/>
      <c r="BJ170"/>
      <c r="BK170"/>
      <c r="BM170"/>
      <c r="BO170"/>
      <c r="BP170"/>
      <c r="BQ170"/>
    </row>
    <row r="171" spans="3:69">
      <c r="C171"/>
      <c r="E171"/>
      <c r="F171"/>
      <c r="M171"/>
      <c r="Z171"/>
      <c r="AI171"/>
      <c r="AJ171"/>
      <c r="BG171"/>
      <c r="BH171"/>
      <c r="BJ171"/>
      <c r="BK171"/>
      <c r="BM171"/>
      <c r="BO171"/>
      <c r="BP171"/>
      <c r="BQ171"/>
    </row>
    <row r="172" spans="3:69">
      <c r="C172"/>
      <c r="E172"/>
      <c r="F172"/>
      <c r="M172"/>
      <c r="Z172"/>
      <c r="AI172"/>
      <c r="AJ172"/>
      <c r="BG172"/>
      <c r="BH172"/>
      <c r="BJ172"/>
      <c r="BK172"/>
      <c r="BM172"/>
      <c r="BO172"/>
      <c r="BP172"/>
      <c r="BQ172"/>
    </row>
    <row r="173" spans="3:69">
      <c r="C173"/>
      <c r="E173"/>
      <c r="F173"/>
      <c r="M173"/>
      <c r="Z173"/>
      <c r="AI173"/>
      <c r="AJ173"/>
      <c r="BG173"/>
      <c r="BH173"/>
      <c r="BJ173"/>
      <c r="BK173"/>
      <c r="BM173"/>
      <c r="BO173"/>
      <c r="BP173"/>
      <c r="BQ173"/>
    </row>
    <row r="174" spans="3:69">
      <c r="C174"/>
      <c r="E174"/>
      <c r="F174"/>
      <c r="M174"/>
      <c r="Z174"/>
      <c r="AI174"/>
      <c r="AJ174"/>
      <c r="BG174"/>
      <c r="BH174"/>
      <c r="BJ174"/>
      <c r="BK174"/>
      <c r="BM174"/>
      <c r="BO174"/>
      <c r="BP174"/>
      <c r="BQ174"/>
    </row>
    <row r="175" spans="3:69">
      <c r="C175"/>
      <c r="E175"/>
      <c r="F175"/>
      <c r="M175"/>
      <c r="Z175"/>
      <c r="AI175"/>
      <c r="AJ175"/>
      <c r="BG175"/>
      <c r="BH175"/>
      <c r="BJ175"/>
      <c r="BK175"/>
      <c r="BM175"/>
      <c r="BO175"/>
      <c r="BP175"/>
      <c r="BQ175"/>
    </row>
    <row r="176" spans="3:69">
      <c r="C176"/>
      <c r="E176"/>
      <c r="F176"/>
      <c r="M176"/>
      <c r="Z176"/>
      <c r="AI176"/>
      <c r="AJ176"/>
      <c r="BG176"/>
      <c r="BH176"/>
      <c r="BJ176"/>
      <c r="BK176"/>
      <c r="BM176"/>
      <c r="BO176"/>
      <c r="BP176"/>
      <c r="BQ176"/>
    </row>
    <row r="177" spans="3:69">
      <c r="C177"/>
      <c r="E177"/>
      <c r="F177"/>
      <c r="M177"/>
      <c r="Z177"/>
      <c r="AI177"/>
      <c r="AJ177"/>
      <c r="BG177"/>
      <c r="BH177"/>
      <c r="BJ177"/>
      <c r="BK177"/>
      <c r="BM177"/>
      <c r="BO177"/>
      <c r="BP177"/>
      <c r="BQ177"/>
    </row>
    <row r="178" spans="3:69">
      <c r="C178"/>
      <c r="E178"/>
      <c r="F178"/>
      <c r="M178"/>
      <c r="Z178"/>
      <c r="AI178"/>
      <c r="AJ178"/>
      <c r="BG178"/>
      <c r="BH178"/>
      <c r="BJ178"/>
      <c r="BK178"/>
      <c r="BM178"/>
      <c r="BO178"/>
      <c r="BP178"/>
      <c r="BQ178"/>
    </row>
    <row r="179" spans="3:69">
      <c r="C179"/>
      <c r="E179"/>
      <c r="F179"/>
      <c r="M179"/>
      <c r="Z179"/>
      <c r="AI179"/>
      <c r="AJ179"/>
      <c r="BG179"/>
      <c r="BH179"/>
      <c r="BJ179"/>
      <c r="BK179"/>
      <c r="BM179"/>
      <c r="BO179"/>
      <c r="BP179"/>
      <c r="BQ179"/>
    </row>
    <row r="180" spans="3:69">
      <c r="C180"/>
      <c r="E180"/>
      <c r="F180"/>
      <c r="M180"/>
      <c r="Z180"/>
      <c r="AI180"/>
      <c r="AJ180"/>
      <c r="BG180"/>
      <c r="BH180"/>
      <c r="BJ180"/>
      <c r="BK180"/>
      <c r="BM180"/>
      <c r="BO180"/>
      <c r="BP180"/>
      <c r="BQ180"/>
    </row>
    <row r="181" spans="3:69">
      <c r="C181"/>
      <c r="E181"/>
      <c r="F181"/>
      <c r="M181"/>
      <c r="Z181"/>
      <c r="AI181"/>
      <c r="AJ181"/>
      <c r="BG181"/>
      <c r="BH181"/>
      <c r="BJ181"/>
      <c r="BK181"/>
      <c r="BM181"/>
      <c r="BO181"/>
      <c r="BP181"/>
      <c r="BQ181"/>
    </row>
    <row r="182" spans="3:69">
      <c r="C182"/>
      <c r="E182"/>
      <c r="F182"/>
      <c r="M182"/>
      <c r="Z182"/>
      <c r="AI182"/>
      <c r="AJ182"/>
      <c r="BG182"/>
      <c r="BH182"/>
      <c r="BJ182"/>
      <c r="BK182"/>
      <c r="BM182"/>
      <c r="BO182"/>
      <c r="BP182"/>
      <c r="BQ182"/>
    </row>
    <row r="183" spans="3:69">
      <c r="C183"/>
      <c r="E183"/>
      <c r="F183"/>
      <c r="M183"/>
      <c r="Z183"/>
      <c r="AI183"/>
      <c r="AJ183"/>
      <c r="BG183"/>
      <c r="BH183"/>
      <c r="BJ183"/>
      <c r="BK183"/>
      <c r="BM183"/>
      <c r="BO183"/>
      <c r="BP183"/>
      <c r="BQ183"/>
    </row>
    <row r="184" spans="3:69">
      <c r="C184"/>
      <c r="E184"/>
      <c r="F184"/>
      <c r="M184"/>
      <c r="Z184"/>
      <c r="AI184"/>
      <c r="AJ184"/>
      <c r="BG184"/>
      <c r="BH184"/>
      <c r="BJ184"/>
      <c r="BK184"/>
      <c r="BM184"/>
      <c r="BO184"/>
      <c r="BP184"/>
      <c r="BQ184"/>
    </row>
    <row r="185" spans="3:69">
      <c r="C185"/>
      <c r="E185"/>
      <c r="F185"/>
      <c r="M185"/>
      <c r="Z185"/>
      <c r="AI185"/>
      <c r="AJ185"/>
      <c r="BG185"/>
      <c r="BH185"/>
      <c r="BJ185"/>
      <c r="BK185"/>
      <c r="BM185"/>
      <c r="BO185"/>
      <c r="BP185"/>
      <c r="BQ185"/>
    </row>
    <row r="186" spans="3:69">
      <c r="C186"/>
      <c r="E186"/>
      <c r="F186"/>
      <c r="M186"/>
      <c r="Z186"/>
      <c r="AI186"/>
      <c r="AJ186"/>
      <c r="BG186"/>
      <c r="BH186"/>
      <c r="BJ186"/>
      <c r="BK186"/>
      <c r="BM186"/>
      <c r="BO186"/>
      <c r="BP186"/>
      <c r="BQ186"/>
    </row>
    <row r="187" spans="3:69">
      <c r="C187"/>
      <c r="E187"/>
      <c r="F187"/>
      <c r="M187"/>
      <c r="Z187"/>
      <c r="AI187"/>
      <c r="AJ187"/>
      <c r="BG187"/>
      <c r="BH187"/>
      <c r="BJ187"/>
      <c r="BK187"/>
      <c r="BM187"/>
      <c r="BO187"/>
      <c r="BP187"/>
      <c r="BQ187"/>
    </row>
    <row r="188" spans="3:69">
      <c r="C188"/>
      <c r="E188"/>
      <c r="F188"/>
      <c r="M188"/>
      <c r="Z188"/>
      <c r="AI188"/>
      <c r="AJ188"/>
      <c r="BG188"/>
      <c r="BH188"/>
      <c r="BJ188"/>
      <c r="BK188"/>
      <c r="BM188"/>
      <c r="BO188"/>
      <c r="BP188"/>
      <c r="BQ188"/>
    </row>
    <row r="189" spans="3:69">
      <c r="C189"/>
      <c r="E189"/>
      <c r="F189"/>
      <c r="M189"/>
      <c r="Z189"/>
      <c r="AI189"/>
      <c r="AJ189"/>
      <c r="BG189"/>
      <c r="BH189"/>
      <c r="BJ189"/>
      <c r="BK189"/>
      <c r="BM189"/>
      <c r="BO189"/>
      <c r="BP189"/>
      <c r="BQ189"/>
    </row>
    <row r="190" spans="3:69">
      <c r="C190"/>
      <c r="E190"/>
      <c r="F190"/>
      <c r="M190"/>
      <c r="Z190"/>
      <c r="AI190"/>
      <c r="AJ190"/>
      <c r="BG190"/>
      <c r="BH190"/>
      <c r="BJ190"/>
      <c r="BK190"/>
      <c r="BM190"/>
      <c r="BO190"/>
      <c r="BP190"/>
      <c r="BQ190"/>
    </row>
    <row r="191" spans="3:69">
      <c r="C191"/>
      <c r="E191"/>
      <c r="F191"/>
      <c r="M191"/>
      <c r="Z191"/>
      <c r="AI191"/>
      <c r="AJ191"/>
      <c r="BG191"/>
      <c r="BH191"/>
      <c r="BJ191"/>
      <c r="BK191"/>
      <c r="BM191"/>
      <c r="BO191"/>
      <c r="BP191"/>
      <c r="BQ191"/>
    </row>
    <row r="192" spans="3:69">
      <c r="C192"/>
      <c r="E192"/>
      <c r="F192"/>
      <c r="M192"/>
      <c r="Z192"/>
      <c r="AI192"/>
      <c r="AJ192"/>
      <c r="BG192"/>
      <c r="BH192"/>
      <c r="BJ192"/>
      <c r="BK192"/>
      <c r="BM192"/>
      <c r="BO192"/>
      <c r="BP192"/>
      <c r="BQ192"/>
    </row>
    <row r="193" spans="3:69">
      <c r="C193"/>
      <c r="E193"/>
      <c r="F193"/>
      <c r="M193"/>
      <c r="Z193"/>
      <c r="AI193"/>
      <c r="AJ193"/>
      <c r="BG193"/>
      <c r="BH193"/>
      <c r="BJ193"/>
      <c r="BK193"/>
      <c r="BM193"/>
      <c r="BO193"/>
      <c r="BP193"/>
      <c r="BQ193"/>
    </row>
    <row r="194" spans="3:69">
      <c r="C194"/>
      <c r="E194"/>
      <c r="F194"/>
      <c r="M194"/>
      <c r="Z194"/>
      <c r="AI194"/>
      <c r="AJ194"/>
      <c r="BG194"/>
      <c r="BH194"/>
      <c r="BJ194"/>
      <c r="BK194"/>
      <c r="BM194"/>
      <c r="BO194"/>
      <c r="BP194"/>
      <c r="BQ194"/>
    </row>
    <row r="195" spans="3:69">
      <c r="C195"/>
      <c r="E195"/>
      <c r="F195"/>
      <c r="M195"/>
      <c r="Z195"/>
      <c r="AI195"/>
      <c r="AJ195"/>
      <c r="BG195"/>
      <c r="BH195"/>
      <c r="BJ195"/>
      <c r="BK195"/>
      <c r="BM195"/>
      <c r="BO195"/>
      <c r="BP195"/>
      <c r="BQ195"/>
    </row>
    <row r="196" spans="3:69">
      <c r="C196"/>
      <c r="E196"/>
      <c r="F196"/>
      <c r="M196"/>
      <c r="Z196"/>
      <c r="AI196"/>
      <c r="AJ196"/>
      <c r="BG196"/>
      <c r="BH196"/>
      <c r="BJ196"/>
      <c r="BK196"/>
      <c r="BM196"/>
      <c r="BO196"/>
      <c r="BP196"/>
      <c r="BQ196"/>
    </row>
    <row r="197" spans="3:69">
      <c r="C197"/>
      <c r="E197"/>
      <c r="F197"/>
      <c r="M197"/>
      <c r="Z197"/>
      <c r="AI197"/>
      <c r="AJ197"/>
      <c r="BG197"/>
      <c r="BH197"/>
      <c r="BJ197"/>
      <c r="BK197"/>
      <c r="BM197"/>
      <c r="BO197"/>
      <c r="BP197"/>
      <c r="BQ197"/>
    </row>
    <row r="198" spans="3:69">
      <c r="C198"/>
      <c r="E198"/>
      <c r="F198"/>
      <c r="M198"/>
      <c r="Z198"/>
      <c r="AI198"/>
      <c r="AJ198"/>
      <c r="BG198"/>
      <c r="BH198"/>
      <c r="BJ198"/>
      <c r="BK198"/>
      <c r="BM198"/>
      <c r="BO198"/>
      <c r="BP198"/>
      <c r="BQ198"/>
    </row>
    <row r="199" spans="3:69">
      <c r="C199"/>
      <c r="E199"/>
      <c r="F199"/>
      <c r="M199"/>
      <c r="Z199"/>
      <c r="AI199"/>
      <c r="AJ199"/>
      <c r="BG199"/>
      <c r="BH199"/>
      <c r="BJ199"/>
      <c r="BK199"/>
      <c r="BM199"/>
      <c r="BO199"/>
      <c r="BP199"/>
      <c r="BQ199"/>
    </row>
    <row r="200" spans="3:69">
      <c r="C200"/>
      <c r="E200"/>
      <c r="F200"/>
      <c r="M200"/>
      <c r="Z200"/>
      <c r="AI200"/>
      <c r="AJ200"/>
      <c r="BG200"/>
      <c r="BH200"/>
      <c r="BJ200"/>
      <c r="BK200"/>
      <c r="BM200"/>
      <c r="BO200"/>
      <c r="BP200"/>
      <c r="BQ200"/>
    </row>
    <row r="201" spans="3:69">
      <c r="C201"/>
      <c r="E201"/>
      <c r="F201"/>
      <c r="M201"/>
      <c r="Z201"/>
      <c r="AI201"/>
      <c r="AJ201"/>
      <c r="BG201"/>
      <c r="BH201"/>
      <c r="BJ201"/>
      <c r="BK201"/>
      <c r="BM201"/>
      <c r="BO201"/>
      <c r="BP201"/>
      <c r="BQ201"/>
    </row>
    <row r="202" spans="3:69">
      <c r="C202"/>
      <c r="E202"/>
      <c r="F202"/>
      <c r="M202"/>
      <c r="Z202"/>
      <c r="AI202"/>
      <c r="AJ202"/>
      <c r="BG202"/>
      <c r="BH202"/>
      <c r="BJ202"/>
      <c r="BK202"/>
      <c r="BM202"/>
      <c r="BO202"/>
      <c r="BP202"/>
      <c r="BQ202"/>
    </row>
    <row r="203" spans="3:69">
      <c r="C203"/>
      <c r="E203"/>
      <c r="F203"/>
      <c r="M203"/>
      <c r="Z203"/>
      <c r="AI203"/>
      <c r="AJ203"/>
      <c r="BG203"/>
      <c r="BH203"/>
      <c r="BJ203"/>
      <c r="BK203"/>
      <c r="BM203"/>
      <c r="BO203"/>
      <c r="BP203"/>
      <c r="BQ203"/>
    </row>
    <row r="204" spans="3:69">
      <c r="C204"/>
      <c r="E204"/>
      <c r="F204"/>
      <c r="M204"/>
      <c r="Z204"/>
      <c r="AI204"/>
      <c r="AJ204"/>
      <c r="BG204"/>
      <c r="BH204"/>
      <c r="BJ204"/>
      <c r="BK204"/>
      <c r="BM204"/>
      <c r="BO204"/>
      <c r="BP204"/>
      <c r="BQ204"/>
    </row>
    <row r="205" spans="3:69">
      <c r="C205"/>
      <c r="E205"/>
      <c r="F205"/>
      <c r="M205"/>
      <c r="Z205"/>
      <c r="AI205"/>
      <c r="AJ205"/>
      <c r="BG205"/>
      <c r="BH205"/>
      <c r="BJ205"/>
      <c r="BK205"/>
      <c r="BM205"/>
      <c r="BO205"/>
      <c r="BP205"/>
      <c r="BQ205"/>
    </row>
    <row r="206" spans="3:69">
      <c r="C206"/>
      <c r="E206"/>
      <c r="F206"/>
      <c r="M206"/>
      <c r="Z206"/>
      <c r="AI206"/>
      <c r="AJ206"/>
      <c r="BG206"/>
      <c r="BH206"/>
      <c r="BJ206"/>
      <c r="BK206"/>
      <c r="BM206"/>
      <c r="BO206"/>
      <c r="BP206"/>
      <c r="BQ206"/>
    </row>
    <row r="207" spans="3:69">
      <c r="C207"/>
      <c r="E207"/>
      <c r="F207"/>
      <c r="M207"/>
      <c r="Z207"/>
      <c r="AI207"/>
      <c r="AJ207"/>
      <c r="BG207"/>
      <c r="BH207"/>
      <c r="BJ207"/>
      <c r="BK207"/>
      <c r="BM207"/>
      <c r="BO207"/>
      <c r="BP207"/>
      <c r="BQ207"/>
    </row>
    <row r="208" spans="3:69">
      <c r="C208"/>
      <c r="E208"/>
      <c r="F208"/>
      <c r="M208"/>
      <c r="Z208"/>
      <c r="AI208"/>
      <c r="AJ208"/>
      <c r="BG208"/>
      <c r="BH208"/>
      <c r="BJ208"/>
      <c r="BK208"/>
      <c r="BM208"/>
      <c r="BO208"/>
      <c r="BP208"/>
      <c r="BQ208"/>
    </row>
    <row r="209" spans="3:69">
      <c r="C209"/>
      <c r="E209"/>
      <c r="F209"/>
      <c r="M209"/>
      <c r="Z209"/>
      <c r="AI209"/>
      <c r="AJ209"/>
      <c r="BG209"/>
      <c r="BH209"/>
      <c r="BJ209"/>
      <c r="BK209"/>
      <c r="BM209"/>
      <c r="BO209"/>
      <c r="BP209"/>
      <c r="BQ209"/>
    </row>
    <row r="210" spans="3:69">
      <c r="C210"/>
      <c r="E210"/>
      <c r="F210"/>
      <c r="M210"/>
      <c r="Z210"/>
      <c r="AI210"/>
      <c r="AJ210"/>
      <c r="BG210"/>
      <c r="BH210"/>
      <c r="BJ210"/>
      <c r="BK210"/>
      <c r="BM210"/>
      <c r="BO210"/>
      <c r="BP210"/>
      <c r="BQ210"/>
    </row>
    <row r="211" spans="3:69">
      <c r="C211"/>
      <c r="E211"/>
      <c r="F211"/>
      <c r="M211"/>
      <c r="Z211"/>
      <c r="AI211"/>
      <c r="AJ211"/>
      <c r="BG211"/>
      <c r="BH211"/>
      <c r="BJ211"/>
      <c r="BK211"/>
      <c r="BM211"/>
      <c r="BO211"/>
      <c r="BP211"/>
      <c r="BQ211"/>
    </row>
    <row r="212" spans="3:69">
      <c r="C212"/>
      <c r="E212"/>
      <c r="F212"/>
      <c r="M212"/>
      <c r="Z212"/>
      <c r="AI212"/>
      <c r="AJ212"/>
      <c r="BG212"/>
      <c r="BH212"/>
      <c r="BJ212"/>
      <c r="BK212"/>
      <c r="BM212"/>
      <c r="BO212"/>
      <c r="BP212"/>
      <c r="BQ212"/>
    </row>
    <row r="213" spans="3:69">
      <c r="C213"/>
      <c r="E213"/>
      <c r="F213"/>
      <c r="M213"/>
      <c r="Z213"/>
      <c r="AI213"/>
      <c r="AJ213"/>
      <c r="BG213"/>
      <c r="BH213"/>
      <c r="BJ213"/>
      <c r="BK213"/>
      <c r="BM213"/>
      <c r="BO213"/>
      <c r="BP213"/>
      <c r="BQ213"/>
    </row>
    <row r="214" spans="3:69">
      <c r="C214"/>
      <c r="E214"/>
      <c r="F214"/>
      <c r="M214"/>
      <c r="Z214"/>
      <c r="AI214"/>
      <c r="AJ214"/>
      <c r="BG214"/>
      <c r="BH214"/>
      <c r="BJ214"/>
      <c r="BK214"/>
      <c r="BM214"/>
      <c r="BO214"/>
      <c r="BP214"/>
      <c r="BQ214"/>
    </row>
    <row r="215" spans="3:69">
      <c r="C215"/>
      <c r="E215"/>
      <c r="F215"/>
      <c r="M215"/>
      <c r="Z215"/>
      <c r="AI215"/>
      <c r="AJ215"/>
      <c r="BG215"/>
      <c r="BH215"/>
      <c r="BJ215"/>
      <c r="BK215"/>
      <c r="BM215"/>
      <c r="BO215"/>
      <c r="BP215"/>
      <c r="BQ215"/>
    </row>
    <row r="216" spans="3:69">
      <c r="C216"/>
      <c r="E216"/>
      <c r="F216"/>
      <c r="M216"/>
      <c r="Z216"/>
      <c r="AI216"/>
      <c r="AJ216"/>
      <c r="BG216"/>
      <c r="BH216"/>
      <c r="BJ216"/>
      <c r="BK216"/>
      <c r="BM216"/>
      <c r="BO216"/>
      <c r="BP216"/>
      <c r="BQ216"/>
    </row>
    <row r="217" spans="3:69">
      <c r="C217"/>
      <c r="E217"/>
      <c r="F217"/>
      <c r="M217"/>
      <c r="Z217"/>
      <c r="AI217"/>
      <c r="AJ217"/>
      <c r="BG217"/>
      <c r="BH217"/>
      <c r="BJ217"/>
      <c r="BK217"/>
      <c r="BM217"/>
      <c r="BO217"/>
      <c r="BP217"/>
      <c r="BQ217"/>
    </row>
    <row r="218" spans="3:69">
      <c r="C218"/>
      <c r="E218"/>
      <c r="F218"/>
      <c r="M218"/>
      <c r="Z218"/>
      <c r="AI218"/>
      <c r="AJ218"/>
      <c r="BG218"/>
      <c r="BH218"/>
      <c r="BJ218"/>
      <c r="BK218"/>
      <c r="BM218"/>
      <c r="BO218"/>
      <c r="BP218"/>
      <c r="BQ218"/>
    </row>
    <row r="219" spans="3:69">
      <c r="C219"/>
      <c r="E219"/>
      <c r="F219"/>
      <c r="M219"/>
      <c r="Z219"/>
      <c r="AI219"/>
      <c r="AJ219"/>
      <c r="BG219"/>
      <c r="BH219"/>
      <c r="BJ219"/>
      <c r="BK219"/>
      <c r="BM219"/>
      <c r="BO219"/>
      <c r="BP219"/>
      <c r="BQ219"/>
    </row>
    <row r="220" spans="3:69">
      <c r="C220"/>
      <c r="E220"/>
      <c r="F220"/>
      <c r="M220"/>
      <c r="Z220"/>
      <c r="AI220"/>
      <c r="AJ220"/>
      <c r="BG220"/>
      <c r="BH220"/>
      <c r="BJ220"/>
      <c r="BK220"/>
      <c r="BM220"/>
      <c r="BO220"/>
      <c r="BP220"/>
      <c r="BQ220"/>
    </row>
    <row r="221" spans="3:69">
      <c r="C221"/>
      <c r="E221"/>
      <c r="F221"/>
      <c r="M221"/>
      <c r="Z221"/>
      <c r="AI221"/>
      <c r="AJ221"/>
      <c r="BG221"/>
      <c r="BH221"/>
      <c r="BJ221"/>
      <c r="BK221"/>
      <c r="BM221"/>
      <c r="BO221"/>
      <c r="BP221"/>
      <c r="BQ221"/>
    </row>
    <row r="222" spans="3:69">
      <c r="C222"/>
      <c r="E222"/>
      <c r="F222"/>
      <c r="M222"/>
      <c r="Z222"/>
      <c r="AI222"/>
      <c r="AJ222"/>
      <c r="BG222"/>
      <c r="BH222"/>
      <c r="BJ222"/>
      <c r="BK222"/>
      <c r="BM222"/>
      <c r="BO222"/>
      <c r="BP222"/>
      <c r="BQ222"/>
    </row>
    <row r="223" spans="3:69">
      <c r="C223"/>
      <c r="E223"/>
      <c r="F223"/>
      <c r="M223"/>
      <c r="Z223"/>
      <c r="AI223"/>
      <c r="AJ223"/>
      <c r="BG223"/>
      <c r="BH223"/>
      <c r="BJ223"/>
      <c r="BK223"/>
      <c r="BM223"/>
      <c r="BO223"/>
      <c r="BP223"/>
      <c r="BQ223"/>
    </row>
    <row r="224" spans="3:69">
      <c r="C224"/>
      <c r="E224"/>
      <c r="F224"/>
      <c r="M224"/>
      <c r="Z224"/>
      <c r="AI224"/>
      <c r="AJ224"/>
      <c r="BG224"/>
      <c r="BH224"/>
      <c r="BJ224"/>
      <c r="BK224"/>
      <c r="BM224"/>
      <c r="BO224"/>
      <c r="BP224"/>
      <c r="BQ224"/>
    </row>
    <row r="225" spans="3:69">
      <c r="C225"/>
      <c r="E225"/>
      <c r="F225"/>
      <c r="M225"/>
      <c r="Z225"/>
      <c r="AI225"/>
      <c r="AJ225"/>
      <c r="BG225"/>
      <c r="BH225"/>
      <c r="BJ225"/>
      <c r="BK225"/>
      <c r="BM225"/>
      <c r="BO225"/>
      <c r="BP225"/>
      <c r="BQ225"/>
    </row>
    <row r="226" spans="3:69">
      <c r="C226"/>
      <c r="E226"/>
      <c r="F226"/>
      <c r="M226"/>
      <c r="Z226"/>
      <c r="AI226"/>
      <c r="AJ226"/>
      <c r="BG226"/>
      <c r="BH226"/>
      <c r="BJ226"/>
      <c r="BK226"/>
      <c r="BM226"/>
      <c r="BO226"/>
      <c r="BP226"/>
      <c r="BQ226"/>
    </row>
    <row r="227" spans="3:69">
      <c r="C227"/>
      <c r="E227"/>
      <c r="F227"/>
      <c r="M227"/>
      <c r="Z227"/>
      <c r="AI227"/>
      <c r="AJ227"/>
      <c r="BG227"/>
      <c r="BH227"/>
      <c r="BJ227"/>
      <c r="BK227"/>
      <c r="BM227"/>
      <c r="BO227"/>
      <c r="BP227"/>
      <c r="BQ227"/>
    </row>
    <row r="228" spans="3:69">
      <c r="C228"/>
      <c r="E228"/>
      <c r="F228"/>
      <c r="M228"/>
      <c r="Z228"/>
      <c r="AI228"/>
      <c r="AJ228"/>
      <c r="BG228"/>
      <c r="BH228"/>
      <c r="BJ228"/>
      <c r="BK228"/>
      <c r="BM228"/>
      <c r="BO228"/>
      <c r="BP228"/>
      <c r="BQ228"/>
    </row>
    <row r="229" spans="3:69">
      <c r="C229"/>
      <c r="E229"/>
      <c r="F229"/>
      <c r="M229"/>
      <c r="Z229"/>
      <c r="AI229"/>
      <c r="AJ229"/>
      <c r="BG229"/>
      <c r="BH229"/>
      <c r="BJ229"/>
      <c r="BK229"/>
      <c r="BM229"/>
      <c r="BO229"/>
      <c r="BP229"/>
      <c r="BQ229"/>
    </row>
    <row r="230" spans="3:69">
      <c r="C230"/>
      <c r="E230"/>
      <c r="F230"/>
      <c r="M230"/>
      <c r="Z230"/>
      <c r="AI230"/>
      <c r="AJ230"/>
      <c r="BG230"/>
      <c r="BH230"/>
      <c r="BJ230"/>
      <c r="BK230"/>
      <c r="BM230"/>
      <c r="BO230"/>
      <c r="BP230"/>
      <c r="BQ230"/>
    </row>
    <row r="231" spans="3:69">
      <c r="C231"/>
      <c r="E231"/>
      <c r="F231"/>
      <c r="M231"/>
      <c r="Z231"/>
      <c r="AI231"/>
      <c r="AJ231"/>
      <c r="BG231"/>
      <c r="BH231"/>
      <c r="BJ231"/>
      <c r="BK231"/>
      <c r="BM231"/>
      <c r="BO231"/>
      <c r="BP231"/>
      <c r="BQ231"/>
    </row>
    <row r="232" spans="3:69">
      <c r="C232"/>
      <c r="E232"/>
      <c r="F232"/>
      <c r="M232"/>
      <c r="Z232"/>
      <c r="AI232"/>
      <c r="AJ232"/>
      <c r="BG232"/>
      <c r="BH232"/>
      <c r="BJ232"/>
      <c r="BK232"/>
      <c r="BM232"/>
      <c r="BO232"/>
      <c r="BP232"/>
      <c r="BQ232"/>
    </row>
    <row r="233" spans="3:69">
      <c r="C233"/>
      <c r="E233"/>
      <c r="F233"/>
      <c r="M233"/>
      <c r="Z233"/>
      <c r="AI233"/>
      <c r="AJ233"/>
      <c r="BG233"/>
      <c r="BH233"/>
      <c r="BJ233"/>
      <c r="BK233"/>
      <c r="BM233"/>
      <c r="BO233"/>
      <c r="BP233"/>
      <c r="BQ233"/>
    </row>
    <row r="234" spans="3:69">
      <c r="C234"/>
      <c r="E234"/>
      <c r="F234"/>
      <c r="M234"/>
      <c r="Z234"/>
      <c r="AI234"/>
      <c r="AJ234"/>
      <c r="BG234"/>
      <c r="BH234"/>
      <c r="BJ234"/>
      <c r="BK234"/>
      <c r="BM234"/>
      <c r="BO234"/>
      <c r="BP234"/>
      <c r="BQ234"/>
    </row>
    <row r="235" spans="3:69">
      <c r="C235"/>
      <c r="E235"/>
      <c r="F235"/>
      <c r="M235"/>
      <c r="Z235"/>
      <c r="AI235"/>
      <c r="AJ235"/>
      <c r="BG235"/>
      <c r="BH235"/>
      <c r="BJ235"/>
      <c r="BK235"/>
      <c r="BM235"/>
      <c r="BO235"/>
      <c r="BP235"/>
      <c r="BQ235"/>
    </row>
    <row r="236" spans="3:69">
      <c r="C236"/>
      <c r="E236"/>
      <c r="F236"/>
      <c r="M236"/>
      <c r="Z236"/>
      <c r="AI236"/>
      <c r="AJ236"/>
      <c r="BG236"/>
      <c r="BH236"/>
      <c r="BJ236"/>
      <c r="BK236"/>
      <c r="BM236"/>
      <c r="BO236"/>
      <c r="BP236"/>
      <c r="BQ236"/>
    </row>
    <row r="237" spans="3:69">
      <c r="C237"/>
      <c r="E237"/>
      <c r="F237"/>
      <c r="M237"/>
      <c r="Z237"/>
      <c r="AI237"/>
      <c r="AJ237"/>
      <c r="BG237"/>
      <c r="BH237"/>
      <c r="BJ237"/>
      <c r="BK237"/>
      <c r="BM237"/>
      <c r="BO237"/>
      <c r="BP237"/>
      <c r="BQ237"/>
    </row>
    <row r="238" spans="3:69">
      <c r="C238"/>
      <c r="E238"/>
      <c r="F238"/>
      <c r="M238"/>
      <c r="Z238"/>
      <c r="AI238"/>
      <c r="AJ238"/>
      <c r="BG238"/>
      <c r="BH238"/>
      <c r="BJ238"/>
      <c r="BK238"/>
      <c r="BM238"/>
      <c r="BO238"/>
      <c r="BP238"/>
      <c r="BQ238"/>
    </row>
    <row r="239" spans="3:69">
      <c r="C239"/>
      <c r="E239"/>
      <c r="F239"/>
      <c r="M239"/>
      <c r="Z239"/>
      <c r="AI239"/>
      <c r="AJ239"/>
      <c r="BG239"/>
      <c r="BH239"/>
      <c r="BJ239"/>
      <c r="BK239"/>
      <c r="BM239"/>
      <c r="BO239"/>
      <c r="BP239"/>
      <c r="BQ239"/>
    </row>
    <row r="240" spans="3:69">
      <c r="C240"/>
      <c r="E240"/>
      <c r="F240"/>
      <c r="M240"/>
      <c r="Z240"/>
      <c r="AI240"/>
      <c r="AJ240"/>
      <c r="BG240"/>
      <c r="BH240"/>
      <c r="BJ240"/>
      <c r="BK240"/>
      <c r="BM240"/>
      <c r="BO240"/>
      <c r="BP240"/>
      <c r="BQ240"/>
    </row>
    <row r="241" spans="3:69">
      <c r="C241"/>
      <c r="E241"/>
      <c r="F241"/>
      <c r="M241"/>
      <c r="Z241"/>
      <c r="AI241"/>
      <c r="AJ241"/>
      <c r="BG241"/>
      <c r="BH241"/>
      <c r="BJ241"/>
      <c r="BK241"/>
      <c r="BM241"/>
      <c r="BO241"/>
      <c r="BP241"/>
      <c r="BQ241"/>
    </row>
    <row r="242" spans="3:69">
      <c r="C242"/>
      <c r="E242"/>
      <c r="F242"/>
      <c r="M242"/>
      <c r="Z242"/>
      <c r="AI242"/>
      <c r="AJ242"/>
      <c r="BG242"/>
      <c r="BH242"/>
      <c r="BJ242"/>
      <c r="BK242"/>
      <c r="BM242"/>
      <c r="BO242"/>
      <c r="BP242"/>
      <c r="BQ242"/>
    </row>
    <row r="243" spans="3:69">
      <c r="C243"/>
      <c r="E243"/>
      <c r="F243"/>
      <c r="M243"/>
      <c r="Z243"/>
      <c r="AI243"/>
      <c r="AJ243"/>
      <c r="BG243"/>
      <c r="BH243"/>
      <c r="BJ243"/>
      <c r="BK243"/>
      <c r="BM243"/>
      <c r="BO243"/>
      <c r="BP243"/>
      <c r="BQ243"/>
    </row>
    <row r="244" spans="3:69">
      <c r="C244"/>
      <c r="E244"/>
      <c r="F244"/>
      <c r="M244"/>
      <c r="Z244"/>
      <c r="AI244"/>
      <c r="AJ244"/>
      <c r="BG244"/>
      <c r="BH244"/>
      <c r="BJ244"/>
      <c r="BK244"/>
      <c r="BM244"/>
      <c r="BO244"/>
      <c r="BP244"/>
      <c r="BQ244"/>
    </row>
    <row r="245" spans="3:69">
      <c r="C245"/>
      <c r="E245"/>
      <c r="F245"/>
      <c r="M245"/>
      <c r="Z245"/>
      <c r="AI245"/>
      <c r="AJ245"/>
      <c r="BG245"/>
      <c r="BH245"/>
      <c r="BJ245"/>
      <c r="BK245"/>
      <c r="BM245"/>
      <c r="BO245"/>
      <c r="BP245"/>
      <c r="BQ245"/>
    </row>
    <row r="246" spans="3:69">
      <c r="C246"/>
      <c r="E246"/>
      <c r="F246"/>
      <c r="M246"/>
      <c r="Z246"/>
      <c r="AI246"/>
      <c r="AJ246"/>
      <c r="BG246"/>
      <c r="BH246"/>
      <c r="BJ246"/>
      <c r="BK246"/>
      <c r="BM246"/>
      <c r="BO246"/>
      <c r="BP246"/>
      <c r="BQ246"/>
    </row>
    <row r="247" spans="3:69">
      <c r="C247"/>
      <c r="E247"/>
      <c r="F247"/>
      <c r="M247"/>
      <c r="Z247"/>
      <c r="AI247"/>
      <c r="AJ247"/>
      <c r="BG247"/>
      <c r="BH247"/>
      <c r="BJ247"/>
      <c r="BK247"/>
      <c r="BM247"/>
      <c r="BO247"/>
      <c r="BP247"/>
      <c r="BQ247"/>
    </row>
    <row r="248" spans="3:69">
      <c r="C248"/>
      <c r="E248"/>
      <c r="F248"/>
      <c r="M248"/>
      <c r="Z248"/>
      <c r="AI248"/>
      <c r="AJ248"/>
      <c r="BG248"/>
      <c r="BH248"/>
      <c r="BJ248"/>
      <c r="BK248"/>
      <c r="BM248"/>
      <c r="BO248"/>
      <c r="BP248"/>
      <c r="BQ248"/>
    </row>
    <row r="249" spans="3:69">
      <c r="C249"/>
      <c r="E249"/>
      <c r="F249"/>
      <c r="M249"/>
      <c r="Z249"/>
      <c r="AI249"/>
      <c r="AJ249"/>
      <c r="BG249"/>
      <c r="BH249"/>
      <c r="BJ249"/>
      <c r="BK249"/>
      <c r="BM249"/>
      <c r="BO249"/>
      <c r="BP249"/>
      <c r="BQ249"/>
    </row>
    <row r="250" spans="3:69">
      <c r="C250"/>
      <c r="E250"/>
      <c r="F250"/>
      <c r="M250"/>
      <c r="Z250"/>
      <c r="AI250"/>
      <c r="AJ250"/>
      <c r="BG250"/>
      <c r="BH250"/>
      <c r="BJ250"/>
      <c r="BK250"/>
      <c r="BM250"/>
      <c r="BO250"/>
      <c r="BP250"/>
      <c r="BQ250"/>
    </row>
    <row r="251" spans="3:69">
      <c r="C251"/>
      <c r="E251"/>
      <c r="F251"/>
      <c r="M251"/>
      <c r="Z251"/>
      <c r="AI251"/>
      <c r="AJ251"/>
      <c r="BG251"/>
      <c r="BH251"/>
      <c r="BJ251"/>
      <c r="BK251"/>
      <c r="BM251"/>
      <c r="BO251"/>
      <c r="BP251"/>
      <c r="BQ251"/>
    </row>
    <row r="252" spans="3:69">
      <c r="C252"/>
      <c r="E252"/>
      <c r="F252"/>
      <c r="M252"/>
      <c r="Z252"/>
      <c r="AI252"/>
      <c r="AJ252"/>
      <c r="BG252"/>
      <c r="BH252"/>
      <c r="BJ252"/>
      <c r="BK252"/>
      <c r="BM252"/>
      <c r="BO252"/>
      <c r="BP252"/>
      <c r="BQ252"/>
    </row>
    <row r="253" spans="3:69">
      <c r="C253"/>
      <c r="E253"/>
      <c r="F253"/>
      <c r="M253"/>
      <c r="Z253"/>
      <c r="AI253"/>
      <c r="AJ253"/>
      <c r="BG253"/>
      <c r="BH253"/>
      <c r="BJ253"/>
      <c r="BK253"/>
      <c r="BM253"/>
      <c r="BO253"/>
      <c r="BP253"/>
      <c r="BQ253"/>
    </row>
    <row r="254" spans="3:69">
      <c r="C254"/>
      <c r="E254"/>
      <c r="F254"/>
      <c r="M254"/>
      <c r="Z254"/>
      <c r="AI254"/>
      <c r="AJ254"/>
      <c r="BG254"/>
      <c r="BH254"/>
      <c r="BJ254"/>
      <c r="BK254"/>
      <c r="BM254"/>
      <c r="BO254"/>
      <c r="BP254"/>
      <c r="BQ254"/>
    </row>
    <row r="255" spans="3:69">
      <c r="C255"/>
      <c r="E255"/>
      <c r="F255"/>
      <c r="M255"/>
      <c r="Z255"/>
      <c r="AI255"/>
      <c r="AJ255"/>
      <c r="BG255"/>
      <c r="BH255"/>
      <c r="BJ255"/>
      <c r="BK255"/>
      <c r="BM255"/>
      <c r="BO255"/>
      <c r="BP255"/>
      <c r="BQ255"/>
    </row>
    <row r="256" spans="3:69">
      <c r="C256"/>
      <c r="E256"/>
      <c r="F256"/>
      <c r="M256"/>
      <c r="Z256"/>
      <c r="AI256"/>
      <c r="AJ256"/>
      <c r="BG256"/>
      <c r="BH256"/>
      <c r="BJ256"/>
      <c r="BK256"/>
      <c r="BM256"/>
      <c r="BO256"/>
      <c r="BP256"/>
      <c r="BQ256"/>
    </row>
    <row r="257" spans="3:69">
      <c r="C257"/>
      <c r="E257"/>
      <c r="F257"/>
      <c r="M257"/>
      <c r="Z257"/>
      <c r="AI257"/>
      <c r="AJ257"/>
      <c r="BG257"/>
      <c r="BH257"/>
      <c r="BJ257"/>
      <c r="BK257"/>
      <c r="BM257"/>
      <c r="BO257"/>
      <c r="BP257"/>
      <c r="BQ257"/>
    </row>
    <row r="258" spans="3:69">
      <c r="C258"/>
      <c r="E258"/>
      <c r="F258"/>
      <c r="M258"/>
      <c r="Z258"/>
      <c r="AI258"/>
      <c r="AJ258"/>
      <c r="BG258"/>
      <c r="BH258"/>
      <c r="BJ258"/>
      <c r="BK258"/>
      <c r="BM258"/>
      <c r="BO258"/>
      <c r="BP258"/>
      <c r="BQ258"/>
    </row>
    <row r="259" spans="3:69">
      <c r="C259"/>
      <c r="E259"/>
      <c r="F259"/>
      <c r="M259"/>
      <c r="Z259"/>
      <c r="AI259"/>
      <c r="AJ259"/>
      <c r="BG259"/>
      <c r="BH259"/>
      <c r="BJ259"/>
      <c r="BK259"/>
      <c r="BM259"/>
      <c r="BO259"/>
      <c r="BP259"/>
      <c r="BQ259"/>
    </row>
    <row r="260" spans="3:69">
      <c r="C260"/>
      <c r="E260"/>
      <c r="F260"/>
      <c r="M260"/>
      <c r="Z260"/>
      <c r="AI260"/>
      <c r="AJ260"/>
      <c r="BG260"/>
      <c r="BH260"/>
      <c r="BJ260"/>
      <c r="BK260"/>
      <c r="BM260"/>
      <c r="BO260"/>
      <c r="BP260"/>
      <c r="BQ260"/>
    </row>
    <row r="261" spans="3:69">
      <c r="C261"/>
      <c r="E261"/>
      <c r="F261"/>
      <c r="M261"/>
      <c r="Z261"/>
      <c r="AI261"/>
      <c r="AJ261"/>
    </row>
    <row r="262" spans="3:69">
      <c r="C262"/>
      <c r="E262"/>
      <c r="F262"/>
      <c r="M262"/>
      <c r="Z262"/>
      <c r="AI262"/>
      <c r="AJ262"/>
    </row>
    <row r="263" spans="3:69">
      <c r="C263"/>
      <c r="E263"/>
      <c r="F263"/>
      <c r="M263"/>
      <c r="Z263"/>
      <c r="AI263"/>
      <c r="AJ263"/>
    </row>
    <row r="264" spans="3:69">
      <c r="C264"/>
      <c r="E264"/>
      <c r="F264"/>
      <c r="M264"/>
      <c r="Z264"/>
      <c r="AI264"/>
      <c r="AJ264"/>
    </row>
    <row r="265" spans="3:69">
      <c r="C265"/>
      <c r="E265"/>
      <c r="F265"/>
      <c r="M265"/>
      <c r="Z265"/>
      <c r="AI265"/>
      <c r="AJ265"/>
    </row>
    <row r="266" spans="3:69">
      <c r="C266"/>
      <c r="E266"/>
      <c r="F266"/>
      <c r="M266"/>
      <c r="Z266"/>
      <c r="AI266"/>
      <c r="AJ266"/>
    </row>
    <row r="267" spans="3:69">
      <c r="C267"/>
      <c r="E267"/>
      <c r="F267"/>
      <c r="M267"/>
      <c r="Z267"/>
      <c r="AI267"/>
      <c r="AJ267"/>
    </row>
    <row r="268" spans="3:69">
      <c r="C268"/>
      <c r="E268"/>
      <c r="F268"/>
      <c r="M268"/>
      <c r="Z268"/>
      <c r="AI268"/>
      <c r="AJ268"/>
    </row>
    <row r="269" spans="3:69">
      <c r="C269"/>
      <c r="E269"/>
      <c r="F269"/>
      <c r="M269"/>
      <c r="Z269"/>
      <c r="AI269"/>
      <c r="AJ269"/>
    </row>
    <row r="270" spans="3:69">
      <c r="C270"/>
      <c r="E270"/>
      <c r="F270"/>
      <c r="M270"/>
      <c r="Z270"/>
      <c r="AI270"/>
      <c r="AJ270"/>
    </row>
    <row r="271" spans="3:69">
      <c r="C271"/>
      <c r="E271"/>
      <c r="F271"/>
      <c r="M271"/>
      <c r="Z271"/>
      <c r="AI271"/>
      <c r="AJ271"/>
    </row>
    <row r="272" spans="3:69">
      <c r="C272"/>
      <c r="E272"/>
      <c r="F272"/>
      <c r="M272"/>
      <c r="Z272"/>
      <c r="AI272"/>
      <c r="AJ272"/>
    </row>
    <row r="273" spans="3:36">
      <c r="C273"/>
      <c r="E273"/>
      <c r="F273"/>
      <c r="M273"/>
      <c r="Z273"/>
      <c r="AI273"/>
      <c r="AJ273"/>
    </row>
    <row r="274" spans="3:36">
      <c r="C274"/>
      <c r="E274"/>
      <c r="F274"/>
      <c r="M274"/>
      <c r="Z274"/>
      <c r="AI274"/>
      <c r="AJ274"/>
    </row>
    <row r="275" spans="3:36">
      <c r="C275"/>
      <c r="E275"/>
      <c r="F275"/>
      <c r="M275"/>
      <c r="Z275"/>
      <c r="AI275"/>
      <c r="AJ275"/>
    </row>
    <row r="276" spans="3:36">
      <c r="C276"/>
      <c r="E276"/>
      <c r="F276"/>
      <c r="M276"/>
      <c r="Z276"/>
      <c r="AI276"/>
      <c r="AJ276"/>
    </row>
    <row r="277" spans="3:36">
      <c r="C277"/>
      <c r="E277"/>
      <c r="F277"/>
      <c r="M277"/>
      <c r="Z277"/>
      <c r="AI277"/>
      <c r="AJ277"/>
    </row>
    <row r="278" spans="3:36">
      <c r="C278"/>
      <c r="E278"/>
      <c r="F278"/>
      <c r="M278"/>
      <c r="Z278"/>
      <c r="AI278"/>
      <c r="AJ278"/>
    </row>
    <row r="279" spans="3:36">
      <c r="C279"/>
      <c r="E279"/>
      <c r="F279"/>
      <c r="M279"/>
      <c r="Z279"/>
      <c r="AI279"/>
      <c r="AJ279"/>
    </row>
    <row r="280" spans="3:36">
      <c r="C280"/>
      <c r="E280"/>
      <c r="F280"/>
      <c r="M280"/>
      <c r="Z280"/>
      <c r="AI280"/>
      <c r="AJ280"/>
    </row>
    <row r="281" spans="3:36">
      <c r="C281"/>
      <c r="E281"/>
      <c r="F281"/>
      <c r="M281"/>
      <c r="Z281"/>
      <c r="AI281"/>
      <c r="AJ281"/>
    </row>
    <row r="282" spans="3:36">
      <c r="C282"/>
      <c r="E282"/>
      <c r="F282"/>
      <c r="M282"/>
      <c r="Z282"/>
      <c r="AI282"/>
      <c r="AJ282"/>
    </row>
    <row r="283" spans="3:36">
      <c r="C283"/>
      <c r="E283"/>
      <c r="F283"/>
      <c r="M283"/>
      <c r="Z283"/>
      <c r="AI283"/>
      <c r="AJ283"/>
    </row>
    <row r="284" spans="3:36">
      <c r="C284"/>
      <c r="E284"/>
      <c r="F284"/>
      <c r="M284"/>
      <c r="Z284"/>
      <c r="AI284"/>
      <c r="AJ284"/>
    </row>
    <row r="285" spans="3:36">
      <c r="C285"/>
      <c r="E285"/>
      <c r="F285"/>
      <c r="M285"/>
      <c r="Z285"/>
      <c r="AI285"/>
      <c r="AJ285"/>
    </row>
    <row r="286" spans="3:36">
      <c r="C286"/>
      <c r="E286"/>
      <c r="F286"/>
      <c r="M286"/>
      <c r="Z286"/>
      <c r="AI286"/>
      <c r="AJ286"/>
    </row>
    <row r="287" spans="3:36">
      <c r="C287"/>
      <c r="E287"/>
      <c r="F287"/>
      <c r="M287"/>
      <c r="Z287"/>
      <c r="AI287"/>
      <c r="AJ287"/>
    </row>
    <row r="288" spans="3:36">
      <c r="C288"/>
      <c r="E288"/>
      <c r="F288"/>
      <c r="M288"/>
      <c r="Z288"/>
      <c r="AI288"/>
      <c r="AJ288"/>
    </row>
    <row r="289" spans="3:36">
      <c r="C289"/>
      <c r="E289"/>
      <c r="F289"/>
      <c r="M289"/>
      <c r="Z289"/>
      <c r="AI289"/>
      <c r="AJ289"/>
    </row>
    <row r="290" spans="3:36">
      <c r="C290"/>
      <c r="E290"/>
      <c r="F290"/>
      <c r="M290"/>
      <c r="Z290"/>
      <c r="AI290"/>
      <c r="AJ290"/>
    </row>
    <row r="291" spans="3:36">
      <c r="C291"/>
      <c r="E291"/>
      <c r="F291"/>
      <c r="M291"/>
      <c r="Z291"/>
      <c r="AI291"/>
      <c r="AJ291"/>
    </row>
    <row r="292" spans="3:36">
      <c r="C292"/>
      <c r="E292"/>
      <c r="F292"/>
      <c r="M292"/>
      <c r="Z292"/>
      <c r="AI292"/>
      <c r="AJ292"/>
    </row>
    <row r="293" spans="3:36">
      <c r="C293"/>
      <c r="E293"/>
      <c r="F293"/>
      <c r="M293"/>
      <c r="Z293"/>
      <c r="AI293"/>
      <c r="AJ293"/>
    </row>
    <row r="294" spans="3:36">
      <c r="C294"/>
      <c r="E294"/>
      <c r="F294"/>
      <c r="M294"/>
      <c r="Z294"/>
      <c r="AI294"/>
      <c r="AJ294"/>
    </row>
    <row r="295" spans="3:36">
      <c r="C295"/>
      <c r="E295"/>
      <c r="F295"/>
      <c r="M295"/>
      <c r="Z295"/>
      <c r="AI295"/>
      <c r="AJ295"/>
    </row>
    <row r="296" spans="3:36">
      <c r="C296"/>
      <c r="E296"/>
      <c r="F296"/>
      <c r="M296"/>
      <c r="Z296"/>
      <c r="AI296"/>
      <c r="AJ296"/>
    </row>
    <row r="297" spans="3:36">
      <c r="C297"/>
      <c r="E297"/>
      <c r="F297"/>
      <c r="M297"/>
      <c r="Z297"/>
      <c r="AI297"/>
      <c r="AJ297"/>
    </row>
    <row r="298" spans="3:36">
      <c r="C298"/>
      <c r="E298"/>
      <c r="F298"/>
      <c r="M298"/>
      <c r="Z298"/>
      <c r="AI298"/>
      <c r="AJ298"/>
    </row>
    <row r="299" spans="3:36">
      <c r="C299"/>
      <c r="E299"/>
      <c r="F299"/>
      <c r="M299"/>
      <c r="Z299"/>
      <c r="AI299"/>
      <c r="AJ299"/>
    </row>
    <row r="300" spans="3:36">
      <c r="C300"/>
      <c r="E300"/>
      <c r="F300"/>
      <c r="M300"/>
      <c r="Z300"/>
      <c r="AI300"/>
      <c r="AJ300"/>
    </row>
    <row r="301" spans="3:36">
      <c r="C301"/>
      <c r="E301"/>
      <c r="F301"/>
      <c r="M301"/>
      <c r="Z301"/>
      <c r="AI301"/>
      <c r="AJ301"/>
    </row>
    <row r="302" spans="3:36">
      <c r="C302"/>
      <c r="E302"/>
      <c r="F302"/>
      <c r="M302"/>
      <c r="Z302"/>
      <c r="AI302"/>
      <c r="AJ302"/>
    </row>
    <row r="303" spans="3:36">
      <c r="C303"/>
      <c r="E303"/>
      <c r="F303"/>
      <c r="M303"/>
      <c r="Z303"/>
      <c r="AI303"/>
      <c r="AJ303"/>
    </row>
    <row r="304" spans="3:36">
      <c r="C304"/>
      <c r="E304"/>
      <c r="F304"/>
      <c r="M304"/>
      <c r="Z304"/>
      <c r="AI304"/>
      <c r="AJ304"/>
    </row>
    <row r="305" spans="3:36">
      <c r="C305"/>
      <c r="E305"/>
      <c r="F305"/>
      <c r="M305"/>
      <c r="Z305"/>
      <c r="AI305"/>
      <c r="AJ305"/>
    </row>
    <row r="306" spans="3:36">
      <c r="C306"/>
      <c r="E306"/>
      <c r="F306"/>
      <c r="M306"/>
      <c r="Z306"/>
      <c r="AI306"/>
      <c r="AJ306"/>
    </row>
    <row r="307" spans="3:36">
      <c r="C307"/>
      <c r="E307"/>
      <c r="F307"/>
      <c r="M307"/>
      <c r="Z307"/>
      <c r="AI307"/>
      <c r="AJ307"/>
    </row>
    <row r="308" spans="3:36">
      <c r="C308"/>
      <c r="E308"/>
      <c r="F308"/>
      <c r="M308"/>
      <c r="Z308"/>
      <c r="AI308"/>
      <c r="AJ308"/>
    </row>
    <row r="309" spans="3:36">
      <c r="C309"/>
      <c r="E309"/>
      <c r="F309"/>
      <c r="M309"/>
      <c r="Z309"/>
      <c r="AI309"/>
      <c r="AJ309"/>
    </row>
    <row r="310" spans="3:36">
      <c r="C310"/>
      <c r="E310"/>
      <c r="F310"/>
      <c r="M310"/>
      <c r="Z310"/>
      <c r="AI310"/>
      <c r="AJ310"/>
    </row>
    <row r="311" spans="3:36">
      <c r="C311"/>
      <c r="E311"/>
      <c r="F311"/>
      <c r="M311"/>
      <c r="Z311"/>
      <c r="AI311"/>
      <c r="AJ311"/>
    </row>
    <row r="312" spans="3:36">
      <c r="C312"/>
      <c r="E312"/>
      <c r="F312"/>
      <c r="M312"/>
      <c r="Z312"/>
      <c r="AI312"/>
      <c r="AJ312"/>
    </row>
    <row r="313" spans="3:36">
      <c r="C313"/>
      <c r="E313"/>
      <c r="F313"/>
      <c r="M313"/>
      <c r="Z313"/>
      <c r="AI313"/>
      <c r="AJ313"/>
    </row>
    <row r="314" spans="3:36">
      <c r="C314"/>
      <c r="E314"/>
      <c r="F314"/>
      <c r="M314"/>
      <c r="Z314"/>
      <c r="AI314"/>
      <c r="AJ314"/>
    </row>
    <row r="315" spans="3:36">
      <c r="C315"/>
      <c r="E315"/>
      <c r="F315"/>
      <c r="M315"/>
      <c r="Z315"/>
      <c r="AI315"/>
      <c r="AJ315"/>
    </row>
    <row r="316" spans="3:36">
      <c r="C316"/>
      <c r="E316"/>
      <c r="F316"/>
      <c r="M316"/>
      <c r="Z316"/>
      <c r="AI316"/>
      <c r="AJ316"/>
    </row>
    <row r="317" spans="3:36">
      <c r="C317"/>
      <c r="E317"/>
      <c r="F317"/>
      <c r="M317"/>
      <c r="Z317"/>
      <c r="AI317"/>
      <c r="AJ317"/>
    </row>
    <row r="318" spans="3:36">
      <c r="C318"/>
      <c r="E318"/>
      <c r="F318"/>
      <c r="M318"/>
      <c r="Z318"/>
      <c r="AI318"/>
      <c r="AJ318"/>
    </row>
    <row r="319" spans="3:36">
      <c r="C319"/>
      <c r="E319"/>
      <c r="F319"/>
      <c r="M319"/>
      <c r="Z319"/>
      <c r="AI319"/>
      <c r="AJ319"/>
    </row>
    <row r="320" spans="3:36">
      <c r="C320"/>
      <c r="E320"/>
      <c r="F320"/>
      <c r="M320"/>
      <c r="Z320"/>
      <c r="AI320"/>
      <c r="AJ320"/>
    </row>
    <row r="321" spans="3:36">
      <c r="C321"/>
      <c r="E321"/>
      <c r="F321"/>
      <c r="M321"/>
      <c r="Z321"/>
      <c r="AI321"/>
      <c r="AJ321"/>
    </row>
    <row r="322" spans="3:36">
      <c r="C322"/>
      <c r="E322"/>
      <c r="F322"/>
      <c r="M322"/>
      <c r="Z322"/>
      <c r="AI322"/>
      <c r="AJ322"/>
    </row>
    <row r="323" spans="3:36">
      <c r="C323"/>
      <c r="E323"/>
      <c r="F323"/>
      <c r="M323"/>
      <c r="Z323"/>
      <c r="AI323"/>
      <c r="AJ323"/>
    </row>
    <row r="324" spans="3:36">
      <c r="C324"/>
      <c r="E324"/>
      <c r="F324"/>
      <c r="M324"/>
      <c r="Z324"/>
      <c r="AI324"/>
      <c r="AJ324"/>
    </row>
    <row r="325" spans="3:36">
      <c r="C325"/>
      <c r="E325"/>
      <c r="F325"/>
      <c r="M325"/>
      <c r="Z325"/>
      <c r="AI325"/>
      <c r="AJ325"/>
    </row>
    <row r="326" spans="3:36">
      <c r="C326"/>
      <c r="E326"/>
      <c r="F326"/>
      <c r="M326"/>
      <c r="Z326"/>
      <c r="AI326"/>
      <c r="AJ326"/>
    </row>
    <row r="327" spans="3:36">
      <c r="C327"/>
      <c r="E327"/>
      <c r="F327"/>
      <c r="M327"/>
      <c r="Z327"/>
      <c r="AI327"/>
      <c r="AJ327"/>
    </row>
    <row r="328" spans="3:36">
      <c r="C328"/>
      <c r="E328"/>
      <c r="F328"/>
      <c r="M328"/>
      <c r="Z328"/>
      <c r="AI328"/>
      <c r="AJ328"/>
    </row>
    <row r="329" spans="3:36">
      <c r="C329"/>
      <c r="E329"/>
      <c r="F329"/>
      <c r="M329"/>
      <c r="Z329"/>
      <c r="AI329"/>
      <c r="AJ329"/>
    </row>
    <row r="330" spans="3:36">
      <c r="C330"/>
      <c r="E330"/>
      <c r="F330"/>
      <c r="M330"/>
      <c r="Z330"/>
      <c r="AI330"/>
      <c r="AJ330"/>
    </row>
    <row r="331" spans="3:36">
      <c r="C331"/>
      <c r="E331"/>
      <c r="F331"/>
      <c r="M331"/>
      <c r="Z331"/>
      <c r="AI331"/>
      <c r="AJ331"/>
    </row>
    <row r="332" spans="3:36">
      <c r="C332"/>
      <c r="E332"/>
      <c r="F332"/>
      <c r="M332"/>
      <c r="Z332"/>
      <c r="AI332"/>
      <c r="AJ332"/>
    </row>
    <row r="333" spans="3:36">
      <c r="C333"/>
      <c r="E333"/>
      <c r="F333"/>
      <c r="M333"/>
      <c r="Z333"/>
      <c r="AI333"/>
      <c r="AJ333"/>
    </row>
    <row r="334" spans="3:36">
      <c r="C334"/>
      <c r="E334"/>
      <c r="F334"/>
      <c r="M334"/>
      <c r="Z334"/>
      <c r="AI334"/>
      <c r="AJ334"/>
    </row>
    <row r="335" spans="3:36">
      <c r="C335"/>
      <c r="E335"/>
      <c r="F335"/>
      <c r="M335"/>
      <c r="Z335"/>
      <c r="AI335"/>
      <c r="AJ335"/>
    </row>
    <row r="336" spans="3:36">
      <c r="C336"/>
      <c r="E336"/>
      <c r="F336"/>
      <c r="M336"/>
      <c r="Z336"/>
      <c r="AI336"/>
      <c r="AJ336"/>
    </row>
    <row r="337" spans="3:36">
      <c r="C337"/>
      <c r="E337"/>
      <c r="F337"/>
      <c r="M337"/>
      <c r="Z337"/>
      <c r="AI337"/>
      <c r="AJ337"/>
    </row>
    <row r="338" spans="3:36">
      <c r="C338"/>
      <c r="E338"/>
      <c r="F338"/>
      <c r="M338"/>
      <c r="Z338"/>
      <c r="AI338"/>
      <c r="AJ338"/>
    </row>
    <row r="339" spans="3:36">
      <c r="C339"/>
      <c r="E339"/>
      <c r="F339"/>
      <c r="M339"/>
      <c r="Z339"/>
      <c r="AI339"/>
      <c r="AJ339"/>
    </row>
    <row r="340" spans="3:36">
      <c r="C340"/>
      <c r="E340"/>
      <c r="F340"/>
      <c r="M340"/>
      <c r="Z340"/>
      <c r="AI340"/>
      <c r="AJ340"/>
    </row>
    <row r="341" spans="3:36">
      <c r="C341"/>
      <c r="E341"/>
      <c r="F341"/>
      <c r="M341"/>
      <c r="Z341"/>
      <c r="AI341"/>
      <c r="AJ341"/>
    </row>
    <row r="342" spans="3:36">
      <c r="C342"/>
      <c r="E342"/>
      <c r="F342"/>
      <c r="M342"/>
      <c r="Z342"/>
      <c r="AI342"/>
      <c r="AJ342"/>
    </row>
    <row r="343" spans="3:36">
      <c r="C343"/>
      <c r="E343"/>
      <c r="F343"/>
      <c r="M343"/>
      <c r="Z343"/>
      <c r="AI343"/>
      <c r="AJ343"/>
    </row>
    <row r="344" spans="3:36">
      <c r="C344"/>
      <c r="E344"/>
      <c r="F344"/>
      <c r="M344"/>
      <c r="Z344"/>
      <c r="AI344"/>
      <c r="AJ344"/>
    </row>
    <row r="345" spans="3:36">
      <c r="C345"/>
      <c r="M345"/>
      <c r="Z345"/>
      <c r="AI345"/>
      <c r="AJ345"/>
    </row>
    <row r="346" spans="3:36">
      <c r="C346"/>
      <c r="M346"/>
      <c r="Z346"/>
      <c r="AI346"/>
      <c r="AJ346"/>
    </row>
    <row r="347" spans="3:36">
      <c r="C347"/>
      <c r="M347"/>
    </row>
    <row r="348" spans="3:36">
      <c r="C348"/>
      <c r="M348"/>
    </row>
    <row r="349" spans="3:36">
      <c r="C349"/>
      <c r="M349"/>
    </row>
    <row r="350" spans="3:36">
      <c r="C350"/>
      <c r="M350"/>
    </row>
    <row r="351" spans="3:36">
      <c r="C351"/>
      <c r="M351"/>
    </row>
    <row r="352" spans="3:36">
      <c r="C352"/>
      <c r="M352"/>
    </row>
    <row r="353" spans="3:13">
      <c r="C353"/>
      <c r="M353"/>
    </row>
    <row r="354" spans="3:13">
      <c r="C354"/>
      <c r="M354"/>
    </row>
    <row r="355" spans="3:13">
      <c r="C355"/>
      <c r="M355"/>
    </row>
    <row r="356" spans="3:13">
      <c r="C356"/>
      <c r="M356"/>
    </row>
    <row r="357" spans="3:13">
      <c r="C357"/>
      <c r="M357"/>
    </row>
    <row r="358" spans="3:13">
      <c r="C358"/>
      <c r="M358"/>
    </row>
    <row r="359" spans="3:13">
      <c r="C359"/>
      <c r="M359"/>
    </row>
    <row r="360" spans="3:13">
      <c r="C360"/>
      <c r="M360"/>
    </row>
    <row r="361" spans="3:13">
      <c r="C361"/>
      <c r="M361"/>
    </row>
    <row r="362" spans="3:13">
      <c r="C362"/>
      <c r="M362"/>
    </row>
    <row r="363" spans="3:13">
      <c r="C363"/>
      <c r="M363"/>
    </row>
    <row r="364" spans="3:13">
      <c r="C364"/>
      <c r="M364"/>
    </row>
    <row r="365" spans="3:13">
      <c r="C365"/>
      <c r="M365"/>
    </row>
    <row r="366" spans="3:13">
      <c r="C366"/>
      <c r="M366"/>
    </row>
    <row r="367" spans="3:13">
      <c r="C367"/>
      <c r="M367"/>
    </row>
    <row r="368" spans="3:13">
      <c r="C368"/>
      <c r="M368"/>
    </row>
    <row r="369" spans="3:13">
      <c r="C369"/>
      <c r="M369"/>
    </row>
    <row r="370" spans="3:13">
      <c r="C370"/>
      <c r="M370"/>
    </row>
    <row r="371" spans="3:13">
      <c r="C371"/>
      <c r="M371"/>
    </row>
    <row r="372" spans="3:13">
      <c r="C372"/>
      <c r="M372"/>
    </row>
    <row r="373" spans="3:13">
      <c r="C373"/>
      <c r="M373"/>
    </row>
    <row r="374" spans="3:13">
      <c r="C374"/>
      <c r="M374"/>
    </row>
    <row r="375" spans="3:13">
      <c r="C375"/>
      <c r="M375"/>
    </row>
    <row r="376" spans="3:13">
      <c r="C376"/>
      <c r="M376"/>
    </row>
    <row r="377" spans="3:13">
      <c r="C377"/>
      <c r="M377"/>
    </row>
    <row r="378" spans="3:13">
      <c r="C378"/>
      <c r="M378"/>
    </row>
    <row r="379" spans="3:13">
      <c r="C379"/>
      <c r="M379"/>
    </row>
    <row r="380" spans="3:13">
      <c r="C380"/>
      <c r="M380"/>
    </row>
    <row r="381" spans="3:13">
      <c r="C381"/>
      <c r="M381"/>
    </row>
    <row r="382" spans="3:13">
      <c r="C382"/>
      <c r="M382"/>
    </row>
    <row r="383" spans="3:13">
      <c r="C383"/>
      <c r="M383"/>
    </row>
    <row r="384" spans="3:13">
      <c r="C384"/>
      <c r="M384"/>
    </row>
    <row r="385" spans="3:13">
      <c r="C385"/>
      <c r="M385"/>
    </row>
    <row r="386" spans="3:13">
      <c r="C386"/>
      <c r="M386"/>
    </row>
    <row r="387" spans="3:13">
      <c r="C387"/>
      <c r="M387"/>
    </row>
    <row r="388" spans="3:13">
      <c r="C388"/>
      <c r="M388"/>
    </row>
    <row r="389" spans="3:13">
      <c r="C389"/>
      <c r="M389"/>
    </row>
    <row r="390" spans="3:13">
      <c r="C390"/>
      <c r="M390"/>
    </row>
    <row r="391" spans="3:13">
      <c r="C391"/>
      <c r="M391"/>
    </row>
    <row r="392" spans="3:13">
      <c r="C392"/>
      <c r="M392"/>
    </row>
    <row r="393" spans="3:13">
      <c r="C393"/>
      <c r="M393"/>
    </row>
    <row r="394" spans="3:13">
      <c r="C394"/>
      <c r="M394"/>
    </row>
    <row r="395" spans="3:13">
      <c r="C395"/>
      <c r="M395"/>
    </row>
    <row r="396" spans="3:13">
      <c r="C396"/>
      <c r="M396"/>
    </row>
    <row r="397" spans="3:13">
      <c r="C397"/>
      <c r="M397"/>
    </row>
    <row r="398" spans="3:13">
      <c r="C398"/>
      <c r="M398"/>
    </row>
    <row r="399" spans="3:13">
      <c r="C399"/>
      <c r="M399"/>
    </row>
    <row r="400" spans="3:13">
      <c r="C400"/>
      <c r="M400"/>
    </row>
    <row r="401" spans="3:13">
      <c r="C401"/>
      <c r="M401"/>
    </row>
    <row r="402" spans="3:13">
      <c r="C402"/>
      <c r="M402"/>
    </row>
    <row r="403" spans="3:13">
      <c r="C403"/>
      <c r="M403"/>
    </row>
    <row r="404" spans="3:13">
      <c r="C404"/>
      <c r="M404"/>
    </row>
    <row r="405" spans="3:13">
      <c r="C405"/>
      <c r="M405"/>
    </row>
    <row r="406" spans="3:13">
      <c r="C406"/>
      <c r="M406"/>
    </row>
    <row r="407" spans="3:13">
      <c r="C407"/>
      <c r="M407"/>
    </row>
    <row r="408" spans="3:13">
      <c r="C408"/>
      <c r="M408"/>
    </row>
    <row r="409" spans="3:13">
      <c r="C409"/>
      <c r="M409"/>
    </row>
    <row r="410" spans="3:13">
      <c r="C410"/>
      <c r="M410"/>
    </row>
    <row r="411" spans="3:13">
      <c r="C411"/>
      <c r="M411"/>
    </row>
    <row r="412" spans="3:13">
      <c r="C412"/>
      <c r="M412"/>
    </row>
    <row r="413" spans="3:13">
      <c r="C413"/>
      <c r="M413"/>
    </row>
    <row r="414" spans="3:13">
      <c r="C414"/>
      <c r="M414"/>
    </row>
    <row r="415" spans="3:13">
      <c r="C415"/>
      <c r="M415"/>
    </row>
    <row r="416" spans="3:13">
      <c r="C416"/>
      <c r="M416"/>
    </row>
    <row r="417" spans="3:13">
      <c r="C417"/>
      <c r="M417"/>
    </row>
    <row r="418" spans="3:13">
      <c r="C418"/>
      <c r="M418"/>
    </row>
    <row r="419" spans="3:13">
      <c r="C419"/>
      <c r="M419"/>
    </row>
    <row r="420" spans="3:13">
      <c r="C420"/>
      <c r="M420"/>
    </row>
    <row r="421" spans="3:13">
      <c r="C421"/>
      <c r="M421"/>
    </row>
    <row r="422" spans="3:13">
      <c r="C422"/>
      <c r="M422"/>
    </row>
    <row r="423" spans="3:13">
      <c r="C423"/>
      <c r="M423"/>
    </row>
    <row r="424" spans="3:13">
      <c r="C424"/>
      <c r="M424"/>
    </row>
    <row r="425" spans="3:13">
      <c r="C425"/>
      <c r="M425"/>
    </row>
    <row r="426" spans="3:13">
      <c r="C426"/>
      <c r="M426"/>
    </row>
    <row r="427" spans="3:13">
      <c r="C427"/>
      <c r="M427"/>
    </row>
    <row r="428" spans="3:13">
      <c r="C428"/>
      <c r="M428"/>
    </row>
    <row r="429" spans="3:13">
      <c r="C429"/>
      <c r="M429"/>
    </row>
    <row r="430" spans="3:13">
      <c r="C430"/>
      <c r="M430"/>
    </row>
    <row r="431" spans="3:13">
      <c r="C431"/>
      <c r="M431"/>
    </row>
    <row r="432" spans="3:13">
      <c r="C432"/>
      <c r="M432"/>
    </row>
    <row r="433" spans="3:13">
      <c r="C433"/>
      <c r="M433"/>
    </row>
  </sheetData>
  <pageMargins left="0.25" right="0.34" top="0.41" bottom="0.16" header="0.7" footer="0.22"/>
  <pageSetup scale="10" orientation="portrait" r:id="rId2"/>
  <headerFooter alignWithMargins="0">
    <oddHeader>&amp;LMaster Response Log</oddHeader>
    <oddFooter>&amp;R&amp;P</oddFooter>
  </headerFooter>
</worksheet>
</file>

<file path=xl/worksheets/sheet23.xml><?xml version="1.0" encoding="utf-8"?>
<worksheet xmlns="http://schemas.openxmlformats.org/spreadsheetml/2006/main" xmlns:r="http://schemas.openxmlformats.org/officeDocument/2006/relationships">
  <sheetPr codeName="Sheet21"/>
  <dimension ref="A1:X142"/>
  <sheetViews>
    <sheetView workbookViewId="0">
      <selection activeCell="N138" sqref="N138"/>
    </sheetView>
  </sheetViews>
  <sheetFormatPr defaultRowHeight="12.75"/>
  <cols>
    <col min="1" max="1" width="18.140625" customWidth="1"/>
    <col min="2" max="4" width="12.7109375" bestFit="1" customWidth="1"/>
    <col min="5" max="8" width="12.7109375" customWidth="1"/>
    <col min="9" max="9" width="9.7109375" customWidth="1"/>
    <col min="10" max="10" width="5" customWidth="1"/>
    <col min="11" max="16" width="12.7109375" customWidth="1"/>
    <col min="17" max="17" width="12.7109375" bestFit="1" customWidth="1"/>
    <col min="18" max="19" width="12.7109375" customWidth="1"/>
    <col min="20" max="20" width="10.5703125" customWidth="1"/>
    <col min="21" max="21" width="9" customWidth="1"/>
    <col min="22" max="27" width="50.140625" bestFit="1" customWidth="1"/>
    <col min="28" max="28" width="10.5703125" customWidth="1"/>
    <col min="29" max="124" width="50.140625" bestFit="1" customWidth="1"/>
    <col min="125" max="125" width="10.5703125" bestFit="1" customWidth="1"/>
  </cols>
  <sheetData>
    <row r="1" spans="1:24">
      <c r="E1" s="8" t="s">
        <v>1868</v>
      </c>
      <c r="F1" s="82" t="s">
        <v>1768</v>
      </c>
    </row>
    <row r="3" spans="1:24">
      <c r="A3" s="6" t="s">
        <v>1767</v>
      </c>
      <c r="B3" s="7"/>
      <c r="E3" s="6" t="s">
        <v>291</v>
      </c>
      <c r="F3" s="7"/>
      <c r="N3" s="6" t="s">
        <v>240</v>
      </c>
      <c r="O3" s="12"/>
      <c r="P3" s="7"/>
      <c r="R3" s="5"/>
      <c r="S3" s="5"/>
      <c r="T3" s="12"/>
      <c r="U3" s="12"/>
      <c r="V3" s="12"/>
      <c r="W3" s="12"/>
      <c r="X3" s="60"/>
    </row>
    <row r="4" spans="1:24">
      <c r="A4" s="6" t="s">
        <v>1868</v>
      </c>
      <c r="B4" s="7" t="s">
        <v>1871</v>
      </c>
      <c r="C4">
        <f>SUM(C5:C116)</f>
        <v>112</v>
      </c>
      <c r="E4" s="6" t="s">
        <v>572</v>
      </c>
      <c r="F4" s="7" t="s">
        <v>1871</v>
      </c>
      <c r="K4" s="6" t="s">
        <v>291</v>
      </c>
      <c r="L4" s="7"/>
      <c r="N4" s="6" t="s">
        <v>572</v>
      </c>
      <c r="O4" s="6" t="s">
        <v>225</v>
      </c>
      <c r="P4" s="7" t="s">
        <v>1871</v>
      </c>
      <c r="R4" s="6" t="s">
        <v>572</v>
      </c>
      <c r="S4" s="13"/>
      <c r="T4" s="61"/>
      <c r="U4" s="61"/>
      <c r="V4" s="61"/>
      <c r="W4" s="61"/>
      <c r="X4" s="62"/>
    </row>
    <row r="5" spans="1:24">
      <c r="A5" s="5" t="s">
        <v>1667</v>
      </c>
      <c r="B5" s="15">
        <v>2</v>
      </c>
      <c r="C5">
        <v>1</v>
      </c>
      <c r="E5" s="5">
        <v>1999</v>
      </c>
      <c r="F5" s="67">
        <v>89210000</v>
      </c>
      <c r="K5" s="6" t="s">
        <v>210</v>
      </c>
      <c r="L5" s="7" t="s">
        <v>1871</v>
      </c>
      <c r="N5" s="5">
        <v>2004</v>
      </c>
      <c r="O5" s="5" t="s">
        <v>226</v>
      </c>
      <c r="P5" s="15">
        <v>2</v>
      </c>
      <c r="R5" s="5">
        <v>1986</v>
      </c>
      <c r="S5" s="150"/>
      <c r="T5" s="151"/>
      <c r="U5" s="151"/>
      <c r="V5" s="151"/>
      <c r="W5" s="151"/>
      <c r="X5" s="252"/>
    </row>
    <row r="6" spans="1:24">
      <c r="A6" s="68" t="s">
        <v>1594</v>
      </c>
      <c r="B6" s="66">
        <v>1</v>
      </c>
      <c r="C6">
        <v>1</v>
      </c>
      <c r="E6" s="68">
        <v>2000</v>
      </c>
      <c r="F6" s="69">
        <v>9164711.1500000022</v>
      </c>
      <c r="K6" s="5">
        <v>1999</v>
      </c>
      <c r="L6" s="67">
        <v>48129711.140000001</v>
      </c>
      <c r="N6" s="5" t="s">
        <v>216</v>
      </c>
      <c r="O6" s="12"/>
      <c r="P6" s="15">
        <v>2</v>
      </c>
      <c r="R6" s="68">
        <v>1989</v>
      </c>
      <c r="S6" s="249"/>
      <c r="T6" s="250"/>
      <c r="U6" s="250"/>
      <c r="V6" s="250"/>
      <c r="W6" s="250"/>
      <c r="X6" s="251"/>
    </row>
    <row r="7" spans="1:24">
      <c r="A7" s="68" t="s">
        <v>1543</v>
      </c>
      <c r="B7" s="66">
        <v>1</v>
      </c>
      <c r="C7">
        <v>1</v>
      </c>
      <c r="E7" s="68">
        <v>2001</v>
      </c>
      <c r="F7" s="69">
        <v>17478376.800000001</v>
      </c>
      <c r="K7" s="68">
        <v>2000</v>
      </c>
      <c r="L7" s="69">
        <v>1513046.81</v>
      </c>
      <c r="N7" s="5">
        <v>2005</v>
      </c>
      <c r="O7" s="5" t="s">
        <v>226</v>
      </c>
      <c r="P7" s="15">
        <v>2</v>
      </c>
      <c r="R7" s="68">
        <v>1994</v>
      </c>
      <c r="S7" s="249"/>
      <c r="T7" s="250"/>
      <c r="U7" s="250"/>
      <c r="V7" s="250"/>
      <c r="W7" s="250"/>
      <c r="X7" s="251"/>
    </row>
    <row r="8" spans="1:24">
      <c r="A8" s="68" t="s">
        <v>416</v>
      </c>
      <c r="B8" s="66">
        <v>1</v>
      </c>
      <c r="C8">
        <v>1</v>
      </c>
      <c r="E8" s="68">
        <v>2002</v>
      </c>
      <c r="F8" s="69">
        <v>13511755.470000001</v>
      </c>
      <c r="K8" s="68">
        <v>2001</v>
      </c>
      <c r="L8" s="69">
        <v>32073691.370000001</v>
      </c>
      <c r="N8" s="5" t="s">
        <v>260</v>
      </c>
      <c r="O8" s="12"/>
      <c r="P8" s="15">
        <v>2</v>
      </c>
      <c r="R8" s="68">
        <v>1999</v>
      </c>
      <c r="S8" s="249"/>
      <c r="T8" s="250"/>
      <c r="U8" s="250"/>
      <c r="V8" s="250"/>
      <c r="W8" s="250"/>
      <c r="X8" s="251"/>
    </row>
    <row r="9" spans="1:24">
      <c r="A9" s="68" t="s">
        <v>1554</v>
      </c>
      <c r="B9" s="66">
        <v>1</v>
      </c>
      <c r="C9">
        <v>1</v>
      </c>
      <c r="E9" s="68">
        <v>2003</v>
      </c>
      <c r="F9" s="69">
        <v>3164788.6272799997</v>
      </c>
      <c r="K9" s="68">
        <v>2002</v>
      </c>
      <c r="L9" s="69">
        <v>2493679.96</v>
      </c>
      <c r="N9" s="5">
        <v>2006</v>
      </c>
      <c r="O9" s="5" t="s">
        <v>226</v>
      </c>
      <c r="P9" s="15">
        <v>1</v>
      </c>
      <c r="R9" s="68">
        <v>2000</v>
      </c>
      <c r="S9" s="249"/>
      <c r="T9" s="250"/>
      <c r="U9" s="250"/>
      <c r="V9" s="250"/>
      <c r="W9" s="250"/>
      <c r="X9" s="251"/>
    </row>
    <row r="10" spans="1:24">
      <c r="A10" s="68" t="s">
        <v>1009</v>
      </c>
      <c r="B10" s="66">
        <v>1</v>
      </c>
      <c r="C10">
        <v>1</v>
      </c>
      <c r="E10" s="68">
        <v>2004</v>
      </c>
      <c r="F10" s="69">
        <v>2131673.38845</v>
      </c>
      <c r="K10" s="68">
        <v>2003</v>
      </c>
      <c r="L10" s="69">
        <v>3320534.1172799999</v>
      </c>
      <c r="N10" s="5" t="s">
        <v>274</v>
      </c>
      <c r="O10" s="12"/>
      <c r="P10" s="15">
        <v>1</v>
      </c>
      <c r="R10" s="68">
        <v>2001</v>
      </c>
      <c r="S10" s="249"/>
      <c r="T10" s="250"/>
      <c r="U10" s="250"/>
      <c r="V10" s="250"/>
      <c r="W10" s="250"/>
      <c r="X10" s="251"/>
    </row>
    <row r="11" spans="1:24">
      <c r="A11" s="68" t="s">
        <v>1757</v>
      </c>
      <c r="B11" s="66">
        <v>2</v>
      </c>
      <c r="C11">
        <v>1</v>
      </c>
      <c r="E11" s="68">
        <v>2005</v>
      </c>
      <c r="F11" s="69">
        <v>584530429.39621234</v>
      </c>
      <c r="K11" s="68">
        <v>2004</v>
      </c>
      <c r="L11" s="69">
        <v>585158950.80466235</v>
      </c>
      <c r="N11" s="5">
        <v>2007</v>
      </c>
      <c r="O11" s="5" t="s">
        <v>226</v>
      </c>
      <c r="P11" s="15">
        <v>2</v>
      </c>
      <c r="R11" s="68">
        <v>2002</v>
      </c>
      <c r="S11" s="249"/>
      <c r="T11" s="250"/>
      <c r="U11" s="250"/>
      <c r="V11" s="250"/>
      <c r="W11" s="250"/>
      <c r="X11" s="251"/>
    </row>
    <row r="12" spans="1:24">
      <c r="A12" s="68" t="s">
        <v>130</v>
      </c>
      <c r="B12" s="66">
        <v>2</v>
      </c>
      <c r="C12">
        <v>1</v>
      </c>
      <c r="E12" s="68">
        <v>2006</v>
      </c>
      <c r="F12" s="69">
        <v>17013136</v>
      </c>
      <c r="H12" s="220" t="s">
        <v>1882</v>
      </c>
      <c r="K12" s="68">
        <v>2005</v>
      </c>
      <c r="L12" s="69">
        <v>13782582</v>
      </c>
      <c r="N12" s="5" t="s">
        <v>279</v>
      </c>
      <c r="O12" s="12"/>
      <c r="P12" s="15">
        <v>2</v>
      </c>
      <c r="R12" s="68">
        <v>2003</v>
      </c>
      <c r="S12" s="249"/>
      <c r="T12" s="250"/>
      <c r="U12" s="250"/>
      <c r="V12" s="250"/>
      <c r="W12" s="250"/>
      <c r="X12" s="251"/>
    </row>
    <row r="13" spans="1:24">
      <c r="A13" s="68" t="s">
        <v>412</v>
      </c>
      <c r="B13" s="66">
        <v>1</v>
      </c>
      <c r="C13">
        <v>1</v>
      </c>
      <c r="E13" s="68">
        <v>2007</v>
      </c>
      <c r="F13" s="69">
        <v>6205000</v>
      </c>
      <c r="H13" s="69">
        <v>583000000</v>
      </c>
      <c r="I13" t="s">
        <v>1880</v>
      </c>
      <c r="K13" s="68">
        <v>2006</v>
      </c>
      <c r="L13" s="69">
        <v>6581654</v>
      </c>
      <c r="N13" s="5">
        <v>2009</v>
      </c>
      <c r="O13" s="5" t="s">
        <v>226</v>
      </c>
      <c r="P13" s="15">
        <v>1</v>
      </c>
      <c r="R13" s="68">
        <v>2004</v>
      </c>
      <c r="S13" s="249"/>
      <c r="T13" s="250"/>
      <c r="U13" s="250"/>
      <c r="V13" s="250"/>
      <c r="W13" s="250"/>
      <c r="X13" s="251"/>
    </row>
    <row r="14" spans="1:24">
      <c r="A14" s="68" t="s">
        <v>1891</v>
      </c>
      <c r="B14" s="66">
        <v>5</v>
      </c>
      <c r="C14">
        <v>1</v>
      </c>
      <c r="E14" s="68">
        <v>2008</v>
      </c>
      <c r="F14" s="69">
        <v>69927075</v>
      </c>
      <c r="H14" s="69">
        <v>555182044</v>
      </c>
      <c r="I14" t="s">
        <v>1881</v>
      </c>
      <c r="K14" s="68">
        <v>2007</v>
      </c>
      <c r="L14" s="69">
        <v>11296175</v>
      </c>
      <c r="N14" s="5" t="s">
        <v>281</v>
      </c>
      <c r="O14" s="12"/>
      <c r="P14" s="15">
        <v>1</v>
      </c>
      <c r="R14" s="68">
        <v>2005</v>
      </c>
      <c r="S14" s="249"/>
      <c r="T14" s="250"/>
      <c r="U14" s="250"/>
      <c r="V14" s="250"/>
      <c r="W14" s="250"/>
      <c r="X14" s="251"/>
    </row>
    <row r="15" spans="1:24">
      <c r="A15" s="68" t="s">
        <v>2000</v>
      </c>
      <c r="B15" s="66">
        <v>1</v>
      </c>
      <c r="C15">
        <v>1</v>
      </c>
      <c r="E15" s="68">
        <v>2009</v>
      </c>
      <c r="F15" s="69">
        <v>8034878</v>
      </c>
      <c r="K15" s="68">
        <v>2008</v>
      </c>
      <c r="L15" s="69">
        <v>66098946</v>
      </c>
      <c r="N15" s="5">
        <v>2010</v>
      </c>
      <c r="O15" s="5" t="s">
        <v>228</v>
      </c>
      <c r="P15" s="15">
        <v>1</v>
      </c>
      <c r="R15" s="68">
        <v>2006</v>
      </c>
      <c r="S15" s="249"/>
      <c r="T15" s="250"/>
      <c r="U15" s="250"/>
      <c r="V15" s="250"/>
      <c r="W15" s="250"/>
      <c r="X15" s="251"/>
    </row>
    <row r="16" spans="1:24">
      <c r="A16" s="68" t="s">
        <v>1943</v>
      </c>
      <c r="B16" s="66">
        <v>6</v>
      </c>
      <c r="C16">
        <v>1</v>
      </c>
      <c r="E16" s="68">
        <v>2010</v>
      </c>
      <c r="F16" s="69">
        <v>153754569.86000001</v>
      </c>
      <c r="K16" s="68">
        <v>2009</v>
      </c>
      <c r="L16" s="69">
        <v>9653552.8599999994</v>
      </c>
      <c r="N16" s="13"/>
      <c r="O16" s="68" t="s">
        <v>226</v>
      </c>
      <c r="P16" s="66">
        <v>1</v>
      </c>
      <c r="R16" s="68">
        <v>2007</v>
      </c>
      <c r="S16" s="249"/>
      <c r="T16" s="250"/>
      <c r="U16" s="250"/>
      <c r="V16" s="250"/>
      <c r="W16" s="250"/>
      <c r="X16" s="251"/>
    </row>
    <row r="17" spans="1:24">
      <c r="A17" s="68" t="s">
        <v>121</v>
      </c>
      <c r="B17" s="66">
        <v>4</v>
      </c>
      <c r="C17">
        <v>1</v>
      </c>
      <c r="E17" s="68">
        <v>2011</v>
      </c>
      <c r="F17" s="69">
        <v>25375499</v>
      </c>
      <c r="H17" s="232">
        <v>2010</v>
      </c>
      <c r="I17" s="59">
        <f>I20-I18</f>
        <v>14143037.860000014</v>
      </c>
      <c r="J17" t="s">
        <v>1769</v>
      </c>
      <c r="K17" s="68">
        <v>2010</v>
      </c>
      <c r="L17" s="69">
        <v>173162031</v>
      </c>
      <c r="N17" s="5" t="s">
        <v>282</v>
      </c>
      <c r="O17" s="12"/>
      <c r="P17" s="15">
        <v>2</v>
      </c>
      <c r="R17" s="68">
        <v>2008</v>
      </c>
      <c r="S17" s="249"/>
      <c r="T17" s="250"/>
      <c r="U17" s="250"/>
      <c r="V17" s="250"/>
      <c r="W17" s="250"/>
      <c r="X17" s="251"/>
    </row>
    <row r="18" spans="1:24">
      <c r="A18" s="68" t="s">
        <v>1653</v>
      </c>
      <c r="B18" s="66">
        <v>4</v>
      </c>
      <c r="C18">
        <v>1</v>
      </c>
      <c r="E18" s="9" t="s">
        <v>1207</v>
      </c>
      <c r="F18" s="219">
        <v>999501892.69194233</v>
      </c>
      <c r="H18">
        <v>2010</v>
      </c>
      <c r="I18" s="69">
        <v>139611532</v>
      </c>
      <c r="J18" t="s">
        <v>682</v>
      </c>
      <c r="K18" s="68">
        <v>2011</v>
      </c>
      <c r="L18" s="69">
        <v>165310000</v>
      </c>
      <c r="N18" s="9" t="s">
        <v>1207</v>
      </c>
      <c r="O18" s="16"/>
      <c r="P18" s="14">
        <v>10</v>
      </c>
      <c r="R18" s="68">
        <v>2009</v>
      </c>
      <c r="S18" s="249"/>
      <c r="T18" s="250"/>
      <c r="U18" s="250"/>
      <c r="V18" s="250"/>
      <c r="W18" s="250"/>
      <c r="X18" s="251"/>
    </row>
    <row r="19" spans="1:24">
      <c r="A19" s="68" t="s">
        <v>1659</v>
      </c>
      <c r="B19" s="66">
        <v>1</v>
      </c>
      <c r="C19">
        <v>1</v>
      </c>
      <c r="K19" s="68" t="s">
        <v>288</v>
      </c>
      <c r="L19" s="69">
        <v>0</v>
      </c>
      <c r="R19" s="68">
        <v>2010</v>
      </c>
      <c r="S19" s="249"/>
      <c r="T19" s="250"/>
      <c r="U19" s="250"/>
      <c r="V19" s="250"/>
      <c r="W19" s="250"/>
      <c r="X19" s="251"/>
    </row>
    <row r="20" spans="1:24">
      <c r="A20" s="68" t="s">
        <v>1561</v>
      </c>
      <c r="B20" s="66">
        <v>1</v>
      </c>
      <c r="C20">
        <v>1</v>
      </c>
      <c r="I20" s="59">
        <f>GETPIVOTDATA("Total Contributions",$E$3,"Fiscal Year",2010)</f>
        <v>153754569.86000001</v>
      </c>
      <c r="J20" t="s">
        <v>215</v>
      </c>
      <c r="K20" s="9" t="s">
        <v>1207</v>
      </c>
      <c r="L20" s="219">
        <v>1118574555.0619423</v>
      </c>
      <c r="R20" s="68">
        <v>2011</v>
      </c>
      <c r="S20" s="249"/>
      <c r="T20" s="250"/>
      <c r="U20" s="250"/>
      <c r="V20" s="250"/>
      <c r="W20" s="250"/>
      <c r="X20" s="251"/>
    </row>
    <row r="21" spans="1:24">
      <c r="A21" s="68" t="s">
        <v>1420</v>
      </c>
      <c r="B21" s="66">
        <v>1</v>
      </c>
      <c r="C21">
        <v>1</v>
      </c>
      <c r="R21" s="68" t="s">
        <v>288</v>
      </c>
      <c r="S21" s="13"/>
      <c r="T21" s="61"/>
      <c r="U21" s="61"/>
      <c r="V21" s="61"/>
      <c r="W21" s="61"/>
      <c r="X21" s="62"/>
    </row>
    <row r="22" spans="1:24">
      <c r="A22" s="68" t="s">
        <v>1889</v>
      </c>
      <c r="B22" s="66">
        <v>3</v>
      </c>
      <c r="C22">
        <v>1</v>
      </c>
      <c r="R22" s="9" t="s">
        <v>1207</v>
      </c>
      <c r="S22" s="63"/>
      <c r="T22" s="64"/>
      <c r="U22" s="64"/>
      <c r="V22" s="64"/>
      <c r="W22" s="64"/>
      <c r="X22" s="65"/>
    </row>
    <row r="23" spans="1:24">
      <c r="A23" s="68" t="s">
        <v>1656</v>
      </c>
      <c r="B23" s="66">
        <v>3</v>
      </c>
      <c r="C23">
        <v>1</v>
      </c>
    </row>
    <row r="24" spans="1:24">
      <c r="A24" s="68" t="s">
        <v>1999</v>
      </c>
      <c r="B24" s="66">
        <v>1</v>
      </c>
      <c r="C24">
        <v>1</v>
      </c>
    </row>
    <row r="25" spans="1:24">
      <c r="A25" s="68" t="s">
        <v>687</v>
      </c>
      <c r="B25" s="66">
        <v>1</v>
      </c>
      <c r="C25">
        <v>1</v>
      </c>
    </row>
    <row r="26" spans="1:24">
      <c r="A26" s="68" t="s">
        <v>1400</v>
      </c>
      <c r="B26" s="66">
        <v>2</v>
      </c>
      <c r="C26">
        <v>1</v>
      </c>
    </row>
    <row r="27" spans="1:24">
      <c r="A27" s="68" t="s">
        <v>1879</v>
      </c>
      <c r="B27" s="66">
        <v>12</v>
      </c>
      <c r="C27">
        <v>1</v>
      </c>
      <c r="N27" s="6" t="s">
        <v>840</v>
      </c>
      <c r="O27" s="12"/>
      <c r="P27" s="7"/>
    </row>
    <row r="28" spans="1:24">
      <c r="A28" s="68" t="s">
        <v>717</v>
      </c>
      <c r="B28" s="66">
        <v>5</v>
      </c>
      <c r="C28">
        <v>1</v>
      </c>
      <c r="E28" s="6" t="s">
        <v>1349</v>
      </c>
      <c r="F28" s="7"/>
      <c r="H28" s="6" t="s">
        <v>219</v>
      </c>
      <c r="I28" s="12"/>
      <c r="J28" s="7"/>
      <c r="N28" s="231" t="s">
        <v>1868</v>
      </c>
      <c r="O28" s="6" t="s">
        <v>572</v>
      </c>
      <c r="P28" s="7" t="s">
        <v>1871</v>
      </c>
    </row>
    <row r="29" spans="1:24">
      <c r="A29" s="68" t="s">
        <v>1878</v>
      </c>
      <c r="B29" s="66">
        <v>7</v>
      </c>
      <c r="C29">
        <v>1</v>
      </c>
      <c r="E29" s="6" t="s">
        <v>210</v>
      </c>
      <c r="F29" s="7" t="s">
        <v>1871</v>
      </c>
      <c r="H29" s="6" t="s">
        <v>572</v>
      </c>
      <c r="I29" s="6" t="s">
        <v>375</v>
      </c>
      <c r="J29" s="7" t="s">
        <v>1871</v>
      </c>
      <c r="N29" s="5" t="s">
        <v>682</v>
      </c>
      <c r="O29" s="5">
        <v>2004</v>
      </c>
      <c r="P29" s="135"/>
    </row>
    <row r="30" spans="1:24">
      <c r="A30" s="68" t="s">
        <v>1589</v>
      </c>
      <c r="B30" s="66">
        <v>3</v>
      </c>
      <c r="C30">
        <v>1</v>
      </c>
      <c r="E30" s="5">
        <v>1985</v>
      </c>
      <c r="F30" s="67"/>
      <c r="H30" s="5" t="s">
        <v>107</v>
      </c>
      <c r="I30" s="5" t="s">
        <v>376</v>
      </c>
      <c r="J30" s="15">
        <v>10</v>
      </c>
      <c r="N30" s="13"/>
      <c r="O30" s="68">
        <v>2005</v>
      </c>
      <c r="P30" s="136">
        <v>1</v>
      </c>
    </row>
    <row r="31" spans="1:24">
      <c r="A31" s="68" t="s">
        <v>389</v>
      </c>
      <c r="B31" s="66">
        <v>1</v>
      </c>
      <c r="C31">
        <v>1</v>
      </c>
      <c r="E31" s="68">
        <v>1988</v>
      </c>
      <c r="F31" s="69"/>
      <c r="H31" s="13"/>
      <c r="I31" s="68" t="s">
        <v>378</v>
      </c>
      <c r="J31" s="66">
        <v>3</v>
      </c>
      <c r="N31" s="13"/>
      <c r="O31" s="68">
        <v>2006</v>
      </c>
      <c r="P31" s="136"/>
    </row>
    <row r="32" spans="1:24">
      <c r="A32" s="68" t="s">
        <v>973</v>
      </c>
      <c r="B32" s="66">
        <v>1</v>
      </c>
      <c r="C32">
        <v>1</v>
      </c>
      <c r="E32" s="68">
        <v>1994</v>
      </c>
      <c r="F32" s="69"/>
      <c r="H32" s="13"/>
      <c r="I32" s="68" t="s">
        <v>379</v>
      </c>
      <c r="J32" s="66">
        <v>80</v>
      </c>
      <c r="L32" t="s">
        <v>220</v>
      </c>
      <c r="N32" s="13"/>
      <c r="O32" s="68">
        <v>2008</v>
      </c>
      <c r="P32" s="136">
        <v>1</v>
      </c>
    </row>
    <row r="33" spans="1:16">
      <c r="A33" s="68" t="s">
        <v>1949</v>
      </c>
      <c r="B33" s="66">
        <v>1</v>
      </c>
      <c r="C33">
        <v>1</v>
      </c>
      <c r="E33" s="68">
        <v>1998</v>
      </c>
      <c r="F33" s="69"/>
      <c r="H33" s="13"/>
      <c r="I33" s="68" t="s">
        <v>380</v>
      </c>
      <c r="J33" s="66">
        <v>8</v>
      </c>
      <c r="L33">
        <f>SUM(J35+J36)+(J32+J33)</f>
        <v>98</v>
      </c>
      <c r="N33" s="13"/>
      <c r="O33" s="68">
        <v>2009</v>
      </c>
      <c r="P33" s="136">
        <v>5</v>
      </c>
    </row>
    <row r="34" spans="1:16">
      <c r="A34" s="68" t="s">
        <v>1540</v>
      </c>
      <c r="B34" s="66">
        <v>6</v>
      </c>
      <c r="C34">
        <v>1</v>
      </c>
      <c r="E34" s="68">
        <v>1999</v>
      </c>
      <c r="F34" s="69">
        <v>1955535.16</v>
      </c>
      <c r="H34" s="5" t="s">
        <v>1975</v>
      </c>
      <c r="I34" s="12"/>
      <c r="J34" s="15">
        <v>101</v>
      </c>
      <c r="N34" s="13"/>
      <c r="O34" s="68">
        <v>2010</v>
      </c>
      <c r="P34" s="136">
        <v>83</v>
      </c>
    </row>
    <row r="35" spans="1:16">
      <c r="A35" s="68" t="s">
        <v>1596</v>
      </c>
      <c r="B35" s="66">
        <v>1</v>
      </c>
      <c r="C35">
        <v>1</v>
      </c>
      <c r="E35" s="68">
        <v>2000</v>
      </c>
      <c r="F35" s="69">
        <v>616200</v>
      </c>
      <c r="H35" s="5" t="s">
        <v>184</v>
      </c>
      <c r="I35" s="5" t="s">
        <v>376</v>
      </c>
      <c r="J35" s="15">
        <v>2</v>
      </c>
      <c r="N35" s="13"/>
      <c r="O35" s="68">
        <v>2011</v>
      </c>
      <c r="P35" s="136"/>
    </row>
    <row r="36" spans="1:16">
      <c r="A36" s="68" t="s">
        <v>1662</v>
      </c>
      <c r="B36" s="66">
        <v>3</v>
      </c>
      <c r="C36">
        <v>1</v>
      </c>
      <c r="E36" s="68">
        <v>2001</v>
      </c>
      <c r="F36" s="69">
        <v>4891670</v>
      </c>
      <c r="H36" s="13"/>
      <c r="I36" s="68" t="s">
        <v>378</v>
      </c>
      <c r="J36" s="66">
        <v>8</v>
      </c>
      <c r="N36" s="5" t="s">
        <v>609</v>
      </c>
      <c r="O36" s="12"/>
      <c r="P36" s="135">
        <v>90</v>
      </c>
    </row>
    <row r="37" spans="1:16">
      <c r="A37" s="68" t="s">
        <v>1641</v>
      </c>
      <c r="B37" s="66">
        <v>5</v>
      </c>
      <c r="C37">
        <v>1</v>
      </c>
      <c r="E37" s="68">
        <v>2002</v>
      </c>
      <c r="F37" s="69">
        <v>688117.4</v>
      </c>
      <c r="H37" s="13"/>
      <c r="I37" s="68" t="s">
        <v>379</v>
      </c>
      <c r="J37" s="66">
        <v>5</v>
      </c>
      <c r="N37" s="5" t="s">
        <v>1637</v>
      </c>
      <c r="O37" s="5">
        <v>2005</v>
      </c>
      <c r="P37" s="15">
        <v>17</v>
      </c>
    </row>
    <row r="38" spans="1:16">
      <c r="A38" s="68" t="s">
        <v>1873</v>
      </c>
      <c r="B38" s="66">
        <v>6</v>
      </c>
      <c r="C38">
        <v>1</v>
      </c>
      <c r="E38" s="68">
        <v>2003</v>
      </c>
      <c r="F38" s="69">
        <v>1593890</v>
      </c>
      <c r="H38" s="13"/>
      <c r="I38" s="68" t="s">
        <v>380</v>
      </c>
      <c r="J38" s="66">
        <v>3</v>
      </c>
      <c r="N38" s="13"/>
      <c r="O38" s="68">
        <v>2007</v>
      </c>
      <c r="P38" s="66"/>
    </row>
    <row r="39" spans="1:16">
      <c r="A39" s="68" t="s">
        <v>1625</v>
      </c>
      <c r="B39" s="66">
        <v>1</v>
      </c>
      <c r="C39">
        <v>1</v>
      </c>
      <c r="E39" s="68">
        <v>2004</v>
      </c>
      <c r="F39" s="69">
        <v>5012481.5284500001</v>
      </c>
      <c r="H39" s="5" t="s">
        <v>1978</v>
      </c>
      <c r="I39" s="12"/>
      <c r="J39" s="15">
        <v>18</v>
      </c>
      <c r="N39" s="13"/>
      <c r="O39" s="68">
        <v>2009</v>
      </c>
      <c r="P39" s="66">
        <v>1</v>
      </c>
    </row>
    <row r="40" spans="1:16">
      <c r="A40" s="68" t="s">
        <v>202</v>
      </c>
      <c r="B40" s="66">
        <v>1</v>
      </c>
      <c r="C40">
        <v>1</v>
      </c>
      <c r="E40" s="68">
        <v>2005</v>
      </c>
      <c r="F40" s="69">
        <v>4916352</v>
      </c>
      <c r="H40" s="9" t="s">
        <v>1207</v>
      </c>
      <c r="I40" s="16"/>
      <c r="J40" s="14">
        <v>119</v>
      </c>
      <c r="N40" s="5" t="s">
        <v>838</v>
      </c>
      <c r="O40" s="12"/>
      <c r="P40" s="15">
        <v>18</v>
      </c>
    </row>
    <row r="41" spans="1:16">
      <c r="A41" s="68" t="s">
        <v>387</v>
      </c>
      <c r="B41" s="66">
        <v>1</v>
      </c>
      <c r="C41">
        <v>1</v>
      </c>
      <c r="E41" s="68">
        <v>2006</v>
      </c>
      <c r="F41" s="69">
        <v>156900</v>
      </c>
      <c r="N41" s="5" t="s">
        <v>1565</v>
      </c>
      <c r="O41" s="5">
        <v>2005</v>
      </c>
      <c r="P41" s="135">
        <v>5</v>
      </c>
    </row>
    <row r="42" spans="1:16">
      <c r="A42" s="68" t="s">
        <v>1890</v>
      </c>
      <c r="B42" s="66">
        <v>2</v>
      </c>
      <c r="C42">
        <v>1</v>
      </c>
      <c r="E42" s="68">
        <v>2007</v>
      </c>
      <c r="F42" s="69">
        <v>1049106</v>
      </c>
      <c r="N42" s="13"/>
      <c r="O42" s="68">
        <v>2006</v>
      </c>
      <c r="P42" s="136">
        <v>7</v>
      </c>
    </row>
    <row r="43" spans="1:16">
      <c r="A43" s="68" t="s">
        <v>1556</v>
      </c>
      <c r="B43" s="66">
        <v>3</v>
      </c>
      <c r="C43">
        <v>1</v>
      </c>
      <c r="E43" s="68">
        <v>2008</v>
      </c>
      <c r="F43" s="69">
        <v>1290000</v>
      </c>
      <c r="N43" s="13"/>
      <c r="O43" s="68">
        <v>2008</v>
      </c>
      <c r="P43" s="136"/>
    </row>
    <row r="44" spans="1:16">
      <c r="A44" s="68" t="s">
        <v>1661</v>
      </c>
      <c r="B44" s="66">
        <v>4</v>
      </c>
      <c r="C44">
        <v>1</v>
      </c>
      <c r="E44" s="68">
        <v>2009</v>
      </c>
      <c r="F44" s="69">
        <v>1108740</v>
      </c>
      <c r="N44" s="13"/>
      <c r="O44" s="68">
        <v>2010</v>
      </c>
      <c r="P44" s="136">
        <v>2</v>
      </c>
    </row>
    <row r="45" spans="1:16">
      <c r="A45" s="68" t="s">
        <v>2012</v>
      </c>
      <c r="B45" s="66">
        <v>2</v>
      </c>
      <c r="C45">
        <v>1</v>
      </c>
      <c r="E45" s="68">
        <v>2010</v>
      </c>
      <c r="F45" s="69">
        <v>17012052</v>
      </c>
      <c r="H45" s="6" t="s">
        <v>1767</v>
      </c>
      <c r="I45" s="12"/>
      <c r="J45" s="7"/>
      <c r="N45" s="13"/>
      <c r="O45" s="68">
        <v>2011</v>
      </c>
      <c r="P45" s="136"/>
    </row>
    <row r="46" spans="1:16">
      <c r="A46" s="68" t="s">
        <v>682</v>
      </c>
      <c r="B46" s="66">
        <v>9</v>
      </c>
      <c r="C46">
        <v>1</v>
      </c>
      <c r="E46" s="68">
        <v>2011</v>
      </c>
      <c r="F46" s="69">
        <v>200000</v>
      </c>
      <c r="H46" s="6" t="s">
        <v>210</v>
      </c>
      <c r="I46" s="6" t="s">
        <v>1868</v>
      </c>
      <c r="J46" s="7" t="s">
        <v>1871</v>
      </c>
      <c r="N46" s="5" t="s">
        <v>611</v>
      </c>
      <c r="O46" s="12"/>
      <c r="P46" s="135">
        <v>14</v>
      </c>
    </row>
    <row r="47" spans="1:16">
      <c r="A47" s="68" t="s">
        <v>1660</v>
      </c>
      <c r="B47" s="66">
        <v>5</v>
      </c>
      <c r="C47">
        <v>1</v>
      </c>
      <c r="E47" s="68" t="s">
        <v>288</v>
      </c>
      <c r="F47" s="69"/>
      <c r="H47" s="5">
        <v>2010</v>
      </c>
      <c r="I47" s="5" t="s">
        <v>121</v>
      </c>
      <c r="J47" s="15">
        <v>1</v>
      </c>
      <c r="N47" s="5" t="s">
        <v>1668</v>
      </c>
      <c r="O47" s="5">
        <v>2006</v>
      </c>
      <c r="P47" s="135">
        <v>4</v>
      </c>
    </row>
    <row r="48" spans="1:16">
      <c r="A48" s="68" t="s">
        <v>1034</v>
      </c>
      <c r="B48" s="66">
        <v>1</v>
      </c>
      <c r="C48">
        <v>1</v>
      </c>
      <c r="E48" s="9" t="s">
        <v>1207</v>
      </c>
      <c r="F48" s="219">
        <v>40491044.08845</v>
      </c>
      <c r="H48" s="13"/>
      <c r="I48" s="68" t="s">
        <v>1400</v>
      </c>
      <c r="J48" s="66">
        <v>1</v>
      </c>
      <c r="N48" s="13"/>
      <c r="O48" s="68">
        <v>2008</v>
      </c>
      <c r="P48" s="136">
        <v>1</v>
      </c>
    </row>
    <row r="49" spans="1:16">
      <c r="A49" s="68" t="s">
        <v>393</v>
      </c>
      <c r="B49" s="66">
        <v>1</v>
      </c>
      <c r="C49">
        <v>1</v>
      </c>
      <c r="H49" s="13"/>
      <c r="I49" s="68" t="s">
        <v>1879</v>
      </c>
      <c r="J49" s="66">
        <v>1</v>
      </c>
      <c r="N49" s="13"/>
      <c r="O49" s="68">
        <v>2009</v>
      </c>
      <c r="P49" s="136"/>
    </row>
    <row r="50" spans="1:16">
      <c r="A50" s="68" t="s">
        <v>1944</v>
      </c>
      <c r="B50" s="66">
        <v>6</v>
      </c>
      <c r="C50">
        <v>1</v>
      </c>
      <c r="H50" s="13"/>
      <c r="I50" s="68" t="s">
        <v>717</v>
      </c>
      <c r="J50" s="66">
        <v>1</v>
      </c>
      <c r="N50" s="13"/>
      <c r="O50" s="68">
        <v>2011</v>
      </c>
      <c r="P50" s="136">
        <v>2</v>
      </c>
    </row>
    <row r="51" spans="1:16">
      <c r="A51" s="68" t="s">
        <v>1565</v>
      </c>
      <c r="B51" s="66">
        <v>8</v>
      </c>
      <c r="C51">
        <v>1</v>
      </c>
      <c r="H51" s="13"/>
      <c r="I51" s="68" t="s">
        <v>1878</v>
      </c>
      <c r="J51" s="66">
        <v>1</v>
      </c>
      <c r="N51" s="5" t="s">
        <v>616</v>
      </c>
      <c r="O51" s="12"/>
      <c r="P51" s="135">
        <v>7</v>
      </c>
    </row>
    <row r="52" spans="1:16">
      <c r="A52" s="68" t="s">
        <v>1670</v>
      </c>
      <c r="B52" s="66">
        <v>4</v>
      </c>
      <c r="C52">
        <v>1</v>
      </c>
      <c r="H52" s="13"/>
      <c r="I52" s="68" t="s">
        <v>1661</v>
      </c>
      <c r="J52" s="66">
        <v>1</v>
      </c>
      <c r="N52" s="5" t="s">
        <v>1927</v>
      </c>
      <c r="O52" s="5">
        <v>2011</v>
      </c>
      <c r="P52" s="15">
        <v>6</v>
      </c>
    </row>
    <row r="53" spans="1:16">
      <c r="A53" s="68" t="s">
        <v>1005</v>
      </c>
      <c r="B53" s="66">
        <v>4</v>
      </c>
      <c r="C53">
        <v>1</v>
      </c>
      <c r="H53" s="13"/>
      <c r="I53" s="68" t="s">
        <v>682</v>
      </c>
      <c r="J53" s="66">
        <v>2</v>
      </c>
      <c r="N53" s="5" t="s">
        <v>841</v>
      </c>
      <c r="O53" s="12"/>
      <c r="P53" s="15">
        <v>6</v>
      </c>
    </row>
    <row r="54" spans="1:16">
      <c r="A54" s="68" t="s">
        <v>124</v>
      </c>
      <c r="B54" s="66">
        <v>2</v>
      </c>
      <c r="C54">
        <v>1</v>
      </c>
      <c r="H54" s="13"/>
      <c r="I54" s="68" t="s">
        <v>1565</v>
      </c>
      <c r="J54" s="66">
        <v>1</v>
      </c>
      <c r="N54" s="5" t="s">
        <v>1655</v>
      </c>
      <c r="O54" s="5">
        <v>2008</v>
      </c>
      <c r="P54" s="15">
        <v>6</v>
      </c>
    </row>
    <row r="55" spans="1:16">
      <c r="A55" s="68" t="s">
        <v>1750</v>
      </c>
      <c r="B55" s="66">
        <v>2</v>
      </c>
      <c r="C55">
        <v>1</v>
      </c>
      <c r="H55" s="13"/>
      <c r="I55" s="68" t="s">
        <v>1753</v>
      </c>
      <c r="J55" s="66">
        <v>1</v>
      </c>
      <c r="N55" s="5" t="s">
        <v>839</v>
      </c>
      <c r="O55" s="12"/>
      <c r="P55" s="15">
        <v>6</v>
      </c>
    </row>
    <row r="56" spans="1:16">
      <c r="A56" s="68" t="s">
        <v>1590</v>
      </c>
      <c r="B56" s="66">
        <v>6</v>
      </c>
      <c r="C56">
        <v>1</v>
      </c>
      <c r="H56" s="13"/>
      <c r="I56" s="68" t="s">
        <v>1876</v>
      </c>
      <c r="J56" s="66">
        <v>1</v>
      </c>
      <c r="N56" s="5" t="s">
        <v>1670</v>
      </c>
      <c r="O56" s="5">
        <v>2004</v>
      </c>
      <c r="P56" s="135">
        <v>6</v>
      </c>
    </row>
    <row r="57" spans="1:16">
      <c r="A57" s="68" t="s">
        <v>1936</v>
      </c>
      <c r="B57" s="66">
        <v>1</v>
      </c>
      <c r="C57">
        <v>1</v>
      </c>
      <c r="H57" s="13"/>
      <c r="I57" s="68" t="s">
        <v>1071</v>
      </c>
      <c r="J57" s="66">
        <v>1</v>
      </c>
      <c r="N57" s="5" t="s">
        <v>837</v>
      </c>
      <c r="O57" s="12"/>
      <c r="P57" s="135">
        <v>6</v>
      </c>
    </row>
    <row r="58" spans="1:16">
      <c r="A58" s="68" t="s">
        <v>126</v>
      </c>
      <c r="B58" s="66">
        <v>3</v>
      </c>
      <c r="C58">
        <v>1</v>
      </c>
      <c r="H58" s="13"/>
      <c r="I58" s="68" t="s">
        <v>35</v>
      </c>
      <c r="J58" s="66">
        <v>1</v>
      </c>
      <c r="N58" s="5" t="s">
        <v>1540</v>
      </c>
      <c r="O58" s="5">
        <v>2004</v>
      </c>
      <c r="P58" s="15">
        <v>5</v>
      </c>
    </row>
    <row r="59" spans="1:16">
      <c r="A59" s="68" t="s">
        <v>1605</v>
      </c>
      <c r="B59" s="66">
        <v>7</v>
      </c>
      <c r="C59">
        <v>1</v>
      </c>
      <c r="H59" s="13"/>
      <c r="I59" s="68" t="s">
        <v>1668</v>
      </c>
      <c r="J59" s="66">
        <v>1</v>
      </c>
      <c r="N59" s="13"/>
      <c r="O59" s="68">
        <v>2008</v>
      </c>
      <c r="P59" s="66"/>
    </row>
    <row r="60" spans="1:16">
      <c r="A60" s="68" t="s">
        <v>1753</v>
      </c>
      <c r="B60" s="66">
        <v>1</v>
      </c>
      <c r="C60">
        <v>1</v>
      </c>
      <c r="H60" s="13"/>
      <c r="I60" s="68" t="s">
        <v>1604</v>
      </c>
      <c r="J60" s="66">
        <v>1</v>
      </c>
      <c r="N60" s="5" t="s">
        <v>607</v>
      </c>
      <c r="O60" s="12"/>
      <c r="P60" s="15">
        <v>5</v>
      </c>
    </row>
    <row r="61" spans="1:16">
      <c r="A61" s="68" t="s">
        <v>505</v>
      </c>
      <c r="B61" s="66">
        <v>1</v>
      </c>
      <c r="C61">
        <v>1</v>
      </c>
      <c r="H61" s="13"/>
      <c r="I61" s="68" t="s">
        <v>2026</v>
      </c>
      <c r="J61" s="66">
        <v>1</v>
      </c>
      <c r="K61" s="12"/>
      <c r="L61" s="15"/>
      <c r="N61" s="5" t="s">
        <v>1564</v>
      </c>
      <c r="O61" s="5">
        <v>2007</v>
      </c>
      <c r="P61" s="135">
        <v>5</v>
      </c>
    </row>
    <row r="62" spans="1:16">
      <c r="A62" s="68" t="s">
        <v>594</v>
      </c>
      <c r="B62" s="66">
        <v>2</v>
      </c>
      <c r="C62">
        <v>1</v>
      </c>
      <c r="H62" s="13"/>
      <c r="I62" s="68" t="s">
        <v>1927</v>
      </c>
      <c r="J62" s="66">
        <v>1</v>
      </c>
      <c r="K62" s="46"/>
      <c r="L62" s="86"/>
      <c r="N62" s="13"/>
      <c r="O62" s="68">
        <v>2008</v>
      </c>
      <c r="P62" s="136"/>
    </row>
    <row r="63" spans="1:16">
      <c r="A63" s="68" t="s">
        <v>1544</v>
      </c>
      <c r="B63" s="66">
        <v>1</v>
      </c>
      <c r="C63">
        <v>1</v>
      </c>
      <c r="H63" s="13"/>
      <c r="I63" s="68" t="s">
        <v>1379</v>
      </c>
      <c r="J63" s="66">
        <v>1</v>
      </c>
      <c r="K63" s="46"/>
      <c r="L63" s="86"/>
      <c r="N63" s="5" t="s">
        <v>836</v>
      </c>
      <c r="O63" s="12"/>
      <c r="P63" s="135">
        <v>5</v>
      </c>
    </row>
    <row r="64" spans="1:16">
      <c r="A64" s="68" t="s">
        <v>1657</v>
      </c>
      <c r="B64" s="66">
        <v>1</v>
      </c>
      <c r="C64">
        <v>1</v>
      </c>
      <c r="H64" s="13"/>
      <c r="I64" s="68" t="s">
        <v>1669</v>
      </c>
      <c r="J64" s="66">
        <v>1</v>
      </c>
      <c r="K64" s="46"/>
      <c r="L64" s="86"/>
      <c r="N64" s="5" t="s">
        <v>2026</v>
      </c>
      <c r="O64" s="5">
        <v>2006</v>
      </c>
      <c r="P64" s="135"/>
    </row>
    <row r="65" spans="1:16">
      <c r="A65" s="68" t="s">
        <v>1564</v>
      </c>
      <c r="B65" s="66">
        <v>3</v>
      </c>
      <c r="C65">
        <v>1</v>
      </c>
      <c r="H65" s="13"/>
      <c r="I65" s="68" t="s">
        <v>1947</v>
      </c>
      <c r="J65" s="66">
        <v>1</v>
      </c>
      <c r="K65" s="46"/>
      <c r="L65" s="86"/>
      <c r="N65" s="13"/>
      <c r="O65" s="68">
        <v>2007</v>
      </c>
      <c r="P65" s="136">
        <v>2</v>
      </c>
    </row>
    <row r="66" spans="1:16">
      <c r="A66" s="68" t="s">
        <v>1651</v>
      </c>
      <c r="B66" s="66">
        <v>4</v>
      </c>
      <c r="C66">
        <v>1</v>
      </c>
      <c r="H66" s="5" t="s">
        <v>282</v>
      </c>
      <c r="I66" s="12"/>
      <c r="J66" s="15">
        <v>20</v>
      </c>
      <c r="K66" s="46"/>
      <c r="L66" s="86"/>
      <c r="N66" s="13"/>
      <c r="O66" s="68">
        <v>2008</v>
      </c>
      <c r="P66" s="136">
        <v>1</v>
      </c>
    </row>
    <row r="67" spans="1:16">
      <c r="A67" s="68" t="s">
        <v>2010</v>
      </c>
      <c r="B67" s="66">
        <v>1</v>
      </c>
      <c r="C67">
        <v>1</v>
      </c>
      <c r="H67" s="5">
        <v>1985</v>
      </c>
      <c r="I67" s="5" t="s">
        <v>288</v>
      </c>
      <c r="J67" s="15"/>
      <c r="K67" s="46"/>
      <c r="L67" s="86"/>
      <c r="N67" s="13"/>
      <c r="O67" s="68">
        <v>2010</v>
      </c>
      <c r="P67" s="136">
        <v>2</v>
      </c>
    </row>
    <row r="68" spans="1:16">
      <c r="A68" s="68" t="s">
        <v>1876</v>
      </c>
      <c r="B68" s="66">
        <v>17</v>
      </c>
      <c r="C68">
        <v>1</v>
      </c>
      <c r="H68" s="5" t="s">
        <v>222</v>
      </c>
      <c r="I68" s="12"/>
      <c r="J68" s="15"/>
      <c r="K68" s="46"/>
      <c r="L68" s="86"/>
      <c r="N68" s="13"/>
      <c r="O68" s="68">
        <v>2011</v>
      </c>
      <c r="P68" s="136"/>
    </row>
    <row r="69" spans="1:16">
      <c r="A69" s="68" t="s">
        <v>1071</v>
      </c>
      <c r="B69" s="66">
        <v>1</v>
      </c>
      <c r="C69">
        <v>1</v>
      </c>
      <c r="H69" s="5">
        <v>1988</v>
      </c>
      <c r="I69" s="5" t="s">
        <v>288</v>
      </c>
      <c r="J69" s="15"/>
      <c r="K69" s="46"/>
      <c r="L69" s="86"/>
      <c r="N69" s="5" t="s">
        <v>1201</v>
      </c>
      <c r="O69" s="12"/>
      <c r="P69" s="135">
        <v>5</v>
      </c>
    </row>
    <row r="70" spans="1:16">
      <c r="A70" s="68" t="s">
        <v>1563</v>
      </c>
      <c r="B70" s="66">
        <v>3</v>
      </c>
      <c r="C70">
        <v>1</v>
      </c>
      <c r="H70" s="5" t="s">
        <v>223</v>
      </c>
      <c r="I70" s="12"/>
      <c r="J70" s="15"/>
      <c r="K70" s="46"/>
      <c r="L70" s="86"/>
      <c r="N70" s="5" t="s">
        <v>1876</v>
      </c>
      <c r="O70" s="5">
        <v>2004</v>
      </c>
      <c r="P70" s="135">
        <v>2</v>
      </c>
    </row>
    <row r="71" spans="1:16">
      <c r="A71" s="68" t="s">
        <v>1394</v>
      </c>
      <c r="B71" s="66">
        <v>1</v>
      </c>
      <c r="C71">
        <v>1</v>
      </c>
      <c r="H71" s="5">
        <v>1994</v>
      </c>
      <c r="I71" s="5" t="s">
        <v>288</v>
      </c>
      <c r="J71" s="15"/>
      <c r="K71" s="46"/>
      <c r="L71" s="86"/>
      <c r="N71" s="13"/>
      <c r="O71" s="68">
        <v>2006</v>
      </c>
      <c r="P71" s="136"/>
    </row>
    <row r="72" spans="1:16">
      <c r="A72" s="68" t="s">
        <v>85</v>
      </c>
      <c r="B72" s="66">
        <v>1</v>
      </c>
      <c r="C72">
        <v>1</v>
      </c>
      <c r="H72" s="5" t="s">
        <v>217</v>
      </c>
      <c r="I72" s="12"/>
      <c r="J72" s="15"/>
      <c r="K72" s="46"/>
      <c r="L72" s="86"/>
      <c r="N72" s="13"/>
      <c r="O72" s="68">
        <v>2007</v>
      </c>
      <c r="P72" s="136"/>
    </row>
    <row r="73" spans="1:16">
      <c r="A73" s="68" t="s">
        <v>35</v>
      </c>
      <c r="B73" s="66">
        <v>3</v>
      </c>
      <c r="C73">
        <v>1</v>
      </c>
      <c r="H73" s="5">
        <v>1998</v>
      </c>
      <c r="I73" s="5" t="s">
        <v>288</v>
      </c>
      <c r="J73" s="15"/>
      <c r="K73" s="46"/>
      <c r="L73" s="86"/>
      <c r="N73" s="13"/>
      <c r="O73" s="68">
        <v>2008</v>
      </c>
      <c r="P73" s="136">
        <v>2</v>
      </c>
    </row>
    <row r="74" spans="1:16">
      <c r="A74" s="68" t="s">
        <v>1886</v>
      </c>
      <c r="B74" s="66">
        <v>6</v>
      </c>
      <c r="C74">
        <v>1</v>
      </c>
      <c r="H74" s="5" t="s">
        <v>224</v>
      </c>
      <c r="I74" s="12"/>
      <c r="J74" s="15"/>
      <c r="K74" s="46"/>
      <c r="L74" s="86"/>
      <c r="N74" s="13"/>
      <c r="O74" s="68">
        <v>2010</v>
      </c>
      <c r="P74" s="136">
        <v>1</v>
      </c>
    </row>
    <row r="75" spans="1:16">
      <c r="A75" s="68" t="s">
        <v>2022</v>
      </c>
      <c r="B75" s="66">
        <v>1</v>
      </c>
      <c r="C75">
        <v>1</v>
      </c>
      <c r="H75" s="5">
        <v>2011</v>
      </c>
      <c r="I75" s="5" t="s">
        <v>1653</v>
      </c>
      <c r="J75" s="15">
        <v>1</v>
      </c>
      <c r="K75" s="46"/>
      <c r="L75" s="86"/>
      <c r="N75" s="13"/>
      <c r="O75" s="68">
        <v>2011</v>
      </c>
      <c r="P75" s="136"/>
    </row>
    <row r="76" spans="1:16">
      <c r="A76" s="68" t="s">
        <v>1598</v>
      </c>
      <c r="B76" s="66">
        <v>1</v>
      </c>
      <c r="C76">
        <v>1</v>
      </c>
      <c r="H76" s="13"/>
      <c r="I76" s="68" t="s">
        <v>1936</v>
      </c>
      <c r="J76" s="66">
        <v>1</v>
      </c>
      <c r="K76" s="46"/>
      <c r="L76" s="86"/>
      <c r="N76" s="5" t="s">
        <v>614</v>
      </c>
      <c r="O76" s="12"/>
      <c r="P76" s="135">
        <v>5</v>
      </c>
    </row>
    <row r="77" spans="1:16">
      <c r="A77" s="68" t="s">
        <v>1668</v>
      </c>
      <c r="B77" s="66">
        <v>6</v>
      </c>
      <c r="C77">
        <v>1</v>
      </c>
      <c r="H77" s="13"/>
      <c r="I77" s="68" t="s">
        <v>1544</v>
      </c>
      <c r="J77" s="66">
        <v>1</v>
      </c>
      <c r="K77" s="46"/>
      <c r="L77" s="86"/>
      <c r="N77" s="9" t="s">
        <v>1207</v>
      </c>
      <c r="O77" s="16"/>
      <c r="P77" s="208">
        <v>167</v>
      </c>
    </row>
    <row r="78" spans="1:16">
      <c r="A78" s="68" t="s">
        <v>974</v>
      </c>
      <c r="B78" s="66">
        <v>2</v>
      </c>
      <c r="C78">
        <v>1</v>
      </c>
      <c r="H78" s="13"/>
      <c r="I78" s="68" t="s">
        <v>85</v>
      </c>
      <c r="J78" s="66">
        <v>1</v>
      </c>
      <c r="K78" s="46"/>
      <c r="L78" s="86"/>
    </row>
    <row r="79" spans="1:16">
      <c r="A79" s="68" t="s">
        <v>1604</v>
      </c>
      <c r="B79" s="66">
        <v>7</v>
      </c>
      <c r="C79">
        <v>1</v>
      </c>
      <c r="H79" s="13"/>
      <c r="I79" s="68" t="s">
        <v>398</v>
      </c>
      <c r="J79" s="66">
        <v>1</v>
      </c>
      <c r="K79" s="46"/>
      <c r="L79" s="86"/>
    </row>
    <row r="80" spans="1:16">
      <c r="A80" s="68" t="s">
        <v>898</v>
      </c>
      <c r="B80" s="66">
        <v>1</v>
      </c>
      <c r="C80">
        <v>1</v>
      </c>
      <c r="H80" s="13"/>
      <c r="I80" s="68" t="s">
        <v>15</v>
      </c>
      <c r="J80" s="66">
        <v>1</v>
      </c>
      <c r="K80" s="46"/>
      <c r="L80" s="86"/>
    </row>
    <row r="81" spans="1:12">
      <c r="A81" s="68" t="s">
        <v>398</v>
      </c>
      <c r="B81" s="66">
        <v>2</v>
      </c>
      <c r="C81">
        <v>1</v>
      </c>
      <c r="H81" s="13"/>
      <c r="I81" s="68" t="s">
        <v>584</v>
      </c>
      <c r="J81" s="66">
        <v>1</v>
      </c>
      <c r="K81" s="46"/>
      <c r="L81" s="86"/>
    </row>
    <row r="82" spans="1:12">
      <c r="A82" s="68" t="s">
        <v>1655</v>
      </c>
      <c r="B82" s="66">
        <v>4</v>
      </c>
      <c r="C82">
        <v>1</v>
      </c>
      <c r="H82" s="5" t="s">
        <v>370</v>
      </c>
      <c r="I82" s="12"/>
      <c r="J82" s="15">
        <v>7</v>
      </c>
      <c r="K82" s="46"/>
      <c r="L82" s="86"/>
    </row>
    <row r="83" spans="1:12">
      <c r="A83" s="68" t="s">
        <v>2026</v>
      </c>
      <c r="B83" s="66">
        <v>5</v>
      </c>
      <c r="C83">
        <v>1</v>
      </c>
      <c r="H83" s="5" t="s">
        <v>288</v>
      </c>
      <c r="I83" s="5" t="s">
        <v>288</v>
      </c>
      <c r="J83" s="15"/>
      <c r="K83" s="46"/>
      <c r="L83" s="86"/>
    </row>
    <row r="84" spans="1:12">
      <c r="A84" s="68" t="s">
        <v>386</v>
      </c>
      <c r="B84" s="66">
        <v>2</v>
      </c>
      <c r="C84">
        <v>1</v>
      </c>
      <c r="H84" s="5" t="s">
        <v>1120</v>
      </c>
      <c r="I84" s="12"/>
      <c r="J84" s="15"/>
      <c r="K84" s="46"/>
      <c r="L84" s="86"/>
    </row>
    <row r="85" spans="1:12">
      <c r="A85" s="68" t="s">
        <v>1939</v>
      </c>
      <c r="B85" s="66">
        <v>3</v>
      </c>
      <c r="C85">
        <v>1</v>
      </c>
      <c r="H85" s="9" t="s">
        <v>1207</v>
      </c>
      <c r="I85" s="16"/>
      <c r="J85" s="14">
        <v>27</v>
      </c>
      <c r="K85" s="46"/>
      <c r="L85" s="86"/>
    </row>
    <row r="86" spans="1:12">
      <c r="A86" s="68" t="s">
        <v>47</v>
      </c>
      <c r="B86" s="66">
        <v>1</v>
      </c>
      <c r="C86">
        <v>1</v>
      </c>
      <c r="H86" s="46"/>
      <c r="I86" s="46"/>
      <c r="J86" s="46"/>
      <c r="K86" s="46"/>
      <c r="L86" s="86"/>
    </row>
    <row r="87" spans="1:12">
      <c r="A87" s="68" t="s">
        <v>1902</v>
      </c>
      <c r="B87" s="66">
        <v>1</v>
      </c>
      <c r="C87">
        <v>1</v>
      </c>
      <c r="H87" s="46"/>
      <c r="I87" s="46"/>
      <c r="J87" s="46"/>
      <c r="K87" s="46"/>
      <c r="L87" s="86"/>
    </row>
    <row r="88" spans="1:12">
      <c r="A88" s="68" t="s">
        <v>391</v>
      </c>
      <c r="B88" s="66">
        <v>1</v>
      </c>
      <c r="C88">
        <v>1</v>
      </c>
      <c r="H88" s="46"/>
      <c r="I88" s="46"/>
      <c r="J88" s="46"/>
      <c r="K88" s="46"/>
      <c r="L88" s="86"/>
    </row>
    <row r="89" spans="1:12">
      <c r="A89" s="68" t="s">
        <v>1897</v>
      </c>
      <c r="B89" s="66">
        <v>2</v>
      </c>
      <c r="C89">
        <v>1</v>
      </c>
      <c r="H89" s="46"/>
      <c r="I89" s="46"/>
      <c r="J89" s="46"/>
      <c r="K89" s="46"/>
      <c r="L89" s="86"/>
    </row>
    <row r="90" spans="1:12">
      <c r="A90" s="68" t="s">
        <v>420</v>
      </c>
      <c r="B90" s="66">
        <v>5</v>
      </c>
      <c r="C90">
        <v>1</v>
      </c>
      <c r="H90" s="46"/>
      <c r="I90" s="46"/>
      <c r="J90" s="46"/>
      <c r="K90" s="46"/>
      <c r="L90" s="86"/>
    </row>
    <row r="91" spans="1:12">
      <c r="A91" s="68" t="s">
        <v>1559</v>
      </c>
      <c r="B91" s="66">
        <v>3</v>
      </c>
      <c r="C91">
        <v>1</v>
      </c>
      <c r="H91" s="46"/>
      <c r="I91" s="46"/>
      <c r="J91" s="46"/>
      <c r="K91" s="46"/>
      <c r="L91" s="86"/>
    </row>
    <row r="92" spans="1:12">
      <c r="A92" s="68" t="s">
        <v>401</v>
      </c>
      <c r="B92" s="66">
        <v>3</v>
      </c>
      <c r="C92">
        <v>1</v>
      </c>
      <c r="H92" s="46"/>
      <c r="I92" s="46"/>
      <c r="J92" s="46"/>
      <c r="K92" s="46"/>
      <c r="L92" s="86"/>
    </row>
    <row r="93" spans="1:12">
      <c r="A93" s="68" t="s">
        <v>422</v>
      </c>
      <c r="B93" s="66">
        <v>1</v>
      </c>
      <c r="C93">
        <v>1</v>
      </c>
      <c r="H93" s="46"/>
      <c r="I93" s="46"/>
      <c r="J93" s="46"/>
      <c r="K93" s="46"/>
      <c r="L93" s="86"/>
    </row>
    <row r="94" spans="1:12">
      <c r="A94" s="68" t="s">
        <v>1637</v>
      </c>
      <c r="B94" s="66">
        <v>5</v>
      </c>
      <c r="C94">
        <v>1</v>
      </c>
      <c r="H94" s="46"/>
      <c r="I94" s="46"/>
      <c r="J94" s="46"/>
      <c r="K94" s="46"/>
      <c r="L94" s="86"/>
    </row>
    <row r="95" spans="1:12">
      <c r="A95" s="68" t="s">
        <v>1552</v>
      </c>
      <c r="B95" s="66">
        <v>1</v>
      </c>
      <c r="C95">
        <v>1</v>
      </c>
      <c r="H95" s="46"/>
      <c r="I95" s="46"/>
      <c r="J95" s="46"/>
      <c r="K95" s="46"/>
      <c r="L95" s="86"/>
    </row>
    <row r="96" spans="1:12">
      <c r="A96" s="68" t="s">
        <v>1557</v>
      </c>
      <c r="B96" s="66">
        <v>1</v>
      </c>
      <c r="C96">
        <v>1</v>
      </c>
      <c r="H96" s="46"/>
      <c r="I96" s="46"/>
      <c r="J96" s="46"/>
      <c r="K96" s="46"/>
      <c r="L96" s="86"/>
    </row>
    <row r="97" spans="1:12">
      <c r="A97" s="68" t="s">
        <v>1992</v>
      </c>
      <c r="B97" s="66">
        <v>6</v>
      </c>
      <c r="C97">
        <v>1</v>
      </c>
      <c r="H97" s="46"/>
      <c r="I97" s="46"/>
      <c r="J97" s="46"/>
      <c r="K97" s="46"/>
      <c r="L97" s="86"/>
    </row>
    <row r="98" spans="1:12">
      <c r="A98" s="68" t="s">
        <v>196</v>
      </c>
      <c r="B98" s="66">
        <v>1</v>
      </c>
      <c r="C98">
        <v>1</v>
      </c>
      <c r="H98" s="46"/>
      <c r="I98" s="46"/>
      <c r="J98" s="46"/>
      <c r="K98" s="46"/>
      <c r="L98" s="86"/>
    </row>
    <row r="99" spans="1:12">
      <c r="A99" s="68" t="s">
        <v>1608</v>
      </c>
      <c r="B99" s="66">
        <v>3</v>
      </c>
      <c r="C99">
        <v>1</v>
      </c>
      <c r="H99" s="46"/>
      <c r="I99" s="46"/>
      <c r="J99" s="46"/>
      <c r="K99" s="46"/>
      <c r="L99" s="86"/>
    </row>
    <row r="100" spans="1:12">
      <c r="A100" s="68" t="s">
        <v>1934</v>
      </c>
      <c r="B100" s="66">
        <v>3</v>
      </c>
      <c r="C100">
        <v>1</v>
      </c>
      <c r="H100" s="46"/>
      <c r="I100" s="46"/>
      <c r="J100" s="46"/>
      <c r="K100" s="46"/>
      <c r="L100" s="86"/>
    </row>
    <row r="101" spans="1:12">
      <c r="A101" s="68" t="s">
        <v>355</v>
      </c>
      <c r="B101" s="66">
        <v>1</v>
      </c>
      <c r="C101">
        <v>1</v>
      </c>
      <c r="H101" s="46"/>
      <c r="I101" s="46"/>
      <c r="J101" s="46"/>
      <c r="K101" s="46"/>
      <c r="L101" s="86"/>
    </row>
    <row r="102" spans="1:12">
      <c r="A102" s="68" t="s">
        <v>1379</v>
      </c>
      <c r="B102" s="66">
        <v>2</v>
      </c>
      <c r="C102">
        <v>1</v>
      </c>
      <c r="H102" s="46"/>
      <c r="I102" s="46"/>
      <c r="J102" s="46"/>
      <c r="K102" s="46"/>
      <c r="L102" s="86"/>
    </row>
    <row r="103" spans="1:12">
      <c r="A103" s="68" t="s">
        <v>727</v>
      </c>
      <c r="B103" s="66">
        <v>2</v>
      </c>
      <c r="C103">
        <v>1</v>
      </c>
      <c r="H103" s="46"/>
      <c r="I103" s="46"/>
      <c r="J103" s="46"/>
      <c r="K103" s="46"/>
      <c r="L103" s="86"/>
    </row>
    <row r="104" spans="1:12">
      <c r="A104" s="68" t="s">
        <v>887</v>
      </c>
      <c r="B104" s="66">
        <v>1</v>
      </c>
      <c r="C104">
        <v>1</v>
      </c>
      <c r="H104" s="46"/>
      <c r="I104" s="46"/>
      <c r="J104" s="46"/>
      <c r="K104" s="46"/>
      <c r="L104" s="86"/>
    </row>
    <row r="105" spans="1:12">
      <c r="A105" s="68" t="s">
        <v>1883</v>
      </c>
      <c r="B105" s="66">
        <v>5</v>
      </c>
      <c r="C105">
        <v>1</v>
      </c>
      <c r="H105" s="46"/>
      <c r="I105" s="46"/>
      <c r="J105" s="46"/>
      <c r="K105" s="46"/>
      <c r="L105" s="86"/>
    </row>
    <row r="106" spans="1:12">
      <c r="A106" s="68" t="s">
        <v>1671</v>
      </c>
      <c r="B106" s="66">
        <v>1</v>
      </c>
      <c r="C106">
        <v>1</v>
      </c>
      <c r="H106" s="46"/>
      <c r="I106" s="46"/>
      <c r="J106" s="46"/>
      <c r="K106" s="46"/>
      <c r="L106" s="86"/>
    </row>
    <row r="107" spans="1:12">
      <c r="A107" s="68" t="s">
        <v>1116</v>
      </c>
      <c r="B107" s="66">
        <v>2</v>
      </c>
      <c r="C107">
        <v>1</v>
      </c>
      <c r="H107" s="46"/>
      <c r="I107" s="46"/>
      <c r="J107" s="46"/>
      <c r="K107" s="46"/>
      <c r="L107" s="86"/>
    </row>
    <row r="108" spans="1:12">
      <c r="A108" s="68" t="s">
        <v>198</v>
      </c>
      <c r="B108" s="66">
        <v>1</v>
      </c>
      <c r="C108">
        <v>1</v>
      </c>
      <c r="H108" s="46"/>
      <c r="I108" s="46"/>
      <c r="J108" s="46"/>
      <c r="K108" s="46"/>
      <c r="L108" s="86"/>
    </row>
    <row r="109" spans="1:12">
      <c r="A109" s="68" t="s">
        <v>28</v>
      </c>
      <c r="B109" s="66">
        <v>1</v>
      </c>
      <c r="C109">
        <v>1</v>
      </c>
      <c r="H109" s="46"/>
      <c r="I109" s="46"/>
      <c r="J109" s="46"/>
      <c r="K109" s="46"/>
      <c r="L109" s="86"/>
    </row>
    <row r="110" spans="1:12">
      <c r="A110" s="68" t="s">
        <v>1669</v>
      </c>
      <c r="B110" s="66">
        <v>2</v>
      </c>
      <c r="C110">
        <v>1</v>
      </c>
      <c r="H110" s="46"/>
      <c r="I110" s="46"/>
      <c r="J110" s="46"/>
      <c r="K110" s="46"/>
      <c r="L110" s="86"/>
    </row>
    <row r="111" spans="1:12">
      <c r="A111" s="68" t="s">
        <v>1558</v>
      </c>
      <c r="B111" s="66">
        <v>2</v>
      </c>
      <c r="C111">
        <v>1</v>
      </c>
      <c r="H111" s="46"/>
      <c r="I111" s="46"/>
      <c r="J111" s="46"/>
      <c r="K111" s="46"/>
      <c r="L111" s="86"/>
    </row>
    <row r="112" spans="1:12">
      <c r="A112" s="68" t="s">
        <v>1947</v>
      </c>
      <c r="B112" s="66">
        <v>9</v>
      </c>
      <c r="C112">
        <v>1</v>
      </c>
      <c r="H112" s="46"/>
      <c r="I112" s="46"/>
      <c r="J112" s="46"/>
      <c r="K112" s="46"/>
      <c r="L112" s="86"/>
    </row>
    <row r="113" spans="1:12">
      <c r="A113" s="68" t="s">
        <v>195</v>
      </c>
      <c r="B113" s="66">
        <v>1</v>
      </c>
      <c r="C113">
        <v>1</v>
      </c>
      <c r="H113" s="46"/>
      <c r="I113" s="46"/>
      <c r="J113" s="46"/>
      <c r="K113" s="46"/>
      <c r="L113" s="86"/>
    </row>
    <row r="114" spans="1:12">
      <c r="A114" s="68" t="s">
        <v>722</v>
      </c>
      <c r="B114" s="66">
        <v>1</v>
      </c>
      <c r="C114">
        <v>1</v>
      </c>
      <c r="H114" s="46"/>
      <c r="I114" s="46"/>
      <c r="J114" s="46"/>
      <c r="K114" s="46"/>
      <c r="L114" s="86"/>
    </row>
    <row r="115" spans="1:12">
      <c r="A115" s="68" t="s">
        <v>1562</v>
      </c>
      <c r="B115" s="66">
        <v>3</v>
      </c>
      <c r="C115">
        <v>1</v>
      </c>
      <c r="H115" s="46"/>
      <c r="I115" s="46"/>
      <c r="J115" s="46"/>
      <c r="K115" s="46"/>
      <c r="L115" s="86"/>
    </row>
    <row r="116" spans="1:12">
      <c r="A116" s="68" t="s">
        <v>288</v>
      </c>
      <c r="B116" s="66"/>
      <c r="C116">
        <v>1</v>
      </c>
      <c r="H116" s="46"/>
      <c r="I116" s="46"/>
      <c r="J116" s="46"/>
      <c r="K116" s="46"/>
      <c r="L116" s="86"/>
    </row>
    <row r="117" spans="1:12">
      <c r="A117" s="68" t="s">
        <v>1927</v>
      </c>
      <c r="B117" s="66">
        <v>1</v>
      </c>
      <c r="H117" s="46"/>
      <c r="I117" s="46"/>
      <c r="J117" s="46"/>
      <c r="K117" s="46"/>
      <c r="L117" s="86"/>
    </row>
    <row r="118" spans="1:12">
      <c r="A118" s="68" t="s">
        <v>691</v>
      </c>
      <c r="B118" s="66">
        <v>1</v>
      </c>
      <c r="C118">
        <v>1</v>
      </c>
      <c r="H118" s="46"/>
      <c r="I118" s="46"/>
      <c r="J118" s="46"/>
      <c r="K118" s="46"/>
      <c r="L118" s="86"/>
    </row>
    <row r="119" spans="1:12">
      <c r="A119" s="68" t="s">
        <v>1435</v>
      </c>
      <c r="B119" s="66">
        <v>1</v>
      </c>
      <c r="H119" s="46"/>
      <c r="I119" s="46"/>
      <c r="J119" s="46"/>
      <c r="K119" s="46"/>
      <c r="L119" s="86"/>
    </row>
    <row r="120" spans="1:12">
      <c r="A120" s="9" t="s">
        <v>1207</v>
      </c>
      <c r="B120" s="14">
        <v>323</v>
      </c>
      <c r="H120" s="46"/>
      <c r="I120" s="46"/>
      <c r="J120" s="46"/>
      <c r="K120" s="46"/>
      <c r="L120" s="86"/>
    </row>
    <row r="121" spans="1:12">
      <c r="H121" s="46"/>
      <c r="I121" s="46"/>
      <c r="J121" s="46"/>
      <c r="K121" s="46"/>
      <c r="L121" s="86"/>
    </row>
    <row r="122" spans="1:12">
      <c r="H122" s="46"/>
      <c r="I122" s="46"/>
      <c r="J122" s="46"/>
      <c r="K122" s="46"/>
      <c r="L122" s="86"/>
    </row>
    <row r="123" spans="1:12">
      <c r="H123" s="46"/>
      <c r="I123" s="46"/>
      <c r="J123" s="46"/>
      <c r="K123" s="46"/>
      <c r="L123" s="86"/>
    </row>
    <row r="124" spans="1:12">
      <c r="H124" s="46"/>
      <c r="I124" s="46"/>
      <c r="J124" s="46"/>
      <c r="K124" s="46"/>
      <c r="L124" s="86"/>
    </row>
    <row r="125" spans="1:12">
      <c r="H125" s="46"/>
      <c r="I125" s="46"/>
      <c r="J125" s="46"/>
      <c r="K125" s="46"/>
      <c r="L125" s="86"/>
    </row>
    <row r="126" spans="1:12">
      <c r="H126" s="46"/>
      <c r="I126" s="46"/>
      <c r="J126" s="46"/>
      <c r="K126" s="46"/>
      <c r="L126" s="86"/>
    </row>
    <row r="127" spans="1:12">
      <c r="H127" s="46"/>
      <c r="I127" s="46"/>
      <c r="J127" s="46"/>
      <c r="K127" s="46"/>
      <c r="L127" s="86"/>
    </row>
    <row r="128" spans="1:12">
      <c r="H128" s="46"/>
      <c r="I128" s="46"/>
      <c r="J128" s="46"/>
      <c r="K128" s="46"/>
      <c r="L128" s="46"/>
    </row>
    <row r="129" spans="1:20">
      <c r="H129" s="46"/>
      <c r="I129" s="46"/>
      <c r="J129" s="46"/>
      <c r="K129" s="46"/>
      <c r="L129" s="46"/>
    </row>
    <row r="130" spans="1:20">
      <c r="H130" s="46"/>
      <c r="I130" s="46"/>
      <c r="J130" s="46"/>
      <c r="K130" s="46"/>
      <c r="L130" s="46"/>
    </row>
    <row r="131" spans="1:20">
      <c r="H131" s="46"/>
      <c r="I131" s="46"/>
      <c r="J131" s="46"/>
      <c r="K131" s="46"/>
      <c r="L131" s="46"/>
    </row>
    <row r="135" spans="1:20">
      <c r="A135" s="6" t="s">
        <v>2038</v>
      </c>
      <c r="B135" s="6" t="s">
        <v>572</v>
      </c>
      <c r="C135" s="12"/>
      <c r="D135" s="12"/>
      <c r="E135" s="12"/>
      <c r="F135" s="12"/>
      <c r="G135" s="12"/>
      <c r="H135" s="12"/>
      <c r="I135" s="12"/>
      <c r="J135" s="12"/>
      <c r="K135" s="12"/>
      <c r="L135" s="12"/>
      <c r="M135" s="12"/>
      <c r="N135" s="12"/>
      <c r="O135" s="12"/>
      <c r="P135" s="12"/>
      <c r="Q135" s="12"/>
      <c r="R135" s="12"/>
      <c r="S135" s="12"/>
      <c r="T135" s="60"/>
    </row>
    <row r="136" spans="1:20">
      <c r="A136" s="6" t="s">
        <v>1209</v>
      </c>
      <c r="B136" s="5">
        <v>1986</v>
      </c>
      <c r="C136" s="227">
        <v>1989</v>
      </c>
      <c r="D136" s="227">
        <v>1994</v>
      </c>
      <c r="E136" s="227">
        <v>1999</v>
      </c>
      <c r="F136" s="227">
        <v>2000</v>
      </c>
      <c r="G136" s="227">
        <v>2001</v>
      </c>
      <c r="H136" s="227">
        <v>2002</v>
      </c>
      <c r="I136" s="227">
        <v>2003</v>
      </c>
      <c r="J136" s="227">
        <v>2004</v>
      </c>
      <c r="K136" s="227">
        <v>2005</v>
      </c>
      <c r="L136" s="227">
        <v>2006</v>
      </c>
      <c r="M136" s="227">
        <v>2007</v>
      </c>
      <c r="N136" s="227">
        <v>2008</v>
      </c>
      <c r="O136" s="227">
        <v>2009</v>
      </c>
      <c r="P136" s="227">
        <v>2010</v>
      </c>
      <c r="Q136" s="227">
        <v>2011</v>
      </c>
      <c r="R136" s="227">
        <v>2012</v>
      </c>
      <c r="S136" s="227" t="s">
        <v>288</v>
      </c>
      <c r="T136" s="7" t="s">
        <v>1207</v>
      </c>
    </row>
    <row r="137" spans="1:20">
      <c r="A137" s="5" t="s">
        <v>1210</v>
      </c>
      <c r="B137" s="608"/>
      <c r="C137" s="609"/>
      <c r="D137" s="609"/>
      <c r="E137" s="609">
        <v>1</v>
      </c>
      <c r="F137" s="609">
        <v>5</v>
      </c>
      <c r="G137" s="609">
        <v>3</v>
      </c>
      <c r="H137" s="609">
        <v>4</v>
      </c>
      <c r="I137" s="609">
        <v>2</v>
      </c>
      <c r="J137" s="609">
        <v>3</v>
      </c>
      <c r="K137" s="609">
        <v>2</v>
      </c>
      <c r="L137" s="609">
        <v>9</v>
      </c>
      <c r="M137" s="609">
        <v>9</v>
      </c>
      <c r="N137" s="609">
        <v>11</v>
      </c>
      <c r="O137" s="609">
        <v>8</v>
      </c>
      <c r="P137" s="609">
        <v>4</v>
      </c>
      <c r="Q137" s="609">
        <v>2</v>
      </c>
      <c r="R137" s="609">
        <v>1</v>
      </c>
      <c r="S137" s="609"/>
      <c r="T137" s="15">
        <v>64</v>
      </c>
    </row>
    <row r="138" spans="1:20">
      <c r="A138" s="68" t="s">
        <v>570</v>
      </c>
      <c r="B138" s="610"/>
      <c r="C138" s="611"/>
      <c r="D138" s="611"/>
      <c r="E138" s="611"/>
      <c r="F138" s="611">
        <v>13</v>
      </c>
      <c r="G138" s="611">
        <v>16</v>
      </c>
      <c r="H138" s="611">
        <v>15</v>
      </c>
      <c r="I138" s="611">
        <v>26</v>
      </c>
      <c r="J138" s="611">
        <v>5</v>
      </c>
      <c r="K138" s="611">
        <v>5</v>
      </c>
      <c r="L138" s="611">
        <v>7</v>
      </c>
      <c r="M138" s="611">
        <v>7</v>
      </c>
      <c r="N138" s="611">
        <v>15</v>
      </c>
      <c r="O138" s="611">
        <v>13</v>
      </c>
      <c r="P138" s="611">
        <v>13</v>
      </c>
      <c r="Q138" s="611">
        <v>7</v>
      </c>
      <c r="R138" s="611">
        <v>3</v>
      </c>
      <c r="S138" s="611"/>
      <c r="T138" s="66">
        <v>145</v>
      </c>
    </row>
    <row r="139" spans="1:20">
      <c r="A139" s="68" t="s">
        <v>1211</v>
      </c>
      <c r="B139" s="610"/>
      <c r="C139" s="611"/>
      <c r="D139" s="611"/>
      <c r="E139" s="611">
        <v>2</v>
      </c>
      <c r="F139" s="611">
        <v>10</v>
      </c>
      <c r="G139" s="611">
        <v>6</v>
      </c>
      <c r="H139" s="611">
        <v>18</v>
      </c>
      <c r="I139" s="611">
        <v>12</v>
      </c>
      <c r="J139" s="611">
        <v>11</v>
      </c>
      <c r="K139" s="611">
        <v>9</v>
      </c>
      <c r="L139" s="611">
        <v>10</v>
      </c>
      <c r="M139" s="611">
        <v>4</v>
      </c>
      <c r="N139" s="611">
        <v>13</v>
      </c>
      <c r="O139" s="611">
        <v>13</v>
      </c>
      <c r="P139" s="611">
        <v>6</v>
      </c>
      <c r="Q139" s="611">
        <v>9</v>
      </c>
      <c r="R139" s="611"/>
      <c r="S139" s="611"/>
      <c r="T139" s="66">
        <v>123</v>
      </c>
    </row>
    <row r="140" spans="1:20">
      <c r="A140" s="68" t="s">
        <v>1212</v>
      </c>
      <c r="B140" s="610"/>
      <c r="C140" s="611"/>
      <c r="D140" s="611"/>
      <c r="E140" s="611"/>
      <c r="F140" s="611"/>
      <c r="G140" s="611">
        <v>1</v>
      </c>
      <c r="H140" s="611">
        <v>2</v>
      </c>
      <c r="I140" s="611"/>
      <c r="J140" s="611">
        <v>1</v>
      </c>
      <c r="K140" s="611">
        <v>1</v>
      </c>
      <c r="L140" s="611">
        <v>1</v>
      </c>
      <c r="M140" s="611"/>
      <c r="N140" s="611"/>
      <c r="O140" s="611"/>
      <c r="P140" s="611"/>
      <c r="Q140" s="611"/>
      <c r="R140" s="611"/>
      <c r="S140" s="611"/>
      <c r="T140" s="66">
        <v>6</v>
      </c>
    </row>
    <row r="141" spans="1:20">
      <c r="A141" s="68" t="s">
        <v>288</v>
      </c>
      <c r="B141" s="610">
        <v>1</v>
      </c>
      <c r="C141" s="611">
        <v>1</v>
      </c>
      <c r="D141" s="611">
        <v>1</v>
      </c>
      <c r="E141" s="611">
        <v>2</v>
      </c>
      <c r="F141" s="611"/>
      <c r="G141" s="611"/>
      <c r="H141" s="611"/>
      <c r="I141" s="611"/>
      <c r="J141" s="611"/>
      <c r="K141" s="611"/>
      <c r="L141" s="611"/>
      <c r="M141" s="611"/>
      <c r="N141" s="611"/>
      <c r="O141" s="611"/>
      <c r="P141" s="611"/>
      <c r="Q141" s="611"/>
      <c r="R141" s="611"/>
      <c r="S141" s="611"/>
      <c r="T141" s="66">
        <v>5</v>
      </c>
    </row>
    <row r="142" spans="1:20">
      <c r="A142" s="9" t="s">
        <v>1207</v>
      </c>
      <c r="B142" s="228">
        <v>1</v>
      </c>
      <c r="C142" s="229">
        <v>1</v>
      </c>
      <c r="D142" s="229">
        <v>1</v>
      </c>
      <c r="E142" s="229">
        <v>5</v>
      </c>
      <c r="F142" s="229">
        <v>28</v>
      </c>
      <c r="G142" s="229">
        <v>26</v>
      </c>
      <c r="H142" s="229">
        <v>39</v>
      </c>
      <c r="I142" s="229">
        <v>40</v>
      </c>
      <c r="J142" s="229">
        <v>20</v>
      </c>
      <c r="K142" s="229">
        <v>17</v>
      </c>
      <c r="L142" s="229">
        <v>27</v>
      </c>
      <c r="M142" s="229">
        <v>20</v>
      </c>
      <c r="N142" s="229">
        <v>39</v>
      </c>
      <c r="O142" s="229">
        <v>34</v>
      </c>
      <c r="P142" s="229">
        <v>23</v>
      </c>
      <c r="Q142" s="229">
        <v>18</v>
      </c>
      <c r="R142" s="229">
        <v>4</v>
      </c>
      <c r="S142" s="229"/>
      <c r="T142" s="14">
        <v>343</v>
      </c>
    </row>
  </sheetData>
  <phoneticPr fontId="12" type="noConversion"/>
  <pageMargins left="0.75" right="0.75" top="1" bottom="1" header="0.5" footer="0.5"/>
  <pageSetup orientation="portrait" r:id="rId11"/>
  <headerFooter alignWithMargins="0"/>
</worksheet>
</file>

<file path=xl/worksheets/sheet24.xml><?xml version="1.0" encoding="utf-8"?>
<worksheet xmlns="http://schemas.openxmlformats.org/spreadsheetml/2006/main" xmlns:r="http://schemas.openxmlformats.org/officeDocument/2006/relationships">
  <sheetPr codeName="Sheet22">
    <pageSetUpPr fitToPage="1"/>
  </sheetPr>
  <dimension ref="A1:AD840"/>
  <sheetViews>
    <sheetView topLeftCell="A13" zoomScaleNormal="120" workbookViewId="0">
      <selection activeCell="D9" sqref="D9"/>
    </sheetView>
  </sheetViews>
  <sheetFormatPr defaultRowHeight="12.75"/>
  <cols>
    <col min="1" max="1" width="40.85546875" customWidth="1"/>
    <col min="2" max="2" width="13" customWidth="1"/>
    <col min="3" max="3" width="10.5703125" style="70" customWidth="1"/>
    <col min="4" max="4" width="233.42578125" customWidth="1"/>
    <col min="5" max="5" width="10" style="223" customWidth="1"/>
    <col min="6" max="6" width="16.140625" customWidth="1"/>
    <col min="7" max="7" width="25.28515625" customWidth="1"/>
    <col min="8" max="8" width="22.28515625" style="59" customWidth="1"/>
    <col min="9" max="11" width="35.7109375" customWidth="1"/>
    <col min="12" max="12" width="10.5703125" customWidth="1"/>
    <col min="13" max="13" width="24.42578125" customWidth="1"/>
    <col min="14" max="14" width="43.85546875" style="223" customWidth="1"/>
    <col min="15" max="15" width="10.7109375" customWidth="1"/>
    <col min="16" max="16" width="32.28515625" customWidth="1"/>
    <col min="17" max="17" width="35.28515625" customWidth="1"/>
    <col min="18" max="18" width="12.7109375" customWidth="1"/>
    <col min="19" max="19" width="14.7109375" customWidth="1"/>
    <col min="20" max="20" width="5" customWidth="1"/>
    <col min="21" max="28" width="50.140625" customWidth="1"/>
    <col min="29" max="30" width="50.140625" style="221" customWidth="1"/>
    <col min="31" max="34" width="50.140625" customWidth="1"/>
    <col min="35" max="35" width="50.140625" bestFit="1" customWidth="1"/>
    <col min="36" max="36" width="10.5703125" customWidth="1"/>
    <col min="37" max="243" width="42.28515625" bestFit="1" customWidth="1"/>
    <col min="244" max="244" width="10.5703125" bestFit="1" customWidth="1"/>
  </cols>
  <sheetData>
    <row r="1" spans="1:30">
      <c r="E1"/>
      <c r="N1"/>
      <c r="AC1"/>
      <c r="AD1"/>
    </row>
    <row r="2" spans="1:30">
      <c r="A2" s="238" t="s">
        <v>749</v>
      </c>
      <c r="E2" s="238" t="s">
        <v>759</v>
      </c>
      <c r="N2"/>
      <c r="AC2"/>
      <c r="AD2"/>
    </row>
    <row r="3" spans="1:30">
      <c r="A3" s="6" t="s">
        <v>291</v>
      </c>
      <c r="B3" s="12"/>
      <c r="C3" s="7"/>
      <c r="E3" s="6" t="s">
        <v>750</v>
      </c>
      <c r="F3" s="12"/>
      <c r="G3" s="12"/>
      <c r="H3" s="12"/>
      <c r="I3" s="7"/>
      <c r="N3"/>
      <c r="AC3"/>
      <c r="AD3"/>
    </row>
    <row r="4" spans="1:30" ht="38.25">
      <c r="A4" s="6" t="s">
        <v>572</v>
      </c>
      <c r="B4" s="6" t="s">
        <v>358</v>
      </c>
      <c r="C4" s="7" t="s">
        <v>1871</v>
      </c>
      <c r="E4" s="6" t="s">
        <v>572</v>
      </c>
      <c r="F4" s="6" t="s">
        <v>1960</v>
      </c>
      <c r="G4" s="6" t="s">
        <v>358</v>
      </c>
      <c r="H4" s="236" t="s">
        <v>290</v>
      </c>
      <c r="I4" s="7" t="s">
        <v>1871</v>
      </c>
      <c r="J4" s="240" t="s">
        <v>768</v>
      </c>
      <c r="K4" s="241"/>
      <c r="L4" s="240" t="s">
        <v>769</v>
      </c>
      <c r="M4" s="240" t="s">
        <v>770</v>
      </c>
      <c r="N4" s="240" t="s">
        <v>775</v>
      </c>
      <c r="Q4" s="238" t="s">
        <v>1014</v>
      </c>
      <c r="S4" s="70"/>
      <c r="AC4"/>
      <c r="AD4"/>
    </row>
    <row r="5" spans="1:30" ht="63.75">
      <c r="A5" s="5">
        <v>2011</v>
      </c>
      <c r="B5" s="5" t="s">
        <v>578</v>
      </c>
      <c r="C5" s="67">
        <v>248600000</v>
      </c>
      <c r="E5" s="5">
        <v>2011</v>
      </c>
      <c r="F5" s="5" t="s">
        <v>1877</v>
      </c>
      <c r="G5" s="5" t="s">
        <v>1803</v>
      </c>
      <c r="H5" s="234">
        <v>182000</v>
      </c>
      <c r="I5" s="15">
        <v>1</v>
      </c>
      <c r="J5" s="242" t="s">
        <v>761</v>
      </c>
      <c r="K5" s="243"/>
      <c r="L5" s="244" t="s">
        <v>787</v>
      </c>
      <c r="M5" s="244" t="s">
        <v>786</v>
      </c>
      <c r="N5" s="245"/>
      <c r="Q5" s="6" t="s">
        <v>1767</v>
      </c>
      <c r="R5" s="12"/>
      <c r="S5" s="12"/>
      <c r="T5" s="7"/>
      <c r="AC5"/>
      <c r="AD5"/>
    </row>
    <row r="6" spans="1:30" ht="38.25">
      <c r="A6" s="13"/>
      <c r="B6" s="68" t="s">
        <v>1634</v>
      </c>
      <c r="C6" s="69">
        <v>16068357</v>
      </c>
      <c r="E6" s="13"/>
      <c r="F6" s="13"/>
      <c r="G6" s="5" t="s">
        <v>1160</v>
      </c>
      <c r="H6" s="234">
        <v>240000</v>
      </c>
      <c r="I6" s="15">
        <v>1</v>
      </c>
      <c r="J6" s="246" t="s">
        <v>763</v>
      </c>
      <c r="K6" s="243"/>
      <c r="L6" s="243" t="s">
        <v>788</v>
      </c>
      <c r="M6" s="243"/>
      <c r="N6" s="247"/>
      <c r="Q6" s="6" t="s">
        <v>1868</v>
      </c>
      <c r="R6" s="6" t="s">
        <v>572</v>
      </c>
      <c r="S6" s="6" t="s">
        <v>1960</v>
      </c>
      <c r="T6" s="7" t="s">
        <v>1871</v>
      </c>
      <c r="AC6"/>
      <c r="AD6"/>
    </row>
    <row r="7" spans="1:30">
      <c r="A7" s="13"/>
      <c r="B7" s="68" t="s">
        <v>1600</v>
      </c>
      <c r="C7" s="69">
        <v>8200000</v>
      </c>
      <c r="E7" s="13"/>
      <c r="F7" s="13"/>
      <c r="G7" s="5" t="s">
        <v>532</v>
      </c>
      <c r="H7" s="234">
        <v>322330</v>
      </c>
      <c r="I7" s="15">
        <v>1</v>
      </c>
      <c r="J7" s="243"/>
      <c r="K7" s="243"/>
      <c r="L7" s="243"/>
      <c r="M7" s="243"/>
      <c r="N7" s="247"/>
      <c r="Q7" s="5" t="s">
        <v>121</v>
      </c>
      <c r="R7" s="5">
        <v>2011</v>
      </c>
      <c r="S7" s="12"/>
      <c r="T7" s="15">
        <v>1</v>
      </c>
      <c r="AC7"/>
      <c r="AD7"/>
    </row>
    <row r="8" spans="1:30" ht="18.75" customHeight="1">
      <c r="A8" s="13"/>
      <c r="B8" s="68" t="s">
        <v>577</v>
      </c>
      <c r="C8" s="69">
        <v>826450</v>
      </c>
      <c r="E8" s="13"/>
      <c r="F8" s="13"/>
      <c r="G8" s="5" t="s">
        <v>97</v>
      </c>
      <c r="H8" s="234">
        <v>200000</v>
      </c>
      <c r="I8" s="15">
        <v>1</v>
      </c>
      <c r="J8" s="242" t="s">
        <v>762</v>
      </c>
      <c r="K8" s="243"/>
      <c r="Q8" s="5" t="s">
        <v>1653</v>
      </c>
      <c r="R8" s="5">
        <v>2011</v>
      </c>
      <c r="S8" s="12"/>
      <c r="T8" s="15">
        <v>1</v>
      </c>
      <c r="AC8"/>
      <c r="AD8"/>
    </row>
    <row r="9" spans="1:30" ht="96.75" customHeight="1">
      <c r="A9" s="13"/>
      <c r="B9" s="68" t="s">
        <v>532</v>
      </c>
      <c r="C9" s="69">
        <v>322330</v>
      </c>
      <c r="E9" s="13"/>
      <c r="F9" s="13"/>
      <c r="G9" s="5" t="s">
        <v>82</v>
      </c>
      <c r="H9" s="234">
        <v>50000</v>
      </c>
      <c r="I9" s="15">
        <v>1</v>
      </c>
      <c r="J9" s="245" t="s">
        <v>765</v>
      </c>
      <c r="K9" s="248"/>
      <c r="L9" s="245" t="s">
        <v>773</v>
      </c>
      <c r="M9" s="245" t="s">
        <v>774</v>
      </c>
      <c r="N9" s="245" t="s">
        <v>618</v>
      </c>
      <c r="Q9" s="5" t="s">
        <v>717</v>
      </c>
      <c r="R9" s="5">
        <v>2011</v>
      </c>
      <c r="S9" s="12"/>
      <c r="T9" s="15">
        <v>1</v>
      </c>
      <c r="AC9"/>
      <c r="AD9"/>
    </row>
    <row r="10" spans="1:30">
      <c r="A10" s="13"/>
      <c r="B10" s="68" t="s">
        <v>12</v>
      </c>
      <c r="C10" s="69">
        <v>300000</v>
      </c>
      <c r="E10" s="13"/>
      <c r="F10" s="13"/>
      <c r="G10" s="5" t="s">
        <v>1600</v>
      </c>
      <c r="H10" s="234">
        <v>8200000</v>
      </c>
      <c r="I10" s="15">
        <v>1</v>
      </c>
      <c r="J10" s="243"/>
      <c r="K10" s="243"/>
      <c r="L10" s="248"/>
      <c r="M10" s="248"/>
      <c r="N10" s="245"/>
      <c r="Q10" s="5" t="s">
        <v>1878</v>
      </c>
      <c r="R10" s="5">
        <v>2011</v>
      </c>
      <c r="S10" s="12"/>
      <c r="T10" s="15">
        <v>1</v>
      </c>
      <c r="AC10"/>
      <c r="AD10"/>
    </row>
    <row r="11" spans="1:30">
      <c r="A11" s="13"/>
      <c r="B11" s="68" t="s">
        <v>1160</v>
      </c>
      <c r="C11" s="69">
        <v>240000</v>
      </c>
      <c r="E11" s="13"/>
      <c r="F11" s="13"/>
      <c r="G11" s="5" t="s">
        <v>1808</v>
      </c>
      <c r="H11" s="234">
        <v>9812</v>
      </c>
      <c r="I11" s="15">
        <v>1</v>
      </c>
      <c r="J11" s="243"/>
      <c r="K11" s="243"/>
      <c r="L11" s="243"/>
      <c r="M11" s="243"/>
      <c r="N11" s="247"/>
      <c r="Q11" s="5" t="s">
        <v>682</v>
      </c>
      <c r="R11" s="5">
        <v>2011</v>
      </c>
      <c r="S11" s="12"/>
      <c r="T11" s="15">
        <v>1</v>
      </c>
      <c r="AC11"/>
      <c r="AD11"/>
    </row>
    <row r="12" spans="1:30" ht="51">
      <c r="A12" s="13"/>
      <c r="B12" s="68" t="s">
        <v>97</v>
      </c>
      <c r="C12" s="69">
        <v>200000</v>
      </c>
      <c r="E12" s="13"/>
      <c r="F12" s="13"/>
      <c r="G12" s="5" t="s">
        <v>560</v>
      </c>
      <c r="H12" s="234">
        <v>30000</v>
      </c>
      <c r="I12" s="15">
        <v>1</v>
      </c>
      <c r="J12" s="242" t="s">
        <v>777</v>
      </c>
      <c r="K12" s="243"/>
      <c r="L12" s="245" t="s">
        <v>771</v>
      </c>
      <c r="M12" s="245" t="s">
        <v>772</v>
      </c>
      <c r="N12" s="248" t="s">
        <v>553</v>
      </c>
      <c r="Q12" s="5" t="s">
        <v>1565</v>
      </c>
      <c r="R12" s="5">
        <v>2011</v>
      </c>
      <c r="S12" s="12"/>
      <c r="T12" s="15">
        <v>1</v>
      </c>
      <c r="AC12"/>
      <c r="AD12"/>
    </row>
    <row r="13" spans="1:30" ht="25.5">
      <c r="A13" s="13"/>
      <c r="B13" s="68" t="s">
        <v>1803</v>
      </c>
      <c r="C13" s="69">
        <v>182000</v>
      </c>
      <c r="E13" s="13"/>
      <c r="F13" s="5" t="s">
        <v>755</v>
      </c>
      <c r="G13" s="12"/>
      <c r="H13" s="235"/>
      <c r="I13" s="15">
        <v>8</v>
      </c>
      <c r="J13" s="245" t="s">
        <v>776</v>
      </c>
      <c r="K13" s="245"/>
      <c r="L13" s="245"/>
      <c r="M13" s="245"/>
      <c r="N13" s="243"/>
      <c r="Q13" s="5" t="s">
        <v>1936</v>
      </c>
      <c r="R13" s="5">
        <v>2011</v>
      </c>
      <c r="S13" s="12"/>
      <c r="T13" s="15">
        <v>1</v>
      </c>
      <c r="AC13"/>
      <c r="AD13"/>
    </row>
    <row r="14" spans="1:30">
      <c r="A14" s="13"/>
      <c r="B14" s="68" t="s">
        <v>580</v>
      </c>
      <c r="C14" s="69">
        <v>150000</v>
      </c>
      <c r="E14" s="13"/>
      <c r="F14" s="5" t="s">
        <v>1586</v>
      </c>
      <c r="G14" s="5" t="s">
        <v>1279</v>
      </c>
      <c r="H14" s="234">
        <v>80000</v>
      </c>
      <c r="I14" s="15">
        <v>1</v>
      </c>
      <c r="J14" s="243"/>
      <c r="K14" s="243"/>
      <c r="L14" s="243"/>
      <c r="M14" s="243"/>
      <c r="N14" s="247"/>
      <c r="Q14" s="5" t="s">
        <v>1544</v>
      </c>
      <c r="R14" s="5">
        <v>2011</v>
      </c>
      <c r="S14" s="12"/>
      <c r="T14" s="15">
        <v>1</v>
      </c>
      <c r="AC14"/>
      <c r="AD14"/>
    </row>
    <row r="15" spans="1:30" ht="38.25">
      <c r="A15" s="13"/>
      <c r="B15" s="68" t="s">
        <v>1278</v>
      </c>
      <c r="C15" s="69">
        <v>145000</v>
      </c>
      <c r="E15" s="13"/>
      <c r="F15" s="13"/>
      <c r="G15" s="5" t="s">
        <v>1278</v>
      </c>
      <c r="H15" s="234">
        <v>145000</v>
      </c>
      <c r="I15" s="15">
        <v>1</v>
      </c>
      <c r="J15" s="242" t="s">
        <v>778</v>
      </c>
      <c r="K15" s="243"/>
      <c r="L15" s="243" t="s">
        <v>188</v>
      </c>
      <c r="M15" s="243"/>
      <c r="N15" s="247"/>
      <c r="Q15" s="5" t="s">
        <v>1876</v>
      </c>
      <c r="R15" s="5">
        <v>2011</v>
      </c>
      <c r="S15" s="12"/>
      <c r="T15" s="15">
        <v>1</v>
      </c>
      <c r="AC15"/>
      <c r="AD15"/>
    </row>
    <row r="16" spans="1:30" ht="89.25">
      <c r="A16" s="13"/>
      <c r="B16" s="68" t="s">
        <v>1279</v>
      </c>
      <c r="C16" s="69">
        <v>80000</v>
      </c>
      <c r="E16" s="13"/>
      <c r="F16" s="13"/>
      <c r="G16" s="5" t="s">
        <v>1918</v>
      </c>
      <c r="H16" s="234">
        <v>30000</v>
      </c>
      <c r="I16" s="15">
        <v>1</v>
      </c>
      <c r="J16" s="248" t="s">
        <v>764</v>
      </c>
      <c r="K16" s="243"/>
      <c r="L16" s="243" t="s">
        <v>790</v>
      </c>
      <c r="M16" s="248"/>
      <c r="N16" s="243"/>
      <c r="Q16" s="5" t="s">
        <v>85</v>
      </c>
      <c r="R16" s="5">
        <v>2011</v>
      </c>
      <c r="S16" s="12"/>
      <c r="T16" s="15">
        <v>1</v>
      </c>
      <c r="AC16"/>
      <c r="AD16"/>
    </row>
    <row r="17" spans="1:30" ht="63.75">
      <c r="A17" s="13"/>
      <c r="B17" s="68" t="s">
        <v>21</v>
      </c>
      <c r="C17" s="69">
        <v>56000</v>
      </c>
      <c r="E17" s="13"/>
      <c r="F17" s="5" t="s">
        <v>757</v>
      </c>
      <c r="G17" s="12"/>
      <c r="H17" s="235"/>
      <c r="I17" s="15">
        <v>3</v>
      </c>
      <c r="J17" s="243"/>
      <c r="K17" s="243"/>
      <c r="L17" s="243" t="s">
        <v>550</v>
      </c>
      <c r="M17" s="243"/>
      <c r="N17" s="243"/>
      <c r="Q17" s="5" t="s">
        <v>584</v>
      </c>
      <c r="R17" s="5">
        <v>2011</v>
      </c>
      <c r="S17" s="12"/>
      <c r="T17" s="15">
        <v>1</v>
      </c>
      <c r="AC17"/>
      <c r="AD17"/>
    </row>
    <row r="18" spans="1:30" ht="25.5">
      <c r="A18" s="13"/>
      <c r="B18" s="68" t="s">
        <v>82</v>
      </c>
      <c r="C18" s="69">
        <v>50000</v>
      </c>
      <c r="E18" s="13"/>
      <c r="F18" s="5" t="s">
        <v>1639</v>
      </c>
      <c r="G18" s="5" t="s">
        <v>1634</v>
      </c>
      <c r="H18" s="234">
        <v>16068357</v>
      </c>
      <c r="I18" s="15">
        <v>1</v>
      </c>
      <c r="J18" s="242" t="s">
        <v>779</v>
      </c>
      <c r="K18" s="243"/>
      <c r="L18" s="243"/>
      <c r="M18" s="243"/>
      <c r="N18" s="243"/>
      <c r="Q18" s="5" t="s">
        <v>1668</v>
      </c>
      <c r="R18" s="5">
        <v>2011</v>
      </c>
      <c r="S18" s="12"/>
      <c r="T18" s="15">
        <v>1</v>
      </c>
      <c r="AC18"/>
      <c r="AD18"/>
    </row>
    <row r="19" spans="1:30" ht="89.25">
      <c r="A19" s="13"/>
      <c r="B19" s="68" t="s">
        <v>1277</v>
      </c>
      <c r="C19" s="69">
        <v>50000</v>
      </c>
      <c r="E19" s="13"/>
      <c r="F19" s="13"/>
      <c r="G19" s="5" t="s">
        <v>21</v>
      </c>
      <c r="H19" s="234">
        <v>56000</v>
      </c>
      <c r="I19" s="15">
        <v>1</v>
      </c>
      <c r="J19" s="243" t="s">
        <v>760</v>
      </c>
      <c r="K19" s="243"/>
      <c r="L19" s="243" t="s">
        <v>780</v>
      </c>
      <c r="M19" s="243" t="s">
        <v>789</v>
      </c>
      <c r="N19" s="243"/>
      <c r="Q19" s="5" t="s">
        <v>1604</v>
      </c>
      <c r="R19" s="5">
        <v>2011</v>
      </c>
      <c r="S19" s="12"/>
      <c r="T19" s="15">
        <v>1</v>
      </c>
      <c r="AC19"/>
      <c r="AD19"/>
    </row>
    <row r="20" spans="1:30">
      <c r="A20" s="13"/>
      <c r="B20" s="68" t="s">
        <v>560</v>
      </c>
      <c r="C20" s="69">
        <v>30000</v>
      </c>
      <c r="E20" s="13"/>
      <c r="F20" s="5" t="s">
        <v>754</v>
      </c>
      <c r="G20" s="12"/>
      <c r="H20" s="235"/>
      <c r="I20" s="15">
        <v>2</v>
      </c>
      <c r="J20" s="243"/>
      <c r="K20" s="243"/>
      <c r="L20" s="243"/>
      <c r="M20" s="243"/>
      <c r="N20" s="243"/>
      <c r="Q20" s="5" t="s">
        <v>398</v>
      </c>
      <c r="R20" s="5">
        <v>2011</v>
      </c>
      <c r="S20" s="12"/>
      <c r="T20" s="15">
        <v>1</v>
      </c>
      <c r="AC20"/>
      <c r="AD20"/>
    </row>
    <row r="21" spans="1:30">
      <c r="A21" s="13"/>
      <c r="B21" s="68" t="s">
        <v>1918</v>
      </c>
      <c r="C21" s="69">
        <v>30000</v>
      </c>
      <c r="E21" s="13"/>
      <c r="F21" s="5" t="s">
        <v>900</v>
      </c>
      <c r="G21" s="5" t="s">
        <v>12</v>
      </c>
      <c r="H21" s="234">
        <v>300000</v>
      </c>
      <c r="I21" s="15">
        <v>1</v>
      </c>
      <c r="J21" s="242" t="s">
        <v>766</v>
      </c>
      <c r="K21" s="243"/>
      <c r="L21" s="243"/>
      <c r="M21" s="243"/>
      <c r="N21" s="243"/>
      <c r="Q21" s="5" t="s">
        <v>2026</v>
      </c>
      <c r="R21" s="5">
        <v>2011</v>
      </c>
      <c r="S21" s="12"/>
      <c r="T21" s="15">
        <v>1</v>
      </c>
      <c r="AC21"/>
      <c r="AD21"/>
    </row>
    <row r="22" spans="1:30" ht="25.5">
      <c r="A22" s="13"/>
      <c r="B22" s="68" t="s">
        <v>1808</v>
      </c>
      <c r="C22" s="69">
        <v>9812</v>
      </c>
      <c r="E22" s="13"/>
      <c r="F22" s="5" t="s">
        <v>751</v>
      </c>
      <c r="G22" s="12"/>
      <c r="H22" s="235"/>
      <c r="I22" s="15">
        <v>1</v>
      </c>
      <c r="J22" s="248" t="s">
        <v>767</v>
      </c>
      <c r="K22" s="243"/>
      <c r="L22" s="243"/>
      <c r="M22" s="243"/>
      <c r="N22" s="243"/>
      <c r="Q22" s="5" t="s">
        <v>1927</v>
      </c>
      <c r="R22" s="5">
        <v>2011</v>
      </c>
      <c r="S22" s="12"/>
      <c r="T22" s="15">
        <v>1</v>
      </c>
      <c r="AC22"/>
      <c r="AD22"/>
    </row>
    <row r="23" spans="1:30">
      <c r="A23" s="5" t="s">
        <v>370</v>
      </c>
      <c r="B23" s="12"/>
      <c r="C23" s="67">
        <v>275539949</v>
      </c>
      <c r="E23" s="13"/>
      <c r="F23" s="5" t="s">
        <v>1920</v>
      </c>
      <c r="G23" s="5" t="s">
        <v>1277</v>
      </c>
      <c r="H23" s="234">
        <v>50000</v>
      </c>
      <c r="I23" s="15">
        <v>1</v>
      </c>
      <c r="J23" s="243"/>
      <c r="K23" s="243"/>
      <c r="L23" s="243"/>
      <c r="M23" s="243"/>
      <c r="N23" s="243"/>
      <c r="Q23" s="5" t="s">
        <v>15</v>
      </c>
      <c r="R23" s="5">
        <v>2011</v>
      </c>
      <c r="S23" s="12"/>
      <c r="T23" s="15">
        <v>1</v>
      </c>
      <c r="AC23"/>
      <c r="AD23"/>
    </row>
    <row r="24" spans="1:30">
      <c r="A24" s="9" t="s">
        <v>1207</v>
      </c>
      <c r="B24" s="16"/>
      <c r="C24" s="219">
        <v>275539949</v>
      </c>
      <c r="E24" s="13"/>
      <c r="F24" s="5" t="s">
        <v>758</v>
      </c>
      <c r="G24" s="12"/>
      <c r="H24" s="235"/>
      <c r="I24" s="15">
        <v>1</v>
      </c>
      <c r="J24" s="242" t="s">
        <v>781</v>
      </c>
      <c r="K24" s="243"/>
      <c r="L24" s="243"/>
      <c r="M24" s="243"/>
      <c r="N24" s="243"/>
      <c r="Q24" s="5" t="s">
        <v>1947</v>
      </c>
      <c r="R24" s="5">
        <v>2011</v>
      </c>
      <c r="S24" s="12"/>
      <c r="T24" s="15">
        <v>1</v>
      </c>
      <c r="AC24"/>
      <c r="AD24"/>
    </row>
    <row r="25" spans="1:30">
      <c r="E25" s="13"/>
      <c r="F25" s="5" t="s">
        <v>176</v>
      </c>
      <c r="G25" s="5" t="s">
        <v>580</v>
      </c>
      <c r="H25" s="234">
        <v>150000</v>
      </c>
      <c r="I25" s="15">
        <v>1</v>
      </c>
      <c r="J25" s="243" t="s">
        <v>554</v>
      </c>
      <c r="K25" s="243"/>
      <c r="L25" s="243"/>
      <c r="M25" s="243"/>
      <c r="N25" s="243"/>
      <c r="Q25" s="9" t="s">
        <v>1207</v>
      </c>
      <c r="R25" s="16"/>
      <c r="S25" s="16"/>
      <c r="T25" s="219">
        <v>18</v>
      </c>
      <c r="AC25"/>
      <c r="AD25"/>
    </row>
    <row r="26" spans="1:30" ht="25.5">
      <c r="E26" s="13"/>
      <c r="F26" s="5" t="s">
        <v>756</v>
      </c>
      <c r="G26" s="12"/>
      <c r="H26" s="235"/>
      <c r="I26" s="15">
        <v>1</v>
      </c>
      <c r="J26" s="243" t="s">
        <v>782</v>
      </c>
      <c r="K26" s="243"/>
      <c r="L26" s="243"/>
      <c r="M26" s="243"/>
      <c r="N26" s="243"/>
      <c r="AC26"/>
      <c r="AD26"/>
    </row>
    <row r="27" spans="1:30">
      <c r="E27" s="13"/>
      <c r="F27" s="5" t="s">
        <v>585</v>
      </c>
      <c r="G27" s="5" t="s">
        <v>578</v>
      </c>
      <c r="H27" s="234">
        <v>163800000</v>
      </c>
      <c r="I27" s="15">
        <v>1</v>
      </c>
      <c r="J27" s="243"/>
      <c r="K27" s="243"/>
      <c r="L27" s="243"/>
      <c r="M27" s="243"/>
      <c r="N27" s="243"/>
      <c r="AC27"/>
      <c r="AD27"/>
    </row>
    <row r="28" spans="1:30">
      <c r="E28" s="13"/>
      <c r="F28" s="5" t="s">
        <v>753</v>
      </c>
      <c r="G28" s="12"/>
      <c r="H28" s="235"/>
      <c r="I28" s="15">
        <v>1</v>
      </c>
      <c r="J28" s="242" t="s">
        <v>783</v>
      </c>
      <c r="K28" s="243"/>
      <c r="L28" s="230"/>
      <c r="M28" s="230"/>
      <c r="N28" s="243"/>
      <c r="AC28"/>
      <c r="AD28"/>
    </row>
    <row r="29" spans="1:30" ht="114.75">
      <c r="E29" s="13"/>
      <c r="F29" s="5" t="s">
        <v>1884</v>
      </c>
      <c r="G29" s="5" t="s">
        <v>577</v>
      </c>
      <c r="H29" s="234">
        <v>772000</v>
      </c>
      <c r="I29" s="15">
        <v>1</v>
      </c>
      <c r="J29" s="243" t="s">
        <v>555</v>
      </c>
      <c r="K29" s="243"/>
      <c r="L29" s="243" t="s">
        <v>785</v>
      </c>
      <c r="M29" s="243" t="s">
        <v>784</v>
      </c>
      <c r="N29" s="247"/>
      <c r="AC29"/>
      <c r="AD29"/>
    </row>
    <row r="30" spans="1:30">
      <c r="E30" s="13"/>
      <c r="F30" s="5" t="s">
        <v>752</v>
      </c>
      <c r="G30" s="12"/>
      <c r="H30" s="12"/>
      <c r="I30" s="15">
        <v>1</v>
      </c>
      <c r="N30" s="247"/>
      <c r="AC30"/>
      <c r="AD30"/>
    </row>
    <row r="31" spans="1:30">
      <c r="E31" s="5" t="s">
        <v>370</v>
      </c>
      <c r="F31" s="12"/>
      <c r="G31" s="12"/>
      <c r="H31" s="12"/>
      <c r="I31" s="15">
        <v>18</v>
      </c>
      <c r="N31" s="243"/>
      <c r="AC31"/>
      <c r="AD31"/>
    </row>
    <row r="32" spans="1:30" ht="18.75" customHeight="1">
      <c r="E32" s="9" t="s">
        <v>1207</v>
      </c>
      <c r="F32" s="16"/>
      <c r="G32" s="16"/>
      <c r="H32" s="16"/>
      <c r="I32" s="14">
        <v>18</v>
      </c>
      <c r="J32" t="s">
        <v>1351</v>
      </c>
      <c r="M32" t="s">
        <v>1352</v>
      </c>
      <c r="N32" s="243"/>
      <c r="AC32"/>
      <c r="AD32"/>
    </row>
    <row r="33" spans="5:30">
      <c r="E33"/>
      <c r="N33" s="243"/>
      <c r="AC33"/>
      <c r="AD33"/>
    </row>
    <row r="34" spans="5:30">
      <c r="E34"/>
      <c r="J34" s="42"/>
      <c r="K34" s="42"/>
      <c r="L34" s="42"/>
      <c r="M34" s="42"/>
      <c r="N34" s="42"/>
      <c r="AC34"/>
      <c r="AD34"/>
    </row>
    <row r="35" spans="5:30">
      <c r="E35"/>
      <c r="N35"/>
      <c r="AC35"/>
      <c r="AD35"/>
    </row>
    <row r="36" spans="5:30">
      <c r="E36"/>
      <c r="F36" s="238" t="s">
        <v>1308</v>
      </c>
      <c r="N36"/>
      <c r="AC36"/>
      <c r="AD36"/>
    </row>
    <row r="37" spans="5:30">
      <c r="E37"/>
      <c r="F37" s="6" t="s">
        <v>1307</v>
      </c>
      <c r="G37" s="12"/>
      <c r="H37" s="12"/>
      <c r="I37" s="6" t="s">
        <v>524</v>
      </c>
      <c r="J37" s="12"/>
      <c r="K37" s="12"/>
      <c r="L37" s="60"/>
      <c r="N37"/>
      <c r="AC37"/>
      <c r="AD37"/>
    </row>
    <row r="38" spans="5:30">
      <c r="E38"/>
      <c r="F38" s="6" t="s">
        <v>572</v>
      </c>
      <c r="G38" s="6" t="s">
        <v>983</v>
      </c>
      <c r="H38" s="6" t="s">
        <v>1035</v>
      </c>
      <c r="I38" s="5" t="s">
        <v>1210</v>
      </c>
      <c r="J38" s="227" t="s">
        <v>523</v>
      </c>
      <c r="K38" s="227" t="s">
        <v>1211</v>
      </c>
      <c r="L38" s="7" t="s">
        <v>1207</v>
      </c>
      <c r="N38"/>
      <c r="AC38"/>
      <c r="AD38"/>
    </row>
    <row r="39" spans="5:30">
      <c r="E39"/>
      <c r="F39" s="5" t="s">
        <v>107</v>
      </c>
      <c r="G39" s="5" t="s">
        <v>1420</v>
      </c>
      <c r="H39" s="5" t="s">
        <v>4</v>
      </c>
      <c r="I39" s="608">
        <v>1</v>
      </c>
      <c r="J39" s="609"/>
      <c r="K39" s="609"/>
      <c r="L39" s="15">
        <v>1</v>
      </c>
      <c r="N39"/>
      <c r="AC39"/>
      <c r="AD39"/>
    </row>
    <row r="40" spans="5:30">
      <c r="E40"/>
      <c r="F40" s="13"/>
      <c r="G40" s="5" t="s">
        <v>1186</v>
      </c>
      <c r="H40" s="12"/>
      <c r="I40" s="608">
        <v>1</v>
      </c>
      <c r="J40" s="609"/>
      <c r="K40" s="609"/>
      <c r="L40" s="15">
        <v>1</v>
      </c>
      <c r="N40"/>
      <c r="AC40"/>
      <c r="AD40"/>
    </row>
    <row r="41" spans="5:30">
      <c r="E41"/>
      <c r="F41" s="13"/>
      <c r="G41" s="5" t="s">
        <v>1400</v>
      </c>
      <c r="H41" s="5" t="s">
        <v>1884</v>
      </c>
      <c r="I41" s="608"/>
      <c r="J41" s="609"/>
      <c r="K41" s="609">
        <v>2</v>
      </c>
      <c r="L41" s="15">
        <v>2</v>
      </c>
      <c r="N41"/>
      <c r="AC41"/>
      <c r="AD41"/>
    </row>
    <row r="42" spans="5:30">
      <c r="E42"/>
      <c r="F42" s="13"/>
      <c r="G42" s="5" t="s">
        <v>1254</v>
      </c>
      <c r="H42" s="12"/>
      <c r="I42" s="608"/>
      <c r="J42" s="609"/>
      <c r="K42" s="609">
        <v>2</v>
      </c>
      <c r="L42" s="15">
        <v>2</v>
      </c>
      <c r="N42"/>
      <c r="AC42"/>
      <c r="AD42"/>
    </row>
    <row r="43" spans="5:30">
      <c r="E43"/>
      <c r="F43" s="13"/>
      <c r="G43" s="5" t="s">
        <v>1879</v>
      </c>
      <c r="H43" s="5" t="s">
        <v>1311</v>
      </c>
      <c r="I43" s="608"/>
      <c r="J43" s="609">
        <v>1</v>
      </c>
      <c r="K43" s="609"/>
      <c r="L43" s="15">
        <v>1</v>
      </c>
      <c r="N43"/>
      <c r="AC43"/>
      <c r="AD43"/>
    </row>
    <row r="44" spans="5:30">
      <c r="E44"/>
      <c r="F44" s="13"/>
      <c r="G44" s="5" t="s">
        <v>605</v>
      </c>
      <c r="H44" s="12"/>
      <c r="I44" s="608"/>
      <c r="J44" s="609">
        <v>1</v>
      </c>
      <c r="K44" s="609"/>
      <c r="L44" s="15">
        <v>1</v>
      </c>
      <c r="N44"/>
      <c r="AC44"/>
      <c r="AD44"/>
    </row>
    <row r="45" spans="5:30">
      <c r="E45"/>
      <c r="F45" s="13"/>
      <c r="G45" s="5" t="s">
        <v>682</v>
      </c>
      <c r="H45" s="5" t="s">
        <v>1884</v>
      </c>
      <c r="I45" s="608"/>
      <c r="J45" s="609"/>
      <c r="K45" s="609">
        <v>85</v>
      </c>
      <c r="L45" s="15">
        <v>85</v>
      </c>
      <c r="N45"/>
      <c r="R45" t="s">
        <v>1015</v>
      </c>
      <c r="AC45"/>
      <c r="AD45"/>
    </row>
    <row r="46" spans="5:30">
      <c r="E46"/>
      <c r="F46" s="13"/>
      <c r="G46" s="13"/>
      <c r="H46" s="68" t="s">
        <v>1877</v>
      </c>
      <c r="I46" s="610"/>
      <c r="J46" s="611"/>
      <c r="K46" s="611">
        <v>1</v>
      </c>
      <c r="L46" s="66">
        <v>1</v>
      </c>
      <c r="N46"/>
      <c r="AC46"/>
      <c r="AD46"/>
    </row>
    <row r="47" spans="5:30">
      <c r="E47"/>
      <c r="F47" s="13"/>
      <c r="G47" s="5" t="s">
        <v>609</v>
      </c>
      <c r="H47" s="12"/>
      <c r="I47" s="608"/>
      <c r="J47" s="609"/>
      <c r="K47" s="609">
        <v>86</v>
      </c>
      <c r="L47" s="15">
        <v>86</v>
      </c>
      <c r="N47"/>
      <c r="AC47"/>
      <c r="AD47"/>
    </row>
    <row r="48" spans="5:30">
      <c r="E48"/>
      <c r="F48" s="13"/>
      <c r="G48" s="5" t="s">
        <v>1565</v>
      </c>
      <c r="H48" s="5" t="s">
        <v>1884</v>
      </c>
      <c r="I48" s="608"/>
      <c r="J48" s="609">
        <v>1</v>
      </c>
      <c r="K48" s="609"/>
      <c r="L48" s="15">
        <v>1</v>
      </c>
      <c r="N48"/>
      <c r="AC48"/>
      <c r="AD48"/>
    </row>
    <row r="49" spans="5:30">
      <c r="E49"/>
      <c r="F49" s="13"/>
      <c r="G49" s="13"/>
      <c r="H49" s="68" t="s">
        <v>626</v>
      </c>
      <c r="I49" s="610"/>
      <c r="J49" s="611">
        <v>1</v>
      </c>
      <c r="K49" s="611"/>
      <c r="L49" s="66">
        <v>1</v>
      </c>
      <c r="N49"/>
      <c r="AC49"/>
      <c r="AD49"/>
    </row>
    <row r="50" spans="5:30">
      <c r="E50"/>
      <c r="F50" s="13"/>
      <c r="G50" s="5" t="s">
        <v>611</v>
      </c>
      <c r="H50" s="12"/>
      <c r="I50" s="608"/>
      <c r="J50" s="609">
        <v>2</v>
      </c>
      <c r="K50" s="609"/>
      <c r="L50" s="15">
        <v>2</v>
      </c>
      <c r="N50"/>
      <c r="AC50"/>
      <c r="AD50"/>
    </row>
    <row r="51" spans="5:30">
      <c r="E51"/>
      <c r="F51" s="13"/>
      <c r="G51" s="5" t="s">
        <v>1876</v>
      </c>
      <c r="H51" s="5" t="s">
        <v>329</v>
      </c>
      <c r="I51" s="608"/>
      <c r="J51" s="609"/>
      <c r="K51" s="609">
        <v>1</v>
      </c>
      <c r="L51" s="15">
        <v>1</v>
      </c>
      <c r="N51"/>
      <c r="AC51"/>
      <c r="AD51"/>
    </row>
    <row r="52" spans="5:30">
      <c r="E52"/>
      <c r="F52" s="13"/>
      <c r="G52" s="5" t="s">
        <v>614</v>
      </c>
      <c r="H52" s="12"/>
      <c r="I52" s="608"/>
      <c r="J52" s="609"/>
      <c r="K52" s="609">
        <v>1</v>
      </c>
      <c r="L52" s="15">
        <v>1</v>
      </c>
      <c r="N52"/>
      <c r="AC52"/>
      <c r="AD52"/>
    </row>
    <row r="53" spans="5:30">
      <c r="E53"/>
      <c r="F53" s="13"/>
      <c r="G53" s="5" t="s">
        <v>35</v>
      </c>
      <c r="H53" s="5" t="s">
        <v>1311</v>
      </c>
      <c r="I53" s="608"/>
      <c r="J53" s="609">
        <v>1</v>
      </c>
      <c r="K53" s="609"/>
      <c r="L53" s="15">
        <v>1</v>
      </c>
      <c r="N53"/>
      <c r="AC53"/>
      <c r="AD53"/>
    </row>
    <row r="54" spans="5:30">
      <c r="E54"/>
      <c r="F54" s="13"/>
      <c r="G54" s="5" t="s">
        <v>1182</v>
      </c>
      <c r="H54" s="12"/>
      <c r="I54" s="608"/>
      <c r="J54" s="609">
        <v>1</v>
      </c>
      <c r="K54" s="609"/>
      <c r="L54" s="15">
        <v>1</v>
      </c>
      <c r="N54"/>
      <c r="AC54"/>
      <c r="AD54"/>
    </row>
    <row r="55" spans="5:30">
      <c r="E55"/>
      <c r="F55" s="13"/>
      <c r="G55" s="5" t="s">
        <v>1668</v>
      </c>
      <c r="H55" s="5" t="s">
        <v>1877</v>
      </c>
      <c r="I55" s="608"/>
      <c r="J55" s="609">
        <v>1</v>
      </c>
      <c r="K55" s="609"/>
      <c r="L55" s="15">
        <v>1</v>
      </c>
      <c r="N55"/>
      <c r="AC55"/>
      <c r="AD55"/>
    </row>
    <row r="56" spans="5:30">
      <c r="E56"/>
      <c r="F56" s="13"/>
      <c r="G56" s="5" t="s">
        <v>616</v>
      </c>
      <c r="H56" s="12"/>
      <c r="I56" s="608"/>
      <c r="J56" s="609">
        <v>1</v>
      </c>
      <c r="K56" s="609"/>
      <c r="L56" s="15">
        <v>1</v>
      </c>
      <c r="N56"/>
      <c r="AC56"/>
      <c r="AD56"/>
    </row>
    <row r="57" spans="5:30">
      <c r="E57"/>
      <c r="F57" s="13"/>
      <c r="G57" s="5" t="s">
        <v>2026</v>
      </c>
      <c r="H57" s="5" t="s">
        <v>1835</v>
      </c>
      <c r="I57" s="608"/>
      <c r="J57" s="609">
        <v>2</v>
      </c>
      <c r="K57" s="609"/>
      <c r="L57" s="15">
        <v>2</v>
      </c>
      <c r="N57"/>
      <c r="AC57"/>
      <c r="AD57"/>
    </row>
    <row r="58" spans="5:30">
      <c r="E58"/>
      <c r="F58" s="13"/>
      <c r="G58" s="5" t="s">
        <v>1201</v>
      </c>
      <c r="H58" s="12"/>
      <c r="I58" s="608"/>
      <c r="J58" s="609">
        <v>2</v>
      </c>
      <c r="K58" s="609"/>
      <c r="L58" s="15">
        <v>2</v>
      </c>
      <c r="N58"/>
      <c r="AC58"/>
      <c r="AD58"/>
    </row>
    <row r="59" spans="5:30">
      <c r="E59"/>
      <c r="F59" s="13"/>
      <c r="G59" s="5" t="s">
        <v>1902</v>
      </c>
      <c r="H59" s="5" t="s">
        <v>4</v>
      </c>
      <c r="I59" s="608">
        <v>3</v>
      </c>
      <c r="J59" s="609"/>
      <c r="K59" s="609"/>
      <c r="L59" s="15">
        <v>3</v>
      </c>
      <c r="N59"/>
      <c r="AC59"/>
      <c r="AD59"/>
    </row>
    <row r="60" spans="5:30">
      <c r="E60"/>
      <c r="F60" s="13"/>
      <c r="G60" s="5" t="s">
        <v>1258</v>
      </c>
      <c r="H60" s="12"/>
      <c r="I60" s="608">
        <v>3</v>
      </c>
      <c r="J60" s="609"/>
      <c r="K60" s="609"/>
      <c r="L60" s="15">
        <v>3</v>
      </c>
      <c r="N60"/>
      <c r="AC60"/>
      <c r="AD60"/>
    </row>
    <row r="61" spans="5:30">
      <c r="E61"/>
      <c r="F61" s="13"/>
      <c r="G61" s="5" t="s">
        <v>1947</v>
      </c>
      <c r="H61" s="5" t="s">
        <v>1835</v>
      </c>
      <c r="I61" s="608"/>
      <c r="J61" s="609">
        <v>1</v>
      </c>
      <c r="K61" s="609"/>
      <c r="L61" s="15">
        <v>1</v>
      </c>
      <c r="N61"/>
      <c r="AC61"/>
      <c r="AD61"/>
    </row>
    <row r="62" spans="5:30">
      <c r="E62"/>
      <c r="F62" s="13"/>
      <c r="G62" s="5" t="s">
        <v>664</v>
      </c>
      <c r="H62" s="12"/>
      <c r="I62" s="608"/>
      <c r="J62" s="609">
        <v>1</v>
      </c>
      <c r="K62" s="609"/>
      <c r="L62" s="15">
        <v>1</v>
      </c>
      <c r="N62"/>
      <c r="AC62"/>
      <c r="AD62"/>
    </row>
    <row r="63" spans="5:30">
      <c r="E63"/>
      <c r="F63" s="5" t="s">
        <v>1975</v>
      </c>
      <c r="G63" s="12"/>
      <c r="H63" s="12"/>
      <c r="I63" s="608">
        <v>4</v>
      </c>
      <c r="J63" s="609">
        <v>8</v>
      </c>
      <c r="K63" s="609">
        <v>89</v>
      </c>
      <c r="L63" s="15">
        <v>101</v>
      </c>
      <c r="N63"/>
      <c r="AC63"/>
      <c r="AD63"/>
    </row>
    <row r="64" spans="5:30">
      <c r="E64"/>
      <c r="F64" s="5" t="s">
        <v>184</v>
      </c>
      <c r="G64" s="5" t="s">
        <v>1943</v>
      </c>
      <c r="H64" s="5" t="s">
        <v>1311</v>
      </c>
      <c r="I64" s="608"/>
      <c r="J64" s="609">
        <v>1</v>
      </c>
      <c r="K64" s="609"/>
      <c r="L64" s="15">
        <v>1</v>
      </c>
      <c r="N64"/>
      <c r="AC64"/>
      <c r="AD64"/>
    </row>
    <row r="65" spans="5:30">
      <c r="E65"/>
      <c r="F65" s="13"/>
      <c r="G65" s="5" t="s">
        <v>604</v>
      </c>
      <c r="H65" s="12"/>
      <c r="I65" s="608"/>
      <c r="J65" s="609">
        <v>1</v>
      </c>
      <c r="K65" s="609"/>
      <c r="L65" s="15">
        <v>1</v>
      </c>
      <c r="N65"/>
      <c r="AC65"/>
      <c r="AD65"/>
    </row>
    <row r="66" spans="5:30">
      <c r="E66"/>
      <c r="F66" s="13"/>
      <c r="G66" s="5" t="s">
        <v>121</v>
      </c>
      <c r="H66" s="5" t="s">
        <v>1156</v>
      </c>
      <c r="I66" s="608"/>
      <c r="J66" s="609"/>
      <c r="K66" s="609">
        <v>1</v>
      </c>
      <c r="L66" s="15">
        <v>1</v>
      </c>
      <c r="N66"/>
      <c r="AC66"/>
      <c r="AD66"/>
    </row>
    <row r="67" spans="5:30">
      <c r="E67"/>
      <c r="F67" s="13"/>
      <c r="G67" s="5" t="s">
        <v>1169</v>
      </c>
      <c r="H67" s="12"/>
      <c r="I67" s="608"/>
      <c r="J67" s="609"/>
      <c r="K67" s="609">
        <v>1</v>
      </c>
      <c r="L67" s="15">
        <v>1</v>
      </c>
      <c r="N67"/>
      <c r="AC67"/>
      <c r="AD67"/>
    </row>
    <row r="68" spans="5:30">
      <c r="E68"/>
      <c r="F68" s="13"/>
      <c r="G68" s="5" t="s">
        <v>682</v>
      </c>
      <c r="H68" s="5" t="s">
        <v>1639</v>
      </c>
      <c r="I68" s="608"/>
      <c r="J68" s="609"/>
      <c r="K68" s="609">
        <v>6</v>
      </c>
      <c r="L68" s="15">
        <v>6</v>
      </c>
      <c r="N68"/>
      <c r="AC68"/>
      <c r="AD68"/>
    </row>
    <row r="69" spans="5:30">
      <c r="E69"/>
      <c r="F69" s="13"/>
      <c r="G69" s="5" t="s">
        <v>609</v>
      </c>
      <c r="H69" s="12"/>
      <c r="I69" s="608"/>
      <c r="J69" s="609"/>
      <c r="K69" s="609">
        <v>6</v>
      </c>
      <c r="L69" s="15">
        <v>6</v>
      </c>
      <c r="N69"/>
      <c r="AC69"/>
      <c r="AD69"/>
    </row>
    <row r="70" spans="5:30">
      <c r="E70"/>
      <c r="F70" s="13"/>
      <c r="G70" s="5" t="s">
        <v>1936</v>
      </c>
      <c r="H70" s="5" t="s">
        <v>1016</v>
      </c>
      <c r="I70" s="608"/>
      <c r="J70" s="609">
        <v>3</v>
      </c>
      <c r="K70" s="609"/>
      <c r="L70" s="15">
        <v>3</v>
      </c>
      <c r="N70"/>
      <c r="AC70"/>
      <c r="AD70"/>
    </row>
    <row r="71" spans="5:30">
      <c r="E71"/>
      <c r="F71" s="13"/>
      <c r="G71" s="5" t="s">
        <v>1310</v>
      </c>
      <c r="H71" s="12"/>
      <c r="I71" s="608"/>
      <c r="J71" s="609">
        <v>3</v>
      </c>
      <c r="K71" s="609"/>
      <c r="L71" s="15">
        <v>3</v>
      </c>
      <c r="N71"/>
      <c r="AC71"/>
      <c r="AD71"/>
    </row>
    <row r="72" spans="5:30">
      <c r="E72"/>
      <c r="F72" s="13"/>
      <c r="G72" s="5" t="s">
        <v>12</v>
      </c>
      <c r="H72" s="5" t="s">
        <v>296</v>
      </c>
      <c r="I72" s="608"/>
      <c r="J72" s="609">
        <v>5</v>
      </c>
      <c r="K72" s="609"/>
      <c r="L72" s="15">
        <v>5</v>
      </c>
      <c r="N72"/>
      <c r="AC72"/>
      <c r="AD72"/>
    </row>
    <row r="73" spans="5:30">
      <c r="E73"/>
      <c r="F73" s="13"/>
      <c r="G73" s="5" t="s">
        <v>1309</v>
      </c>
      <c r="H73" s="12"/>
      <c r="I73" s="608"/>
      <c r="J73" s="609">
        <v>5</v>
      </c>
      <c r="K73" s="609"/>
      <c r="L73" s="15">
        <v>5</v>
      </c>
      <c r="N73"/>
      <c r="AC73"/>
      <c r="AD73"/>
    </row>
    <row r="74" spans="5:30">
      <c r="E74"/>
      <c r="F74" s="13"/>
      <c r="G74" s="5" t="s">
        <v>1668</v>
      </c>
      <c r="H74" s="5" t="s">
        <v>1877</v>
      </c>
      <c r="I74" s="608"/>
      <c r="J74" s="609">
        <v>2</v>
      </c>
      <c r="K74" s="609"/>
      <c r="L74" s="15">
        <v>2</v>
      </c>
      <c r="N74"/>
      <c r="AC74"/>
      <c r="AD74"/>
    </row>
    <row r="75" spans="5:30">
      <c r="E75"/>
      <c r="F75" s="13"/>
      <c r="G75" s="5" t="s">
        <v>616</v>
      </c>
      <c r="H75" s="12"/>
      <c r="I75" s="608"/>
      <c r="J75" s="609">
        <v>2</v>
      </c>
      <c r="K75" s="609"/>
      <c r="L75" s="15">
        <v>2</v>
      </c>
      <c r="N75"/>
      <c r="AC75"/>
      <c r="AD75"/>
    </row>
    <row r="76" spans="5:30">
      <c r="E76"/>
      <c r="F76" s="5" t="s">
        <v>1978</v>
      </c>
      <c r="G76" s="12"/>
      <c r="H76" s="12"/>
      <c r="I76" s="608"/>
      <c r="J76" s="609">
        <v>11</v>
      </c>
      <c r="K76" s="609">
        <v>7</v>
      </c>
      <c r="L76" s="15">
        <v>18</v>
      </c>
      <c r="N76"/>
      <c r="AC76"/>
      <c r="AD76"/>
    </row>
    <row r="77" spans="5:30">
      <c r="E77"/>
      <c r="F77" s="9" t="s">
        <v>1207</v>
      </c>
      <c r="G77" s="16"/>
      <c r="H77" s="16"/>
      <c r="I77" s="228">
        <v>4</v>
      </c>
      <c r="J77" s="229">
        <v>19</v>
      </c>
      <c r="K77" s="229">
        <v>96</v>
      </c>
      <c r="L77" s="14">
        <v>119</v>
      </c>
      <c r="N77"/>
      <c r="AC77"/>
      <c r="AD77"/>
    </row>
    <row r="78" spans="5:30">
      <c r="E78"/>
      <c r="H78"/>
      <c r="N78"/>
      <c r="AC78"/>
      <c r="AD78"/>
    </row>
    <row r="79" spans="5:30">
      <c r="E79"/>
      <c r="H79"/>
      <c r="N79"/>
      <c r="AC79"/>
      <c r="AD79"/>
    </row>
    <row r="80" spans="5:30">
      <c r="E80"/>
      <c r="H80"/>
      <c r="N80"/>
      <c r="AC80"/>
      <c r="AD80"/>
    </row>
    <row r="81" spans="5:30">
      <c r="E81"/>
      <c r="H81"/>
      <c r="N81"/>
      <c r="AC81"/>
      <c r="AD81"/>
    </row>
    <row r="82" spans="5:30">
      <c r="E82"/>
      <c r="H82"/>
      <c r="N82"/>
      <c r="AC82"/>
      <c r="AD82"/>
    </row>
    <row r="83" spans="5:30">
      <c r="E83"/>
      <c r="H83"/>
      <c r="N83"/>
      <c r="AC83"/>
      <c r="AD83"/>
    </row>
    <row r="84" spans="5:30">
      <c r="E84"/>
      <c r="H84"/>
      <c r="N84"/>
      <c r="AC84"/>
      <c r="AD84"/>
    </row>
    <row r="85" spans="5:30">
      <c r="E85"/>
      <c r="H85"/>
      <c r="N85"/>
      <c r="AC85"/>
      <c r="AD85"/>
    </row>
    <row r="86" spans="5:30">
      <c r="E86"/>
      <c r="H86"/>
      <c r="N86"/>
      <c r="AC86"/>
      <c r="AD86"/>
    </row>
    <row r="87" spans="5:30">
      <c r="E87"/>
      <c r="H87"/>
      <c r="N87"/>
      <c r="AC87"/>
      <c r="AD87"/>
    </row>
    <row r="88" spans="5:30">
      <c r="E88"/>
      <c r="H88"/>
      <c r="N88"/>
      <c r="AC88"/>
      <c r="AD88"/>
    </row>
    <row r="89" spans="5:30">
      <c r="E89"/>
      <c r="H89"/>
      <c r="N89"/>
      <c r="AC89"/>
      <c r="AD89"/>
    </row>
    <row r="90" spans="5:30">
      <c r="E90"/>
      <c r="H90"/>
      <c r="N90"/>
      <c r="AC90"/>
      <c r="AD90"/>
    </row>
    <row r="91" spans="5:30">
      <c r="E91"/>
      <c r="H91"/>
      <c r="N91"/>
      <c r="AC91"/>
      <c r="AD91"/>
    </row>
    <row r="92" spans="5:30">
      <c r="E92"/>
      <c r="H92"/>
      <c r="N92"/>
      <c r="AC92"/>
      <c r="AD92"/>
    </row>
    <row r="93" spans="5:30">
      <c r="E93"/>
      <c r="H93"/>
      <c r="N93"/>
      <c r="AC93"/>
      <c r="AD93"/>
    </row>
    <row r="94" spans="5:30">
      <c r="E94"/>
      <c r="H94"/>
      <c r="N94"/>
      <c r="AC94"/>
      <c r="AD94"/>
    </row>
    <row r="95" spans="5:30">
      <c r="E95"/>
      <c r="H95"/>
      <c r="N95"/>
      <c r="AC95"/>
      <c r="AD95"/>
    </row>
    <row r="96" spans="5:30">
      <c r="E96"/>
      <c r="H96"/>
      <c r="N96"/>
      <c r="AC96"/>
      <c r="AD96"/>
    </row>
    <row r="97" spans="1:30">
      <c r="E97"/>
      <c r="H97"/>
      <c r="N97"/>
      <c r="AC97"/>
      <c r="AD97"/>
    </row>
    <row r="98" spans="1:30">
      <c r="E98"/>
      <c r="H98"/>
      <c r="N98"/>
      <c r="AC98"/>
      <c r="AD98"/>
    </row>
    <row r="99" spans="1:30">
      <c r="E99"/>
      <c r="H99"/>
      <c r="N99"/>
      <c r="AC99"/>
      <c r="AD99"/>
    </row>
    <row r="100" spans="1:30">
      <c r="E100"/>
      <c r="H100"/>
      <c r="N100"/>
      <c r="AC100"/>
      <c r="AD100"/>
    </row>
    <row r="101" spans="1:30">
      <c r="E101"/>
      <c r="H101"/>
      <c r="N101"/>
      <c r="AC101"/>
      <c r="AD101"/>
    </row>
    <row r="102" spans="1:30">
      <c r="E102"/>
      <c r="H102"/>
      <c r="N102"/>
      <c r="AC102"/>
      <c r="AD102"/>
    </row>
    <row r="103" spans="1:30">
      <c r="E103"/>
      <c r="H103"/>
      <c r="N103"/>
      <c r="AC103"/>
      <c r="AD103"/>
    </row>
    <row r="104" spans="1:30">
      <c r="E104"/>
      <c r="H104"/>
      <c r="N104"/>
      <c r="AC104"/>
      <c r="AD104"/>
    </row>
    <row r="105" spans="1:30">
      <c r="E105"/>
      <c r="H105"/>
      <c r="N105"/>
      <c r="AC105"/>
      <c r="AD105"/>
    </row>
    <row r="106" spans="1:30">
      <c r="E106"/>
      <c r="H106"/>
      <c r="N106"/>
      <c r="AC106"/>
      <c r="AD106"/>
    </row>
    <row r="107" spans="1:30">
      <c r="E107"/>
      <c r="H107"/>
      <c r="N107"/>
      <c r="AC107"/>
      <c r="AD107"/>
    </row>
    <row r="108" spans="1:30">
      <c r="E108"/>
      <c r="H108"/>
      <c r="N108"/>
      <c r="AC108"/>
      <c r="AD108"/>
    </row>
    <row r="109" spans="1:30">
      <c r="E109"/>
      <c r="H109"/>
      <c r="N109"/>
      <c r="AC109"/>
      <c r="AD109"/>
    </row>
    <row r="110" spans="1:30">
      <c r="E110"/>
      <c r="H110"/>
      <c r="N110"/>
      <c r="AC110"/>
      <c r="AD110"/>
    </row>
    <row r="111" spans="1:30">
      <c r="A111" s="6" t="s">
        <v>1312</v>
      </c>
      <c r="B111" s="6" t="s">
        <v>572</v>
      </c>
      <c r="C111" s="60"/>
      <c r="E111"/>
      <c r="H111"/>
      <c r="N111"/>
      <c r="AC111"/>
      <c r="AD111"/>
    </row>
    <row r="112" spans="1:30">
      <c r="A112" s="6" t="s">
        <v>524</v>
      </c>
      <c r="B112" s="5" t="s">
        <v>107</v>
      </c>
      <c r="C112" s="7" t="s">
        <v>1207</v>
      </c>
      <c r="E112"/>
      <c r="H112"/>
      <c r="N112"/>
      <c r="AC112"/>
      <c r="AD112"/>
    </row>
    <row r="113" spans="1:30">
      <c r="A113" s="5" t="s">
        <v>1210</v>
      </c>
      <c r="B113" s="608">
        <v>4</v>
      </c>
      <c r="C113" s="15">
        <v>4</v>
      </c>
      <c r="E113"/>
      <c r="H113"/>
      <c r="N113"/>
      <c r="AC113"/>
      <c r="AD113"/>
    </row>
    <row r="114" spans="1:30">
      <c r="A114" s="68" t="s">
        <v>523</v>
      </c>
      <c r="B114" s="610">
        <v>8</v>
      </c>
      <c r="C114" s="66">
        <v>8</v>
      </c>
      <c r="E114"/>
      <c r="H114"/>
      <c r="N114"/>
      <c r="AC114"/>
      <c r="AD114"/>
    </row>
    <row r="115" spans="1:30">
      <c r="A115" s="68" t="s">
        <v>1211</v>
      </c>
      <c r="B115" s="610">
        <v>89</v>
      </c>
      <c r="C115" s="66">
        <v>89</v>
      </c>
      <c r="E115"/>
      <c r="H115"/>
      <c r="N115"/>
      <c r="AC115"/>
      <c r="AD115"/>
    </row>
    <row r="116" spans="1:30">
      <c r="A116" s="9" t="s">
        <v>1207</v>
      </c>
      <c r="B116" s="228">
        <v>101</v>
      </c>
      <c r="C116" s="14">
        <v>101</v>
      </c>
      <c r="E116"/>
      <c r="H116"/>
      <c r="N116"/>
      <c r="AC116"/>
      <c r="AD116"/>
    </row>
    <row r="117" spans="1:30">
      <c r="E117"/>
      <c r="H117"/>
      <c r="N117"/>
      <c r="AC117"/>
      <c r="AD117"/>
    </row>
    <row r="118" spans="1:30">
      <c r="E118"/>
      <c r="H118"/>
      <c r="N118"/>
      <c r="AC118"/>
      <c r="AD118"/>
    </row>
    <row r="119" spans="1:30">
      <c r="E119"/>
      <c r="H119"/>
      <c r="N119"/>
      <c r="AC119"/>
      <c r="AD119"/>
    </row>
    <row r="120" spans="1:30">
      <c r="E120"/>
      <c r="H120"/>
      <c r="N120"/>
      <c r="AC120"/>
      <c r="AD120"/>
    </row>
    <row r="121" spans="1:30">
      <c r="E121"/>
      <c r="H121"/>
      <c r="N121"/>
      <c r="AC121"/>
      <c r="AD121"/>
    </row>
    <row r="122" spans="1:30">
      <c r="E122"/>
      <c r="H122"/>
      <c r="N122"/>
      <c r="AC122"/>
      <c r="AD122"/>
    </row>
    <row r="123" spans="1:30">
      <c r="E123"/>
      <c r="H123"/>
      <c r="N123"/>
      <c r="AC123"/>
      <c r="AD123"/>
    </row>
    <row r="124" spans="1:30">
      <c r="E124"/>
      <c r="H124"/>
      <c r="N124"/>
      <c r="AC124"/>
      <c r="AD124"/>
    </row>
    <row r="125" spans="1:30">
      <c r="E125"/>
      <c r="H125"/>
      <c r="N125"/>
      <c r="AC125"/>
      <c r="AD125"/>
    </row>
    <row r="126" spans="1:30">
      <c r="E126"/>
      <c r="H126"/>
      <c r="N126"/>
      <c r="AC126"/>
      <c r="AD126"/>
    </row>
    <row r="127" spans="1:30">
      <c r="E127"/>
      <c r="H127"/>
      <c r="N127"/>
      <c r="AC127"/>
      <c r="AD127"/>
    </row>
    <row r="128" spans="1:30">
      <c r="E128"/>
      <c r="H128"/>
      <c r="N128"/>
      <c r="AC128"/>
      <c r="AD128"/>
    </row>
    <row r="129" spans="5:30">
      <c r="E129"/>
      <c r="H129"/>
      <c r="N129"/>
      <c r="AC129"/>
      <c r="AD129"/>
    </row>
    <row r="130" spans="5:30">
      <c r="E130"/>
      <c r="H130"/>
      <c r="N130"/>
      <c r="Y130" s="13"/>
      <c r="Z130" s="68"/>
      <c r="AA130" s="66"/>
      <c r="AC130"/>
      <c r="AD130"/>
    </row>
    <row r="131" spans="5:30">
      <c r="E131"/>
      <c r="H131"/>
      <c r="N131"/>
      <c r="Y131" s="13"/>
      <c r="Z131" s="68"/>
      <c r="AA131" s="66"/>
      <c r="AC131"/>
      <c r="AD131"/>
    </row>
    <row r="132" spans="5:30">
      <c r="E132"/>
      <c r="H132"/>
      <c r="N132"/>
      <c r="Y132" s="13"/>
      <c r="Z132" s="68"/>
      <c r="AA132" s="66"/>
      <c r="AC132"/>
      <c r="AD132"/>
    </row>
    <row r="133" spans="5:30">
      <c r="E133"/>
      <c r="H133"/>
      <c r="N133"/>
      <c r="Y133" s="13"/>
      <c r="Z133" s="68"/>
      <c r="AA133" s="66"/>
      <c r="AC133"/>
      <c r="AD133"/>
    </row>
    <row r="134" spans="5:30">
      <c r="E134"/>
      <c r="H134"/>
      <c r="N134"/>
      <c r="Y134" s="13"/>
      <c r="Z134" s="68"/>
      <c r="AA134" s="66"/>
      <c r="AC134"/>
      <c r="AD134"/>
    </row>
    <row r="135" spans="5:30">
      <c r="E135"/>
      <c r="H135"/>
      <c r="N135"/>
      <c r="Y135" s="13"/>
      <c r="Z135" s="68"/>
      <c r="AA135" s="66"/>
      <c r="AC135"/>
      <c r="AD135"/>
    </row>
    <row r="136" spans="5:30">
      <c r="E136"/>
      <c r="H136"/>
      <c r="N136"/>
      <c r="Y136" s="13"/>
      <c r="Z136" s="68"/>
      <c r="AA136" s="66"/>
      <c r="AC136"/>
      <c r="AD136"/>
    </row>
    <row r="137" spans="5:30">
      <c r="E137"/>
      <c r="H137"/>
      <c r="N137"/>
      <c r="Y137" s="13"/>
      <c r="Z137" s="68"/>
      <c r="AA137" s="66"/>
      <c r="AC137"/>
      <c r="AD137"/>
    </row>
    <row r="138" spans="5:30">
      <c r="E138"/>
      <c r="H138"/>
      <c r="N138"/>
      <c r="Y138" s="13"/>
      <c r="Z138" s="68"/>
      <c r="AA138" s="66"/>
      <c r="AC138"/>
      <c r="AD138"/>
    </row>
    <row r="139" spans="5:30">
      <c r="E139"/>
      <c r="H139"/>
      <c r="N139"/>
      <c r="Y139" s="13"/>
      <c r="Z139" s="68"/>
      <c r="AA139" s="66"/>
      <c r="AC139"/>
      <c r="AD139"/>
    </row>
    <row r="140" spans="5:30">
      <c r="E140"/>
      <c r="H140"/>
      <c r="N140"/>
      <c r="Y140" s="13"/>
      <c r="Z140" s="68"/>
      <c r="AA140" s="66"/>
      <c r="AC140"/>
      <c r="AD140"/>
    </row>
    <row r="141" spans="5:30">
      <c r="E141"/>
      <c r="H141"/>
      <c r="N141"/>
      <c r="Y141" s="13"/>
      <c r="Z141" s="68"/>
      <c r="AA141" s="66"/>
      <c r="AC141"/>
      <c r="AD141"/>
    </row>
    <row r="142" spans="5:30">
      <c r="E142"/>
      <c r="H142"/>
      <c r="N142"/>
      <c r="Y142" s="13"/>
      <c r="Z142" s="68"/>
      <c r="AA142" s="66"/>
      <c r="AC142" s="70"/>
      <c r="AD142" s="70"/>
    </row>
    <row r="143" spans="5:30">
      <c r="E143"/>
      <c r="H143"/>
      <c r="N143"/>
      <c r="Y143" s="5"/>
      <c r="Z143" s="5"/>
      <c r="AA143" s="15"/>
      <c r="AC143"/>
      <c r="AD143"/>
    </row>
    <row r="144" spans="5:30">
      <c r="E144"/>
      <c r="H144"/>
      <c r="N144"/>
      <c r="Y144" s="13"/>
      <c r="Z144" s="68"/>
      <c r="AA144" s="66"/>
      <c r="AC144"/>
      <c r="AD144"/>
    </row>
    <row r="145" spans="1:30">
      <c r="E145"/>
      <c r="H145"/>
      <c r="N145"/>
      <c r="Y145" s="13"/>
      <c r="Z145" s="68"/>
      <c r="AA145" s="66"/>
      <c r="AC145"/>
      <c r="AD145"/>
    </row>
    <row r="146" spans="1:30">
      <c r="E146"/>
      <c r="H146"/>
      <c r="N146"/>
      <c r="Y146" s="13"/>
      <c r="Z146" s="68"/>
      <c r="AA146" s="66"/>
      <c r="AC146"/>
      <c r="AD146"/>
    </row>
    <row r="147" spans="1:30">
      <c r="A147" s="4" t="s">
        <v>524</v>
      </c>
      <c r="B147" s="613" t="s">
        <v>377</v>
      </c>
      <c r="C147" s="614" t="s">
        <v>107</v>
      </c>
      <c r="D147" s="613" t="s">
        <v>184</v>
      </c>
      <c r="E147"/>
      <c r="H147"/>
      <c r="N147"/>
      <c r="Y147" s="13"/>
      <c r="Z147" s="68"/>
      <c r="AA147" s="66"/>
      <c r="AC147"/>
      <c r="AD147"/>
    </row>
    <row r="148" spans="1:30">
      <c r="A148" t="s">
        <v>1210</v>
      </c>
      <c r="B148">
        <v>2</v>
      </c>
      <c r="C148" s="70">
        <v>4</v>
      </c>
      <c r="D148">
        <v>0</v>
      </c>
      <c r="E148"/>
      <c r="H148"/>
      <c r="N148"/>
      <c r="Y148" s="13"/>
      <c r="Z148" s="68"/>
      <c r="AA148" s="66"/>
      <c r="AC148"/>
      <c r="AD148"/>
    </row>
    <row r="149" spans="1:30">
      <c r="A149" t="s">
        <v>1314</v>
      </c>
      <c r="B149">
        <v>4</v>
      </c>
      <c r="C149" s="70">
        <v>7</v>
      </c>
      <c r="D149">
        <v>11</v>
      </c>
      <c r="E149"/>
      <c r="H149"/>
      <c r="N149"/>
      <c r="Y149" s="13"/>
      <c r="Z149" s="68"/>
      <c r="AA149" s="66"/>
      <c r="AC149"/>
      <c r="AD149"/>
    </row>
    <row r="150" spans="1:30">
      <c r="A150" t="s">
        <v>1313</v>
      </c>
      <c r="B150">
        <v>12</v>
      </c>
      <c r="C150" s="70">
        <v>89</v>
      </c>
      <c r="D150">
        <v>7</v>
      </c>
      <c r="E150"/>
      <c r="H150"/>
      <c r="N150"/>
      <c r="Y150" s="13"/>
      <c r="Z150" s="68"/>
      <c r="AA150" s="66"/>
      <c r="AC150"/>
      <c r="AD150"/>
    </row>
    <row r="151" spans="1:30">
      <c r="A151" t="s">
        <v>363</v>
      </c>
      <c r="B151">
        <v>7</v>
      </c>
      <c r="E151"/>
      <c r="H151"/>
      <c r="M151" s="68"/>
      <c r="N151" s="68"/>
      <c r="O151" s="66"/>
      <c r="Y151" s="13"/>
      <c r="Z151" s="68"/>
      <c r="AA151" s="66"/>
      <c r="AC151"/>
      <c r="AD151"/>
    </row>
    <row r="152" spans="1:30">
      <c r="A152" t="s">
        <v>1047</v>
      </c>
      <c r="B152">
        <v>2</v>
      </c>
      <c r="E152"/>
      <c r="H152"/>
      <c r="M152" s="68"/>
      <c r="N152" s="68"/>
      <c r="O152" s="66"/>
      <c r="Y152" s="13"/>
      <c r="Z152" s="68"/>
      <c r="AA152" s="66"/>
      <c r="AC152"/>
      <c r="AD152"/>
    </row>
    <row r="153" spans="1:30">
      <c r="A153" t="s">
        <v>1207</v>
      </c>
      <c r="B153">
        <f>SUM(B148:B152)</f>
        <v>27</v>
      </c>
      <c r="C153" s="70">
        <f>SUM(C148:C152)</f>
        <v>100</v>
      </c>
      <c r="D153">
        <f>SUM(D149:D152)</f>
        <v>18</v>
      </c>
      <c r="E153"/>
      <c r="H153"/>
      <c r="M153" s="68"/>
      <c r="N153" s="68"/>
      <c r="O153" s="66"/>
      <c r="Y153" s="13"/>
      <c r="Z153" s="68"/>
      <c r="AA153" s="66"/>
      <c r="AC153"/>
      <c r="AD153"/>
    </row>
    <row r="154" spans="1:30">
      <c r="E154"/>
      <c r="H154"/>
      <c r="M154" s="68"/>
      <c r="N154" s="68"/>
      <c r="O154" s="66"/>
      <c r="Y154" s="13"/>
      <c r="Z154" s="68"/>
      <c r="AA154" s="66"/>
      <c r="AC154"/>
      <c r="AD154"/>
    </row>
    <row r="155" spans="1:30">
      <c r="E155"/>
      <c r="H155"/>
      <c r="M155" s="68"/>
      <c r="N155" s="68"/>
      <c r="O155" s="66"/>
      <c r="Y155" s="13"/>
      <c r="Z155" s="68"/>
      <c r="AA155" s="66"/>
      <c r="AC155"/>
      <c r="AD155"/>
    </row>
    <row r="156" spans="1:30">
      <c r="E156"/>
      <c r="H156"/>
      <c r="M156" s="68"/>
      <c r="N156" s="68"/>
      <c r="O156" s="66"/>
      <c r="Y156" s="13"/>
      <c r="Z156" s="68"/>
      <c r="AA156" s="66"/>
      <c r="AC156"/>
      <c r="AD156"/>
    </row>
    <row r="157" spans="1:30">
      <c r="E157"/>
      <c r="H157"/>
      <c r="M157" s="68"/>
      <c r="N157" s="68"/>
      <c r="O157" s="66"/>
      <c r="Y157" s="13"/>
      <c r="Z157" s="68"/>
      <c r="AA157" s="66"/>
      <c r="AC157"/>
      <c r="AD157"/>
    </row>
    <row r="158" spans="1:30">
      <c r="E158"/>
      <c r="H158"/>
      <c r="M158" s="68"/>
      <c r="N158" s="68"/>
      <c r="O158" s="66"/>
      <c r="Y158" s="13"/>
      <c r="Z158" s="68"/>
      <c r="AA158" s="66"/>
      <c r="AC158"/>
      <c r="AD158"/>
    </row>
    <row r="159" spans="1:30">
      <c r="E159"/>
      <c r="H159"/>
      <c r="M159" s="68"/>
      <c r="N159" s="68"/>
      <c r="O159" s="66"/>
      <c r="Y159" s="13"/>
      <c r="Z159" s="68"/>
      <c r="AA159" s="66"/>
      <c r="AC159"/>
      <c r="AD159"/>
    </row>
    <row r="160" spans="1:30">
      <c r="E160"/>
      <c r="H160"/>
      <c r="M160" s="68"/>
      <c r="N160" s="68"/>
      <c r="O160" s="66"/>
      <c r="Y160" s="13"/>
      <c r="Z160" s="68"/>
      <c r="AA160" s="66"/>
      <c r="AC160"/>
      <c r="AD160"/>
    </row>
    <row r="161" spans="1:30">
      <c r="B161" s="612"/>
      <c r="E161"/>
      <c r="H161"/>
      <c r="M161" s="68"/>
      <c r="N161" s="68"/>
      <c r="O161" s="66"/>
      <c r="Y161" s="13"/>
      <c r="Z161" s="68"/>
      <c r="AA161" s="66"/>
      <c r="AC161" s="70"/>
      <c r="AD161" s="70"/>
    </row>
    <row r="162" spans="1:30">
      <c r="A162" s="4" t="s">
        <v>524</v>
      </c>
      <c r="E162"/>
      <c r="H162"/>
      <c r="M162" s="5"/>
      <c r="N162" s="5"/>
      <c r="O162" s="15"/>
      <c r="Y162" s="5"/>
      <c r="Z162" s="5"/>
      <c r="AA162" s="15"/>
      <c r="AC162"/>
      <c r="AD162"/>
    </row>
    <row r="163" spans="1:30">
      <c r="A163" t="s">
        <v>523</v>
      </c>
      <c r="E163"/>
      <c r="H163"/>
      <c r="M163" s="68"/>
      <c r="N163" s="68"/>
      <c r="O163" s="66"/>
      <c r="Y163" s="13"/>
      <c r="Z163" s="68"/>
      <c r="AA163" s="66"/>
      <c r="AC163"/>
      <c r="AD163"/>
    </row>
    <row r="164" spans="1:30">
      <c r="A164" t="s">
        <v>1211</v>
      </c>
      <c r="E164"/>
      <c r="H164"/>
      <c r="M164" s="68"/>
      <c r="N164" s="68"/>
      <c r="O164" s="66"/>
      <c r="Y164" s="13"/>
      <c r="Z164" s="68"/>
      <c r="AA164" s="66"/>
      <c r="AC164"/>
      <c r="AD164"/>
    </row>
    <row r="165" spans="1:30">
      <c r="A165" t="s">
        <v>1207</v>
      </c>
      <c r="B165">
        <v>18</v>
      </c>
      <c r="E165"/>
      <c r="H165"/>
      <c r="M165" s="68"/>
      <c r="N165" s="68"/>
      <c r="O165" s="66"/>
      <c r="Y165" s="13"/>
      <c r="Z165" s="68"/>
      <c r="AA165" s="66"/>
      <c r="AC165"/>
      <c r="AD165"/>
    </row>
    <row r="166" spans="1:30">
      <c r="E166"/>
      <c r="H166"/>
      <c r="M166" s="68"/>
      <c r="N166" s="68"/>
      <c r="O166" s="66"/>
      <c r="Y166" s="13"/>
      <c r="Z166" s="68"/>
      <c r="AA166" s="66"/>
      <c r="AC166"/>
      <c r="AD166"/>
    </row>
    <row r="167" spans="1:30">
      <c r="E167"/>
      <c r="H167"/>
      <c r="M167" s="68"/>
      <c r="N167" s="68"/>
      <c r="O167" s="66"/>
      <c r="Y167" s="13"/>
      <c r="Z167" s="68"/>
      <c r="AA167" s="66"/>
      <c r="AC167"/>
      <c r="AD167"/>
    </row>
    <row r="168" spans="1:30">
      <c r="E168"/>
      <c r="H168"/>
      <c r="M168" s="68"/>
      <c r="N168" s="68"/>
      <c r="O168" s="66"/>
      <c r="Y168" s="13"/>
      <c r="Z168" s="68"/>
      <c r="AA168" s="66"/>
      <c r="AC168"/>
      <c r="AD168"/>
    </row>
    <row r="169" spans="1:30">
      <c r="E169"/>
      <c r="J169" s="181"/>
      <c r="K169" s="13"/>
      <c r="L169" s="68"/>
      <c r="M169" s="68"/>
      <c r="N169" s="68"/>
      <c r="O169" s="66"/>
      <c r="Y169" s="13"/>
      <c r="Z169" s="68"/>
      <c r="AA169" s="66"/>
      <c r="AC169"/>
      <c r="AD169"/>
    </row>
    <row r="170" spans="1:30">
      <c r="E170"/>
      <c r="J170" s="181"/>
      <c r="K170" s="13"/>
      <c r="L170" s="68"/>
      <c r="M170" s="68"/>
      <c r="N170" s="68"/>
      <c r="O170" s="66"/>
      <c r="Y170" s="13"/>
      <c r="Z170" s="68"/>
      <c r="AA170" s="66"/>
      <c r="AC170"/>
      <c r="AD170"/>
    </row>
    <row r="171" spans="1:30">
      <c r="E171"/>
      <c r="J171" s="181"/>
      <c r="K171" s="13"/>
      <c r="L171" s="68"/>
      <c r="M171" s="68"/>
      <c r="N171" s="68"/>
      <c r="O171" s="66"/>
      <c r="Y171" s="13"/>
      <c r="Z171" s="68"/>
      <c r="AA171" s="66"/>
      <c r="AC171"/>
      <c r="AD171"/>
    </row>
    <row r="172" spans="1:30">
      <c r="E172"/>
      <c r="J172" s="181"/>
      <c r="K172" s="13"/>
      <c r="L172" s="68"/>
      <c r="M172" s="68"/>
      <c r="N172" s="68"/>
      <c r="O172" s="66"/>
      <c r="Y172" s="13"/>
      <c r="Z172" s="68"/>
      <c r="AA172" s="66"/>
      <c r="AC172"/>
      <c r="AD172"/>
    </row>
    <row r="173" spans="1:30">
      <c r="A173" s="4" t="s">
        <v>524</v>
      </c>
      <c r="E173"/>
      <c r="J173" s="181"/>
      <c r="K173" s="13"/>
      <c r="L173" s="68"/>
      <c r="M173" s="68"/>
      <c r="N173" s="68"/>
      <c r="O173" s="66"/>
      <c r="Y173" s="13"/>
      <c r="Z173" s="68"/>
      <c r="AA173" s="66"/>
      <c r="AC173"/>
      <c r="AD173"/>
    </row>
    <row r="174" spans="1:30">
      <c r="A174" t="s">
        <v>1210</v>
      </c>
      <c r="E174"/>
      <c r="J174" s="181"/>
      <c r="K174" s="13"/>
      <c r="L174" s="68"/>
      <c r="M174" s="68"/>
      <c r="N174" s="68"/>
      <c r="O174" s="66"/>
      <c r="Y174" s="13"/>
      <c r="Z174" s="68"/>
      <c r="AA174" s="66"/>
      <c r="AC174"/>
      <c r="AD174"/>
    </row>
    <row r="175" spans="1:30">
      <c r="A175" t="s">
        <v>523</v>
      </c>
      <c r="E175"/>
      <c r="J175" s="181"/>
      <c r="K175" s="13"/>
      <c r="L175" s="68"/>
      <c r="M175" s="68"/>
      <c r="N175" s="68"/>
      <c r="O175" s="66"/>
      <c r="Y175" s="13"/>
      <c r="Z175" s="68"/>
      <c r="AA175" s="66"/>
      <c r="AC175"/>
      <c r="AD175"/>
    </row>
    <row r="176" spans="1:30">
      <c r="E176"/>
      <c r="J176" s="181"/>
      <c r="K176" s="13"/>
      <c r="L176" s="68"/>
      <c r="M176" s="68"/>
      <c r="N176" s="68"/>
      <c r="O176" s="66"/>
      <c r="Y176" s="13"/>
      <c r="Z176" s="68"/>
      <c r="AA176" s="66"/>
      <c r="AC176"/>
      <c r="AD176"/>
    </row>
    <row r="177" spans="1:30">
      <c r="A177" t="s">
        <v>1211</v>
      </c>
      <c r="E177"/>
      <c r="J177" s="181"/>
      <c r="K177" s="13"/>
      <c r="L177" s="68"/>
      <c r="M177" s="68"/>
      <c r="N177" s="68"/>
      <c r="O177" s="66"/>
      <c r="Y177" s="13"/>
      <c r="Z177" s="68"/>
      <c r="AA177" s="66"/>
      <c r="AC177"/>
      <c r="AD177"/>
    </row>
    <row r="178" spans="1:30">
      <c r="E178"/>
      <c r="J178" s="181"/>
      <c r="K178" s="13"/>
      <c r="L178" s="68"/>
      <c r="M178" s="68"/>
      <c r="N178" s="68"/>
      <c r="O178" s="66"/>
      <c r="Y178" s="13"/>
      <c r="Z178" s="68"/>
      <c r="AA178" s="66"/>
      <c r="AC178"/>
      <c r="AD178"/>
    </row>
    <row r="179" spans="1:30">
      <c r="A179" t="s">
        <v>1207</v>
      </c>
      <c r="B179">
        <v>27</v>
      </c>
      <c r="E179"/>
      <c r="J179" s="181"/>
      <c r="K179" s="13"/>
      <c r="L179" s="68"/>
      <c r="M179" s="68"/>
      <c r="N179" s="68"/>
      <c r="O179" s="66"/>
      <c r="Y179" s="13"/>
      <c r="Z179" s="68"/>
      <c r="AA179" s="66"/>
      <c r="AC179"/>
      <c r="AD179"/>
    </row>
    <row r="180" spans="1:30">
      <c r="E180"/>
      <c r="J180" s="181"/>
      <c r="K180" s="13"/>
      <c r="L180" s="68"/>
      <c r="M180" s="68"/>
      <c r="N180" s="68"/>
      <c r="O180" s="66"/>
      <c r="Y180" s="13"/>
      <c r="Z180" s="68"/>
      <c r="AA180" s="66"/>
      <c r="AC180"/>
      <c r="AD180"/>
    </row>
    <row r="181" spans="1:30">
      <c r="E181"/>
      <c r="J181" s="181"/>
      <c r="K181" s="13"/>
      <c r="L181" s="68"/>
      <c r="M181" s="68"/>
      <c r="N181" s="68"/>
      <c r="O181" s="66"/>
      <c r="Y181" s="13"/>
      <c r="Z181" s="68"/>
      <c r="AA181" s="66"/>
      <c r="AC181"/>
      <c r="AD181"/>
    </row>
    <row r="182" spans="1:30">
      <c r="E182"/>
      <c r="J182" s="181"/>
      <c r="K182" s="13"/>
      <c r="L182" s="68"/>
      <c r="M182" s="68"/>
      <c r="N182" s="68"/>
      <c r="O182" s="66"/>
      <c r="Y182" s="13"/>
      <c r="Z182" s="68"/>
      <c r="AA182" s="66"/>
      <c r="AC182"/>
      <c r="AD182"/>
    </row>
    <row r="183" spans="1:30">
      <c r="E183"/>
      <c r="J183" s="181"/>
      <c r="K183" s="13"/>
      <c r="L183" s="68"/>
      <c r="M183" s="68"/>
      <c r="N183" s="68"/>
      <c r="O183" s="66"/>
      <c r="Y183" s="13"/>
      <c r="Z183" s="68"/>
      <c r="AA183" s="66"/>
      <c r="AC183"/>
      <c r="AD183"/>
    </row>
    <row r="184" spans="1:30">
      <c r="E184"/>
      <c r="J184" s="181"/>
      <c r="K184" s="13"/>
      <c r="L184" s="68"/>
      <c r="M184" s="68"/>
      <c r="N184" s="68"/>
      <c r="O184" s="66"/>
      <c r="Y184" s="13"/>
      <c r="Z184" s="68"/>
      <c r="AA184" s="66"/>
      <c r="AC184"/>
      <c r="AD184"/>
    </row>
    <row r="185" spans="1:30">
      <c r="E185"/>
      <c r="J185" s="181"/>
      <c r="K185" s="13"/>
      <c r="L185" s="68"/>
      <c r="M185" s="68"/>
      <c r="N185" s="68"/>
      <c r="O185" s="66"/>
      <c r="Y185" s="13"/>
      <c r="Z185" s="68"/>
      <c r="AA185" s="66"/>
      <c r="AC185"/>
      <c r="AD185"/>
    </row>
    <row r="186" spans="1:30">
      <c r="E186"/>
      <c r="J186" s="181"/>
      <c r="K186" s="13"/>
      <c r="L186" s="68"/>
      <c r="M186" s="68"/>
      <c r="N186" s="68"/>
      <c r="O186" s="66"/>
      <c r="Y186" s="13"/>
      <c r="Z186" s="68"/>
      <c r="AA186" s="66"/>
      <c r="AC186"/>
      <c r="AD186"/>
    </row>
    <row r="187" spans="1:30">
      <c r="E187"/>
      <c r="J187" s="181"/>
      <c r="K187" s="13"/>
      <c r="L187" s="68"/>
      <c r="M187" s="68"/>
      <c r="N187" s="68"/>
      <c r="O187" s="66"/>
      <c r="Y187" s="13"/>
      <c r="Z187" s="68"/>
      <c r="AA187" s="66"/>
      <c r="AC187"/>
      <c r="AD187"/>
    </row>
    <row r="188" spans="1:30">
      <c r="E188"/>
      <c r="J188" s="181"/>
      <c r="K188" s="13"/>
      <c r="L188" s="68"/>
      <c r="M188" s="68"/>
      <c r="N188" s="68"/>
      <c r="O188" s="66"/>
      <c r="Y188" s="13"/>
      <c r="Z188" s="68"/>
      <c r="AA188" s="66"/>
      <c r="AC188"/>
      <c r="AD188"/>
    </row>
    <row r="189" spans="1:30">
      <c r="E189"/>
      <c r="J189" s="181"/>
      <c r="K189" s="13"/>
      <c r="L189" s="68"/>
      <c r="M189" s="68"/>
      <c r="N189" s="68"/>
      <c r="O189" s="66"/>
      <c r="Y189" s="13"/>
      <c r="Z189" s="68"/>
      <c r="AA189" s="66"/>
      <c r="AC189"/>
      <c r="AD189"/>
    </row>
    <row r="190" spans="1:30">
      <c r="A190" s="6" t="s">
        <v>291</v>
      </c>
      <c r="B190" s="12"/>
      <c r="C190" s="12"/>
      <c r="D190" s="12"/>
      <c r="E190" s="7"/>
      <c r="J190" s="181"/>
      <c r="K190" s="13"/>
      <c r="L190" s="68"/>
      <c r="M190" s="68"/>
      <c r="N190" s="68"/>
      <c r="O190" s="66"/>
      <c r="Y190" s="13"/>
      <c r="Z190" s="68"/>
      <c r="AA190" s="66"/>
      <c r="AC190"/>
      <c r="AD190"/>
    </row>
    <row r="191" spans="1:30">
      <c r="A191" s="6" t="s">
        <v>572</v>
      </c>
      <c r="B191" s="6" t="s">
        <v>358</v>
      </c>
      <c r="C191" s="615" t="s">
        <v>1870</v>
      </c>
      <c r="D191" s="6" t="s">
        <v>629</v>
      </c>
      <c r="E191" s="7" t="s">
        <v>1871</v>
      </c>
      <c r="J191" s="181"/>
      <c r="K191" s="13"/>
      <c r="L191" s="68"/>
      <c r="M191" s="68"/>
      <c r="N191" s="68"/>
      <c r="O191" s="66"/>
      <c r="Y191" s="13"/>
      <c r="Z191" s="68"/>
      <c r="AA191" s="66"/>
      <c r="AC191"/>
      <c r="AD191"/>
    </row>
    <row r="192" spans="1:30">
      <c r="A192" s="5">
        <v>2011</v>
      </c>
      <c r="B192" s="5" t="s">
        <v>1279</v>
      </c>
      <c r="C192" s="5">
        <v>2799</v>
      </c>
      <c r="D192" s="5" t="s">
        <v>1929</v>
      </c>
      <c r="E192" s="15">
        <v>80000</v>
      </c>
      <c r="J192" s="181"/>
      <c r="K192" s="13"/>
      <c r="L192" s="68"/>
      <c r="M192" s="68"/>
      <c r="N192" s="68"/>
      <c r="O192" s="66"/>
      <c r="Y192" s="13"/>
      <c r="Z192" s="68"/>
      <c r="AA192" s="66"/>
      <c r="AC192" s="70"/>
      <c r="AD192" s="70"/>
    </row>
    <row r="193" spans="1:30">
      <c r="A193" s="13"/>
      <c r="B193" s="13"/>
      <c r="C193" s="5" t="s">
        <v>1735</v>
      </c>
      <c r="D193" s="12"/>
      <c r="E193" s="15">
        <v>80000</v>
      </c>
      <c r="J193" s="181"/>
      <c r="K193" s="5"/>
      <c r="L193" s="5"/>
      <c r="M193" s="5"/>
      <c r="N193" s="5"/>
      <c r="O193" s="15"/>
      <c r="Y193" s="5"/>
      <c r="Z193" s="5"/>
      <c r="AA193" s="15"/>
      <c r="AC193"/>
      <c r="AD193"/>
    </row>
    <row r="194" spans="1:30">
      <c r="A194" s="13"/>
      <c r="B194" s="5" t="s">
        <v>1719</v>
      </c>
      <c r="C194" s="12"/>
      <c r="D194" s="12"/>
      <c r="E194" s="15">
        <v>80000</v>
      </c>
      <c r="J194" s="181"/>
      <c r="K194" s="13"/>
      <c r="L194" s="68"/>
      <c r="M194" s="68"/>
      <c r="N194" s="68"/>
      <c r="O194" s="66"/>
      <c r="Y194" s="13"/>
      <c r="Z194" s="68"/>
      <c r="AA194" s="66"/>
      <c r="AC194"/>
      <c r="AD194"/>
    </row>
    <row r="195" spans="1:30">
      <c r="A195" s="13"/>
      <c r="B195" s="5" t="s">
        <v>1803</v>
      </c>
      <c r="C195" s="5" t="s">
        <v>551</v>
      </c>
      <c r="D195" s="5" t="s">
        <v>552</v>
      </c>
      <c r="E195" s="15">
        <v>182000</v>
      </c>
      <c r="J195" s="181"/>
      <c r="K195" s="13"/>
      <c r="L195" s="68"/>
      <c r="M195" s="68"/>
      <c r="N195" s="68"/>
      <c r="O195" s="66"/>
      <c r="Y195" s="13"/>
      <c r="Z195" s="68"/>
      <c r="AA195" s="66"/>
      <c r="AC195"/>
      <c r="AD195"/>
    </row>
    <row r="196" spans="1:30">
      <c r="A196" s="13"/>
      <c r="B196" s="13"/>
      <c r="C196" s="5" t="s">
        <v>1736</v>
      </c>
      <c r="D196" s="12"/>
      <c r="E196" s="15">
        <v>182000</v>
      </c>
      <c r="J196" s="181"/>
      <c r="K196" s="13"/>
      <c r="L196" s="68"/>
      <c r="M196" s="68"/>
      <c r="N196" s="68"/>
      <c r="O196" s="66"/>
      <c r="Y196" s="13"/>
      <c r="Z196" s="68"/>
      <c r="AA196" s="66"/>
      <c r="AC196"/>
      <c r="AD196"/>
    </row>
    <row r="197" spans="1:30">
      <c r="A197" s="13"/>
      <c r="B197" s="5" t="s">
        <v>1720</v>
      </c>
      <c r="C197" s="12"/>
      <c r="D197" s="12"/>
      <c r="E197" s="15">
        <v>182000</v>
      </c>
      <c r="J197" s="181"/>
      <c r="K197" s="13"/>
      <c r="L197" s="68"/>
      <c r="M197" s="68"/>
      <c r="N197" s="68"/>
      <c r="O197" s="66"/>
      <c r="Y197" s="13"/>
      <c r="Z197" s="68"/>
      <c r="AA197" s="66"/>
      <c r="AC197"/>
      <c r="AD197"/>
    </row>
    <row r="198" spans="1:30">
      <c r="A198" s="13"/>
      <c r="B198" s="5" t="s">
        <v>1278</v>
      </c>
      <c r="C198" s="5">
        <v>2799</v>
      </c>
      <c r="D198" s="5" t="s">
        <v>1737</v>
      </c>
      <c r="E198" s="15">
        <v>145000</v>
      </c>
      <c r="J198" s="181"/>
      <c r="K198" s="13"/>
      <c r="L198" s="68"/>
      <c r="M198" s="68"/>
      <c r="N198" s="68"/>
      <c r="O198" s="66"/>
      <c r="Y198" s="13"/>
      <c r="Z198" s="68"/>
      <c r="AA198" s="66"/>
      <c r="AC198"/>
      <c r="AD198"/>
    </row>
    <row r="199" spans="1:30">
      <c r="A199" s="13"/>
      <c r="B199" s="13"/>
      <c r="C199" s="5" t="s">
        <v>1735</v>
      </c>
      <c r="D199" s="12"/>
      <c r="E199" s="15">
        <v>145000</v>
      </c>
      <c r="J199" s="181"/>
      <c r="K199" s="13"/>
      <c r="L199" s="68"/>
      <c r="M199" s="68"/>
      <c r="N199" s="68"/>
      <c r="O199" s="66"/>
      <c r="Y199" s="13"/>
      <c r="Z199" s="68"/>
      <c r="AA199" s="66"/>
      <c r="AC199"/>
      <c r="AD199"/>
    </row>
    <row r="200" spans="1:30">
      <c r="A200" s="13"/>
      <c r="B200" s="5" t="s">
        <v>1721</v>
      </c>
      <c r="C200" s="12"/>
      <c r="D200" s="12"/>
      <c r="E200" s="15">
        <v>145000</v>
      </c>
      <c r="J200" s="181"/>
      <c r="K200" s="13"/>
      <c r="L200" s="68"/>
      <c r="M200" s="68"/>
      <c r="N200" s="68"/>
      <c r="O200" s="66"/>
      <c r="Y200" s="13"/>
      <c r="Z200" s="68"/>
      <c r="AA200" s="66"/>
      <c r="AC200"/>
      <c r="AD200"/>
    </row>
    <row r="201" spans="1:30">
      <c r="A201" s="13"/>
      <c r="B201" s="5" t="s">
        <v>1160</v>
      </c>
      <c r="C201" s="5" t="s">
        <v>1107</v>
      </c>
      <c r="D201" s="5" t="s">
        <v>1106</v>
      </c>
      <c r="E201" s="15">
        <v>240000</v>
      </c>
      <c r="J201" s="181"/>
      <c r="K201" s="13"/>
      <c r="L201" s="68"/>
      <c r="M201" s="68"/>
      <c r="N201" s="68"/>
      <c r="O201" s="66"/>
      <c r="Y201" s="13"/>
      <c r="Z201" s="68"/>
      <c r="AA201" s="66"/>
      <c r="AC201"/>
      <c r="AD201"/>
    </row>
    <row r="202" spans="1:30">
      <c r="A202" s="13"/>
      <c r="B202" s="13"/>
      <c r="C202" s="5" t="s">
        <v>1738</v>
      </c>
      <c r="D202" s="12"/>
      <c r="E202" s="15">
        <v>240000</v>
      </c>
      <c r="J202" s="181"/>
      <c r="K202" s="13"/>
      <c r="L202" s="68"/>
      <c r="M202" s="68"/>
      <c r="N202" s="68"/>
      <c r="O202" s="66"/>
      <c r="Y202" s="13"/>
      <c r="Z202" s="68"/>
      <c r="AA202" s="66"/>
      <c r="AC202"/>
      <c r="AD202"/>
    </row>
    <row r="203" spans="1:30">
      <c r="A203" s="13"/>
      <c r="B203" s="5" t="s">
        <v>1722</v>
      </c>
      <c r="C203" s="12"/>
      <c r="D203" s="12"/>
      <c r="E203" s="15">
        <v>240000</v>
      </c>
      <c r="J203" s="181"/>
      <c r="K203" s="13"/>
      <c r="L203" s="68"/>
      <c r="M203" s="68"/>
      <c r="N203" s="68"/>
      <c r="O203" s="66"/>
      <c r="Y203" s="13"/>
      <c r="Z203" s="68"/>
      <c r="AA203" s="66"/>
      <c r="AC203"/>
      <c r="AD203"/>
    </row>
    <row r="204" spans="1:30">
      <c r="A204" s="13"/>
      <c r="B204" s="5" t="s">
        <v>532</v>
      </c>
      <c r="C204" s="5" t="s">
        <v>864</v>
      </c>
      <c r="D204" s="5" t="s">
        <v>863</v>
      </c>
      <c r="E204" s="15">
        <v>322330</v>
      </c>
      <c r="J204" s="181"/>
      <c r="K204" s="13"/>
      <c r="L204" s="68"/>
      <c r="M204" s="68"/>
      <c r="N204" s="68"/>
      <c r="O204" s="66"/>
      <c r="Y204" s="13"/>
      <c r="Z204" s="68"/>
      <c r="AA204" s="66"/>
      <c r="AC204"/>
      <c r="AD204"/>
    </row>
    <row r="205" spans="1:30">
      <c r="A205" s="13"/>
      <c r="B205" s="13"/>
      <c r="C205" s="5" t="s">
        <v>1739</v>
      </c>
      <c r="D205" s="12"/>
      <c r="E205" s="15">
        <v>322330</v>
      </c>
      <c r="J205" s="181"/>
      <c r="K205" s="13"/>
      <c r="L205" s="68"/>
      <c r="M205" s="68"/>
      <c r="N205" s="68"/>
      <c r="O205" s="66"/>
      <c r="Y205" s="13"/>
      <c r="Z205" s="68"/>
      <c r="AA205" s="66"/>
      <c r="AC205"/>
      <c r="AD205"/>
    </row>
    <row r="206" spans="1:30">
      <c r="A206" s="13"/>
      <c r="B206" s="5" t="s">
        <v>1723</v>
      </c>
      <c r="C206" s="12"/>
      <c r="D206" s="12"/>
      <c r="E206" s="15">
        <v>322330</v>
      </c>
      <c r="J206" s="181"/>
      <c r="K206" s="13"/>
      <c r="L206" s="68"/>
      <c r="M206" s="68"/>
      <c r="N206" s="68"/>
      <c r="O206" s="66"/>
      <c r="Y206" s="13"/>
      <c r="Z206" s="68"/>
      <c r="AA206" s="66"/>
      <c r="AC206"/>
      <c r="AD206"/>
    </row>
    <row r="207" spans="1:30">
      <c r="A207" s="13"/>
      <c r="B207" s="5" t="s">
        <v>1277</v>
      </c>
      <c r="C207" s="5">
        <v>2799</v>
      </c>
      <c r="D207" s="5" t="s">
        <v>1924</v>
      </c>
      <c r="E207" s="15">
        <v>50000</v>
      </c>
      <c r="J207" s="181"/>
      <c r="K207" s="13"/>
      <c r="L207" s="68"/>
      <c r="M207" s="68"/>
      <c r="N207" s="68"/>
      <c r="O207" s="66"/>
      <c r="Y207" s="13"/>
      <c r="Z207" s="68"/>
      <c r="AA207" s="66"/>
      <c r="AC207"/>
      <c r="AD207"/>
    </row>
    <row r="208" spans="1:30">
      <c r="A208" s="13"/>
      <c r="B208" s="13"/>
      <c r="C208" s="5" t="s">
        <v>1735</v>
      </c>
      <c r="D208" s="12"/>
      <c r="E208" s="15">
        <v>50000</v>
      </c>
      <c r="J208" s="181"/>
      <c r="K208" s="13"/>
      <c r="L208" s="68"/>
      <c r="M208" s="68"/>
      <c r="N208" s="68"/>
      <c r="O208" s="66"/>
      <c r="Y208" s="13"/>
      <c r="Z208" s="68"/>
      <c r="AA208" s="66"/>
      <c r="AC208"/>
      <c r="AD208"/>
    </row>
    <row r="209" spans="1:30">
      <c r="A209" s="13"/>
      <c r="B209" s="5" t="s">
        <v>1724</v>
      </c>
      <c r="C209" s="12"/>
      <c r="D209" s="12"/>
      <c r="E209" s="15">
        <v>50000</v>
      </c>
      <c r="J209" s="181"/>
      <c r="K209" s="13"/>
      <c r="L209" s="68"/>
      <c r="M209" s="68"/>
      <c r="N209" s="68"/>
      <c r="O209" s="66"/>
      <c r="Y209" s="13"/>
      <c r="Z209" s="68"/>
      <c r="AA209" s="66"/>
      <c r="AC209"/>
      <c r="AD209"/>
    </row>
    <row r="210" spans="1:30">
      <c r="A210" s="13"/>
      <c r="B210" s="5" t="s">
        <v>578</v>
      </c>
      <c r="C210" s="5" t="s">
        <v>588</v>
      </c>
      <c r="D210" s="5" t="s">
        <v>1422</v>
      </c>
      <c r="E210" s="15">
        <v>248600000</v>
      </c>
      <c r="J210" s="181"/>
      <c r="K210" s="13"/>
      <c r="L210" s="68"/>
      <c r="M210" s="68"/>
      <c r="N210" s="68"/>
      <c r="O210" s="66"/>
      <c r="Y210" s="13"/>
      <c r="Z210" s="68"/>
      <c r="AA210" s="66"/>
      <c r="AC210"/>
      <c r="AD210"/>
    </row>
    <row r="211" spans="1:30">
      <c r="A211" s="13"/>
      <c r="B211" s="13"/>
      <c r="C211" s="5" t="s">
        <v>1742</v>
      </c>
      <c r="D211" s="12"/>
      <c r="E211" s="15">
        <v>248600000</v>
      </c>
      <c r="J211" s="181"/>
      <c r="K211" s="13"/>
      <c r="L211" s="68"/>
      <c r="M211" s="68"/>
      <c r="N211" s="68"/>
      <c r="O211" s="66"/>
      <c r="Y211" s="13"/>
      <c r="Z211" s="68"/>
      <c r="AA211" s="66"/>
      <c r="AC211"/>
      <c r="AD211"/>
    </row>
    <row r="212" spans="1:30">
      <c r="A212" s="13"/>
      <c r="B212" s="5" t="s">
        <v>1725</v>
      </c>
      <c r="C212" s="12"/>
      <c r="D212" s="12"/>
      <c r="E212" s="15">
        <v>248600000</v>
      </c>
      <c r="J212" s="181"/>
      <c r="K212" s="13"/>
      <c r="L212" s="68"/>
      <c r="M212" s="68"/>
      <c r="N212" s="68"/>
      <c r="O212" s="66"/>
      <c r="Y212" s="13"/>
      <c r="Z212" s="68"/>
      <c r="AA212" s="66"/>
      <c r="AC212"/>
      <c r="AD212"/>
    </row>
    <row r="213" spans="1:30">
      <c r="A213" s="13"/>
      <c r="B213" s="5" t="s">
        <v>97</v>
      </c>
      <c r="C213" s="5">
        <v>2869</v>
      </c>
      <c r="D213" s="5" t="s">
        <v>1284</v>
      </c>
      <c r="E213" s="15">
        <v>200000</v>
      </c>
      <c r="J213" s="181"/>
      <c r="K213" s="13"/>
      <c r="L213" s="68"/>
      <c r="M213" s="68"/>
      <c r="N213" s="68"/>
      <c r="O213" s="66"/>
      <c r="Y213" s="13"/>
      <c r="Z213" s="68"/>
      <c r="AA213" s="66"/>
      <c r="AC213"/>
      <c r="AD213"/>
    </row>
    <row r="214" spans="1:30">
      <c r="A214" s="13"/>
      <c r="B214" s="13"/>
      <c r="C214" s="5" t="s">
        <v>1423</v>
      </c>
      <c r="D214" s="12"/>
      <c r="E214" s="15">
        <v>200000</v>
      </c>
      <c r="J214" s="181"/>
      <c r="K214" s="13"/>
      <c r="L214" s="68"/>
      <c r="M214" s="68"/>
      <c r="N214" s="68"/>
      <c r="O214" s="66"/>
      <c r="Y214" s="13"/>
      <c r="Z214" s="68"/>
      <c r="AA214" s="66"/>
      <c r="AC214"/>
      <c r="AD214"/>
    </row>
    <row r="215" spans="1:30">
      <c r="A215" s="13"/>
      <c r="B215" s="5" t="s">
        <v>1726</v>
      </c>
      <c r="C215" s="12"/>
      <c r="D215" s="12"/>
      <c r="E215" s="15">
        <v>200000</v>
      </c>
      <c r="J215" s="181"/>
      <c r="K215" s="13"/>
      <c r="L215" s="68"/>
      <c r="M215" s="68"/>
      <c r="N215" s="68"/>
      <c r="O215" s="66"/>
      <c r="Y215" s="13"/>
      <c r="Z215" s="68"/>
      <c r="AA215" s="66"/>
      <c r="AC215"/>
      <c r="AD215"/>
    </row>
    <row r="216" spans="1:30">
      <c r="A216" s="13"/>
      <c r="B216" s="5" t="s">
        <v>82</v>
      </c>
      <c r="C216" s="5">
        <v>2799</v>
      </c>
      <c r="D216" s="5" t="s">
        <v>1028</v>
      </c>
      <c r="E216" s="15">
        <v>50000</v>
      </c>
      <c r="J216" s="181"/>
      <c r="K216" s="13"/>
      <c r="L216" s="68"/>
      <c r="M216" s="68"/>
      <c r="N216" s="68"/>
      <c r="O216" s="66"/>
      <c r="Y216" s="13"/>
      <c r="Z216" s="68"/>
      <c r="AA216" s="66"/>
      <c r="AC216"/>
      <c r="AD216"/>
    </row>
    <row r="217" spans="1:30">
      <c r="A217" s="13"/>
      <c r="B217" s="13"/>
      <c r="C217" s="5" t="s">
        <v>1735</v>
      </c>
      <c r="D217" s="12"/>
      <c r="E217" s="15">
        <v>50000</v>
      </c>
      <c r="J217" s="181"/>
      <c r="K217" s="13"/>
      <c r="L217" s="68"/>
      <c r="M217" s="68"/>
      <c r="N217" s="68"/>
      <c r="O217" s="66"/>
      <c r="Y217" s="13"/>
      <c r="Z217" s="68"/>
      <c r="AA217" s="66"/>
      <c r="AC217"/>
      <c r="AD217"/>
    </row>
    <row r="218" spans="1:30">
      <c r="A218" s="13"/>
      <c r="B218" s="5" t="s">
        <v>1727</v>
      </c>
      <c r="C218" s="12"/>
      <c r="D218" s="12"/>
      <c r="E218" s="15">
        <v>50000</v>
      </c>
      <c r="J218" s="181"/>
      <c r="K218" s="13"/>
      <c r="L218" s="68"/>
      <c r="M218" s="68"/>
      <c r="N218" s="68"/>
      <c r="O218" s="66"/>
      <c r="Y218" s="13"/>
      <c r="Z218" s="68"/>
      <c r="AA218" s="66"/>
      <c r="AC218"/>
      <c r="AD218"/>
    </row>
    <row r="219" spans="1:30">
      <c r="A219" s="13"/>
      <c r="B219" s="5" t="s">
        <v>577</v>
      </c>
      <c r="C219" s="5">
        <v>2881</v>
      </c>
      <c r="D219" s="5" t="s">
        <v>549</v>
      </c>
      <c r="E219" s="15">
        <v>826450</v>
      </c>
      <c r="J219" s="181"/>
      <c r="K219" s="13"/>
      <c r="L219" s="68"/>
      <c r="M219" s="68"/>
      <c r="N219" s="68"/>
      <c r="O219" s="66"/>
      <c r="Y219" s="13"/>
      <c r="Z219" s="68"/>
      <c r="AA219" s="66"/>
      <c r="AC219" s="70"/>
      <c r="AD219" s="70"/>
    </row>
    <row r="220" spans="1:30">
      <c r="A220" s="13"/>
      <c r="B220" s="13"/>
      <c r="C220" s="5" t="s">
        <v>1424</v>
      </c>
      <c r="D220" s="12"/>
      <c r="E220" s="15">
        <v>826450</v>
      </c>
      <c r="J220" s="181"/>
      <c r="K220" s="5"/>
      <c r="L220" s="5"/>
      <c r="M220" s="5"/>
      <c r="N220" s="5"/>
      <c r="O220" s="15"/>
      <c r="Y220" s="5"/>
      <c r="Z220" s="5"/>
      <c r="AA220" s="15"/>
      <c r="AC220"/>
      <c r="AD220"/>
    </row>
    <row r="221" spans="1:30">
      <c r="A221" s="13"/>
      <c r="B221" s="5" t="s">
        <v>1728</v>
      </c>
      <c r="C221" s="12"/>
      <c r="D221" s="12"/>
      <c r="E221" s="15">
        <v>826450</v>
      </c>
      <c r="J221" s="181"/>
      <c r="K221" s="13"/>
      <c r="L221" s="68"/>
      <c r="M221" s="68"/>
      <c r="N221" s="68"/>
      <c r="O221" s="66"/>
      <c r="Y221" s="13"/>
      <c r="Z221" s="68"/>
      <c r="AA221" s="66"/>
      <c r="AC221"/>
      <c r="AD221"/>
    </row>
    <row r="222" spans="1:30">
      <c r="A222" s="13"/>
      <c r="B222" s="5" t="s">
        <v>12</v>
      </c>
      <c r="C222" s="5" t="s">
        <v>1931</v>
      </c>
      <c r="D222" s="5" t="s">
        <v>1425</v>
      </c>
      <c r="E222" s="15">
        <v>355270</v>
      </c>
      <c r="J222" s="181"/>
      <c r="K222" s="13"/>
      <c r="L222" s="68"/>
      <c r="M222" s="68"/>
      <c r="N222" s="68"/>
      <c r="O222" s="66"/>
      <c r="Y222" s="13"/>
      <c r="Z222" s="68"/>
      <c r="AA222" s="66"/>
      <c r="AC222"/>
      <c r="AD222"/>
    </row>
    <row r="223" spans="1:30">
      <c r="A223" s="13"/>
      <c r="B223" s="13"/>
      <c r="C223" s="5" t="s">
        <v>1426</v>
      </c>
      <c r="D223" s="12"/>
      <c r="E223" s="15">
        <v>355270</v>
      </c>
      <c r="K223" s="13"/>
      <c r="L223" s="68"/>
      <c r="M223" s="68"/>
      <c r="N223" s="68"/>
      <c r="O223" s="66"/>
      <c r="Y223" s="13"/>
      <c r="Z223" s="68"/>
      <c r="AA223" s="66"/>
      <c r="AC223"/>
      <c r="AD223"/>
    </row>
    <row r="224" spans="1:30">
      <c r="A224" s="13"/>
      <c r="B224" s="5" t="s">
        <v>1309</v>
      </c>
      <c r="C224" s="12"/>
      <c r="D224" s="12"/>
      <c r="E224" s="15">
        <v>355270</v>
      </c>
      <c r="K224" s="13"/>
      <c r="L224" s="68"/>
      <c r="M224" s="68"/>
      <c r="N224" s="68"/>
      <c r="O224" s="66"/>
      <c r="Y224" s="13"/>
      <c r="Z224" s="68"/>
      <c r="AA224" s="66"/>
      <c r="AC224"/>
      <c r="AD224"/>
    </row>
    <row r="225" spans="1:30">
      <c r="A225" s="13"/>
      <c r="B225" s="5" t="s">
        <v>1600</v>
      </c>
      <c r="C225" s="5" t="s">
        <v>1470</v>
      </c>
      <c r="D225" s="5" t="s">
        <v>1743</v>
      </c>
      <c r="E225" s="15">
        <v>8200000</v>
      </c>
      <c r="K225" s="13"/>
      <c r="L225" s="68"/>
      <c r="M225" s="68"/>
      <c r="N225" s="68"/>
      <c r="O225" s="66"/>
      <c r="Y225" s="13"/>
      <c r="Z225" s="68"/>
      <c r="AA225" s="66"/>
      <c r="AC225"/>
      <c r="AD225"/>
    </row>
    <row r="226" spans="1:30">
      <c r="A226" s="13"/>
      <c r="B226" s="13"/>
      <c r="C226" s="5" t="s">
        <v>1744</v>
      </c>
      <c r="D226" s="12"/>
      <c r="E226" s="15">
        <v>8200000</v>
      </c>
      <c r="K226" s="13"/>
      <c r="L226" s="68"/>
      <c r="M226" s="68"/>
      <c r="N226" s="68"/>
      <c r="O226" s="66"/>
      <c r="Y226" s="13"/>
      <c r="Z226" s="68"/>
      <c r="AA226" s="66"/>
      <c r="AC226"/>
      <c r="AD226"/>
    </row>
    <row r="227" spans="1:30">
      <c r="A227" s="13"/>
      <c r="B227" s="5" t="s">
        <v>1729</v>
      </c>
      <c r="C227" s="12"/>
      <c r="D227" s="12"/>
      <c r="E227" s="15">
        <v>8200000</v>
      </c>
      <c r="K227" s="13"/>
      <c r="L227" s="68"/>
      <c r="M227" s="68"/>
      <c r="N227" s="68"/>
      <c r="O227" s="66"/>
      <c r="Y227" s="13"/>
      <c r="Z227" s="68"/>
      <c r="AA227" s="66"/>
      <c r="AC227"/>
      <c r="AD227"/>
    </row>
    <row r="228" spans="1:30">
      <c r="A228" s="13"/>
      <c r="B228" s="5" t="s">
        <v>1808</v>
      </c>
      <c r="C228" s="5">
        <v>2799</v>
      </c>
      <c r="D228" s="5" t="s">
        <v>1159</v>
      </c>
      <c r="E228" s="15">
        <v>9812</v>
      </c>
      <c r="K228" s="13"/>
      <c r="L228" s="68"/>
      <c r="M228" s="68"/>
      <c r="N228" s="68"/>
      <c r="O228" s="66"/>
      <c r="Y228" s="13"/>
      <c r="Z228" s="68"/>
      <c r="AA228" s="66"/>
      <c r="AC228"/>
      <c r="AD228"/>
    </row>
    <row r="229" spans="1:30">
      <c r="A229" s="13"/>
      <c r="B229" s="13"/>
      <c r="C229" s="5" t="s">
        <v>1735</v>
      </c>
      <c r="D229" s="12"/>
      <c r="E229" s="15">
        <v>9812</v>
      </c>
      <c r="K229" s="13"/>
      <c r="L229" s="68"/>
      <c r="M229" s="68"/>
      <c r="N229" s="68"/>
      <c r="O229" s="66"/>
      <c r="Y229" s="13"/>
      <c r="Z229" s="68"/>
      <c r="AA229" s="66"/>
      <c r="AC229"/>
      <c r="AD229"/>
    </row>
    <row r="230" spans="1:30">
      <c r="A230" s="13"/>
      <c r="B230" s="5" t="s">
        <v>1730</v>
      </c>
      <c r="C230" s="12"/>
      <c r="D230" s="12"/>
      <c r="E230" s="15">
        <v>9812</v>
      </c>
      <c r="K230" s="13"/>
      <c r="L230" s="68"/>
      <c r="M230" s="68"/>
      <c r="N230" s="68"/>
      <c r="O230" s="66"/>
      <c r="Y230" s="13"/>
      <c r="Z230" s="68"/>
      <c r="AA230" s="66"/>
      <c r="AC230"/>
      <c r="AD230"/>
    </row>
    <row r="231" spans="1:30">
      <c r="A231" s="13"/>
      <c r="B231" s="5" t="s">
        <v>21</v>
      </c>
      <c r="C231" s="5">
        <v>2025</v>
      </c>
      <c r="D231" s="5" t="s">
        <v>589</v>
      </c>
      <c r="E231" s="15">
        <v>56000</v>
      </c>
      <c r="K231" s="13"/>
      <c r="L231" s="68"/>
      <c r="M231" s="68"/>
      <c r="N231" s="68"/>
      <c r="O231" s="66"/>
      <c r="Y231" s="13"/>
      <c r="Z231" s="68"/>
      <c r="AA231" s="66"/>
      <c r="AC231"/>
      <c r="AD231"/>
    </row>
    <row r="232" spans="1:30">
      <c r="A232" s="13"/>
      <c r="B232" s="13"/>
      <c r="C232" s="5" t="s">
        <v>1745</v>
      </c>
      <c r="D232" s="12"/>
      <c r="E232" s="15">
        <v>56000</v>
      </c>
      <c r="K232" s="13"/>
      <c r="L232" s="68"/>
      <c r="M232" s="68"/>
      <c r="N232" s="68"/>
      <c r="O232" s="66"/>
      <c r="Y232" s="13"/>
      <c r="Z232" s="68"/>
      <c r="AA232" s="66"/>
      <c r="AC232"/>
      <c r="AD232"/>
    </row>
    <row r="233" spans="1:30">
      <c r="A233" s="13"/>
      <c r="B233" s="5" t="s">
        <v>1731</v>
      </c>
      <c r="C233" s="12"/>
      <c r="D233" s="12"/>
      <c r="E233" s="15">
        <v>56000</v>
      </c>
      <c r="K233" s="13"/>
      <c r="L233" s="68"/>
      <c r="M233" s="68"/>
      <c r="N233" s="68"/>
      <c r="O233" s="66"/>
      <c r="Y233" s="13"/>
      <c r="Z233" s="68"/>
      <c r="AA233" s="66"/>
      <c r="AC233"/>
      <c r="AD233"/>
    </row>
    <row r="234" spans="1:30">
      <c r="A234" s="13"/>
      <c r="B234" s="5" t="s">
        <v>1918</v>
      </c>
      <c r="C234" s="5">
        <v>2032</v>
      </c>
      <c r="D234" s="5" t="s">
        <v>1922</v>
      </c>
      <c r="E234" s="15">
        <v>30000</v>
      </c>
      <c r="K234" s="13"/>
      <c r="L234" s="68"/>
      <c r="M234" s="68"/>
      <c r="N234" s="68"/>
      <c r="O234" s="66"/>
      <c r="Y234" s="13"/>
      <c r="Z234" s="68"/>
      <c r="AA234" s="66"/>
      <c r="AC234"/>
      <c r="AD234"/>
    </row>
    <row r="235" spans="1:30">
      <c r="A235" s="13"/>
      <c r="B235" s="13"/>
      <c r="C235" s="5" t="s">
        <v>1746</v>
      </c>
      <c r="D235" s="12"/>
      <c r="E235" s="15">
        <v>30000</v>
      </c>
      <c r="K235" s="13"/>
      <c r="L235" s="68"/>
      <c r="M235" s="68"/>
      <c r="N235" s="68"/>
      <c r="O235" s="66"/>
      <c r="Y235" s="13"/>
      <c r="Z235" s="68"/>
      <c r="AA235" s="66"/>
      <c r="AC235"/>
      <c r="AD235"/>
    </row>
    <row r="236" spans="1:30">
      <c r="A236" s="13"/>
      <c r="B236" s="5" t="s">
        <v>1732</v>
      </c>
      <c r="C236" s="12"/>
      <c r="D236" s="12"/>
      <c r="E236" s="15">
        <v>30000</v>
      </c>
      <c r="K236" s="13"/>
      <c r="L236" s="68"/>
      <c r="M236" s="68"/>
      <c r="N236" s="68"/>
      <c r="O236" s="66"/>
      <c r="Y236" s="13"/>
      <c r="Z236" s="68"/>
      <c r="AA236" s="66"/>
      <c r="AC236"/>
      <c r="AD236"/>
    </row>
    <row r="237" spans="1:30">
      <c r="A237" s="13"/>
      <c r="B237" s="5" t="s">
        <v>560</v>
      </c>
      <c r="C237" s="5">
        <v>2799</v>
      </c>
      <c r="D237" s="5" t="s">
        <v>1283</v>
      </c>
      <c r="E237" s="15">
        <v>30000</v>
      </c>
      <c r="K237" s="13"/>
      <c r="L237" s="68"/>
      <c r="M237" s="68"/>
      <c r="N237" s="68"/>
      <c r="O237" s="66"/>
      <c r="Y237" s="13"/>
      <c r="Z237" s="68"/>
      <c r="AA237" s="66"/>
      <c r="AC237"/>
      <c r="AD237"/>
    </row>
    <row r="238" spans="1:30">
      <c r="A238" s="13"/>
      <c r="B238" s="13"/>
      <c r="C238" s="5" t="s">
        <v>1735</v>
      </c>
      <c r="D238" s="12"/>
      <c r="E238" s="15">
        <v>30000</v>
      </c>
      <c r="K238" s="13"/>
      <c r="L238" s="68"/>
      <c r="M238" s="68"/>
      <c r="N238" s="68"/>
      <c r="O238" s="66"/>
      <c r="Y238" s="13"/>
      <c r="Z238" s="68"/>
      <c r="AA238" s="66"/>
      <c r="AC238"/>
      <c r="AD238"/>
    </row>
    <row r="239" spans="1:30">
      <c r="A239" s="13"/>
      <c r="B239" s="5" t="s">
        <v>1733</v>
      </c>
      <c r="C239" s="12"/>
      <c r="D239" s="12"/>
      <c r="E239" s="15">
        <v>30000</v>
      </c>
      <c r="K239" s="13"/>
      <c r="L239" s="68"/>
      <c r="M239" s="68"/>
      <c r="N239" s="68"/>
      <c r="O239" s="66"/>
      <c r="Y239" s="13"/>
      <c r="Z239" s="68"/>
      <c r="AA239" s="66"/>
      <c r="AC239"/>
      <c r="AD239"/>
    </row>
    <row r="240" spans="1:30">
      <c r="A240" s="13"/>
      <c r="B240" s="5" t="s">
        <v>580</v>
      </c>
      <c r="C240" s="5">
        <v>2799</v>
      </c>
      <c r="D240" s="5" t="s">
        <v>1027</v>
      </c>
      <c r="E240" s="15">
        <v>150000</v>
      </c>
      <c r="K240" s="13"/>
      <c r="L240" s="68"/>
      <c r="M240" s="68"/>
      <c r="N240" s="68"/>
      <c r="O240" s="66"/>
      <c r="Y240" s="13"/>
      <c r="Z240" s="68"/>
      <c r="AA240" s="66"/>
      <c r="AC240"/>
      <c r="AD240"/>
    </row>
    <row r="241" spans="1:30">
      <c r="A241" s="13"/>
      <c r="B241" s="13"/>
      <c r="C241" s="5" t="s">
        <v>1735</v>
      </c>
      <c r="D241" s="12"/>
      <c r="E241" s="15">
        <v>150000</v>
      </c>
      <c r="K241" s="13"/>
      <c r="L241" s="68"/>
      <c r="M241" s="68"/>
      <c r="N241" s="68"/>
      <c r="O241" s="66"/>
      <c r="Y241" s="13"/>
      <c r="Z241" s="68"/>
      <c r="AA241" s="66"/>
      <c r="AC241" s="70"/>
      <c r="AD241" s="70"/>
    </row>
    <row r="242" spans="1:30">
      <c r="A242" s="13"/>
      <c r="B242" s="5" t="s">
        <v>1734</v>
      </c>
      <c r="C242" s="12"/>
      <c r="D242" s="12"/>
      <c r="E242" s="15">
        <v>150000</v>
      </c>
      <c r="K242" s="9"/>
      <c r="L242" s="239"/>
      <c r="M242" s="239"/>
      <c r="N242" s="16"/>
      <c r="O242" s="14"/>
      <c r="Y242" s="9"/>
      <c r="Z242" s="16"/>
      <c r="AA242" s="14"/>
      <c r="AC242"/>
      <c r="AD242"/>
    </row>
    <row r="243" spans="1:30">
      <c r="A243" s="13"/>
      <c r="B243" s="5" t="s">
        <v>2032</v>
      </c>
      <c r="C243" s="5">
        <v>2888</v>
      </c>
      <c r="D243" s="5" t="s">
        <v>1740</v>
      </c>
      <c r="E243" s="15">
        <v>16068357</v>
      </c>
      <c r="N243"/>
      <c r="Z243" s="161"/>
      <c r="AC243"/>
      <c r="AD243"/>
    </row>
    <row r="244" spans="1:30">
      <c r="A244" s="13"/>
      <c r="B244" s="13"/>
      <c r="C244" s="5" t="s">
        <v>1741</v>
      </c>
      <c r="D244" s="12"/>
      <c r="E244" s="15">
        <v>16068357</v>
      </c>
      <c r="N244"/>
      <c r="AC244"/>
      <c r="AD244"/>
    </row>
    <row r="245" spans="1:30">
      <c r="A245" s="13"/>
      <c r="B245" s="5" t="s">
        <v>1427</v>
      </c>
      <c r="C245" s="12"/>
      <c r="D245" s="12"/>
      <c r="E245" s="15">
        <v>16068357</v>
      </c>
      <c r="N245"/>
      <c r="AC245"/>
      <c r="AD245"/>
    </row>
    <row r="246" spans="1:30">
      <c r="A246" s="5" t="s">
        <v>370</v>
      </c>
      <c r="B246" s="12"/>
      <c r="C246" s="12"/>
      <c r="D246" s="12"/>
      <c r="E246" s="15">
        <v>275595219</v>
      </c>
      <c r="N246"/>
      <c r="AC246"/>
      <c r="AD246"/>
    </row>
    <row r="247" spans="1:30">
      <c r="A247" s="5">
        <v>2012</v>
      </c>
      <c r="B247" s="5" t="s">
        <v>88</v>
      </c>
      <c r="C247" s="5">
        <v>2799</v>
      </c>
      <c r="D247" s="5" t="s">
        <v>1413</v>
      </c>
      <c r="E247" s="15">
        <v>50000</v>
      </c>
      <c r="N247"/>
      <c r="AC247"/>
      <c r="AD247"/>
    </row>
    <row r="248" spans="1:30">
      <c r="A248" s="13"/>
      <c r="B248" s="13"/>
      <c r="C248" s="5" t="s">
        <v>1735</v>
      </c>
      <c r="D248" s="12"/>
      <c r="E248" s="15">
        <v>50000</v>
      </c>
      <c r="N248"/>
      <c r="AC248"/>
      <c r="AD248"/>
    </row>
    <row r="249" spans="1:30">
      <c r="A249" s="13"/>
      <c r="B249" s="5" t="s">
        <v>1428</v>
      </c>
      <c r="C249" s="12"/>
      <c r="D249" s="12"/>
      <c r="E249" s="15">
        <v>50000</v>
      </c>
      <c r="N249"/>
      <c r="AC249"/>
      <c r="AD249"/>
    </row>
    <row r="250" spans="1:30">
      <c r="A250" s="13"/>
      <c r="B250" s="5" t="s">
        <v>1932</v>
      </c>
      <c r="C250" s="5" t="s">
        <v>1417</v>
      </c>
      <c r="D250" s="5" t="s">
        <v>1429</v>
      </c>
      <c r="E250" s="15">
        <v>2782000</v>
      </c>
      <c r="N250"/>
      <c r="AC250"/>
      <c r="AD250"/>
    </row>
    <row r="251" spans="1:30">
      <c r="A251" s="13"/>
      <c r="B251" s="13"/>
      <c r="C251" s="5" t="s">
        <v>1430</v>
      </c>
      <c r="D251" s="12"/>
      <c r="E251" s="15">
        <v>2782000</v>
      </c>
      <c r="N251"/>
      <c r="AC251"/>
      <c r="AD251"/>
    </row>
    <row r="252" spans="1:30">
      <c r="A252" s="13"/>
      <c r="B252" s="5" t="s">
        <v>1431</v>
      </c>
      <c r="C252" s="12"/>
      <c r="D252" s="12"/>
      <c r="E252" s="15">
        <v>2782000</v>
      </c>
      <c r="N252"/>
      <c r="AC252"/>
      <c r="AD252"/>
    </row>
    <row r="253" spans="1:30">
      <c r="A253" s="13"/>
      <c r="B253" s="5" t="s">
        <v>689</v>
      </c>
      <c r="C253" s="5">
        <v>2799</v>
      </c>
      <c r="D253" s="5" t="s">
        <v>693</v>
      </c>
      <c r="E253" s="15">
        <v>50000</v>
      </c>
      <c r="N253"/>
      <c r="AC253"/>
      <c r="AD253"/>
    </row>
    <row r="254" spans="1:30">
      <c r="A254" s="13"/>
      <c r="B254" s="13"/>
      <c r="C254" s="5" t="s">
        <v>1735</v>
      </c>
      <c r="D254" s="12"/>
      <c r="E254" s="15">
        <v>50000</v>
      </c>
      <c r="N254"/>
      <c r="AC254"/>
      <c r="AD254"/>
    </row>
    <row r="255" spans="1:30">
      <c r="A255" s="13"/>
      <c r="B255" s="5" t="s">
        <v>1432</v>
      </c>
      <c r="C255" s="12"/>
      <c r="D255" s="12"/>
      <c r="E255" s="15">
        <v>50000</v>
      </c>
      <c r="N255"/>
      <c r="AC255"/>
      <c r="AD255"/>
    </row>
    <row r="256" spans="1:30">
      <c r="A256" s="13"/>
      <c r="B256" s="5" t="s">
        <v>1415</v>
      </c>
      <c r="C256" s="5">
        <v>2799</v>
      </c>
      <c r="D256" s="5" t="s">
        <v>1413</v>
      </c>
      <c r="E256" s="15">
        <v>50000</v>
      </c>
      <c r="N256"/>
      <c r="AC256"/>
      <c r="AD256"/>
    </row>
    <row r="257" spans="1:30">
      <c r="A257" s="13"/>
      <c r="B257" s="13"/>
      <c r="C257" s="5" t="s">
        <v>1735</v>
      </c>
      <c r="D257" s="12"/>
      <c r="E257" s="15">
        <v>50000</v>
      </c>
      <c r="N257"/>
      <c r="AC257"/>
      <c r="AD257"/>
    </row>
    <row r="258" spans="1:30">
      <c r="A258" s="13"/>
      <c r="B258" s="5" t="s">
        <v>1433</v>
      </c>
      <c r="C258" s="12"/>
      <c r="D258" s="12"/>
      <c r="E258" s="15">
        <v>50000</v>
      </c>
      <c r="N258"/>
      <c r="AC258"/>
      <c r="AD258"/>
    </row>
    <row r="259" spans="1:30">
      <c r="A259" s="5" t="s">
        <v>1434</v>
      </c>
      <c r="B259" s="12"/>
      <c r="C259" s="12"/>
      <c r="D259" s="12"/>
      <c r="E259" s="15">
        <v>2932000</v>
      </c>
      <c r="N259"/>
      <c r="AC259"/>
      <c r="AD259"/>
    </row>
    <row r="260" spans="1:30">
      <c r="A260" s="9" t="s">
        <v>1207</v>
      </c>
      <c r="B260" s="16"/>
      <c r="C260" s="16"/>
      <c r="D260" s="16"/>
      <c r="E260" s="14">
        <v>278527219</v>
      </c>
      <c r="N260"/>
      <c r="AC260"/>
      <c r="AD260"/>
    </row>
    <row r="261" spans="1:30">
      <c r="E261"/>
      <c r="N261"/>
      <c r="AC261"/>
      <c r="AD261"/>
    </row>
    <row r="262" spans="1:30">
      <c r="E262"/>
      <c r="N262"/>
      <c r="AC262"/>
      <c r="AD262"/>
    </row>
    <row r="263" spans="1:30">
      <c r="E263"/>
      <c r="N263"/>
      <c r="AC263"/>
      <c r="AD263"/>
    </row>
    <row r="264" spans="1:30" ht="17.25">
      <c r="B264" s="358" t="s">
        <v>1540</v>
      </c>
      <c r="E264"/>
      <c r="N264"/>
      <c r="AC264"/>
      <c r="AD264"/>
    </row>
    <row r="265" spans="1:30" ht="17.25">
      <c r="B265" s="358" t="s">
        <v>1668</v>
      </c>
      <c r="E265"/>
      <c r="N265"/>
      <c r="AC265"/>
      <c r="AD265"/>
    </row>
    <row r="266" spans="1:30" ht="17.25">
      <c r="B266" s="626" t="s">
        <v>1876</v>
      </c>
      <c r="E266"/>
      <c r="N266"/>
      <c r="AC266"/>
      <c r="AD266"/>
    </row>
    <row r="267" spans="1:30" ht="17.25">
      <c r="B267" s="358" t="s">
        <v>1947</v>
      </c>
      <c r="E267"/>
      <c r="N267"/>
      <c r="AC267"/>
      <c r="AD267"/>
    </row>
    <row r="268" spans="1:30" ht="17.25">
      <c r="B268" s="358" t="s">
        <v>682</v>
      </c>
      <c r="E268"/>
      <c r="N268"/>
      <c r="AC268"/>
      <c r="AD268"/>
    </row>
    <row r="269" spans="1:30" ht="17.25">
      <c r="B269" s="358" t="s">
        <v>2026</v>
      </c>
      <c r="E269"/>
      <c r="N269"/>
      <c r="AC269"/>
      <c r="AD269"/>
    </row>
    <row r="270" spans="1:30" ht="17.25">
      <c r="B270" s="358" t="s">
        <v>1565</v>
      </c>
      <c r="E270"/>
      <c r="N270"/>
      <c r="AC270"/>
      <c r="AD270"/>
    </row>
    <row r="271" spans="1:30" ht="17.25">
      <c r="B271" s="619" t="s">
        <v>1437</v>
      </c>
      <c r="E271"/>
      <c r="N271"/>
      <c r="AC271"/>
      <c r="AD271"/>
    </row>
    <row r="272" spans="1:30" ht="17.25">
      <c r="B272" s="358" t="s">
        <v>121</v>
      </c>
      <c r="E272"/>
      <c r="N272"/>
      <c r="AC272"/>
      <c r="AD272"/>
    </row>
    <row r="273" spans="2:30" ht="17.25">
      <c r="B273" s="358" t="s">
        <v>1878</v>
      </c>
      <c r="E273"/>
      <c r="N273"/>
      <c r="AC273"/>
      <c r="AD273"/>
    </row>
    <row r="274" spans="2:30" ht="17.25">
      <c r="B274" s="358" t="s">
        <v>717</v>
      </c>
      <c r="E274"/>
      <c r="N274"/>
      <c r="AC274"/>
      <c r="AD274"/>
    </row>
    <row r="275" spans="2:30" ht="17.25">
      <c r="B275" s="358" t="s">
        <v>1604</v>
      </c>
      <c r="E275"/>
      <c r="N275"/>
      <c r="AC275"/>
      <c r="AD275"/>
    </row>
    <row r="276" spans="2:30" ht="17.25">
      <c r="B276" s="626" t="s">
        <v>15</v>
      </c>
      <c r="E276"/>
      <c r="N276"/>
      <c r="AC276"/>
      <c r="AD276"/>
    </row>
    <row r="277" spans="2:30" ht="17.25">
      <c r="B277" s="626" t="s">
        <v>584</v>
      </c>
      <c r="E277"/>
      <c r="N277"/>
      <c r="AC277"/>
      <c r="AD277"/>
    </row>
    <row r="278" spans="2:30" ht="17.25">
      <c r="B278" s="626" t="s">
        <v>398</v>
      </c>
      <c r="E278"/>
      <c r="N278"/>
      <c r="AC278"/>
      <c r="AD278"/>
    </row>
    <row r="279" spans="2:30" ht="17.25">
      <c r="B279" s="626" t="s">
        <v>1936</v>
      </c>
      <c r="E279"/>
      <c r="N279"/>
      <c r="AC279"/>
      <c r="AD279"/>
    </row>
    <row r="280" spans="2:30" ht="17.25">
      <c r="B280" s="626" t="s">
        <v>1653</v>
      </c>
      <c r="E280"/>
      <c r="N280"/>
      <c r="AC280"/>
      <c r="AD280"/>
    </row>
    <row r="281" spans="2:30" ht="17.25">
      <c r="B281" s="626" t="s">
        <v>1544</v>
      </c>
      <c r="E281"/>
      <c r="N281"/>
      <c r="AC281"/>
      <c r="AD281"/>
    </row>
    <row r="282" spans="2:30" ht="17.25">
      <c r="B282" s="626" t="s">
        <v>85</v>
      </c>
      <c r="E282"/>
      <c r="N282"/>
      <c r="AC282"/>
      <c r="AD282"/>
    </row>
    <row r="283" spans="2:30">
      <c r="B283" t="s">
        <v>1436</v>
      </c>
      <c r="E283"/>
      <c r="N283"/>
      <c r="AC283"/>
      <c r="AD283"/>
    </row>
    <row r="284" spans="2:30">
      <c r="B284" t="s">
        <v>1438</v>
      </c>
      <c r="E284"/>
      <c r="N284"/>
      <c r="AC284"/>
      <c r="AD284"/>
    </row>
    <row r="285" spans="2:30">
      <c r="E285"/>
      <c r="N285"/>
      <c r="AC285"/>
      <c r="AD285"/>
    </row>
    <row r="286" spans="2:30">
      <c r="E286"/>
      <c r="N286"/>
      <c r="AC286"/>
      <c r="AD286"/>
    </row>
    <row r="287" spans="2:30">
      <c r="E287"/>
      <c r="N287"/>
      <c r="AC287"/>
      <c r="AD287"/>
    </row>
    <row r="288" spans="2:30">
      <c r="E288"/>
      <c r="N288"/>
      <c r="AC288"/>
      <c r="AD288"/>
    </row>
    <row r="289" spans="5:30">
      <c r="E289"/>
      <c r="N289"/>
      <c r="AC289"/>
      <c r="AD289"/>
    </row>
    <row r="290" spans="5:30">
      <c r="E290"/>
      <c r="N290"/>
      <c r="AC290"/>
      <c r="AD290"/>
    </row>
    <row r="291" spans="5:30">
      <c r="E291"/>
      <c r="N291"/>
      <c r="AC291"/>
      <c r="AD291"/>
    </row>
    <row r="292" spans="5:30">
      <c r="E292"/>
      <c r="N292"/>
      <c r="AC292"/>
      <c r="AD292"/>
    </row>
    <row r="293" spans="5:30">
      <c r="E293"/>
      <c r="N293"/>
      <c r="AC293"/>
      <c r="AD293"/>
    </row>
    <row r="294" spans="5:30">
      <c r="E294"/>
      <c r="N294"/>
      <c r="AC294"/>
      <c r="AD294"/>
    </row>
    <row r="295" spans="5:30">
      <c r="E295"/>
      <c r="N295"/>
      <c r="AC295"/>
      <c r="AD295"/>
    </row>
    <row r="296" spans="5:30">
      <c r="E296"/>
      <c r="N296"/>
      <c r="AC296"/>
      <c r="AD296"/>
    </row>
    <row r="297" spans="5:30">
      <c r="E297"/>
      <c r="N297"/>
      <c r="AC297"/>
      <c r="AD297"/>
    </row>
    <row r="298" spans="5:30">
      <c r="E298"/>
      <c r="N298"/>
      <c r="AC298"/>
      <c r="AD298"/>
    </row>
    <row r="299" spans="5:30">
      <c r="E299"/>
      <c r="N299"/>
      <c r="AC299"/>
      <c r="AD299"/>
    </row>
    <row r="300" spans="5:30">
      <c r="E300"/>
      <c r="N300"/>
      <c r="AC300"/>
      <c r="AD300"/>
    </row>
    <row r="301" spans="5:30">
      <c r="E301"/>
      <c r="N301"/>
      <c r="AC301"/>
      <c r="AD301"/>
    </row>
    <row r="302" spans="5:30">
      <c r="E302"/>
      <c r="N302"/>
      <c r="AC302"/>
      <c r="AD302"/>
    </row>
    <row r="303" spans="5:30">
      <c r="E303"/>
      <c r="N303"/>
      <c r="AC303"/>
      <c r="AD303"/>
    </row>
    <row r="304" spans="5:30">
      <c r="E304"/>
      <c r="N304"/>
      <c r="AC304"/>
      <c r="AD304"/>
    </row>
    <row r="305" spans="5:30">
      <c r="E305"/>
      <c r="N305"/>
      <c r="AC305"/>
      <c r="AD305"/>
    </row>
    <row r="306" spans="5:30">
      <c r="E306"/>
      <c r="N306"/>
      <c r="AC306"/>
      <c r="AD306"/>
    </row>
    <row r="307" spans="5:30">
      <c r="E307"/>
      <c r="N307"/>
      <c r="AC307"/>
      <c r="AD307"/>
    </row>
    <row r="308" spans="5:30">
      <c r="E308"/>
      <c r="N308"/>
      <c r="AC308"/>
      <c r="AD308"/>
    </row>
    <row r="309" spans="5:30">
      <c r="E309"/>
      <c r="N309"/>
      <c r="AC309"/>
      <c r="AD309"/>
    </row>
    <row r="310" spans="5:30">
      <c r="E310"/>
      <c r="N310"/>
      <c r="AC310"/>
      <c r="AD310"/>
    </row>
    <row r="311" spans="5:30">
      <c r="E311"/>
      <c r="N311"/>
      <c r="AC311"/>
      <c r="AD311"/>
    </row>
    <row r="312" spans="5:30">
      <c r="E312"/>
      <c r="N312"/>
      <c r="AC312"/>
      <c r="AD312"/>
    </row>
    <row r="313" spans="5:30">
      <c r="E313"/>
      <c r="N313"/>
      <c r="AC313"/>
      <c r="AD313"/>
    </row>
    <row r="314" spans="5:30">
      <c r="E314"/>
      <c r="N314"/>
      <c r="AC314"/>
      <c r="AD314"/>
    </row>
    <row r="315" spans="5:30">
      <c r="E315"/>
      <c r="N315"/>
      <c r="AC315"/>
      <c r="AD315"/>
    </row>
    <row r="316" spans="5:30">
      <c r="E316"/>
      <c r="N316"/>
      <c r="AC316"/>
      <c r="AD316"/>
    </row>
    <row r="317" spans="5:30">
      <c r="E317"/>
      <c r="N317"/>
      <c r="AC317"/>
      <c r="AD317"/>
    </row>
    <row r="318" spans="5:30">
      <c r="E318"/>
      <c r="N318"/>
      <c r="AC318"/>
      <c r="AD318"/>
    </row>
    <row r="319" spans="5:30">
      <c r="E319"/>
      <c r="N319"/>
      <c r="AC319"/>
      <c r="AD319"/>
    </row>
    <row r="320" spans="5:30">
      <c r="E320"/>
      <c r="N320"/>
      <c r="AC320"/>
      <c r="AD320"/>
    </row>
    <row r="321" spans="5:30">
      <c r="E321"/>
      <c r="N321"/>
      <c r="AC321"/>
      <c r="AD321"/>
    </row>
    <row r="322" spans="5:30">
      <c r="E322"/>
      <c r="N322"/>
      <c r="AC322"/>
      <c r="AD322"/>
    </row>
    <row r="323" spans="5:30">
      <c r="E323"/>
      <c r="N323"/>
      <c r="AC323"/>
      <c r="AD323"/>
    </row>
    <row r="324" spans="5:30">
      <c r="E324"/>
      <c r="N324"/>
      <c r="AC324"/>
      <c r="AD324"/>
    </row>
    <row r="325" spans="5:30">
      <c r="E325"/>
      <c r="N325"/>
      <c r="AC325"/>
      <c r="AD325"/>
    </row>
    <row r="326" spans="5:30">
      <c r="E326"/>
      <c r="N326"/>
      <c r="AC326"/>
      <c r="AD326"/>
    </row>
    <row r="327" spans="5:30">
      <c r="E327"/>
      <c r="N327"/>
      <c r="AC327"/>
      <c r="AD327"/>
    </row>
    <row r="328" spans="5:30">
      <c r="E328"/>
      <c r="N328"/>
      <c r="AC328"/>
      <c r="AD328"/>
    </row>
    <row r="329" spans="5:30">
      <c r="E329"/>
      <c r="N329"/>
      <c r="AC329"/>
      <c r="AD329"/>
    </row>
    <row r="330" spans="5:30">
      <c r="E330"/>
      <c r="N330"/>
      <c r="AC330"/>
      <c r="AD330"/>
    </row>
    <row r="331" spans="5:30">
      <c r="E331"/>
      <c r="N331"/>
      <c r="AC331"/>
      <c r="AD331"/>
    </row>
    <row r="332" spans="5:30">
      <c r="E332"/>
      <c r="N332"/>
      <c r="AC332"/>
      <c r="AD332"/>
    </row>
    <row r="333" spans="5:30">
      <c r="E333"/>
      <c r="N333"/>
      <c r="AC333"/>
      <c r="AD333"/>
    </row>
    <row r="334" spans="5:30">
      <c r="E334"/>
      <c r="N334"/>
      <c r="AC334"/>
      <c r="AD334"/>
    </row>
    <row r="335" spans="5:30">
      <c r="E335"/>
      <c r="N335"/>
      <c r="AC335"/>
      <c r="AD335"/>
    </row>
    <row r="336" spans="5:30">
      <c r="E336"/>
      <c r="N336"/>
      <c r="AC336"/>
      <c r="AD336"/>
    </row>
    <row r="337" spans="5:30">
      <c r="E337"/>
      <c r="N337"/>
      <c r="AC337"/>
      <c r="AD337"/>
    </row>
    <row r="338" spans="5:30">
      <c r="E338"/>
      <c r="N338"/>
      <c r="AC338"/>
      <c r="AD338"/>
    </row>
    <row r="339" spans="5:30">
      <c r="E339"/>
      <c r="N339"/>
      <c r="AC339"/>
      <c r="AD339"/>
    </row>
    <row r="340" spans="5:30">
      <c r="E340"/>
      <c r="N340"/>
      <c r="AC340"/>
      <c r="AD340"/>
    </row>
    <row r="341" spans="5:30">
      <c r="E341"/>
      <c r="N341"/>
      <c r="AC341"/>
      <c r="AD341"/>
    </row>
    <row r="342" spans="5:30">
      <c r="E342"/>
      <c r="N342"/>
      <c r="AC342"/>
      <c r="AD342"/>
    </row>
    <row r="343" spans="5:30">
      <c r="E343"/>
      <c r="N343"/>
      <c r="AC343"/>
      <c r="AD343"/>
    </row>
    <row r="344" spans="5:30">
      <c r="E344"/>
      <c r="N344"/>
      <c r="AC344"/>
      <c r="AD344"/>
    </row>
    <row r="345" spans="5:30">
      <c r="E345"/>
      <c r="N345"/>
      <c r="AC345"/>
      <c r="AD345"/>
    </row>
    <row r="346" spans="5:30">
      <c r="E346"/>
      <c r="N346"/>
      <c r="AC346"/>
      <c r="AD346"/>
    </row>
    <row r="347" spans="5:30">
      <c r="E347"/>
      <c r="N347"/>
      <c r="AC347"/>
      <c r="AD347"/>
    </row>
    <row r="348" spans="5:30">
      <c r="E348"/>
      <c r="N348"/>
      <c r="AC348"/>
      <c r="AD348"/>
    </row>
    <row r="349" spans="5:30">
      <c r="E349"/>
      <c r="N349"/>
      <c r="AC349"/>
      <c r="AD349"/>
    </row>
    <row r="350" spans="5:30">
      <c r="E350"/>
      <c r="N350"/>
      <c r="AC350"/>
      <c r="AD350"/>
    </row>
    <row r="351" spans="5:30">
      <c r="E351"/>
      <c r="N351"/>
      <c r="AC351"/>
      <c r="AD351"/>
    </row>
    <row r="352" spans="5:30">
      <c r="E352"/>
      <c r="N352"/>
      <c r="AC352"/>
      <c r="AD352"/>
    </row>
    <row r="353" spans="5:30">
      <c r="E353"/>
      <c r="N353"/>
      <c r="AC353"/>
      <c r="AD353"/>
    </row>
    <row r="354" spans="5:30">
      <c r="E354"/>
      <c r="N354"/>
      <c r="AC354"/>
      <c r="AD354"/>
    </row>
    <row r="355" spans="5:30">
      <c r="E355"/>
      <c r="N355"/>
      <c r="AC355"/>
      <c r="AD355"/>
    </row>
    <row r="356" spans="5:30">
      <c r="E356"/>
      <c r="N356"/>
      <c r="AC356"/>
      <c r="AD356"/>
    </row>
    <row r="357" spans="5:30">
      <c r="E357"/>
      <c r="N357"/>
      <c r="AC357"/>
      <c r="AD357"/>
    </row>
    <row r="358" spans="5:30">
      <c r="E358"/>
      <c r="N358"/>
      <c r="AC358"/>
      <c r="AD358"/>
    </row>
    <row r="359" spans="5:30">
      <c r="E359"/>
      <c r="N359"/>
      <c r="AC359"/>
      <c r="AD359"/>
    </row>
    <row r="360" spans="5:30">
      <c r="E360"/>
      <c r="N360"/>
      <c r="AC360"/>
      <c r="AD360"/>
    </row>
    <row r="361" spans="5:30">
      <c r="E361"/>
      <c r="N361"/>
      <c r="AC361"/>
      <c r="AD361"/>
    </row>
    <row r="362" spans="5:30">
      <c r="E362"/>
      <c r="N362"/>
      <c r="AC362"/>
      <c r="AD362"/>
    </row>
    <row r="363" spans="5:30">
      <c r="E363"/>
      <c r="N363"/>
      <c r="AC363"/>
      <c r="AD363"/>
    </row>
    <row r="364" spans="5:30">
      <c r="E364"/>
      <c r="N364"/>
      <c r="AC364"/>
      <c r="AD364"/>
    </row>
    <row r="365" spans="5:30">
      <c r="E365"/>
      <c r="N365"/>
      <c r="AC365"/>
      <c r="AD365"/>
    </row>
    <row r="366" spans="5:30">
      <c r="E366"/>
      <c r="N366"/>
      <c r="AC366"/>
      <c r="AD366"/>
    </row>
    <row r="367" spans="5:30">
      <c r="E367"/>
      <c r="N367"/>
      <c r="AC367"/>
      <c r="AD367"/>
    </row>
    <row r="368" spans="5:30">
      <c r="E368"/>
      <c r="N368"/>
      <c r="AC368"/>
      <c r="AD368"/>
    </row>
    <row r="369" spans="5:30">
      <c r="E369"/>
      <c r="N369"/>
      <c r="AC369"/>
      <c r="AD369"/>
    </row>
    <row r="370" spans="5:30">
      <c r="E370"/>
      <c r="N370"/>
      <c r="AC370"/>
      <c r="AD370"/>
    </row>
    <row r="371" spans="5:30">
      <c r="E371"/>
      <c r="N371"/>
      <c r="AC371"/>
      <c r="AD371"/>
    </row>
    <row r="372" spans="5:30">
      <c r="E372"/>
      <c r="N372"/>
      <c r="AC372"/>
      <c r="AD372"/>
    </row>
    <row r="373" spans="5:30">
      <c r="E373"/>
      <c r="N373"/>
      <c r="AC373"/>
      <c r="AD373"/>
    </row>
    <row r="374" spans="5:30">
      <c r="E374"/>
      <c r="N374"/>
      <c r="AC374"/>
      <c r="AD374"/>
    </row>
    <row r="375" spans="5:30">
      <c r="E375"/>
      <c r="N375"/>
      <c r="AC375"/>
      <c r="AD375"/>
    </row>
    <row r="376" spans="5:30">
      <c r="E376"/>
      <c r="N376"/>
      <c r="AC376"/>
      <c r="AD376"/>
    </row>
    <row r="377" spans="5:30">
      <c r="E377"/>
      <c r="N377"/>
      <c r="AC377"/>
      <c r="AD377"/>
    </row>
    <row r="378" spans="5:30">
      <c r="E378"/>
      <c r="N378"/>
      <c r="AC378"/>
      <c r="AD378"/>
    </row>
    <row r="379" spans="5:30">
      <c r="E379"/>
      <c r="N379"/>
      <c r="AC379"/>
      <c r="AD379"/>
    </row>
    <row r="380" spans="5:30">
      <c r="E380"/>
      <c r="N380"/>
      <c r="AC380"/>
      <c r="AD380"/>
    </row>
    <row r="381" spans="5:30">
      <c r="E381"/>
      <c r="N381"/>
      <c r="AC381"/>
      <c r="AD381"/>
    </row>
    <row r="382" spans="5:30">
      <c r="E382"/>
      <c r="N382"/>
      <c r="AC382"/>
      <c r="AD382"/>
    </row>
    <row r="383" spans="5:30">
      <c r="E383"/>
      <c r="N383"/>
      <c r="AC383"/>
      <c r="AD383"/>
    </row>
    <row r="384" spans="5:30">
      <c r="E384"/>
      <c r="N384"/>
      <c r="AC384"/>
      <c r="AD384"/>
    </row>
    <row r="385" spans="5:30">
      <c r="E385"/>
      <c r="N385"/>
      <c r="AC385"/>
      <c r="AD385"/>
    </row>
    <row r="386" spans="5:30">
      <c r="E386"/>
      <c r="N386"/>
      <c r="AC386"/>
      <c r="AD386"/>
    </row>
    <row r="387" spans="5:30">
      <c r="E387"/>
      <c r="N387"/>
      <c r="AC387"/>
      <c r="AD387"/>
    </row>
    <row r="388" spans="5:30">
      <c r="E388"/>
      <c r="N388"/>
      <c r="AC388"/>
      <c r="AD388"/>
    </row>
    <row r="389" spans="5:30">
      <c r="E389"/>
      <c r="N389"/>
      <c r="AC389"/>
      <c r="AD389"/>
    </row>
    <row r="390" spans="5:30">
      <c r="E390"/>
      <c r="N390"/>
      <c r="AC390"/>
      <c r="AD390"/>
    </row>
    <row r="391" spans="5:30">
      <c r="E391"/>
      <c r="N391"/>
      <c r="AC391"/>
      <c r="AD391"/>
    </row>
    <row r="392" spans="5:30">
      <c r="E392"/>
      <c r="N392"/>
      <c r="AC392"/>
      <c r="AD392"/>
    </row>
    <row r="393" spans="5:30">
      <c r="E393"/>
      <c r="N393"/>
      <c r="AC393"/>
      <c r="AD393"/>
    </row>
    <row r="394" spans="5:30">
      <c r="E394"/>
      <c r="N394"/>
      <c r="AC394"/>
      <c r="AD394"/>
    </row>
    <row r="395" spans="5:30">
      <c r="E395"/>
      <c r="N395"/>
      <c r="AC395"/>
      <c r="AD395"/>
    </row>
    <row r="396" spans="5:30">
      <c r="E396"/>
      <c r="N396"/>
      <c r="AC396"/>
      <c r="AD396"/>
    </row>
    <row r="397" spans="5:30">
      <c r="E397"/>
      <c r="N397"/>
      <c r="AC397"/>
      <c r="AD397"/>
    </row>
    <row r="398" spans="5:30">
      <c r="E398"/>
      <c r="N398"/>
      <c r="AC398"/>
      <c r="AD398"/>
    </row>
    <row r="399" spans="5:30">
      <c r="E399"/>
      <c r="N399"/>
      <c r="AC399"/>
      <c r="AD399"/>
    </row>
    <row r="400" spans="5:30">
      <c r="E400"/>
      <c r="N400"/>
      <c r="AC400"/>
      <c r="AD400"/>
    </row>
    <row r="401" spans="5:30">
      <c r="E401"/>
      <c r="N401"/>
      <c r="AC401"/>
      <c r="AD401"/>
    </row>
    <row r="402" spans="5:30">
      <c r="E402"/>
      <c r="N402"/>
      <c r="AC402"/>
      <c r="AD402"/>
    </row>
    <row r="403" spans="5:30">
      <c r="E403"/>
      <c r="N403"/>
      <c r="AC403"/>
      <c r="AD403"/>
    </row>
    <row r="404" spans="5:30">
      <c r="E404"/>
      <c r="N404"/>
      <c r="AC404"/>
      <c r="AD404"/>
    </row>
    <row r="405" spans="5:30">
      <c r="E405"/>
      <c r="N405"/>
      <c r="AC405"/>
      <c r="AD405"/>
    </row>
    <row r="406" spans="5:30">
      <c r="E406"/>
      <c r="N406"/>
      <c r="AC406"/>
      <c r="AD406"/>
    </row>
    <row r="407" spans="5:30">
      <c r="E407"/>
      <c r="N407"/>
      <c r="AC407"/>
      <c r="AD407"/>
    </row>
    <row r="408" spans="5:30">
      <c r="E408"/>
      <c r="N408"/>
      <c r="AC408"/>
      <c r="AD408"/>
    </row>
    <row r="409" spans="5:30">
      <c r="E409"/>
      <c r="N409"/>
      <c r="AC409"/>
      <c r="AD409"/>
    </row>
    <row r="410" spans="5:30">
      <c r="E410"/>
      <c r="N410"/>
      <c r="AC410"/>
      <c r="AD410"/>
    </row>
    <row r="411" spans="5:30">
      <c r="E411"/>
      <c r="N411"/>
      <c r="AC411"/>
      <c r="AD411"/>
    </row>
    <row r="412" spans="5:30">
      <c r="E412"/>
      <c r="N412"/>
      <c r="AC412"/>
      <c r="AD412"/>
    </row>
    <row r="413" spans="5:30">
      <c r="E413"/>
      <c r="N413"/>
      <c r="AC413"/>
      <c r="AD413"/>
    </row>
    <row r="414" spans="5:30">
      <c r="E414"/>
      <c r="N414"/>
      <c r="AC414"/>
      <c r="AD414"/>
    </row>
    <row r="415" spans="5:30">
      <c r="E415"/>
      <c r="N415"/>
      <c r="AC415"/>
      <c r="AD415"/>
    </row>
    <row r="416" spans="5:30">
      <c r="E416"/>
      <c r="N416"/>
      <c r="AC416"/>
      <c r="AD416"/>
    </row>
    <row r="417" spans="5:30">
      <c r="E417"/>
      <c r="N417"/>
      <c r="AC417"/>
      <c r="AD417"/>
    </row>
    <row r="418" spans="5:30">
      <c r="E418"/>
      <c r="N418"/>
      <c r="AC418"/>
      <c r="AD418"/>
    </row>
    <row r="419" spans="5:30">
      <c r="E419"/>
      <c r="N419"/>
      <c r="AC419"/>
      <c r="AD419"/>
    </row>
    <row r="420" spans="5:30">
      <c r="E420"/>
      <c r="N420"/>
      <c r="AC420"/>
      <c r="AD420"/>
    </row>
    <row r="421" spans="5:30">
      <c r="E421"/>
      <c r="N421"/>
      <c r="AC421"/>
      <c r="AD421"/>
    </row>
    <row r="422" spans="5:30">
      <c r="E422"/>
      <c r="N422"/>
      <c r="AC422"/>
      <c r="AD422"/>
    </row>
    <row r="423" spans="5:30">
      <c r="E423"/>
      <c r="N423"/>
      <c r="AC423"/>
      <c r="AD423"/>
    </row>
    <row r="424" spans="5:30">
      <c r="E424"/>
      <c r="N424"/>
      <c r="AC424"/>
      <c r="AD424"/>
    </row>
    <row r="425" spans="5:30">
      <c r="E425"/>
      <c r="N425"/>
      <c r="AC425"/>
      <c r="AD425"/>
    </row>
    <row r="426" spans="5:30">
      <c r="E426"/>
      <c r="N426"/>
      <c r="AC426"/>
      <c r="AD426"/>
    </row>
    <row r="427" spans="5:30">
      <c r="E427"/>
      <c r="N427"/>
      <c r="AC427"/>
      <c r="AD427"/>
    </row>
    <row r="428" spans="5:30">
      <c r="E428"/>
      <c r="N428"/>
      <c r="AC428"/>
      <c r="AD428"/>
    </row>
    <row r="429" spans="5:30">
      <c r="E429"/>
      <c r="N429"/>
      <c r="AC429"/>
      <c r="AD429"/>
    </row>
    <row r="430" spans="5:30">
      <c r="E430"/>
      <c r="N430"/>
      <c r="AC430"/>
      <c r="AD430"/>
    </row>
    <row r="431" spans="5:30">
      <c r="E431"/>
      <c r="N431"/>
      <c r="AC431"/>
      <c r="AD431"/>
    </row>
    <row r="432" spans="5:30">
      <c r="E432"/>
      <c r="N432"/>
      <c r="AC432"/>
      <c r="AD432"/>
    </row>
    <row r="433" spans="5:30">
      <c r="E433"/>
      <c r="N433"/>
      <c r="AC433"/>
      <c r="AD433"/>
    </row>
    <row r="434" spans="5:30">
      <c r="E434"/>
      <c r="N434"/>
      <c r="AC434"/>
      <c r="AD434"/>
    </row>
    <row r="435" spans="5:30">
      <c r="E435"/>
      <c r="N435"/>
      <c r="AC435"/>
      <c r="AD435"/>
    </row>
    <row r="436" spans="5:30">
      <c r="E436"/>
      <c r="N436"/>
      <c r="AC436"/>
      <c r="AD436"/>
    </row>
    <row r="437" spans="5:30">
      <c r="E437"/>
      <c r="N437"/>
      <c r="AC437"/>
      <c r="AD437"/>
    </row>
    <row r="438" spans="5:30">
      <c r="E438"/>
      <c r="N438"/>
      <c r="AC438"/>
      <c r="AD438"/>
    </row>
    <row r="439" spans="5:30">
      <c r="E439"/>
      <c r="N439"/>
      <c r="AC439"/>
      <c r="AD439"/>
    </row>
    <row r="440" spans="5:30">
      <c r="E440"/>
      <c r="N440"/>
      <c r="AC440"/>
      <c r="AD440"/>
    </row>
    <row r="441" spans="5:30">
      <c r="E441"/>
      <c r="N441"/>
      <c r="AC441"/>
      <c r="AD441"/>
    </row>
    <row r="442" spans="5:30">
      <c r="E442"/>
      <c r="N442"/>
      <c r="AC442"/>
      <c r="AD442"/>
    </row>
    <row r="443" spans="5:30">
      <c r="E443"/>
      <c r="N443"/>
      <c r="AC443"/>
      <c r="AD443"/>
    </row>
    <row r="444" spans="5:30">
      <c r="E444"/>
      <c r="N444"/>
      <c r="AC444"/>
      <c r="AD444"/>
    </row>
    <row r="445" spans="5:30">
      <c r="E445"/>
      <c r="N445"/>
      <c r="AC445"/>
      <c r="AD445"/>
    </row>
    <row r="446" spans="5:30">
      <c r="E446"/>
      <c r="N446"/>
      <c r="AC446"/>
      <c r="AD446"/>
    </row>
    <row r="447" spans="5:30">
      <c r="E447"/>
      <c r="N447"/>
      <c r="AC447"/>
      <c r="AD447"/>
    </row>
    <row r="448" spans="5:30">
      <c r="E448"/>
      <c r="N448"/>
      <c r="AC448"/>
      <c r="AD448"/>
    </row>
    <row r="449" spans="5:30">
      <c r="E449"/>
      <c r="N449"/>
      <c r="AC449"/>
      <c r="AD449"/>
    </row>
    <row r="450" spans="5:30">
      <c r="E450"/>
      <c r="N450"/>
      <c r="AC450"/>
      <c r="AD450"/>
    </row>
    <row r="451" spans="5:30">
      <c r="E451"/>
      <c r="N451"/>
      <c r="AC451"/>
      <c r="AD451"/>
    </row>
    <row r="452" spans="5:30">
      <c r="E452"/>
      <c r="N452"/>
      <c r="AC452"/>
      <c r="AD452"/>
    </row>
    <row r="453" spans="5:30">
      <c r="E453"/>
      <c r="N453"/>
      <c r="AC453"/>
      <c r="AD453"/>
    </row>
    <row r="454" spans="5:30">
      <c r="E454"/>
      <c r="N454"/>
      <c r="AC454"/>
      <c r="AD454"/>
    </row>
    <row r="455" spans="5:30">
      <c r="E455"/>
      <c r="N455"/>
      <c r="AC455"/>
      <c r="AD455"/>
    </row>
    <row r="456" spans="5:30">
      <c r="E456"/>
      <c r="N456"/>
      <c r="AC456"/>
      <c r="AD456"/>
    </row>
    <row r="457" spans="5:30">
      <c r="E457"/>
      <c r="N457"/>
      <c r="AC457"/>
      <c r="AD457"/>
    </row>
    <row r="458" spans="5:30">
      <c r="E458"/>
      <c r="N458"/>
      <c r="AC458"/>
      <c r="AD458"/>
    </row>
    <row r="459" spans="5:30">
      <c r="E459"/>
      <c r="N459"/>
      <c r="AC459"/>
      <c r="AD459"/>
    </row>
    <row r="460" spans="5:30">
      <c r="E460"/>
      <c r="N460"/>
    </row>
    <row r="461" spans="5:30">
      <c r="E461"/>
      <c r="N461"/>
    </row>
    <row r="462" spans="5:30">
      <c r="E462"/>
      <c r="N462"/>
    </row>
    <row r="463" spans="5:30">
      <c r="E463"/>
      <c r="N463"/>
    </row>
    <row r="464" spans="5:30">
      <c r="E464"/>
      <c r="N464"/>
    </row>
    <row r="465" spans="5:14">
      <c r="E465"/>
      <c r="N465"/>
    </row>
    <row r="466" spans="5:14">
      <c r="E466"/>
      <c r="N466"/>
    </row>
    <row r="467" spans="5:14">
      <c r="E467"/>
      <c r="N467"/>
    </row>
    <row r="468" spans="5:14">
      <c r="E468"/>
      <c r="N468"/>
    </row>
    <row r="469" spans="5:14">
      <c r="E469"/>
      <c r="N469"/>
    </row>
    <row r="470" spans="5:14">
      <c r="E470"/>
      <c r="N470"/>
    </row>
    <row r="471" spans="5:14">
      <c r="E471"/>
      <c r="N471"/>
    </row>
    <row r="472" spans="5:14">
      <c r="E472"/>
      <c r="N472"/>
    </row>
    <row r="473" spans="5:14">
      <c r="E473"/>
      <c r="N473"/>
    </row>
    <row r="474" spans="5:14">
      <c r="E474"/>
      <c r="N474"/>
    </row>
    <row r="475" spans="5:14">
      <c r="E475"/>
      <c r="N475"/>
    </row>
    <row r="476" spans="5:14">
      <c r="E476"/>
      <c r="N476"/>
    </row>
    <row r="477" spans="5:14">
      <c r="E477"/>
      <c r="N477"/>
    </row>
    <row r="478" spans="5:14">
      <c r="E478"/>
      <c r="N478"/>
    </row>
    <row r="479" spans="5:14">
      <c r="E479"/>
      <c r="N479"/>
    </row>
    <row r="480" spans="5:14">
      <c r="E480"/>
      <c r="N480"/>
    </row>
    <row r="481" spans="5:14">
      <c r="E481"/>
      <c r="N481"/>
    </row>
    <row r="482" spans="5:14">
      <c r="E482"/>
      <c r="N482"/>
    </row>
    <row r="483" spans="5:14">
      <c r="E483"/>
      <c r="N483"/>
    </row>
    <row r="484" spans="5:14">
      <c r="N484"/>
    </row>
    <row r="485" spans="5:14">
      <c r="N485"/>
    </row>
    <row r="486" spans="5:14">
      <c r="N486"/>
    </row>
    <row r="487" spans="5:14">
      <c r="N487"/>
    </row>
    <row r="488" spans="5:14">
      <c r="N488"/>
    </row>
    <row r="489" spans="5:14">
      <c r="N489"/>
    </row>
    <row r="490" spans="5:14">
      <c r="N490"/>
    </row>
    <row r="491" spans="5:14">
      <c r="N491"/>
    </row>
    <row r="492" spans="5:14">
      <c r="N492"/>
    </row>
    <row r="493" spans="5:14">
      <c r="N493"/>
    </row>
    <row r="494" spans="5:14">
      <c r="N494"/>
    </row>
    <row r="495" spans="5:14">
      <c r="N495"/>
    </row>
    <row r="496" spans="5:14">
      <c r="N496"/>
    </row>
    <row r="497" spans="14:16">
      <c r="N497"/>
    </row>
    <row r="498" spans="14:16">
      <c r="N498"/>
    </row>
    <row r="499" spans="14:16">
      <c r="N499"/>
    </row>
    <row r="500" spans="14:16">
      <c r="N500"/>
    </row>
    <row r="501" spans="14:16">
      <c r="N501"/>
      <c r="O501" s="4" t="s">
        <v>1717</v>
      </c>
      <c r="P501" s="237">
        <f>SUM(P497:P498)</f>
        <v>0</v>
      </c>
    </row>
    <row r="502" spans="14:16">
      <c r="N502"/>
    </row>
    <row r="503" spans="14:16">
      <c r="N503"/>
    </row>
    <row r="504" spans="14:16">
      <c r="N504"/>
    </row>
    <row r="505" spans="14:16">
      <c r="N505"/>
    </row>
    <row r="506" spans="14:16">
      <c r="N506"/>
    </row>
    <row r="507" spans="14:16">
      <c r="N507"/>
    </row>
    <row r="508" spans="14:16">
      <c r="N508"/>
    </row>
    <row r="509" spans="14:16">
      <c r="N509"/>
    </row>
    <row r="510" spans="14:16">
      <c r="N510"/>
    </row>
    <row r="511" spans="14:16">
      <c r="N511"/>
    </row>
    <row r="512" spans="14:16">
      <c r="N512"/>
    </row>
    <row r="513" spans="14:14">
      <c r="N513"/>
    </row>
    <row r="514" spans="14:14">
      <c r="N514"/>
    </row>
    <row r="515" spans="14:14">
      <c r="N515"/>
    </row>
    <row r="516" spans="14:14">
      <c r="N516"/>
    </row>
    <row r="517" spans="14:14">
      <c r="N517"/>
    </row>
    <row r="518" spans="14:14">
      <c r="N518"/>
    </row>
    <row r="519" spans="14:14">
      <c r="N519"/>
    </row>
    <row r="520" spans="14:14">
      <c r="N520"/>
    </row>
    <row r="521" spans="14:14">
      <c r="N521"/>
    </row>
    <row r="522" spans="14:14">
      <c r="N522"/>
    </row>
    <row r="523" spans="14:14">
      <c r="N523"/>
    </row>
    <row r="524" spans="14:14">
      <c r="N524"/>
    </row>
    <row r="525" spans="14:14">
      <c r="N525"/>
    </row>
    <row r="526" spans="14:14">
      <c r="N526"/>
    </row>
    <row r="527" spans="14:14">
      <c r="N527"/>
    </row>
    <row r="528" spans="14:14">
      <c r="N528"/>
    </row>
    <row r="529" spans="14:14">
      <c r="N529"/>
    </row>
    <row r="530" spans="14:14">
      <c r="N530"/>
    </row>
    <row r="531" spans="14:14">
      <c r="N531"/>
    </row>
    <row r="532" spans="14:14">
      <c r="N532"/>
    </row>
    <row r="533" spans="14:14">
      <c r="N533"/>
    </row>
    <row r="534" spans="14:14">
      <c r="N534"/>
    </row>
    <row r="535" spans="14:14">
      <c r="N535"/>
    </row>
    <row r="536" spans="14:14">
      <c r="N536"/>
    </row>
    <row r="537" spans="14:14">
      <c r="N537"/>
    </row>
    <row r="538" spans="14:14">
      <c r="N538"/>
    </row>
    <row r="539" spans="14:14">
      <c r="N539"/>
    </row>
    <row r="540" spans="14:14">
      <c r="N540"/>
    </row>
    <row r="541" spans="14:14">
      <c r="N541"/>
    </row>
    <row r="542" spans="14:14">
      <c r="N542"/>
    </row>
    <row r="543" spans="14:14">
      <c r="N543"/>
    </row>
    <row r="544" spans="14:14">
      <c r="N544"/>
    </row>
    <row r="545" spans="14:14">
      <c r="N545"/>
    </row>
    <row r="546" spans="14:14">
      <c r="N546"/>
    </row>
    <row r="547" spans="14:14">
      <c r="N547"/>
    </row>
    <row r="548" spans="14:14">
      <c r="N548"/>
    </row>
    <row r="549" spans="14:14">
      <c r="N549"/>
    </row>
    <row r="550" spans="14:14">
      <c r="N550"/>
    </row>
    <row r="551" spans="14:14">
      <c r="N551"/>
    </row>
    <row r="552" spans="14:14">
      <c r="N552"/>
    </row>
    <row r="553" spans="14:14">
      <c r="N553"/>
    </row>
    <row r="554" spans="14:14">
      <c r="N554"/>
    </row>
    <row r="555" spans="14:14">
      <c r="N555"/>
    </row>
    <row r="556" spans="14:14">
      <c r="N556"/>
    </row>
    <row r="557" spans="14:14">
      <c r="N557"/>
    </row>
    <row r="558" spans="14:14">
      <c r="N558"/>
    </row>
    <row r="559" spans="14:14">
      <c r="N559"/>
    </row>
    <row r="560" spans="14:14">
      <c r="N560"/>
    </row>
    <row r="561" spans="14:14">
      <c r="N561"/>
    </row>
    <row r="562" spans="14:14">
      <c r="N562"/>
    </row>
    <row r="563" spans="14:14">
      <c r="N563"/>
    </row>
    <row r="564" spans="14:14">
      <c r="N564"/>
    </row>
    <row r="565" spans="14:14">
      <c r="N565"/>
    </row>
    <row r="566" spans="14:14">
      <c r="N566"/>
    </row>
    <row r="567" spans="14:14">
      <c r="N567"/>
    </row>
    <row r="568" spans="14:14">
      <c r="N568"/>
    </row>
    <row r="569" spans="14:14">
      <c r="N569"/>
    </row>
    <row r="570" spans="14:14">
      <c r="N570"/>
    </row>
    <row r="571" spans="14:14">
      <c r="N571"/>
    </row>
    <row r="572" spans="14:14">
      <c r="N572"/>
    </row>
    <row r="573" spans="14:14">
      <c r="N573"/>
    </row>
    <row r="574" spans="14:14">
      <c r="N574"/>
    </row>
    <row r="575" spans="14:14">
      <c r="N575"/>
    </row>
    <row r="576" spans="14:14">
      <c r="N576"/>
    </row>
    <row r="577" spans="14:14">
      <c r="N577"/>
    </row>
    <row r="578" spans="14:14">
      <c r="N578"/>
    </row>
    <row r="579" spans="14:14">
      <c r="N579"/>
    </row>
    <row r="580" spans="14:14">
      <c r="N580"/>
    </row>
    <row r="581" spans="14:14">
      <c r="N581"/>
    </row>
    <row r="582" spans="14:14">
      <c r="N582"/>
    </row>
    <row r="583" spans="14:14">
      <c r="N583"/>
    </row>
    <row r="584" spans="14:14">
      <c r="N584"/>
    </row>
    <row r="585" spans="14:14">
      <c r="N585"/>
    </row>
    <row r="586" spans="14:14">
      <c r="N586"/>
    </row>
    <row r="587" spans="14:14">
      <c r="N587"/>
    </row>
    <row r="588" spans="14:14">
      <c r="N588"/>
    </row>
    <row r="589" spans="14:14">
      <c r="N589"/>
    </row>
    <row r="590" spans="14:14">
      <c r="N590"/>
    </row>
    <row r="591" spans="14:14">
      <c r="N591"/>
    </row>
    <row r="592" spans="14:14">
      <c r="N592"/>
    </row>
    <row r="593" spans="14:14">
      <c r="N593"/>
    </row>
    <row r="594" spans="14:14">
      <c r="N594"/>
    </row>
    <row r="595" spans="14:14">
      <c r="N595"/>
    </row>
    <row r="596" spans="14:14">
      <c r="N596"/>
    </row>
    <row r="597" spans="14:14">
      <c r="N597"/>
    </row>
    <row r="598" spans="14:14">
      <c r="N598"/>
    </row>
    <row r="599" spans="14:14">
      <c r="N599"/>
    </row>
    <row r="600" spans="14:14">
      <c r="N600"/>
    </row>
    <row r="601" spans="14:14">
      <c r="N601"/>
    </row>
    <row r="602" spans="14:14">
      <c r="N602"/>
    </row>
    <row r="603" spans="14:14">
      <c r="N603"/>
    </row>
    <row r="604" spans="14:14">
      <c r="N604"/>
    </row>
    <row r="605" spans="14:14">
      <c r="N605"/>
    </row>
    <row r="606" spans="14:14">
      <c r="N606"/>
    </row>
    <row r="607" spans="14:14">
      <c r="N607"/>
    </row>
    <row r="608" spans="14:14">
      <c r="N608"/>
    </row>
    <row r="609" spans="14:14">
      <c r="N609"/>
    </row>
    <row r="610" spans="14:14">
      <c r="N610"/>
    </row>
    <row r="611" spans="14:14">
      <c r="N611"/>
    </row>
    <row r="612" spans="14:14">
      <c r="N612"/>
    </row>
    <row r="613" spans="14:14">
      <c r="N613"/>
    </row>
    <row r="614" spans="14:14">
      <c r="N614"/>
    </row>
    <row r="615" spans="14:14">
      <c r="N615"/>
    </row>
    <row r="616" spans="14:14">
      <c r="N616"/>
    </row>
    <row r="617" spans="14:14">
      <c r="N617"/>
    </row>
    <row r="618" spans="14:14">
      <c r="N618"/>
    </row>
    <row r="619" spans="14:14">
      <c r="N619"/>
    </row>
    <row r="620" spans="14:14">
      <c r="N620"/>
    </row>
    <row r="621" spans="14:14">
      <c r="N621"/>
    </row>
    <row r="622" spans="14:14">
      <c r="N622"/>
    </row>
    <row r="623" spans="14:14">
      <c r="N623"/>
    </row>
    <row r="624" spans="14:14">
      <c r="N624"/>
    </row>
    <row r="625" spans="14:14">
      <c r="N625"/>
    </row>
    <row r="626" spans="14:14">
      <c r="N626"/>
    </row>
    <row r="627" spans="14:14">
      <c r="N627"/>
    </row>
    <row r="628" spans="14:14">
      <c r="N628"/>
    </row>
    <row r="629" spans="14:14">
      <c r="N629"/>
    </row>
    <row r="630" spans="14:14">
      <c r="N630"/>
    </row>
    <row r="631" spans="14:14">
      <c r="N631"/>
    </row>
    <row r="632" spans="14:14">
      <c r="N632"/>
    </row>
    <row r="633" spans="14:14">
      <c r="N633"/>
    </row>
    <row r="634" spans="14:14">
      <c r="N634"/>
    </row>
    <row r="635" spans="14:14">
      <c r="N635"/>
    </row>
    <row r="636" spans="14:14">
      <c r="N636"/>
    </row>
    <row r="637" spans="14:14">
      <c r="N637"/>
    </row>
    <row r="638" spans="14:14">
      <c r="N638"/>
    </row>
    <row r="639" spans="14:14">
      <c r="N639"/>
    </row>
    <row r="640" spans="14:14">
      <c r="N640"/>
    </row>
    <row r="641" spans="14:14">
      <c r="N641"/>
    </row>
    <row r="642" spans="14:14">
      <c r="N642"/>
    </row>
    <row r="643" spans="14:14">
      <c r="N643"/>
    </row>
    <row r="644" spans="14:14">
      <c r="N644"/>
    </row>
    <row r="645" spans="14:14">
      <c r="N645"/>
    </row>
    <row r="646" spans="14:14">
      <c r="N646"/>
    </row>
    <row r="647" spans="14:14">
      <c r="N647"/>
    </row>
    <row r="648" spans="14:14">
      <c r="N648"/>
    </row>
    <row r="649" spans="14:14">
      <c r="N649"/>
    </row>
    <row r="650" spans="14:14">
      <c r="N650"/>
    </row>
    <row r="651" spans="14:14">
      <c r="N651"/>
    </row>
    <row r="652" spans="14:14">
      <c r="N652"/>
    </row>
    <row r="653" spans="14:14">
      <c r="N653"/>
    </row>
    <row r="654" spans="14:14">
      <c r="N654"/>
    </row>
    <row r="655" spans="14:14">
      <c r="N655"/>
    </row>
    <row r="656" spans="14:14">
      <c r="N656"/>
    </row>
    <row r="657" spans="14:14">
      <c r="N657"/>
    </row>
    <row r="658" spans="14:14">
      <c r="N658"/>
    </row>
    <row r="659" spans="14:14">
      <c r="N659"/>
    </row>
    <row r="660" spans="14:14">
      <c r="N660"/>
    </row>
    <row r="661" spans="14:14">
      <c r="N661"/>
    </row>
    <row r="662" spans="14:14">
      <c r="N662"/>
    </row>
    <row r="663" spans="14:14">
      <c r="N663"/>
    </row>
    <row r="664" spans="14:14">
      <c r="N664"/>
    </row>
    <row r="665" spans="14:14">
      <c r="N665"/>
    </row>
    <row r="666" spans="14:14">
      <c r="N666"/>
    </row>
    <row r="667" spans="14:14">
      <c r="N667"/>
    </row>
    <row r="668" spans="14:14">
      <c r="N668"/>
    </row>
    <row r="669" spans="14:14">
      <c r="N669"/>
    </row>
    <row r="670" spans="14:14">
      <c r="N670"/>
    </row>
    <row r="671" spans="14:14">
      <c r="N671"/>
    </row>
    <row r="672" spans="14:14">
      <c r="N672"/>
    </row>
    <row r="673" spans="14:14">
      <c r="N673"/>
    </row>
    <row r="674" spans="14:14">
      <c r="N674"/>
    </row>
    <row r="675" spans="14:14">
      <c r="N675"/>
    </row>
    <row r="676" spans="14:14">
      <c r="N676"/>
    </row>
    <row r="677" spans="14:14">
      <c r="N677"/>
    </row>
    <row r="678" spans="14:14">
      <c r="N678"/>
    </row>
    <row r="679" spans="14:14">
      <c r="N679"/>
    </row>
    <row r="680" spans="14:14">
      <c r="N680"/>
    </row>
    <row r="681" spans="14:14">
      <c r="N681"/>
    </row>
    <row r="682" spans="14:14">
      <c r="N682"/>
    </row>
    <row r="683" spans="14:14">
      <c r="N683"/>
    </row>
    <row r="684" spans="14:14">
      <c r="N684"/>
    </row>
    <row r="685" spans="14:14">
      <c r="N685"/>
    </row>
    <row r="686" spans="14:14">
      <c r="N686"/>
    </row>
    <row r="687" spans="14:14">
      <c r="N687"/>
    </row>
    <row r="688" spans="14:14">
      <c r="N688"/>
    </row>
    <row r="689" spans="14:14">
      <c r="N689"/>
    </row>
    <row r="690" spans="14:14">
      <c r="N690"/>
    </row>
    <row r="691" spans="14:14">
      <c r="N691"/>
    </row>
    <row r="692" spans="14:14">
      <c r="N692"/>
    </row>
    <row r="693" spans="14:14">
      <c r="N693"/>
    </row>
    <row r="694" spans="14:14">
      <c r="N694"/>
    </row>
    <row r="695" spans="14:14">
      <c r="N695"/>
    </row>
    <row r="696" spans="14:14">
      <c r="N696"/>
    </row>
    <row r="697" spans="14:14">
      <c r="N697"/>
    </row>
    <row r="698" spans="14:14">
      <c r="N698"/>
    </row>
    <row r="699" spans="14:14">
      <c r="N699"/>
    </row>
    <row r="700" spans="14:14">
      <c r="N700"/>
    </row>
    <row r="701" spans="14:14">
      <c r="N701"/>
    </row>
    <row r="702" spans="14:14">
      <c r="N702"/>
    </row>
    <row r="703" spans="14:14">
      <c r="N703"/>
    </row>
    <row r="704" spans="14:14">
      <c r="N704"/>
    </row>
    <row r="705" spans="14:14">
      <c r="N705"/>
    </row>
    <row r="706" spans="14:14">
      <c r="N706"/>
    </row>
    <row r="707" spans="14:14">
      <c r="N707"/>
    </row>
    <row r="708" spans="14:14">
      <c r="N708"/>
    </row>
    <row r="709" spans="14:14">
      <c r="N709"/>
    </row>
    <row r="710" spans="14:14">
      <c r="N710"/>
    </row>
    <row r="711" spans="14:14">
      <c r="N711"/>
    </row>
    <row r="712" spans="14:14">
      <c r="N712"/>
    </row>
    <row r="713" spans="14:14">
      <c r="N713"/>
    </row>
    <row r="714" spans="14:14">
      <c r="N714"/>
    </row>
    <row r="715" spans="14:14">
      <c r="N715"/>
    </row>
    <row r="716" spans="14:14">
      <c r="N716"/>
    </row>
    <row r="717" spans="14:14">
      <c r="N717"/>
    </row>
    <row r="718" spans="14:14">
      <c r="N718"/>
    </row>
    <row r="719" spans="14:14">
      <c r="N719"/>
    </row>
    <row r="720" spans="14:14">
      <c r="N720"/>
    </row>
    <row r="721" spans="14:14">
      <c r="N721"/>
    </row>
    <row r="722" spans="14:14">
      <c r="N722"/>
    </row>
    <row r="723" spans="14:14">
      <c r="N723"/>
    </row>
    <row r="724" spans="14:14">
      <c r="N724"/>
    </row>
    <row r="725" spans="14:14">
      <c r="N725"/>
    </row>
    <row r="726" spans="14:14">
      <c r="N726"/>
    </row>
    <row r="727" spans="14:14">
      <c r="N727"/>
    </row>
    <row r="728" spans="14:14">
      <c r="N728"/>
    </row>
    <row r="729" spans="14:14">
      <c r="N729"/>
    </row>
    <row r="730" spans="14:14">
      <c r="N730"/>
    </row>
    <row r="731" spans="14:14">
      <c r="N731"/>
    </row>
    <row r="732" spans="14:14">
      <c r="N732"/>
    </row>
    <row r="733" spans="14:14">
      <c r="N733"/>
    </row>
    <row r="734" spans="14:14">
      <c r="N734"/>
    </row>
    <row r="735" spans="14:14">
      <c r="N735"/>
    </row>
    <row r="736" spans="14:14">
      <c r="N736"/>
    </row>
    <row r="737" spans="14:14">
      <c r="N737"/>
    </row>
    <row r="738" spans="14:14">
      <c r="N738"/>
    </row>
    <row r="739" spans="14:14">
      <c r="N739"/>
    </row>
    <row r="740" spans="14:14">
      <c r="N740"/>
    </row>
    <row r="741" spans="14:14">
      <c r="N741"/>
    </row>
    <row r="742" spans="14:14">
      <c r="N742"/>
    </row>
    <row r="743" spans="14:14">
      <c r="N743"/>
    </row>
    <row r="744" spans="14:14">
      <c r="N744"/>
    </row>
    <row r="745" spans="14:14">
      <c r="N745"/>
    </row>
    <row r="746" spans="14:14">
      <c r="N746"/>
    </row>
    <row r="747" spans="14:14">
      <c r="N747"/>
    </row>
    <row r="748" spans="14:14">
      <c r="N748"/>
    </row>
    <row r="749" spans="14:14">
      <c r="N749"/>
    </row>
    <row r="750" spans="14:14">
      <c r="N750"/>
    </row>
    <row r="751" spans="14:14">
      <c r="N751"/>
    </row>
    <row r="752" spans="14:14">
      <c r="N752"/>
    </row>
    <row r="753" spans="14:14">
      <c r="N753"/>
    </row>
    <row r="754" spans="14:14">
      <c r="N754"/>
    </row>
    <row r="755" spans="14:14">
      <c r="N755"/>
    </row>
    <row r="756" spans="14:14">
      <c r="N756"/>
    </row>
    <row r="757" spans="14:14">
      <c r="N757"/>
    </row>
    <row r="758" spans="14:14">
      <c r="N758"/>
    </row>
    <row r="759" spans="14:14">
      <c r="N759"/>
    </row>
    <row r="760" spans="14:14">
      <c r="N760"/>
    </row>
    <row r="761" spans="14:14">
      <c r="N761"/>
    </row>
    <row r="762" spans="14:14">
      <c r="N762"/>
    </row>
    <row r="763" spans="14:14">
      <c r="N763"/>
    </row>
    <row r="764" spans="14:14">
      <c r="N764"/>
    </row>
    <row r="765" spans="14:14">
      <c r="N765"/>
    </row>
    <row r="766" spans="14:14">
      <c r="N766"/>
    </row>
    <row r="767" spans="14:14">
      <c r="N767"/>
    </row>
    <row r="768" spans="14:14">
      <c r="N768"/>
    </row>
    <row r="769" spans="14:14">
      <c r="N769"/>
    </row>
    <row r="770" spans="14:14">
      <c r="N770"/>
    </row>
    <row r="771" spans="14:14">
      <c r="N771"/>
    </row>
    <row r="772" spans="14:14">
      <c r="N772"/>
    </row>
    <row r="773" spans="14:14">
      <c r="N773"/>
    </row>
    <row r="774" spans="14:14">
      <c r="N774"/>
    </row>
    <row r="775" spans="14:14">
      <c r="N775"/>
    </row>
    <row r="776" spans="14:14">
      <c r="N776"/>
    </row>
    <row r="777" spans="14:14">
      <c r="N777"/>
    </row>
    <row r="778" spans="14:14">
      <c r="N778"/>
    </row>
    <row r="779" spans="14:14">
      <c r="N779"/>
    </row>
    <row r="780" spans="14:14">
      <c r="N780"/>
    </row>
    <row r="781" spans="14:14">
      <c r="N781"/>
    </row>
    <row r="782" spans="14:14">
      <c r="N782"/>
    </row>
    <row r="783" spans="14:14">
      <c r="N783"/>
    </row>
    <row r="784" spans="14:14">
      <c r="N784"/>
    </row>
    <row r="785" spans="14:14">
      <c r="N785"/>
    </row>
    <row r="786" spans="14:14">
      <c r="N786"/>
    </row>
    <row r="787" spans="14:14">
      <c r="N787"/>
    </row>
    <row r="788" spans="14:14">
      <c r="N788"/>
    </row>
    <row r="789" spans="14:14">
      <c r="N789"/>
    </row>
    <row r="790" spans="14:14">
      <c r="N790"/>
    </row>
    <row r="791" spans="14:14">
      <c r="N791"/>
    </row>
    <row r="792" spans="14:14">
      <c r="N792"/>
    </row>
    <row r="793" spans="14:14">
      <c r="N793"/>
    </row>
    <row r="794" spans="14:14">
      <c r="N794"/>
    </row>
    <row r="795" spans="14:14">
      <c r="N795"/>
    </row>
    <row r="796" spans="14:14">
      <c r="N796"/>
    </row>
    <row r="797" spans="14:14">
      <c r="N797"/>
    </row>
    <row r="798" spans="14:14">
      <c r="N798"/>
    </row>
    <row r="799" spans="14:14">
      <c r="N799"/>
    </row>
    <row r="800" spans="14:14">
      <c r="N800"/>
    </row>
    <row r="801" spans="14:14">
      <c r="N801"/>
    </row>
    <row r="802" spans="14:14">
      <c r="N802"/>
    </row>
    <row r="803" spans="14:14">
      <c r="N803"/>
    </row>
    <row r="804" spans="14:14">
      <c r="N804"/>
    </row>
    <row r="805" spans="14:14">
      <c r="N805"/>
    </row>
    <row r="806" spans="14:14">
      <c r="N806"/>
    </row>
    <row r="807" spans="14:14">
      <c r="N807"/>
    </row>
    <row r="808" spans="14:14">
      <c r="N808"/>
    </row>
    <row r="809" spans="14:14">
      <c r="N809"/>
    </row>
    <row r="810" spans="14:14">
      <c r="N810"/>
    </row>
    <row r="811" spans="14:14">
      <c r="N811"/>
    </row>
    <row r="812" spans="14:14">
      <c r="N812"/>
    </row>
    <row r="813" spans="14:14">
      <c r="N813"/>
    </row>
    <row r="814" spans="14:14">
      <c r="N814"/>
    </row>
    <row r="815" spans="14:14">
      <c r="N815"/>
    </row>
    <row r="816" spans="14:14">
      <c r="N816"/>
    </row>
    <row r="817" spans="14:14">
      <c r="N817"/>
    </row>
    <row r="818" spans="14:14">
      <c r="N818"/>
    </row>
    <row r="819" spans="14:14">
      <c r="N819"/>
    </row>
    <row r="820" spans="14:14">
      <c r="N820"/>
    </row>
    <row r="821" spans="14:14">
      <c r="N821"/>
    </row>
    <row r="822" spans="14:14">
      <c r="N822"/>
    </row>
    <row r="823" spans="14:14">
      <c r="N823"/>
    </row>
    <row r="824" spans="14:14">
      <c r="N824"/>
    </row>
    <row r="825" spans="14:14">
      <c r="N825"/>
    </row>
    <row r="826" spans="14:14">
      <c r="N826"/>
    </row>
    <row r="827" spans="14:14">
      <c r="N827"/>
    </row>
    <row r="828" spans="14:14">
      <c r="N828"/>
    </row>
    <row r="829" spans="14:14">
      <c r="N829"/>
    </row>
    <row r="830" spans="14:14">
      <c r="N830"/>
    </row>
    <row r="831" spans="14:14">
      <c r="N831"/>
    </row>
    <row r="832" spans="14:14">
      <c r="N832"/>
    </row>
    <row r="833" spans="14:14">
      <c r="N833"/>
    </row>
    <row r="834" spans="14:14">
      <c r="N834"/>
    </row>
    <row r="835" spans="14:14">
      <c r="N835"/>
    </row>
    <row r="836" spans="14:14">
      <c r="N836"/>
    </row>
    <row r="837" spans="14:14">
      <c r="N837"/>
    </row>
    <row r="838" spans="14:14">
      <c r="N838"/>
    </row>
    <row r="839" spans="14:14">
      <c r="N839"/>
    </row>
    <row r="840" spans="14:14">
      <c r="N840"/>
    </row>
  </sheetData>
  <phoneticPr fontId="12" type="noConversion"/>
  <pageMargins left="0.44" right="0.16" top="0.93" bottom="0.28000000000000003" header="0.5" footer="0.23"/>
  <pageSetup scale="50" fitToWidth="3" orientation="landscape" r:id="rId7"/>
  <headerFooter alignWithMargins="0">
    <oddHeader>&amp;L&amp;"Arial,Bold"GLOBAL IMPACT REPORT
Disaster components planning&amp;Ras of &amp;D</oddHeader>
  </headerFooter>
  <drawing r:id="rId8"/>
</worksheet>
</file>

<file path=xl/worksheets/sheet25.xml><?xml version="1.0" encoding="utf-8"?>
<worksheet xmlns="http://schemas.openxmlformats.org/spreadsheetml/2006/main" xmlns:r="http://schemas.openxmlformats.org/officeDocument/2006/relationships">
  <sheetPr codeName="Sheet23"/>
  <dimension ref="A1"/>
  <sheetViews>
    <sheetView workbookViewId="0">
      <selection activeCell="C5" sqref="C5"/>
    </sheetView>
  </sheetViews>
  <sheetFormatPr defaultRowHeight="12.75"/>
  <sheetData/>
  <pageMargins left="0.7" right="0.7" top="0.75" bottom="0.75" header="0.3" footer="0.3"/>
</worksheet>
</file>

<file path=xl/worksheets/sheet26.xml><?xml version="1.0" encoding="utf-8"?>
<worksheet xmlns="http://schemas.openxmlformats.org/spreadsheetml/2006/main" xmlns:r="http://schemas.openxmlformats.org/officeDocument/2006/relationships">
  <sheetPr codeName="Sheet25">
    <pageSetUpPr fitToPage="1"/>
  </sheetPr>
  <dimension ref="A1:GX102"/>
  <sheetViews>
    <sheetView workbookViewId="0">
      <selection activeCell="H27" sqref="H27"/>
    </sheetView>
  </sheetViews>
  <sheetFormatPr defaultRowHeight="12.75"/>
  <cols>
    <col min="1" max="1" width="49.85546875" style="23" customWidth="1"/>
    <col min="2" max="2" width="11.5703125" style="29" customWidth="1"/>
    <col min="3" max="3" width="17.28515625" style="30" customWidth="1"/>
    <col min="4" max="4" width="15.42578125" style="30" customWidth="1"/>
    <col min="5" max="5" width="14.7109375" style="29" customWidth="1"/>
    <col min="6" max="6" width="13.28515625" style="29" customWidth="1"/>
    <col min="7" max="7" width="14.5703125" style="27" customWidth="1"/>
    <col min="8" max="8" width="8.28515625" style="44" customWidth="1"/>
    <col min="9" max="9" width="9.42578125" style="44" customWidth="1"/>
    <col min="10" max="10" width="9.5703125" style="44" customWidth="1"/>
    <col min="11" max="11" width="10" style="44" customWidth="1"/>
    <col min="12" max="12" width="9.140625" style="42"/>
  </cols>
  <sheetData>
    <row r="1" spans="1:206" s="42" customFormat="1" ht="28.5">
      <c r="A1" s="41"/>
      <c r="B1" s="1" t="s">
        <v>966</v>
      </c>
      <c r="C1" s="32" t="s">
        <v>968</v>
      </c>
      <c r="D1" s="32" t="s">
        <v>972</v>
      </c>
      <c r="E1" s="25" t="s">
        <v>871</v>
      </c>
      <c r="F1" s="25" t="s">
        <v>875</v>
      </c>
      <c r="G1" s="1" t="s">
        <v>861</v>
      </c>
      <c r="H1" s="1030" t="s">
        <v>870</v>
      </c>
      <c r="I1" s="1030"/>
      <c r="J1" s="1030"/>
      <c r="K1" s="1030"/>
      <c r="L1" s="1030"/>
      <c r="M1" s="1030"/>
    </row>
    <row r="2" spans="1:206" s="27" customFormat="1" ht="15">
      <c r="A2" s="17" t="s">
        <v>971</v>
      </c>
      <c r="B2" s="25"/>
      <c r="C2" s="25"/>
      <c r="D2" s="25"/>
      <c r="E2" s="25" t="s">
        <v>872</v>
      </c>
      <c r="F2" s="25"/>
      <c r="G2" s="26"/>
      <c r="H2" s="26"/>
      <c r="I2" s="26"/>
      <c r="J2" s="26"/>
      <c r="K2" s="26"/>
      <c r="L2" s="26"/>
      <c r="M2" s="26"/>
      <c r="N2" s="31"/>
      <c r="O2" s="26"/>
      <c r="P2" s="26"/>
      <c r="Q2" s="26"/>
      <c r="R2" s="26"/>
      <c r="S2" s="26"/>
      <c r="T2" s="26"/>
      <c r="U2" s="26"/>
      <c r="V2" s="26"/>
      <c r="W2" s="26"/>
      <c r="X2" s="26"/>
      <c r="Y2" s="26"/>
      <c r="Z2" s="26"/>
      <c r="AA2" s="26"/>
      <c r="AB2" s="26"/>
      <c r="AC2" s="26"/>
      <c r="AD2" s="26"/>
      <c r="AE2" s="26"/>
      <c r="AF2" s="26"/>
      <c r="AG2" s="26"/>
      <c r="AH2" s="26"/>
      <c r="AI2" s="26"/>
      <c r="AJ2" s="26"/>
      <c r="AK2" s="26"/>
      <c r="AL2" s="26"/>
      <c r="AM2" s="26"/>
      <c r="AN2" s="26"/>
      <c r="AO2" s="26"/>
      <c r="AP2" s="26"/>
      <c r="AQ2" s="26"/>
      <c r="AR2" s="26"/>
      <c r="AS2" s="26"/>
      <c r="AT2" s="26"/>
      <c r="AU2" s="26"/>
      <c r="AV2" s="26"/>
      <c r="AW2" s="26"/>
      <c r="AX2" s="26"/>
      <c r="AY2" s="26"/>
      <c r="AZ2" s="26"/>
      <c r="BA2" s="26"/>
      <c r="BB2" s="26"/>
      <c r="BC2" s="26"/>
      <c r="BD2" s="26"/>
      <c r="BE2" s="26"/>
      <c r="BF2" s="26"/>
      <c r="BG2" s="26"/>
      <c r="BH2" s="26"/>
      <c r="BI2" s="26"/>
      <c r="BJ2" s="26"/>
      <c r="BK2" s="26"/>
      <c r="BL2" s="26"/>
      <c r="BM2" s="26"/>
      <c r="BN2" s="26"/>
      <c r="BO2" s="26"/>
      <c r="BP2" s="26"/>
      <c r="BQ2" s="26"/>
      <c r="BR2" s="26"/>
      <c r="BS2" s="26"/>
      <c r="BT2" s="26"/>
      <c r="BU2" s="26"/>
      <c r="BV2" s="26"/>
      <c r="BW2" s="26"/>
      <c r="BX2" s="26"/>
      <c r="BY2" s="26"/>
      <c r="BZ2" s="26"/>
      <c r="CA2" s="26"/>
      <c r="CB2" s="26"/>
      <c r="CC2" s="26"/>
      <c r="CD2" s="26"/>
      <c r="CE2" s="26"/>
      <c r="CF2" s="26"/>
      <c r="CG2" s="26"/>
      <c r="CH2" s="26"/>
      <c r="CI2" s="26"/>
      <c r="CJ2" s="26"/>
      <c r="CK2" s="26"/>
      <c r="CL2" s="26"/>
      <c r="CM2" s="26"/>
      <c r="CN2" s="26"/>
      <c r="CO2" s="26"/>
      <c r="CP2" s="26"/>
      <c r="CQ2" s="26"/>
      <c r="CR2" s="26"/>
      <c r="CS2" s="26"/>
      <c r="CT2" s="26"/>
      <c r="CU2" s="26"/>
      <c r="CV2" s="26"/>
      <c r="CW2" s="26"/>
      <c r="CX2" s="26"/>
      <c r="CY2" s="26"/>
      <c r="CZ2" s="26"/>
      <c r="DA2" s="26"/>
      <c r="DB2" s="26"/>
      <c r="DC2" s="26"/>
      <c r="DD2" s="26"/>
      <c r="DE2" s="26"/>
      <c r="DF2" s="26"/>
      <c r="DG2" s="26"/>
      <c r="DH2" s="26"/>
      <c r="DI2" s="26"/>
      <c r="DJ2" s="26"/>
      <c r="DK2" s="26"/>
      <c r="DL2" s="26"/>
      <c r="DM2" s="26"/>
      <c r="DN2" s="26"/>
      <c r="DO2" s="26"/>
      <c r="DP2" s="26"/>
      <c r="DQ2" s="26"/>
      <c r="DR2" s="26"/>
      <c r="DS2" s="26"/>
      <c r="DT2" s="26"/>
      <c r="DU2" s="26"/>
      <c r="DV2" s="26"/>
      <c r="DW2" s="26"/>
      <c r="DX2" s="26"/>
      <c r="DY2" s="26"/>
      <c r="DZ2" s="26"/>
      <c r="EA2" s="26"/>
      <c r="EB2" s="26"/>
      <c r="EC2" s="26"/>
      <c r="ED2" s="26"/>
      <c r="EE2" s="26"/>
      <c r="EF2" s="26"/>
      <c r="EG2" s="26"/>
      <c r="EH2" s="26"/>
      <c r="EI2" s="26"/>
      <c r="EJ2" s="26"/>
      <c r="EK2" s="26"/>
      <c r="EL2" s="26"/>
      <c r="EM2" s="26"/>
      <c r="EN2" s="26"/>
      <c r="EO2" s="26"/>
      <c r="EP2" s="26"/>
      <c r="EQ2" s="26"/>
      <c r="ER2" s="26"/>
      <c r="ES2" s="26"/>
      <c r="ET2" s="26"/>
      <c r="EU2" s="26"/>
      <c r="EV2" s="26"/>
      <c r="EW2" s="26"/>
      <c r="EX2" s="26"/>
      <c r="EY2" s="26"/>
      <c r="EZ2" s="26"/>
      <c r="FA2" s="26"/>
      <c r="FB2" s="26"/>
      <c r="FC2" s="26"/>
      <c r="FD2" s="26"/>
      <c r="FE2" s="26"/>
      <c r="FF2" s="26"/>
      <c r="FG2" s="26"/>
      <c r="FH2" s="26"/>
      <c r="FI2" s="26"/>
      <c r="FJ2" s="26"/>
      <c r="FK2" s="26"/>
      <c r="FL2" s="26"/>
      <c r="FM2" s="26"/>
      <c r="FN2" s="26"/>
      <c r="FO2" s="26"/>
      <c r="FP2" s="26"/>
      <c r="FQ2" s="26"/>
      <c r="FR2" s="26"/>
      <c r="FS2" s="26"/>
      <c r="FT2" s="26"/>
      <c r="FU2" s="26"/>
      <c r="FV2" s="26"/>
      <c r="FW2" s="26"/>
      <c r="FX2" s="26"/>
      <c r="FY2" s="26"/>
      <c r="FZ2" s="26"/>
      <c r="GA2" s="26"/>
      <c r="GB2" s="26"/>
      <c r="GC2" s="26"/>
      <c r="GD2" s="26"/>
      <c r="GE2" s="26"/>
      <c r="GF2" s="26"/>
      <c r="GG2" s="26"/>
      <c r="GH2" s="26"/>
      <c r="GI2" s="26"/>
      <c r="GJ2" s="26"/>
      <c r="GK2" s="26"/>
      <c r="GL2" s="26"/>
      <c r="GM2" s="26"/>
      <c r="GN2" s="26"/>
      <c r="GO2" s="26"/>
      <c r="GP2" s="26"/>
      <c r="GQ2" s="26"/>
      <c r="GR2" s="26"/>
      <c r="GS2" s="26"/>
      <c r="GT2" s="26"/>
      <c r="GU2" s="26"/>
      <c r="GV2" s="26"/>
      <c r="GW2" s="26"/>
      <c r="GX2" s="26"/>
    </row>
    <row r="3" spans="1:206" ht="15">
      <c r="A3" s="18" t="s">
        <v>1869</v>
      </c>
      <c r="B3" s="33"/>
      <c r="C3" s="33"/>
      <c r="D3" s="33" t="s">
        <v>872</v>
      </c>
      <c r="E3" s="33"/>
      <c r="F3" s="33"/>
      <c r="G3" s="34" t="s">
        <v>872</v>
      </c>
      <c r="H3" s="43"/>
      <c r="I3" s="43"/>
      <c r="J3" s="43"/>
      <c r="K3" s="43"/>
      <c r="L3" s="2"/>
      <c r="M3" s="3"/>
    </row>
    <row r="4" spans="1:206" ht="15">
      <c r="A4" s="17" t="s">
        <v>209</v>
      </c>
      <c r="B4" s="25"/>
      <c r="C4" s="25"/>
      <c r="D4" s="25"/>
      <c r="E4" s="25" t="s">
        <v>872</v>
      </c>
      <c r="F4" s="25"/>
      <c r="G4" s="34"/>
      <c r="H4" s="43"/>
      <c r="I4" s="43"/>
      <c r="J4" s="43"/>
      <c r="K4" s="43"/>
      <c r="L4" s="2"/>
      <c r="M4" s="3"/>
    </row>
    <row r="5" spans="1:206" ht="15">
      <c r="A5" s="17" t="s">
        <v>211</v>
      </c>
      <c r="B5" s="25"/>
      <c r="C5" s="25"/>
      <c r="D5" s="25"/>
      <c r="E5" s="25" t="s">
        <v>872</v>
      </c>
      <c r="F5" s="25"/>
      <c r="G5" s="34"/>
      <c r="H5" s="43"/>
      <c r="I5" s="43"/>
      <c r="J5" s="43"/>
      <c r="K5" s="43"/>
      <c r="L5" s="2"/>
      <c r="M5" s="3"/>
    </row>
    <row r="6" spans="1:206" ht="15">
      <c r="A6" s="17" t="s">
        <v>210</v>
      </c>
      <c r="B6" s="25"/>
      <c r="C6" s="25"/>
      <c r="D6" s="25" t="s">
        <v>872</v>
      </c>
      <c r="E6" s="25" t="s">
        <v>872</v>
      </c>
      <c r="F6" s="25"/>
      <c r="G6" s="34"/>
      <c r="H6" s="43"/>
      <c r="I6" s="43"/>
      <c r="J6" s="43"/>
      <c r="K6" s="43"/>
      <c r="L6" s="2"/>
      <c r="M6" s="3"/>
    </row>
    <row r="7" spans="1:206" ht="15">
      <c r="A7" s="17" t="s">
        <v>1209</v>
      </c>
      <c r="B7" s="25"/>
      <c r="C7" s="25"/>
      <c r="D7" s="25" t="s">
        <v>872</v>
      </c>
      <c r="E7" s="25"/>
      <c r="F7" s="25"/>
      <c r="G7" s="34" t="s">
        <v>872</v>
      </c>
      <c r="H7" s="43"/>
      <c r="I7" s="43"/>
      <c r="J7" s="43"/>
      <c r="K7" s="43"/>
      <c r="L7" s="2"/>
      <c r="M7" s="3"/>
    </row>
    <row r="8" spans="1:206" ht="14.25" customHeight="1">
      <c r="A8" s="17" t="s">
        <v>1868</v>
      </c>
      <c r="B8" s="25"/>
      <c r="C8" s="25"/>
      <c r="D8" s="25" t="s">
        <v>872</v>
      </c>
      <c r="E8" s="25"/>
      <c r="F8" s="25"/>
      <c r="G8" s="34" t="s">
        <v>872</v>
      </c>
      <c r="H8" s="43"/>
      <c r="I8" s="43"/>
      <c r="J8" s="43"/>
      <c r="K8" s="43"/>
      <c r="L8" s="2"/>
      <c r="M8" s="3"/>
    </row>
    <row r="9" spans="1:206" ht="14.25" customHeight="1">
      <c r="A9" s="17" t="s">
        <v>1960</v>
      </c>
      <c r="B9" s="25"/>
      <c r="C9" s="25"/>
      <c r="D9" s="25"/>
      <c r="E9" s="25"/>
      <c r="F9" s="25"/>
      <c r="G9" s="34" t="s">
        <v>872</v>
      </c>
      <c r="H9" s="43"/>
      <c r="I9" s="43"/>
      <c r="J9" s="43"/>
      <c r="K9" s="43"/>
      <c r="L9" s="2"/>
      <c r="M9" s="3"/>
    </row>
    <row r="10" spans="1:206" ht="15">
      <c r="A10" s="19" t="s">
        <v>212</v>
      </c>
      <c r="B10" s="35"/>
      <c r="C10" s="35"/>
      <c r="D10" s="35"/>
      <c r="E10" s="35"/>
      <c r="F10" s="35" t="s">
        <v>872</v>
      </c>
      <c r="G10" s="34"/>
      <c r="H10" s="43"/>
      <c r="I10" s="43"/>
      <c r="J10" s="43"/>
      <c r="K10" s="43"/>
      <c r="L10" s="2"/>
      <c r="M10" s="3"/>
    </row>
    <row r="11" spans="1:206" ht="15">
      <c r="A11" s="19" t="s">
        <v>1951</v>
      </c>
      <c r="B11" s="35"/>
      <c r="C11" s="35"/>
      <c r="D11" s="35"/>
      <c r="E11" s="35"/>
      <c r="F11" s="35" t="s">
        <v>872</v>
      </c>
      <c r="G11" s="34"/>
      <c r="H11" s="43"/>
      <c r="I11" s="43"/>
      <c r="J11" s="43"/>
      <c r="K11" s="43"/>
      <c r="L11" s="2"/>
      <c r="M11" s="3"/>
    </row>
    <row r="12" spans="1:206" ht="15">
      <c r="A12" s="20" t="s">
        <v>1952</v>
      </c>
      <c r="B12" s="35"/>
      <c r="C12" s="35"/>
      <c r="D12" s="35"/>
      <c r="E12" s="35"/>
      <c r="F12" s="35" t="s">
        <v>872</v>
      </c>
      <c r="G12" s="34"/>
      <c r="H12" s="43"/>
      <c r="I12" s="43"/>
      <c r="J12" s="43"/>
      <c r="K12" s="43"/>
      <c r="L12" s="2"/>
      <c r="M12" s="3"/>
    </row>
    <row r="13" spans="1:206" ht="15">
      <c r="A13" s="21" t="s">
        <v>214</v>
      </c>
      <c r="B13" s="36"/>
      <c r="C13" s="36"/>
      <c r="D13" s="36"/>
      <c r="E13" s="36"/>
      <c r="F13" s="36" t="s">
        <v>872</v>
      </c>
      <c r="G13" s="34"/>
      <c r="H13" s="43"/>
      <c r="I13" s="43"/>
      <c r="J13" s="43"/>
      <c r="K13" s="43"/>
      <c r="L13" s="2"/>
      <c r="M13" s="3"/>
    </row>
    <row r="14" spans="1:206" ht="15">
      <c r="A14" s="22" t="s">
        <v>859</v>
      </c>
      <c r="B14" s="37"/>
      <c r="C14" s="37"/>
      <c r="D14" s="37"/>
      <c r="E14" s="37"/>
      <c r="F14" s="37" t="s">
        <v>872</v>
      </c>
      <c r="G14" s="34"/>
      <c r="H14" s="43"/>
      <c r="I14" s="43"/>
      <c r="J14" s="43"/>
      <c r="K14" s="43"/>
      <c r="L14" s="2"/>
      <c r="M14" s="3"/>
    </row>
    <row r="15" spans="1:206" ht="39">
      <c r="A15" s="22" t="s">
        <v>958</v>
      </c>
      <c r="B15" s="37" t="s">
        <v>970</v>
      </c>
      <c r="C15" s="37"/>
      <c r="D15" s="37"/>
      <c r="E15" s="37"/>
      <c r="F15" s="37"/>
      <c r="G15" s="34" t="s">
        <v>872</v>
      </c>
      <c r="H15" s="43" t="s">
        <v>876</v>
      </c>
      <c r="I15" s="43" t="s">
        <v>877</v>
      </c>
      <c r="J15" s="26" t="s">
        <v>879</v>
      </c>
      <c r="K15" s="26" t="s">
        <v>878</v>
      </c>
      <c r="L15" s="26" t="s">
        <v>964</v>
      </c>
      <c r="M15" s="3"/>
    </row>
    <row r="16" spans="1:206" ht="15">
      <c r="A16" s="22" t="s">
        <v>959</v>
      </c>
      <c r="B16" s="37" t="s">
        <v>970</v>
      </c>
      <c r="C16" s="37"/>
      <c r="D16" s="37"/>
      <c r="E16" s="37"/>
      <c r="F16" s="37"/>
      <c r="G16" s="34" t="s">
        <v>872</v>
      </c>
      <c r="H16" s="43" t="s">
        <v>960</v>
      </c>
      <c r="I16" s="43" t="s">
        <v>961</v>
      </c>
      <c r="J16" s="43" t="s">
        <v>962</v>
      </c>
      <c r="K16" s="43" t="s">
        <v>963</v>
      </c>
      <c r="L16" s="43" t="s">
        <v>1295</v>
      </c>
      <c r="M16" s="3"/>
    </row>
    <row r="17" spans="1:13" ht="17.25" customHeight="1">
      <c r="A17" s="20" t="s">
        <v>1953</v>
      </c>
      <c r="B17" s="35" t="s">
        <v>969</v>
      </c>
      <c r="C17" s="35"/>
      <c r="D17" s="35"/>
      <c r="E17" s="35" t="s">
        <v>965</v>
      </c>
      <c r="F17" s="35"/>
      <c r="G17" s="34"/>
      <c r="H17" s="43"/>
      <c r="I17" s="43"/>
      <c r="J17" s="43"/>
      <c r="K17" s="43"/>
      <c r="L17" s="2"/>
      <c r="M17" s="3"/>
    </row>
    <row r="18" spans="1:13" ht="15">
      <c r="A18" s="20" t="s">
        <v>1217</v>
      </c>
      <c r="B18" s="35" t="s">
        <v>969</v>
      </c>
      <c r="C18" s="35"/>
      <c r="D18" s="35"/>
      <c r="E18" s="35"/>
      <c r="F18" s="35" t="s">
        <v>872</v>
      </c>
      <c r="G18" s="34"/>
      <c r="H18" s="43"/>
      <c r="I18" s="43"/>
      <c r="J18" s="43"/>
      <c r="K18" s="43"/>
      <c r="L18" s="2"/>
      <c r="M18" s="3"/>
    </row>
    <row r="19" spans="1:13" ht="30">
      <c r="A19" s="20" t="s">
        <v>854</v>
      </c>
      <c r="B19" s="35" t="s">
        <v>969</v>
      </c>
      <c r="C19" s="35"/>
      <c r="D19" s="35"/>
      <c r="E19" s="35"/>
      <c r="F19" s="35" t="s">
        <v>872</v>
      </c>
      <c r="G19" s="34"/>
      <c r="H19" s="43"/>
      <c r="I19" s="43"/>
      <c r="J19" s="43"/>
      <c r="K19" s="43"/>
      <c r="L19" s="2"/>
      <c r="M19" s="3"/>
    </row>
    <row r="20" spans="1:13" ht="15">
      <c r="A20" s="20" t="s">
        <v>847</v>
      </c>
      <c r="B20" s="35" t="s">
        <v>969</v>
      </c>
      <c r="C20" s="35"/>
      <c r="D20" s="35"/>
      <c r="E20" s="35"/>
      <c r="F20" s="35" t="s">
        <v>872</v>
      </c>
      <c r="G20" s="34"/>
      <c r="H20" s="43"/>
      <c r="I20" s="43"/>
      <c r="J20" s="43"/>
      <c r="K20" s="43"/>
      <c r="L20" s="2"/>
      <c r="M20" s="3"/>
    </row>
    <row r="21" spans="1:13" ht="15">
      <c r="A21" s="20" t="s">
        <v>1851</v>
      </c>
      <c r="B21" s="35" t="s">
        <v>969</v>
      </c>
      <c r="C21" s="35"/>
      <c r="D21" s="35"/>
      <c r="E21" s="35"/>
      <c r="F21" s="35" t="s">
        <v>872</v>
      </c>
      <c r="G21" s="34"/>
      <c r="H21" s="43"/>
      <c r="I21" s="43"/>
      <c r="J21" s="43"/>
      <c r="K21" s="43"/>
      <c r="L21" s="2"/>
      <c r="M21" s="3"/>
    </row>
    <row r="22" spans="1:13" ht="15">
      <c r="A22" s="20" t="s">
        <v>1226</v>
      </c>
      <c r="B22" s="35" t="s">
        <v>969</v>
      </c>
      <c r="C22" s="35"/>
      <c r="D22" s="35"/>
      <c r="E22" s="35"/>
      <c r="F22" s="35" t="s">
        <v>872</v>
      </c>
      <c r="G22" s="34"/>
      <c r="H22" s="43"/>
      <c r="I22" s="43"/>
      <c r="J22" s="43"/>
      <c r="K22" s="43"/>
      <c r="L22" s="2"/>
      <c r="M22" s="3"/>
    </row>
    <row r="23" spans="1:13" ht="15">
      <c r="A23" s="20" t="s">
        <v>1222</v>
      </c>
      <c r="B23" s="35" t="s">
        <v>969</v>
      </c>
      <c r="C23" s="35"/>
      <c r="D23" s="35"/>
      <c r="E23" s="35"/>
      <c r="F23" s="35" t="s">
        <v>872</v>
      </c>
      <c r="G23" s="34"/>
      <c r="H23" s="43"/>
      <c r="I23" s="43"/>
      <c r="J23" s="43"/>
      <c r="K23" s="43"/>
      <c r="L23" s="2"/>
      <c r="M23" s="3"/>
    </row>
    <row r="24" spans="1:13" ht="15">
      <c r="A24" s="20" t="s">
        <v>1863</v>
      </c>
      <c r="B24" s="35" t="s">
        <v>969</v>
      </c>
      <c r="C24" s="35"/>
      <c r="D24" s="35"/>
      <c r="E24" s="35"/>
      <c r="F24" s="35" t="s">
        <v>872</v>
      </c>
      <c r="G24" s="34"/>
      <c r="H24" s="43"/>
      <c r="I24" s="43"/>
      <c r="J24" s="43"/>
      <c r="K24" s="43"/>
      <c r="L24" s="2"/>
      <c r="M24" s="3"/>
    </row>
    <row r="25" spans="1:13" ht="15">
      <c r="A25" s="20" t="s">
        <v>1221</v>
      </c>
      <c r="B25" s="35" t="s">
        <v>969</v>
      </c>
      <c r="C25" s="35"/>
      <c r="D25" s="35"/>
      <c r="E25" s="35"/>
      <c r="F25" s="35" t="s">
        <v>872</v>
      </c>
      <c r="G25" s="34"/>
      <c r="H25" s="43"/>
      <c r="I25" s="43"/>
      <c r="J25" s="43"/>
      <c r="K25" s="43"/>
      <c r="L25" s="2"/>
      <c r="M25" s="3"/>
    </row>
    <row r="26" spans="1:13" ht="15">
      <c r="A26" s="20" t="s">
        <v>855</v>
      </c>
      <c r="B26" s="35" t="s">
        <v>969</v>
      </c>
      <c r="C26" s="35"/>
      <c r="D26" s="35"/>
      <c r="E26" s="35"/>
      <c r="F26" s="35" t="s">
        <v>872</v>
      </c>
      <c r="G26" s="34"/>
      <c r="H26" s="43"/>
      <c r="I26" s="43"/>
      <c r="J26" s="43"/>
      <c r="K26" s="43"/>
      <c r="L26" s="2"/>
      <c r="M26" s="3"/>
    </row>
    <row r="27" spans="1:13" ht="43.5">
      <c r="A27" s="20" t="s">
        <v>857</v>
      </c>
      <c r="B27" s="35" t="s">
        <v>969</v>
      </c>
      <c r="C27" s="35" t="s">
        <v>967</v>
      </c>
      <c r="D27" s="35"/>
      <c r="E27" s="35"/>
      <c r="F27" s="35" t="s">
        <v>872</v>
      </c>
      <c r="G27" s="34"/>
      <c r="H27" s="43"/>
      <c r="I27" s="43"/>
      <c r="J27" s="43"/>
      <c r="K27" s="43"/>
      <c r="L27" s="2"/>
      <c r="M27" s="3"/>
    </row>
    <row r="28" spans="1:13" ht="15">
      <c r="A28" s="20" t="s">
        <v>1870</v>
      </c>
      <c r="B28" s="35"/>
      <c r="C28" s="35"/>
      <c r="D28" s="35"/>
      <c r="E28" s="35"/>
      <c r="F28" s="35"/>
      <c r="G28" s="34"/>
      <c r="H28" s="43"/>
      <c r="I28" s="43"/>
      <c r="J28" s="43"/>
      <c r="K28" s="43"/>
      <c r="L28" s="2"/>
      <c r="M28" s="3"/>
    </row>
    <row r="29" spans="1:13" ht="15">
      <c r="A29" s="20" t="s">
        <v>1872</v>
      </c>
      <c r="B29" s="35" t="s">
        <v>970</v>
      </c>
      <c r="C29" s="35"/>
      <c r="D29" s="35"/>
      <c r="E29" s="35"/>
      <c r="F29" s="35"/>
      <c r="G29" s="34"/>
      <c r="H29" s="43"/>
      <c r="I29" s="43"/>
      <c r="J29" s="43"/>
      <c r="K29" s="43"/>
      <c r="L29" s="2"/>
      <c r="M29" s="3"/>
    </row>
    <row r="30" spans="1:13" ht="15">
      <c r="A30" s="20" t="s">
        <v>858</v>
      </c>
      <c r="B30" s="35"/>
      <c r="C30" s="35" t="s">
        <v>872</v>
      </c>
      <c r="D30" s="35"/>
      <c r="E30" s="35"/>
      <c r="F30" s="35"/>
      <c r="G30" s="34"/>
      <c r="H30" s="43"/>
      <c r="I30" s="43"/>
      <c r="J30" s="43"/>
      <c r="K30" s="43"/>
      <c r="L30" s="2"/>
      <c r="M30" s="3"/>
    </row>
    <row r="31" spans="1:13" ht="15">
      <c r="A31" s="20" t="s">
        <v>850</v>
      </c>
      <c r="B31" s="35"/>
      <c r="C31" s="35"/>
      <c r="D31" s="35"/>
      <c r="E31" s="35"/>
      <c r="F31" s="35" t="s">
        <v>872</v>
      </c>
      <c r="G31" s="34"/>
      <c r="H31" s="43"/>
      <c r="I31" s="43"/>
      <c r="J31" s="43"/>
      <c r="K31" s="43"/>
      <c r="L31" s="2"/>
      <c r="M31" s="3"/>
    </row>
    <row r="32" spans="1:13" ht="15">
      <c r="A32" s="20" t="s">
        <v>851</v>
      </c>
      <c r="B32" s="35"/>
      <c r="C32" s="35"/>
      <c r="D32" s="35"/>
      <c r="E32" s="35"/>
      <c r="F32" s="35" t="s">
        <v>872</v>
      </c>
      <c r="G32" s="34"/>
      <c r="H32" s="43"/>
      <c r="I32" s="43"/>
      <c r="J32" s="43"/>
      <c r="K32" s="43"/>
      <c r="L32" s="2"/>
      <c r="M32" s="3"/>
    </row>
    <row r="33" spans="1:13" ht="57.75">
      <c r="A33" s="20" t="s">
        <v>852</v>
      </c>
      <c r="B33" s="35"/>
      <c r="C33" s="35" t="s">
        <v>860</v>
      </c>
      <c r="D33" s="35"/>
      <c r="E33" s="35"/>
      <c r="F33" s="35" t="s">
        <v>872</v>
      </c>
      <c r="H33" s="43"/>
      <c r="I33" s="43"/>
      <c r="J33" s="43"/>
      <c r="K33" s="43"/>
      <c r="L33" s="2"/>
      <c r="M33" s="3"/>
    </row>
    <row r="34" spans="1:13" ht="15">
      <c r="A34" s="20" t="s">
        <v>853</v>
      </c>
      <c r="B34" s="35"/>
      <c r="C34" s="35"/>
      <c r="D34" s="35"/>
      <c r="E34" s="35" t="s">
        <v>872</v>
      </c>
      <c r="F34" s="35"/>
      <c r="G34" s="34"/>
      <c r="H34" s="43"/>
      <c r="I34" s="43"/>
      <c r="J34" s="43"/>
      <c r="K34" s="43"/>
      <c r="L34" s="2"/>
      <c r="M34" s="3"/>
    </row>
    <row r="35" spans="1:13" ht="15">
      <c r="A35" s="24"/>
      <c r="B35" s="28"/>
      <c r="C35" s="28"/>
      <c r="D35" s="28"/>
      <c r="E35" s="28"/>
      <c r="F35" s="28"/>
    </row>
    <row r="36" spans="1:13" ht="15">
      <c r="A36" s="24"/>
      <c r="B36" s="28"/>
      <c r="C36" s="28"/>
      <c r="D36" s="28"/>
      <c r="E36" s="28"/>
      <c r="F36" s="28"/>
    </row>
    <row r="37" spans="1:13" ht="15">
      <c r="A37" s="24"/>
      <c r="B37" s="28"/>
      <c r="C37" s="28"/>
      <c r="D37" s="28"/>
      <c r="E37" s="28"/>
      <c r="F37" s="28"/>
    </row>
    <row r="38" spans="1:13" ht="15">
      <c r="A38" s="24"/>
      <c r="B38" s="28"/>
      <c r="C38" s="28"/>
      <c r="D38" s="28"/>
      <c r="E38" s="28"/>
      <c r="F38" s="28"/>
    </row>
    <row r="39" spans="1:13" ht="15">
      <c r="A39" s="24"/>
      <c r="B39" s="28"/>
      <c r="C39" s="28"/>
      <c r="D39" s="28"/>
      <c r="E39" s="28"/>
      <c r="F39" s="28"/>
    </row>
    <row r="40" spans="1:13" ht="15">
      <c r="A40" s="24"/>
      <c r="B40" s="28"/>
      <c r="C40" s="28"/>
      <c r="D40" s="28"/>
      <c r="E40" s="28"/>
      <c r="F40" s="28"/>
    </row>
    <row r="41" spans="1:13" ht="15">
      <c r="A41" s="24"/>
      <c r="B41" s="28"/>
      <c r="C41" s="28"/>
      <c r="D41" s="28"/>
      <c r="E41" s="28"/>
      <c r="F41" s="28"/>
    </row>
    <row r="42" spans="1:13" ht="15">
      <c r="A42" s="24"/>
      <c r="B42" s="28"/>
      <c r="C42" s="28"/>
      <c r="D42" s="28"/>
      <c r="E42" s="28"/>
      <c r="F42" s="28"/>
    </row>
    <row r="43" spans="1:13" ht="15">
      <c r="A43" s="24"/>
      <c r="B43" s="28"/>
      <c r="C43" s="28"/>
      <c r="D43" s="28"/>
      <c r="E43" s="28"/>
      <c r="F43" s="28"/>
    </row>
    <row r="44" spans="1:13" ht="15">
      <c r="A44" s="24"/>
      <c r="B44" s="28"/>
      <c r="C44" s="28"/>
      <c r="D44" s="28"/>
      <c r="E44" s="28"/>
      <c r="F44" s="28"/>
    </row>
    <row r="45" spans="1:13" ht="15">
      <c r="A45" s="24"/>
      <c r="B45" s="28"/>
      <c r="C45" s="28"/>
      <c r="D45" s="28"/>
      <c r="E45" s="28"/>
      <c r="F45" s="28"/>
    </row>
    <row r="46" spans="1:13" ht="15">
      <c r="A46" s="24"/>
      <c r="B46" s="28"/>
      <c r="C46" s="28"/>
      <c r="D46" s="28"/>
      <c r="E46" s="28"/>
      <c r="F46" s="28"/>
    </row>
    <row r="47" spans="1:13" ht="15">
      <c r="A47" s="24"/>
      <c r="B47" s="28"/>
      <c r="C47" s="28"/>
      <c r="D47" s="28"/>
      <c r="E47" s="28"/>
      <c r="F47" s="28"/>
    </row>
    <row r="48" spans="1:13" ht="15">
      <c r="A48" s="24"/>
      <c r="B48" s="28"/>
      <c r="C48" s="28"/>
      <c r="D48" s="28"/>
      <c r="E48" s="28"/>
      <c r="F48" s="28"/>
    </row>
    <row r="49" spans="1:6" ht="15">
      <c r="A49" s="24"/>
      <c r="B49" s="28"/>
      <c r="C49" s="28"/>
      <c r="D49" s="28"/>
      <c r="E49" s="28"/>
      <c r="F49" s="28"/>
    </row>
    <row r="50" spans="1:6" ht="15">
      <c r="A50" s="24"/>
      <c r="B50" s="28"/>
      <c r="C50" s="28"/>
      <c r="D50" s="28"/>
      <c r="E50" s="28"/>
      <c r="F50" s="28"/>
    </row>
    <row r="51" spans="1:6" ht="15">
      <c r="A51" s="24"/>
      <c r="B51" s="28"/>
      <c r="C51" s="28"/>
      <c r="D51" s="28"/>
      <c r="E51" s="28"/>
      <c r="F51" s="28"/>
    </row>
    <row r="52" spans="1:6" ht="15">
      <c r="A52" s="24"/>
      <c r="B52" s="28"/>
      <c r="C52" s="28"/>
      <c r="D52" s="28"/>
      <c r="E52" s="28"/>
      <c r="F52" s="28"/>
    </row>
    <row r="53" spans="1:6" ht="15">
      <c r="A53" s="24"/>
      <c r="B53" s="28"/>
      <c r="C53" s="28"/>
      <c r="D53" s="28"/>
      <c r="E53" s="28"/>
      <c r="F53" s="28"/>
    </row>
    <row r="54" spans="1:6" ht="15">
      <c r="A54" s="24"/>
      <c r="B54" s="28"/>
      <c r="C54" s="28"/>
      <c r="D54" s="28"/>
      <c r="E54" s="28"/>
      <c r="F54" s="28"/>
    </row>
    <row r="55" spans="1:6" ht="15">
      <c r="A55" s="24"/>
      <c r="B55" s="28"/>
      <c r="C55" s="28"/>
      <c r="D55" s="28"/>
      <c r="E55" s="28"/>
      <c r="F55" s="28"/>
    </row>
    <row r="56" spans="1:6" ht="15">
      <c r="A56" s="24"/>
      <c r="B56" s="28"/>
      <c r="C56" s="28"/>
      <c r="D56" s="28"/>
      <c r="E56" s="28"/>
      <c r="F56" s="28"/>
    </row>
    <row r="57" spans="1:6" ht="15">
      <c r="A57" s="24"/>
      <c r="B57" s="28"/>
      <c r="C57" s="28"/>
      <c r="D57" s="28"/>
      <c r="E57" s="28"/>
      <c r="F57" s="28"/>
    </row>
    <row r="58" spans="1:6" ht="15">
      <c r="A58" s="24"/>
      <c r="B58" s="28"/>
      <c r="C58" s="28"/>
      <c r="D58" s="28"/>
      <c r="E58" s="28"/>
      <c r="F58" s="28"/>
    </row>
    <row r="59" spans="1:6" ht="15">
      <c r="A59" s="24"/>
      <c r="B59" s="28"/>
      <c r="C59" s="28"/>
      <c r="D59" s="28"/>
      <c r="E59" s="28"/>
      <c r="F59" s="28"/>
    </row>
    <row r="60" spans="1:6" ht="15">
      <c r="A60" s="24"/>
      <c r="B60" s="28"/>
      <c r="C60" s="28"/>
      <c r="D60" s="28"/>
      <c r="E60" s="28"/>
      <c r="F60" s="28"/>
    </row>
    <row r="61" spans="1:6" ht="15">
      <c r="A61" s="24"/>
      <c r="B61" s="28"/>
      <c r="C61" s="28"/>
      <c r="D61" s="28"/>
      <c r="E61" s="28"/>
      <c r="F61" s="28"/>
    </row>
    <row r="62" spans="1:6" ht="15">
      <c r="A62" s="24"/>
      <c r="B62" s="28"/>
      <c r="C62" s="28"/>
      <c r="D62" s="28"/>
      <c r="E62" s="28"/>
      <c r="F62" s="28"/>
    </row>
    <row r="63" spans="1:6" ht="15">
      <c r="A63" s="24"/>
      <c r="B63" s="28"/>
      <c r="C63" s="28"/>
      <c r="D63" s="28"/>
      <c r="E63" s="28"/>
      <c r="F63" s="28"/>
    </row>
    <row r="64" spans="1:6" ht="15">
      <c r="A64" s="24"/>
      <c r="B64" s="28"/>
      <c r="C64" s="28"/>
      <c r="D64" s="28"/>
      <c r="E64" s="28"/>
      <c r="F64" s="28"/>
    </row>
    <row r="65" spans="1:6" ht="15">
      <c r="A65" s="24"/>
      <c r="B65" s="28"/>
      <c r="C65" s="28"/>
      <c r="D65" s="28"/>
      <c r="E65" s="28"/>
      <c r="F65" s="28"/>
    </row>
    <row r="66" spans="1:6" ht="15">
      <c r="A66" s="24"/>
      <c r="B66" s="28"/>
      <c r="C66" s="28"/>
      <c r="D66" s="28"/>
      <c r="E66" s="28"/>
      <c r="F66" s="28"/>
    </row>
    <row r="67" spans="1:6" ht="15">
      <c r="A67" s="24"/>
      <c r="B67" s="28"/>
      <c r="C67" s="28"/>
      <c r="D67" s="28"/>
      <c r="E67" s="28"/>
      <c r="F67" s="28"/>
    </row>
    <row r="68" spans="1:6" ht="15">
      <c r="A68" s="24"/>
      <c r="B68" s="28"/>
      <c r="C68" s="28"/>
      <c r="D68" s="28"/>
      <c r="E68" s="28"/>
      <c r="F68" s="28"/>
    </row>
    <row r="69" spans="1:6" ht="15">
      <c r="A69" s="24"/>
      <c r="B69" s="28"/>
      <c r="C69" s="28"/>
      <c r="D69" s="28"/>
      <c r="E69" s="28"/>
      <c r="F69" s="28"/>
    </row>
    <row r="70" spans="1:6" ht="15">
      <c r="A70" s="24"/>
      <c r="B70" s="28"/>
      <c r="C70" s="28"/>
      <c r="D70" s="28"/>
      <c r="E70" s="28"/>
      <c r="F70" s="28"/>
    </row>
    <row r="71" spans="1:6" ht="15">
      <c r="A71" s="24"/>
      <c r="B71" s="28"/>
      <c r="C71" s="28"/>
      <c r="D71" s="28"/>
      <c r="E71" s="28"/>
      <c r="F71" s="28"/>
    </row>
    <row r="72" spans="1:6" ht="15">
      <c r="A72" s="24"/>
      <c r="B72" s="28"/>
      <c r="C72" s="28"/>
      <c r="D72" s="28"/>
      <c r="E72" s="28"/>
      <c r="F72" s="28"/>
    </row>
    <row r="73" spans="1:6" ht="15">
      <c r="A73" s="24"/>
      <c r="B73" s="28"/>
      <c r="C73" s="28"/>
      <c r="D73" s="28"/>
      <c r="E73" s="28"/>
      <c r="F73" s="28"/>
    </row>
    <row r="74" spans="1:6" ht="15">
      <c r="A74" s="24"/>
      <c r="B74" s="28"/>
      <c r="C74" s="28"/>
      <c r="D74" s="28"/>
      <c r="E74" s="28"/>
      <c r="F74" s="28"/>
    </row>
    <row r="75" spans="1:6" ht="15">
      <c r="A75" s="24"/>
      <c r="B75" s="28"/>
      <c r="C75" s="28"/>
      <c r="D75" s="28"/>
      <c r="E75" s="28"/>
      <c r="F75" s="28"/>
    </row>
    <row r="76" spans="1:6" ht="15">
      <c r="A76" s="24"/>
      <c r="B76" s="28"/>
      <c r="C76" s="28"/>
      <c r="D76" s="28"/>
      <c r="E76" s="28"/>
      <c r="F76" s="28"/>
    </row>
    <row r="77" spans="1:6" ht="15">
      <c r="A77" s="24"/>
      <c r="B77" s="28"/>
      <c r="C77" s="28"/>
      <c r="D77" s="28"/>
      <c r="E77" s="28"/>
      <c r="F77" s="28"/>
    </row>
    <row r="78" spans="1:6" ht="15">
      <c r="A78" s="24"/>
      <c r="B78" s="28"/>
      <c r="C78" s="28"/>
      <c r="D78" s="28"/>
      <c r="E78" s="28"/>
      <c r="F78" s="28"/>
    </row>
    <row r="79" spans="1:6" ht="15">
      <c r="A79" s="24"/>
      <c r="B79" s="28"/>
      <c r="C79" s="28"/>
      <c r="D79" s="28"/>
      <c r="E79" s="28"/>
      <c r="F79" s="28"/>
    </row>
    <row r="80" spans="1:6" ht="15">
      <c r="A80" s="24"/>
      <c r="B80" s="28"/>
      <c r="C80" s="28"/>
      <c r="D80" s="28"/>
      <c r="E80" s="28"/>
      <c r="F80" s="28"/>
    </row>
    <row r="81" spans="1:6" ht="15">
      <c r="A81" s="24"/>
      <c r="B81" s="28"/>
      <c r="C81" s="28"/>
      <c r="D81" s="28"/>
      <c r="E81" s="28"/>
      <c r="F81" s="28"/>
    </row>
    <row r="82" spans="1:6" ht="15">
      <c r="A82" s="24"/>
      <c r="B82" s="28"/>
      <c r="C82" s="28"/>
      <c r="D82" s="28"/>
      <c r="E82" s="28"/>
      <c r="F82" s="28"/>
    </row>
    <row r="83" spans="1:6" ht="15">
      <c r="A83" s="24"/>
      <c r="B83" s="28"/>
      <c r="C83" s="28"/>
      <c r="D83" s="28"/>
      <c r="E83" s="28"/>
      <c r="F83" s="28"/>
    </row>
    <row r="84" spans="1:6" ht="15">
      <c r="A84" s="24"/>
      <c r="B84" s="28"/>
      <c r="C84" s="28"/>
      <c r="D84" s="28"/>
      <c r="E84" s="28"/>
      <c r="F84" s="28"/>
    </row>
    <row r="85" spans="1:6" ht="15">
      <c r="A85" s="24"/>
      <c r="B85" s="28"/>
      <c r="C85" s="28"/>
      <c r="D85" s="28"/>
      <c r="E85" s="28"/>
      <c r="F85" s="28"/>
    </row>
    <row r="86" spans="1:6" ht="15">
      <c r="A86" s="24"/>
      <c r="B86" s="28"/>
      <c r="C86" s="28"/>
      <c r="D86" s="28"/>
      <c r="E86" s="28"/>
      <c r="F86" s="28"/>
    </row>
    <row r="87" spans="1:6" ht="15">
      <c r="A87" s="24"/>
      <c r="B87" s="28"/>
      <c r="C87" s="28"/>
      <c r="D87" s="28"/>
      <c r="E87" s="28"/>
      <c r="F87" s="28"/>
    </row>
    <row r="88" spans="1:6" ht="15">
      <c r="A88" s="24"/>
      <c r="B88" s="28"/>
      <c r="C88" s="28"/>
      <c r="D88" s="28"/>
      <c r="E88" s="28"/>
      <c r="F88" s="28"/>
    </row>
    <row r="89" spans="1:6" ht="15">
      <c r="A89" s="24"/>
      <c r="B89" s="28"/>
      <c r="C89" s="28"/>
      <c r="D89" s="28"/>
      <c r="E89" s="28"/>
      <c r="F89" s="28"/>
    </row>
    <row r="90" spans="1:6" ht="15">
      <c r="A90" s="24"/>
      <c r="B90" s="28"/>
      <c r="C90" s="28"/>
      <c r="D90" s="28"/>
      <c r="E90" s="28"/>
      <c r="F90" s="28"/>
    </row>
    <row r="91" spans="1:6" ht="15">
      <c r="A91" s="24"/>
      <c r="B91" s="28"/>
      <c r="C91" s="28"/>
      <c r="D91" s="28"/>
      <c r="E91" s="28"/>
      <c r="F91" s="28"/>
    </row>
    <row r="92" spans="1:6" ht="15">
      <c r="A92" s="24"/>
      <c r="B92" s="28"/>
      <c r="C92" s="28"/>
      <c r="D92" s="28"/>
      <c r="E92" s="28"/>
      <c r="F92" s="28"/>
    </row>
    <row r="93" spans="1:6" ht="15">
      <c r="A93" s="24"/>
      <c r="B93" s="28"/>
      <c r="C93" s="28"/>
      <c r="D93" s="28"/>
      <c r="E93" s="28"/>
      <c r="F93" s="28"/>
    </row>
    <row r="94" spans="1:6" ht="15">
      <c r="A94" s="24"/>
      <c r="B94" s="28"/>
      <c r="C94" s="28"/>
      <c r="D94" s="28"/>
      <c r="E94" s="28"/>
      <c r="F94" s="28"/>
    </row>
    <row r="95" spans="1:6" ht="15">
      <c r="A95" s="24"/>
      <c r="B95" s="28"/>
      <c r="C95" s="28"/>
      <c r="D95" s="28"/>
      <c r="E95" s="28"/>
      <c r="F95" s="28"/>
    </row>
    <row r="96" spans="1:6" ht="15">
      <c r="A96" s="24"/>
      <c r="B96" s="28"/>
      <c r="C96" s="28"/>
      <c r="D96" s="28"/>
      <c r="E96" s="28"/>
      <c r="F96" s="28"/>
    </row>
    <row r="97" spans="1:3">
      <c r="A97" s="38"/>
      <c r="B97" s="39"/>
      <c r="C97" s="40"/>
    </row>
    <row r="98" spans="1:3">
      <c r="A98" s="38"/>
      <c r="B98" s="39"/>
      <c r="C98" s="40"/>
    </row>
    <row r="99" spans="1:3">
      <c r="A99" s="38"/>
      <c r="B99" s="39"/>
      <c r="C99" s="40"/>
    </row>
    <row r="100" spans="1:3">
      <c r="A100" s="38"/>
      <c r="B100" s="39"/>
      <c r="C100" s="40"/>
    </row>
    <row r="101" spans="1:3">
      <c r="A101" s="38"/>
      <c r="B101" s="39"/>
      <c r="C101" s="40"/>
    </row>
    <row r="102" spans="1:3">
      <c r="A102" s="38"/>
      <c r="B102" s="39"/>
      <c r="C102" s="40"/>
    </row>
  </sheetData>
  <mergeCells count="1">
    <mergeCell ref="H1:M1"/>
  </mergeCells>
  <phoneticPr fontId="12" type="noConversion"/>
  <pageMargins left="0.26" right="0.59" top="0.96" bottom="1" header="0.5" footer="0.5"/>
  <pageSetup paperSize="5" scale="74" orientation="landscape" r:id="rId1"/>
  <headerFooter alignWithMargins="0"/>
  <legacyDrawing r:id="rId2"/>
</worksheet>
</file>

<file path=xl/worksheets/sheet27.xml><?xml version="1.0" encoding="utf-8"?>
<worksheet xmlns="http://schemas.openxmlformats.org/spreadsheetml/2006/main" xmlns:r="http://schemas.openxmlformats.org/officeDocument/2006/relationships">
  <sheetPr codeName="Sheet26"/>
  <dimension ref="A1"/>
  <sheetViews>
    <sheetView workbookViewId="0">
      <selection activeCell="T40" sqref="T40"/>
    </sheetView>
  </sheetViews>
  <sheetFormatPr defaultRowHeight="12.7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27</vt:i4>
      </vt:variant>
      <vt:variant>
        <vt:lpstr>Charts</vt:lpstr>
      </vt:variant>
      <vt:variant>
        <vt:i4>1</vt:i4>
      </vt:variant>
      <vt:variant>
        <vt:lpstr>Named Ranges</vt:lpstr>
      </vt:variant>
      <vt:variant>
        <vt:i4>26</vt:i4>
      </vt:variant>
    </vt:vector>
  </HeadingPairs>
  <TitlesOfParts>
    <vt:vector size="54" baseType="lpstr">
      <vt:lpstr>IFRCDB</vt:lpstr>
      <vt:lpstr>IFRC - 2010&amp;11</vt:lpstr>
      <vt:lpstr>ARCT contribution history</vt:lpstr>
      <vt:lpstr>IFRC appeals &amp; ARCT charts</vt:lpstr>
      <vt:lpstr>ARCT 4-12 inquiry - background</vt:lpstr>
      <vt:lpstr>Disaster Data</vt:lpstr>
      <vt:lpstr>MRL Analysis</vt:lpstr>
      <vt:lpstr>MRL Analysis (2)</vt:lpstr>
      <vt:lpstr>MRL Analysis (3)</vt:lpstr>
      <vt:lpstr>MRL Analysis (4)</vt:lpstr>
      <vt:lpstr>MRL Analysis (5)</vt:lpstr>
      <vt:lpstr>Deployments History</vt:lpstr>
      <vt:lpstr>MRL Instructions</vt:lpstr>
      <vt:lpstr>Disaster Typology</vt:lpstr>
      <vt:lpstr>Control</vt:lpstr>
      <vt:lpstr>At a Glance</vt:lpstr>
      <vt:lpstr>Top by Country</vt:lpstr>
      <vt:lpstr>ICRC funding</vt:lpstr>
      <vt:lpstr>Historical Totals</vt:lpstr>
      <vt:lpstr>FY06-10 analysis</vt:lpstr>
      <vt:lpstr>FY01-10 analysis (10yr)</vt:lpstr>
      <vt:lpstr>ICRC-IFRC contributions</vt:lpstr>
      <vt:lpstr>Other Historical</vt:lpstr>
      <vt:lpstr>FY2011 analysis </vt:lpstr>
      <vt:lpstr>Sheet1</vt:lpstr>
      <vt:lpstr>PRISM Conversion</vt:lpstr>
      <vt:lpstr>Sheet4</vt:lpstr>
      <vt:lpstr>Chart3</vt:lpstr>
      <vt:lpstr>Country_Affected</vt:lpstr>
      <vt:lpstr>Deployments_History_Data</vt:lpstr>
      <vt:lpstr>Disaster</vt:lpstr>
      <vt:lpstr>'ICRC-IFRC contributions'!DisasterData</vt:lpstr>
      <vt:lpstr>DisasterData</vt:lpstr>
      <vt:lpstr>End</vt:lpstr>
      <vt:lpstr>ERU_List</vt:lpstr>
      <vt:lpstr>'MRL Analysis (2)'!Federation_Deployment_Roles</vt:lpstr>
      <vt:lpstr>Federation_Deployment_Roles</vt:lpstr>
      <vt:lpstr>Fiscal_Year</vt:lpstr>
      <vt:lpstr>'ICRC-IFRC contributions'!Glide</vt:lpstr>
      <vt:lpstr>Glide</vt:lpstr>
      <vt:lpstr>NHQ_Contact</vt:lpstr>
      <vt:lpstr>Person</vt:lpstr>
      <vt:lpstr>'Disaster Data'!Print_Area</vt:lpstr>
      <vt:lpstr>'FY2011 analysis '!Print_Area</vt:lpstr>
      <vt:lpstr>'MRL Analysis (2)'!Print_Area</vt:lpstr>
      <vt:lpstr>'PRISM Conversion'!Print_Area</vt:lpstr>
      <vt:lpstr>'Disaster Data'!Print_Titles</vt:lpstr>
      <vt:lpstr>Quarter</vt:lpstr>
      <vt:lpstr>Region_NHQ_Fed</vt:lpstr>
      <vt:lpstr>Response_or_Non?</vt:lpstr>
      <vt:lpstr>Role</vt:lpstr>
      <vt:lpstr>Roster_or_Staff?</vt:lpstr>
      <vt:lpstr>Start</vt:lpstr>
      <vt:lpstr>Work_Location</vt:lpstr>
    </vt:vector>
  </TitlesOfParts>
  <Company>American Red Cross</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Information Services</dc:creator>
  <cp:lastModifiedBy>kimberly.solovy</cp:lastModifiedBy>
  <cp:lastPrinted>2011-12-15T21:21:36Z</cp:lastPrinted>
  <dcterms:created xsi:type="dcterms:W3CDTF">2008-10-07T15:03:41Z</dcterms:created>
  <dcterms:modified xsi:type="dcterms:W3CDTF">2013-06-18T17:59:55Z</dcterms:modified>
</cp:coreProperties>
</file>